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ml.chartshapes+xml"/>
  <Override PartName="/xl/comments1.xml" ContentType="application/vnd.openxmlformats-officedocument.spreadsheetml.comments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6.xml" ContentType="application/vnd.openxmlformats-officedocument.drawingml.chartshapes+xml"/>
  <Override PartName="/xl/drawings/drawing7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8.xml" ContentType="application/vnd.openxmlformats-officedocument.drawingml.chartshapes+xml"/>
  <Override PartName="/xl/comments2.xml" ContentType="application/vnd.openxmlformats-officedocument.spreadsheetml.comments+xml"/>
  <Override PartName="/xl/threadedComments/threadedComment1.xml" ContentType="application/vnd.ms-excel.threadedcomments+xml"/>
  <Override PartName="/xl/drawings/drawing9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10.xml" ContentType="application/vnd.openxmlformats-officedocument.drawingml.chartshapes+xml"/>
  <Override PartName="/xl/drawings/drawing11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12.xml" ContentType="application/vnd.openxmlformats-officedocument.drawingml.chartshapes+xml"/>
  <Override PartName="/xl/comments3.xml" ContentType="application/vnd.openxmlformats-officedocument.spreadsheetml.comments+xml"/>
  <Override PartName="/xl/drawings/drawing1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14.xml" ContentType="application/vnd.openxmlformats-officedocument.drawingml.chartshapes+xml"/>
  <Override PartName="/xl/drawings/drawing1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16.xml" ContentType="application/vnd.openxmlformats-officedocument.drawingml.chartshapes+xml"/>
  <Override PartName="/xl/drawings/drawing17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8.xml" ContentType="application/vnd.openxmlformats-officedocument.drawingml.chartshapes+xml"/>
  <Override PartName="/xl/drawings/drawing19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20.xml" ContentType="application/vnd.openxmlformats-officedocument.drawingml.chartshapes+xml"/>
  <Override PartName="/xl/comments4.xml" ContentType="application/vnd.openxmlformats-officedocument.spreadsheetml.comments+xml"/>
  <Override PartName="/xl/drawings/drawing21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22.xml" ContentType="application/vnd.openxmlformats-officedocument.drawingml.chartshapes+xml"/>
  <Override PartName="/xl/drawings/drawing23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24.xml" ContentType="application/vnd.openxmlformats-officedocument.drawingml.chartshapes+xml"/>
  <Override PartName="/xl/drawings/drawing25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26.xml" ContentType="application/vnd.openxmlformats-officedocument.drawingml.chartshapes+xml"/>
  <Override PartName="/xl/drawings/drawing27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28.xml" ContentType="application/vnd.openxmlformats-officedocument.drawingml.chartshape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Data\BI\Diễm BI\"/>
    </mc:Choice>
  </mc:AlternateContent>
  <xr:revisionPtr revIDLastSave="0" documentId="13_ncr:1_{5A6D26D4-93B8-434D-9E6D-FD6B3BF06AC7}" xr6:coauthVersionLast="47" xr6:coauthVersionMax="47" xr10:uidLastSave="{00000000-0000-0000-0000-000000000000}"/>
  <bookViews>
    <workbookView xWindow="0" yWindow="360" windowWidth="19420" windowHeight="10300" tabRatio="917" firstSheet="6" activeTab="6" xr2:uid="{00000000-000D-0000-FFFF-FFFF00000000}"/>
  </bookViews>
  <sheets>
    <sheet name="PET-tháng" sheetId="54" r:id="rId1"/>
    <sheet name="PET_tuan" sheetId="63" r:id="rId2"/>
    <sheet name="Ma trận PET" sheetId="27" state="hidden" r:id="rId3"/>
    <sheet name="PET Fiber_tháng" sheetId="86" r:id="rId4"/>
    <sheet name="PET Fiber_tuan " sheetId="77" r:id="rId5"/>
    <sheet name="Ma trận PET- Fiber" sheetId="76" state="hidden" r:id="rId6"/>
    <sheet name="HD thổi-tháng" sheetId="55" r:id="rId7"/>
    <sheet name="HD thổi_tuần" sheetId="39" r:id="rId8"/>
    <sheet name="Ma trận HDPE thổi" sheetId="22" state="hidden" r:id="rId9"/>
    <sheet name="HD Ép-tháng" sheetId="70" r:id="rId10"/>
    <sheet name="HD Ép_tuần" sheetId="71" r:id="rId11"/>
    <sheet name="Ma trận HDPE Ép" sheetId="69" state="hidden" r:id="rId12"/>
    <sheet name="PP-tháng" sheetId="68" r:id="rId13"/>
    <sheet name="PP_tuần" sheetId="66" r:id="rId14"/>
    <sheet name="Ma trận giá bán rPP" sheetId="65" r:id="rId15"/>
    <sheet name="Vảy PP_tháng" sheetId="88" r:id="rId16"/>
    <sheet name="Vảy PP_tuần" sheetId="82" r:id="rId17"/>
    <sheet name="Ma trận giá bán vảy PP" sheetId="81" state="hidden" r:id="rId18"/>
    <sheet name="Vảy HD ÉP_tháng" sheetId="84" r:id="rId19"/>
    <sheet name="Vảy HD ÉP_tuần" sheetId="87" r:id="rId20"/>
    <sheet name="Ma trận giá bán vảy HDPE ÉP" sheetId="83" state="hidden" r:id="rId21"/>
  </sheets>
  <definedNames>
    <definedName name="\T" localSheetId="7">#REF!</definedName>
    <definedName name="\T" localSheetId="6">#REF!</definedName>
    <definedName name="\T" localSheetId="3">#REF!</definedName>
    <definedName name="\T" localSheetId="4">#REF!</definedName>
    <definedName name="\T" localSheetId="1">#REF!</definedName>
    <definedName name="\T" localSheetId="0">#REF!</definedName>
    <definedName name="\T">#REF!</definedName>
    <definedName name="__dao1">#REF!</definedName>
    <definedName name="__dao2">#REF!</definedName>
    <definedName name="__dap2">#REF!</definedName>
    <definedName name="__day1">#REF!</definedName>
    <definedName name="__day2">#REF!</definedName>
    <definedName name="__dbu1">#REF!</definedName>
    <definedName name="__dbu2">#REF!</definedName>
    <definedName name="__doi3">#REF!</definedName>
    <definedName name="__E99999">#REF!</definedName>
    <definedName name="__Jan02">#REF!</definedName>
    <definedName name="__lap1">#REF!</definedName>
    <definedName name="__lap2">#REF!</definedName>
    <definedName name="__vc1">#REF!</definedName>
    <definedName name="__vc2">#REF!</definedName>
    <definedName name="__vc3">#REF!</definedName>
    <definedName name="_01_01_99">#REF!</definedName>
    <definedName name="_01_02_99">#REF!</definedName>
    <definedName name="_01_03_99">#REF!</definedName>
    <definedName name="_01_04_99">#REF!</definedName>
    <definedName name="_01_05_99">#REF!</definedName>
    <definedName name="_01_06_99">#REF!</definedName>
    <definedName name="_01_07_99">#REF!</definedName>
    <definedName name="_01_08_1999">#REF!</definedName>
    <definedName name="_1CAP002">#REF!</definedName>
    <definedName name="_2STREO7">#REF!</definedName>
    <definedName name="_4GOIC01">#REF!</definedName>
    <definedName name="_4OSLCTT">#REF!</definedName>
    <definedName name="_6BNTTTH">#REF!</definedName>
    <definedName name="_6DCTTBO">#REF!</definedName>
    <definedName name="_6DD24TT">#REF!</definedName>
    <definedName name="_6FCOTBU">#REF!</definedName>
    <definedName name="_6LATUBU">#REF!</definedName>
    <definedName name="_6SDTT24">#REF!</definedName>
    <definedName name="_6TBUDTT">#REF!</definedName>
    <definedName name="_6TDDDTT">#REF!</definedName>
    <definedName name="_6TLTTTH">#REF!</definedName>
    <definedName name="_6TUBUTT">#REF!</definedName>
    <definedName name="_6UCLVIS">#REF!</definedName>
    <definedName name="_7DNCABC">#REF!</definedName>
    <definedName name="_7HDCTBU">#REF!</definedName>
    <definedName name="_7PKTUBU">#REF!</definedName>
    <definedName name="_7TBHT20">#REF!</definedName>
    <definedName name="_7TBHT30">#REF!</definedName>
    <definedName name="_7TDCABC">#REF!</definedName>
    <definedName name="_dao1">#REF!</definedName>
    <definedName name="_dao2">#REF!</definedName>
    <definedName name="_dap2">#REF!</definedName>
    <definedName name="_day1">#REF!</definedName>
    <definedName name="_day2">#REF!</definedName>
    <definedName name="_dbu1">#REF!</definedName>
    <definedName name="_dbu2">#REF!</definedName>
    <definedName name="_doi3">#REF!</definedName>
    <definedName name="_E99999">#REF!</definedName>
    <definedName name="_Fill" hidden="1">#REF!</definedName>
    <definedName name="_Jan02">#REF!</definedName>
    <definedName name="_lap1">#REF!</definedName>
    <definedName name="_lap2">#REF!</definedName>
    <definedName name="_Order1" hidden="1">255</definedName>
    <definedName name="_Order2" hidden="1">255</definedName>
    <definedName name="_Sort" hidden="1">#REF!</definedName>
    <definedName name="_tram" hidden="1">#REF!</definedName>
    <definedName name="_vc1">#REF!</definedName>
    <definedName name="_vc2">#REF!</definedName>
    <definedName name="_vc3">#REF!</definedName>
    <definedName name="A">#REF!</definedName>
    <definedName name="AAA">#REF!</definedName>
    <definedName name="Account">#REF!</definedName>
    <definedName name="All_list">#REF!</definedName>
    <definedName name="anscount" hidden="1">2</definedName>
    <definedName name="AOP">#REF!</definedName>
    <definedName name="AOPP">#REF!</definedName>
    <definedName name="Apr">#REF!</definedName>
    <definedName name="Asset">#REF!</definedName>
    <definedName name="aù0">#REF!</definedName>
    <definedName name="Aug">#REF!</definedName>
    <definedName name="B">#REF!</definedName>
    <definedName name="BarData">#REF!</definedName>
    <definedName name="BLOCK1">#REF!</definedName>
    <definedName name="BLOCK2">#REF!</definedName>
    <definedName name="BLOCK3">#REF!</definedName>
    <definedName name="BOY">#REF!</definedName>
    <definedName name="Brand_Label">#REF!</definedName>
    <definedName name="BREAKDOWN">#REF!</definedName>
    <definedName name="C_">#REF!</definedName>
    <definedName name="cap">#REF!</definedName>
    <definedName name="cap0.7">#REF!</definedName>
    <definedName name="CCNK">#REF!</definedName>
    <definedName name="ChemicalReagent" localSheetId="7">#REF!</definedName>
    <definedName name="ChemicalReagent" localSheetId="6">#REF!</definedName>
    <definedName name="ChemicalReagent" localSheetId="3">#REF!</definedName>
    <definedName name="ChemicalReagent" localSheetId="4">#REF!</definedName>
    <definedName name="ChemicalReagent" localSheetId="1">#REF!</definedName>
    <definedName name="ChemicalReagent" localSheetId="0">#REF!</definedName>
    <definedName name="ChemicalReagent">#REF!</definedName>
    <definedName name="CL" localSheetId="7">#REF!</definedName>
    <definedName name="CL" localSheetId="6">#REF!</definedName>
    <definedName name="CL" localSheetId="3">#REF!</definedName>
    <definedName name="CL" localSheetId="4">#REF!</definedName>
    <definedName name="CL" localSheetId="1">#REF!</definedName>
    <definedName name="CL" localSheetId="0">#REF!</definedName>
    <definedName name="CL">#REF!</definedName>
    <definedName name="CLTMP" localSheetId="7">#REF!</definedName>
    <definedName name="CLTMP" localSheetId="6">#REF!</definedName>
    <definedName name="CLTMP" localSheetId="3">#REF!</definedName>
    <definedName name="CLTMP" localSheetId="4">#REF!</definedName>
    <definedName name="CLTMP" localSheetId="1">#REF!</definedName>
    <definedName name="CLTMP" localSheetId="0">#REF!</definedName>
    <definedName name="CLTMP">#REF!</definedName>
    <definedName name="CLVC">#REF!</definedName>
    <definedName name="cong_bq" localSheetId="7">#REF!</definedName>
    <definedName name="cong_bq" localSheetId="6">#REF!</definedName>
    <definedName name="cong_bq" localSheetId="3">#REF!</definedName>
    <definedName name="cong_bq" localSheetId="4">#REF!</definedName>
    <definedName name="cong_bq" localSheetId="1">#REF!</definedName>
    <definedName name="cong_bq" localSheetId="0">#REF!</definedName>
    <definedName name="cong_bq">#REF!</definedName>
    <definedName name="cong_bv" localSheetId="7">#REF!</definedName>
    <definedName name="cong_bv" localSheetId="6">#REF!</definedName>
    <definedName name="cong_bv" localSheetId="3">#REF!</definedName>
    <definedName name="cong_bv" localSheetId="4">#REF!</definedName>
    <definedName name="cong_bv" localSheetId="1">#REF!</definedName>
    <definedName name="cong_bv" localSheetId="0">#REF!</definedName>
    <definedName name="cong_bv">#REF!</definedName>
    <definedName name="cong_ck" localSheetId="7">#REF!</definedName>
    <definedName name="cong_ck" localSheetId="6">#REF!</definedName>
    <definedName name="cong_ck" localSheetId="3">#REF!</definedName>
    <definedName name="cong_ck" localSheetId="4">#REF!</definedName>
    <definedName name="cong_ck" localSheetId="1">#REF!</definedName>
    <definedName name="cong_ck" localSheetId="0">#REF!</definedName>
    <definedName name="cong_ck">#REF!</definedName>
    <definedName name="cong_d1" localSheetId="7">#REF!</definedName>
    <definedName name="cong_d1" localSheetId="6">#REF!</definedName>
    <definedName name="cong_d1" localSheetId="3">#REF!</definedName>
    <definedName name="cong_d1" localSheetId="4">#REF!</definedName>
    <definedName name="cong_d1" localSheetId="1">#REF!</definedName>
    <definedName name="cong_d1" localSheetId="0">#REF!</definedName>
    <definedName name="cong_d1">#REF!</definedName>
    <definedName name="cong_d2">#REF!</definedName>
    <definedName name="cong_d3">#REF!</definedName>
    <definedName name="cong_dl">#REF!</definedName>
    <definedName name="cong_kcs">#REF!</definedName>
    <definedName name="cong_nb">#REF!</definedName>
    <definedName name="cong_ngio">#REF!</definedName>
    <definedName name="cong_nv">#REF!</definedName>
    <definedName name="cong_t3">#REF!</definedName>
    <definedName name="cong_t4">#REF!</definedName>
    <definedName name="cong_t5">#REF!</definedName>
    <definedName name="cong_t6">#REF!</definedName>
    <definedName name="cong_tc">#REF!</definedName>
    <definedName name="cong_tm">#REF!</definedName>
    <definedName name="cong_vs">#REF!</definedName>
    <definedName name="cong_xh">#REF!</definedName>
    <definedName name="Contingency">#REF!</definedName>
    <definedName name="COPY" localSheetId="7">#REF!</definedName>
    <definedName name="COPY" localSheetId="6">#REF!</definedName>
    <definedName name="COPY" localSheetId="3">#REF!</definedName>
    <definedName name="COPY" localSheetId="4">#REF!</definedName>
    <definedName name="COPY" localSheetId="1">#REF!</definedName>
    <definedName name="COPY" localSheetId="0">#REF!</definedName>
    <definedName name="COPY">#REF!</definedName>
    <definedName name="COST" localSheetId="7">#REF!</definedName>
    <definedName name="COST" localSheetId="6">#REF!</definedName>
    <definedName name="COST" localSheetId="3">#REF!</definedName>
    <definedName name="COST" localSheetId="4">#REF!</definedName>
    <definedName name="COST" localSheetId="1">#REF!</definedName>
    <definedName name="COST" localSheetId="0">#REF!</definedName>
    <definedName name="COST">#REF!</definedName>
    <definedName name="Cost_Allocation_wage" localSheetId="7">#REF!</definedName>
    <definedName name="Cost_Allocation_wage" localSheetId="6">#REF!</definedName>
    <definedName name="Cost_Allocation_wage" localSheetId="3">#REF!</definedName>
    <definedName name="Cost_Allocation_wage" localSheetId="4">#REF!</definedName>
    <definedName name="Cost_Allocation_wage" localSheetId="1">#REF!</definedName>
    <definedName name="Cost_Allocation_wage" localSheetId="0">#REF!</definedName>
    <definedName name="Cost_Allocation_wage">#REF!</definedName>
    <definedName name="CS_10">#REF!</definedName>
    <definedName name="CS_100">#REF!</definedName>
    <definedName name="CS_10S">#REF!</definedName>
    <definedName name="CS_120">#REF!</definedName>
    <definedName name="CS_140">#REF!</definedName>
    <definedName name="CS_160">#REF!</definedName>
    <definedName name="CS_20">#REF!</definedName>
    <definedName name="CS_30">#REF!</definedName>
    <definedName name="CS_40">#REF!</definedName>
    <definedName name="CS_40S">#REF!</definedName>
    <definedName name="CS_5S">#REF!</definedName>
    <definedName name="CS_60">#REF!</definedName>
    <definedName name="CS_80">#REF!</definedName>
    <definedName name="CS_80S">#REF!</definedName>
    <definedName name="CS_STD">#REF!</definedName>
    <definedName name="CS_XS">#REF!</definedName>
    <definedName name="CS_XXS">#REF!</definedName>
    <definedName name="ctdn9697">#REF!</definedName>
    <definedName name="D">#REF!</definedName>
    <definedName name="Dandoc">#REF!</definedName>
    <definedName name="daotd">#REF!</definedName>
    <definedName name="dap">#REF!</definedName>
    <definedName name="daptd">#REF!</definedName>
    <definedName name="Data">#REF!</definedName>
    <definedName name="DATA_DATA2_List">#REF!</definedName>
    <definedName name="Data11">#REF!</definedName>
    <definedName name="Data41">#REF!</definedName>
    <definedName name="_xlnm.Database">#REF!</definedName>
    <definedName name="DDAY">#REF!</definedName>
    <definedName name="ddtt1pnc">#REF!</definedName>
    <definedName name="ddtt1pvl">#REF!</definedName>
    <definedName name="ddtt3pnc">#REF!</definedName>
    <definedName name="ddtt3pvl">#REF!</definedName>
    <definedName name="Dec">#REF!</definedName>
    <definedName name="DL50SEC">#REF!</definedName>
    <definedName name="DLSCM15">#REF!</definedName>
    <definedName name="DLSCM30">#REF!</definedName>
    <definedName name="DLSCM40">#REF!</definedName>
    <definedName name="DLUHT">#REF!</definedName>
    <definedName name="DM">#REF!</definedName>
    <definedName name="dobt">#REF!</definedName>
    <definedName name="Document_array" localSheetId="7">{"Book1"}</definedName>
    <definedName name="Document_array" localSheetId="6">{"Book1"}</definedName>
    <definedName name="Document_array" localSheetId="3">{"Book1"}</definedName>
    <definedName name="Document_array" localSheetId="4">{"Book1"}</definedName>
    <definedName name="Document_array" localSheetId="1">{"Book1"}</definedName>
    <definedName name="Document_array" localSheetId="0">{"Book1"}</definedName>
    <definedName name="Document_array">{"Book1"}</definedName>
    <definedName name="DocumentYear">#REF!</definedName>
    <definedName name="domestic">#REF!</definedName>
    <definedName name="domesticcost">#REF!</definedName>
    <definedName name="domesticcostt">#REF!</definedName>
    <definedName name="domesticostts">#REF!</definedName>
    <definedName name="domestics">#REF!</definedName>
    <definedName name="DONVI">OFFSET(#REF!,1,0,COUNTA(#REF!)-1,5)</definedName>
    <definedName name="DONVIDG">OFFSET(#REF!,COUNTIF(#REF!,"&lt;&gt;0")-1,0,1)</definedName>
    <definedName name="E">#REF!</definedName>
    <definedName name="Equipmentsupplies">#REF!</definedName>
    <definedName name="Eur">13240</definedName>
    <definedName name="F">#REF!</definedName>
    <definedName name="feb">#REF!</definedName>
    <definedName name="forex">17054</definedName>
    <definedName name="Full">#REF!</definedName>
    <definedName name="G">#REF!</definedName>
    <definedName name="G23_">#REF!</definedName>
    <definedName name="Gas">#REF!</definedName>
    <definedName name="giaca">#REF!</definedName>
    <definedName name="gica_bq">#REF!</definedName>
    <definedName name="gica_bv">#REF!</definedName>
    <definedName name="gica_ck">#REF!</definedName>
    <definedName name="gica_d1">#REF!</definedName>
    <definedName name="gica_d2">#REF!</definedName>
    <definedName name="gica_d3">#REF!</definedName>
    <definedName name="gica_dl">#REF!</definedName>
    <definedName name="gica_kcs">#REF!</definedName>
    <definedName name="gica_nb">#REF!</definedName>
    <definedName name="gica_ngio">#REF!</definedName>
    <definedName name="gica_nv">#REF!</definedName>
    <definedName name="gica_t3">#REF!</definedName>
    <definedName name="gica_t4">#REF!</definedName>
    <definedName name="gica_t5">#REF!</definedName>
    <definedName name="gica_t6">#REF!</definedName>
    <definedName name="gica_tc">#REF!</definedName>
    <definedName name="gica_tm">#REF!</definedName>
    <definedName name="gica_vs">#REF!</definedName>
    <definedName name="gica_xh">#REF!</definedName>
    <definedName name="gio_bq">#REF!</definedName>
    <definedName name="gio_d1">#REF!</definedName>
    <definedName name="gio_d2">#REF!</definedName>
    <definedName name="gio_d3">#REF!</definedName>
    <definedName name="gio_dl">#REF!</definedName>
    <definedName name="gio_kcs">#REF!</definedName>
    <definedName name="gio_ngio">#REF!</definedName>
    <definedName name="gio_t3">#REF!</definedName>
    <definedName name="gio_t4">#REF!</definedName>
    <definedName name="gio_t5">#REF!</definedName>
    <definedName name="gio_t6">#REF!</definedName>
    <definedName name="gio_vs">#REF!</definedName>
    <definedName name="gio_xh">#REF!</definedName>
    <definedName name="Graph_Contract">OFFSET(#REF!,#REF!,COLUMN(#REF!)-COLUMN(#REF!),1,2)</definedName>
    <definedName name="Graph_DA">OFFSET(#REF!,#REF!,COLUMN(#REF!)-COLUMN(#REF!),1,2)</definedName>
    <definedName name="Graph_Discret">OFFSET(#REF!,#REF!,COLUMN(#REF!)-COLUMN(#REF!),1,2)</definedName>
    <definedName name="Graph_growth">OFFSET(#REF!,#REF!,COLUMN(#REF!)-COLUMN(#REF!),1,2)</definedName>
    <definedName name="Graph_growth2">OFFSET(#REF!,#REF!,COLUMN(#REF!)-COLUMN(#REF!),1,2)</definedName>
    <definedName name="Graph_NDisc">OFFSET(#REF!,#REF!,COLUMN(#REF!)-COLUMN(#REF!),1,2)</definedName>
    <definedName name="Graph_Stale">OFFSET(#REF!,#REF!,COLUMN(#REF!)-COLUMN(#REF!),1,2)</definedName>
    <definedName name="Graph_volume">OFFSET(#REF!,#REF!,COLUMN(#REF!)-COLUMN(#REF!),1,2)</definedName>
    <definedName name="Graph_volume2">OFFSET(#REF!,#REF!,COLUMN(#REF!)-COLUMN(#REF!),1,2)</definedName>
    <definedName name="HDCCT" localSheetId="7">#REF!</definedName>
    <definedName name="HDCCT" localSheetId="6">#REF!</definedName>
    <definedName name="HDCCT" localSheetId="3">#REF!</definedName>
    <definedName name="HDCCT" localSheetId="4">#REF!</definedName>
    <definedName name="HDCCT" localSheetId="1">#REF!</definedName>
    <definedName name="HDCCT" localSheetId="0">#REF!</definedName>
    <definedName name="HDCCT">#REF!</definedName>
    <definedName name="HDCD" localSheetId="7">#REF!</definedName>
    <definedName name="HDCD" localSheetId="6">#REF!</definedName>
    <definedName name="HDCD" localSheetId="3">#REF!</definedName>
    <definedName name="HDCD" localSheetId="4">#REF!</definedName>
    <definedName name="HDCD" localSheetId="1">#REF!</definedName>
    <definedName name="HDCD" localSheetId="0">#REF!</definedName>
    <definedName name="HDCD">#REF!</definedName>
    <definedName name="HM" localSheetId="7">#REF!</definedName>
    <definedName name="HM" localSheetId="6">#REF!</definedName>
    <definedName name="HM" localSheetId="3">#REF!</definedName>
    <definedName name="HM" localSheetId="4">#REF!</definedName>
    <definedName name="HM" localSheetId="1">#REF!</definedName>
    <definedName name="HM" localSheetId="0">#REF!</definedName>
    <definedName name="HM">#REF!</definedName>
    <definedName name="HSKK">#REF!</definedName>
    <definedName name="Index">100%</definedName>
    <definedName name="Inflation_WC">#REF!</definedName>
    <definedName name="jan">#REF!</definedName>
    <definedName name="Jul">#REF!</definedName>
    <definedName name="Jun">#REF!</definedName>
    <definedName name="Justification">#REF!</definedName>
    <definedName name="K">#REF!</definedName>
    <definedName name="K_1" localSheetId="7">#REF!</definedName>
    <definedName name="K_1" localSheetId="6">#REF!</definedName>
    <definedName name="K_1" localSheetId="14">#REF!</definedName>
    <definedName name="K_1" localSheetId="20">#REF!</definedName>
    <definedName name="K_1" localSheetId="17">#REF!</definedName>
    <definedName name="K_1" localSheetId="11">#REF!</definedName>
    <definedName name="K_1" localSheetId="2">#REF!</definedName>
    <definedName name="K_1" localSheetId="5">#REF!</definedName>
    <definedName name="K_1" localSheetId="3">#REF!</definedName>
    <definedName name="K_1" localSheetId="4">#REF!</definedName>
    <definedName name="K_1" localSheetId="1">#REF!</definedName>
    <definedName name="K_1" localSheetId="0">#REF!</definedName>
    <definedName name="K_1" localSheetId="12">#REF!</definedName>
    <definedName name="K_1" localSheetId="18">#REF!</definedName>
    <definedName name="K_1" localSheetId="19">#REF!</definedName>
    <definedName name="K_1" localSheetId="15">#REF!</definedName>
    <definedName name="K_1" localSheetId="16">#REF!</definedName>
    <definedName name="K_1">#REF!</definedName>
    <definedName name="K_2" localSheetId="7">#REF!</definedName>
    <definedName name="K_2" localSheetId="6">#REF!</definedName>
    <definedName name="K_2" localSheetId="14">#REF!</definedName>
    <definedName name="K_2" localSheetId="20">#REF!</definedName>
    <definedName name="K_2" localSheetId="17">#REF!</definedName>
    <definedName name="K_2" localSheetId="11">#REF!</definedName>
    <definedName name="K_2" localSheetId="2">#REF!</definedName>
    <definedName name="K_2" localSheetId="5">#REF!</definedName>
    <definedName name="K_2" localSheetId="3">#REF!</definedName>
    <definedName name="K_2" localSheetId="4">#REF!</definedName>
    <definedName name="K_2" localSheetId="1">#REF!</definedName>
    <definedName name="K_2" localSheetId="0">#REF!</definedName>
    <definedName name="K_2" localSheetId="12">#REF!</definedName>
    <definedName name="K_2" localSheetId="18">#REF!</definedName>
    <definedName name="K_2" localSheetId="19">#REF!</definedName>
    <definedName name="K_2" localSheetId="15">#REF!</definedName>
    <definedName name="K_2" localSheetId="16">#REF!</definedName>
    <definedName name="K_2">#REF!</definedName>
    <definedName name="KCSCM">#REF!</definedName>
    <definedName name="KVC">#REF!</definedName>
    <definedName name="L">#REF!</definedName>
    <definedName name="Lab_supplies_lists">#REF!</definedName>
    <definedName name="Labsupplieslist">#REF!</definedName>
    <definedName name="lanh_bq">#REF!</definedName>
    <definedName name="lanh_bv">#REF!</definedName>
    <definedName name="lanh_ck">#REF!</definedName>
    <definedName name="lanh_d1">#REF!</definedName>
    <definedName name="lanh_d2">#REF!</definedName>
    <definedName name="lanh_d3">#REF!</definedName>
    <definedName name="lanh_dl">#REF!</definedName>
    <definedName name="lanh_kcs">#REF!</definedName>
    <definedName name="lanh_nb">#REF!</definedName>
    <definedName name="lanh_ngio">#REF!</definedName>
    <definedName name="lanh_nv">#REF!</definedName>
    <definedName name="lanh_t3">#REF!</definedName>
    <definedName name="lanh_t4">#REF!</definedName>
    <definedName name="lanh_t5">#REF!</definedName>
    <definedName name="lanh_t6">#REF!</definedName>
    <definedName name="lanh_tc">#REF!</definedName>
    <definedName name="lanh_tm">#REF!</definedName>
    <definedName name="lanh_vs">#REF!</definedName>
    <definedName name="lanh_xh">#REF!</definedName>
    <definedName name="lapa">#REF!</definedName>
    <definedName name="lapb">#REF!</definedName>
    <definedName name="lapc">#REF!</definedName>
    <definedName name="lcb_bq">#REF!</definedName>
    <definedName name="lcb_bv">#REF!</definedName>
    <definedName name="lcb_ck">#REF!</definedName>
    <definedName name="lcb_d1">#REF!</definedName>
    <definedName name="lcb_d2">#REF!</definedName>
    <definedName name="lcb_d3">#REF!</definedName>
    <definedName name="lcb_dl">#REF!</definedName>
    <definedName name="lcb_kcs">#REF!</definedName>
    <definedName name="lcb_nb">#REF!</definedName>
    <definedName name="lcb_ngio">#REF!</definedName>
    <definedName name="lcb_nv">#REF!</definedName>
    <definedName name="lcb_t3">#REF!</definedName>
    <definedName name="lcb_t4">#REF!</definedName>
    <definedName name="lcb_t5">#REF!</definedName>
    <definedName name="lcb_t6">#REF!</definedName>
    <definedName name="lcb_tc">#REF!</definedName>
    <definedName name="lcb_tm">#REF!</definedName>
    <definedName name="lcb_vs">#REF!</definedName>
    <definedName name="lcb_xh">#REF!</definedName>
    <definedName name="le_bq">#REF!</definedName>
    <definedName name="le_bv">#REF!</definedName>
    <definedName name="le_ck">#REF!</definedName>
    <definedName name="le_d1">#REF!</definedName>
    <definedName name="le_d2">#REF!</definedName>
    <definedName name="le_d3">#REF!</definedName>
    <definedName name="le_dl">#REF!</definedName>
    <definedName name="le_kcs">#REF!</definedName>
    <definedName name="le_nb">#REF!</definedName>
    <definedName name="le_ngio">#REF!</definedName>
    <definedName name="le_nv">#REF!</definedName>
    <definedName name="le_t3">#REF!</definedName>
    <definedName name="le_t4">#REF!</definedName>
    <definedName name="le_t5">#REF!</definedName>
    <definedName name="le_t6">#REF!</definedName>
    <definedName name="le_tc">#REF!</definedName>
    <definedName name="le_tm">#REF!</definedName>
    <definedName name="le_vs">#REF!</definedName>
    <definedName name="le_xh">#REF!</definedName>
    <definedName name="limcount" hidden="1">1</definedName>
    <definedName name="list">#REF!</definedName>
    <definedName name="Location">#REF!</definedName>
    <definedName name="lVC">#REF!</definedName>
    <definedName name="MADONVI">OFFSET(#REF!,COUNTA(#REF!)-1,0,1)</definedName>
    <definedName name="MajorHeader">#REF!</definedName>
    <definedName name="mar">#REF!</definedName>
    <definedName name="mat">#REF!</definedName>
    <definedName name="may">#REF!</definedName>
    <definedName name="MPETABLE">#REF!</definedName>
    <definedName name="NCcap0.7">#REF!</definedName>
    <definedName name="NCcap1">#REF!</definedName>
    <definedName name="NGANHANG">OFFSET(#REF!,COUNTIF(#REF!,"&lt;&gt;0")-1,0,1)</definedName>
    <definedName name="NGAØY">#REF!</definedName>
    <definedName name="NGAY">OFFSET(#REF!,COUNTA(#REF!)-1,0,1)</definedName>
    <definedName name="nghi_bq">#REF!</definedName>
    <definedName name="nghi_bv">#REF!</definedName>
    <definedName name="nghi_ck">#REF!</definedName>
    <definedName name="nghi_d1">#REF!</definedName>
    <definedName name="nghi_d2">#REF!</definedName>
    <definedName name="nghi_d3">#REF!</definedName>
    <definedName name="nghi_dl">#REF!</definedName>
    <definedName name="nghi_kcs">#REF!</definedName>
    <definedName name="nghi_nb">#REF!</definedName>
    <definedName name="nghi_ngio">#REF!</definedName>
    <definedName name="nghi_nv">#REF!</definedName>
    <definedName name="nghi_t3">#REF!</definedName>
    <definedName name="nghi_t4">#REF!</definedName>
    <definedName name="nghi_t5">#REF!</definedName>
    <definedName name="nghi_t6">#REF!</definedName>
    <definedName name="nghi_tc">#REF!</definedName>
    <definedName name="nghi_tm">#REF!</definedName>
    <definedName name="nghi_vs">#REF!</definedName>
    <definedName name="nghi_xh">#REF!</definedName>
    <definedName name="nhap">#REF!</definedName>
    <definedName name="NHAP1">#REF!</definedName>
    <definedName name="NHAP2">#REF!</definedName>
    <definedName name="NOIDUNG">OFFSET(#REF!,COUNTA(#REF!)-1,0,1)</definedName>
    <definedName name="Nov">#REF!</definedName>
    <definedName name="NToS" localSheetId="7">#REF!</definedName>
    <definedName name="NToS" localSheetId="6">#REF!</definedName>
    <definedName name="NToS" localSheetId="14">#REF!</definedName>
    <definedName name="NToS" localSheetId="20">#REF!</definedName>
    <definedName name="NToS" localSheetId="17">#REF!</definedName>
    <definedName name="NToS" localSheetId="11">#REF!</definedName>
    <definedName name="NToS" localSheetId="2">#REF!</definedName>
    <definedName name="NToS" localSheetId="5">#REF!</definedName>
    <definedName name="NToS" localSheetId="3">#REF!</definedName>
    <definedName name="NToS" localSheetId="4">#REF!</definedName>
    <definedName name="NToS" localSheetId="1">#REF!</definedName>
    <definedName name="NToS" localSheetId="0">#REF!</definedName>
    <definedName name="NToS" localSheetId="12">#REF!</definedName>
    <definedName name="NToS" localSheetId="18">#REF!</definedName>
    <definedName name="NToS" localSheetId="19">#REF!</definedName>
    <definedName name="NToS" localSheetId="15">#REF!</definedName>
    <definedName name="NToS" localSheetId="16">#REF!</definedName>
    <definedName name="NToS">#REF!</definedName>
    <definedName name="Oct" localSheetId="7">#REF!</definedName>
    <definedName name="Oct" localSheetId="6">#REF!</definedName>
    <definedName name="Oct" localSheetId="3">#REF!</definedName>
    <definedName name="Oct" localSheetId="4">#REF!</definedName>
    <definedName name="Oct" localSheetId="1">#REF!</definedName>
    <definedName name="Oct" localSheetId="0">#REF!</definedName>
    <definedName name="Oct">#REF!</definedName>
    <definedName name="OneTwoThree" localSheetId="7">#REF!</definedName>
    <definedName name="OneTwoThree" localSheetId="6">#REF!</definedName>
    <definedName name="OneTwoThree" localSheetId="3">#REF!</definedName>
    <definedName name="OneTwoThree" localSheetId="4">#REF!</definedName>
    <definedName name="OneTwoThree" localSheetId="1">#REF!</definedName>
    <definedName name="OneTwoThree" localSheetId="0">#REF!</definedName>
    <definedName name="OneTwoThree">#REF!</definedName>
    <definedName name="oo">#REF!</definedName>
    <definedName name="ooo">#REF!</definedName>
    <definedName name="Other_Lab_Supplies">#REF!</definedName>
    <definedName name="oversea">#REF!</definedName>
    <definedName name="PackMat">#REF!</definedName>
    <definedName name="PC_LB">#REF!</definedName>
    <definedName name="PG_LB">#REF!</definedName>
    <definedName name="PHUONG" localSheetId="7" hidden="1">#REF!</definedName>
    <definedName name="PHUONG" localSheetId="6" hidden="1">#REF!</definedName>
    <definedName name="PHUONG" localSheetId="3" hidden="1">#REF!</definedName>
    <definedName name="PHUONG" localSheetId="4" hidden="1">#REF!</definedName>
    <definedName name="PHUONG" localSheetId="1" hidden="1">#REF!</definedName>
    <definedName name="PHUONG" localSheetId="0" hidden="1">#REF!</definedName>
    <definedName name="PHUONG" hidden="1">#REF!</definedName>
    <definedName name="_xlnm.Print_Area" localSheetId="7">'HD thổi_tuần'!$A$37:$S$85</definedName>
    <definedName name="_xlnm.Print_Area" localSheetId="6">'HD thổi-tháng'!$B$38:$W$86</definedName>
    <definedName name="_xlnm.Print_Area" localSheetId="3">'PET Fiber_tháng'!$A$39:$R$85</definedName>
    <definedName name="_xlnm.Print_Area" localSheetId="4">'PET Fiber_tuan '!$A$39:$R$85</definedName>
    <definedName name="_xlnm.Print_Area" localSheetId="1">PET_tuan!$A$39:$R$85</definedName>
    <definedName name="_xlnm.Print_Area" localSheetId="0">'PET-tháng'!$A$41:$T$87</definedName>
    <definedName name="Print_Area_MI">#REF!</definedName>
    <definedName name="_xlnm.Print_Titles">#N/A</definedName>
    <definedName name="QUYLUONG" localSheetId="7">#REF!</definedName>
    <definedName name="QUYLUONG" localSheetId="6">#REF!</definedName>
    <definedName name="QUYLUONG" localSheetId="3">#REF!</definedName>
    <definedName name="QUYLUONG" localSheetId="4">#REF!</definedName>
    <definedName name="QUYLUONG" localSheetId="1">#REF!</definedName>
    <definedName name="QUYLUONG" localSheetId="0">#REF!</definedName>
    <definedName name="QUYLUONG">#REF!</definedName>
    <definedName name="RawMat">#REF!</definedName>
    <definedName name="re" localSheetId="7">#REF!</definedName>
    <definedName name="re" localSheetId="6">#REF!</definedName>
    <definedName name="re" localSheetId="3">#REF!</definedName>
    <definedName name="re" localSheetId="4">#REF!</definedName>
    <definedName name="re" localSheetId="1">#REF!</definedName>
    <definedName name="re" localSheetId="0">#REF!</definedName>
    <definedName name="re">#REF!</definedName>
    <definedName name="ree" localSheetId="7">#REF!</definedName>
    <definedName name="ree" localSheetId="6">#REF!</definedName>
    <definedName name="ree" localSheetId="3">#REF!</definedName>
    <definedName name="ree" localSheetId="4">#REF!</definedName>
    <definedName name="ree" localSheetId="1">#REF!</definedName>
    <definedName name="ree" localSheetId="0">#REF!</definedName>
    <definedName name="ree">#REF!</definedName>
    <definedName name="rr">#REF!</definedName>
    <definedName name="SALES" localSheetId="7">#REF!</definedName>
    <definedName name="SALES" localSheetId="6">#REF!</definedName>
    <definedName name="SALES" localSheetId="3">#REF!</definedName>
    <definedName name="SALES" localSheetId="4">#REF!</definedName>
    <definedName name="SALES" localSheetId="1">#REF!</definedName>
    <definedName name="SALES" localSheetId="0">#REF!</definedName>
    <definedName name="SALES">#REF!</definedName>
    <definedName name="sau">#REF!</definedName>
    <definedName name="sdafds">#REF!</definedName>
    <definedName name="SDDL">#REF!</definedName>
    <definedName name="sdgt" hidden="1">#REF!</definedName>
    <definedName name="sencount" hidden="1">1</definedName>
    <definedName name="Sep">#REF!</definedName>
    <definedName name="Sheet1">#REF!</definedName>
    <definedName name="shii">#REF!</definedName>
    <definedName name="SKU">#REF!</definedName>
    <definedName name="SO">OFFSET(#REF!,COUNTA(#REF!)-1,0,1)</definedName>
    <definedName name="Sort" hidden="1">#REF!</definedName>
    <definedName name="SORT_AREA">#REF!</definedName>
    <definedName name="SOTIEN">OFFSET(#REF!,COUNTA(#REF!)-1,0,1)</definedName>
    <definedName name="sp_bq">#REF!</definedName>
    <definedName name="sp_bv">#REF!</definedName>
    <definedName name="sp_ck">#REF!</definedName>
    <definedName name="sp_d1">#REF!</definedName>
    <definedName name="sp_d2">#REF!</definedName>
    <definedName name="sp_d3">#REF!</definedName>
    <definedName name="sp_dl">#REF!</definedName>
    <definedName name="sp_kcs">#REF!</definedName>
    <definedName name="sp_nb">#REF!</definedName>
    <definedName name="sp_ngio">#REF!</definedName>
    <definedName name="sp_nv">#REF!</definedName>
    <definedName name="sp_t3">#REF!</definedName>
    <definedName name="sp_t4">#REF!</definedName>
    <definedName name="sp_t5">#REF!</definedName>
    <definedName name="sp_t6">#REF!</definedName>
    <definedName name="sp_tc">#REF!</definedName>
    <definedName name="sp_tm">#REF!</definedName>
    <definedName name="sp_vs">#REF!</definedName>
    <definedName name="sp_xh">#REF!</definedName>
    <definedName name="sss">#REF!</definedName>
    <definedName name="TAIKHOAN">OFFSET(#REF!,COUNTIF(#REF!,"&lt;&gt;0")-1,0,1)</definedName>
    <definedName name="TAMTINH">#REF!</definedName>
    <definedName name="tdtrnc">#REF!</definedName>
    <definedName name="tdtrvl">#REF!</definedName>
    <definedName name="TG">#REF!</definedName>
    <definedName name="TGxayduong">#REF!</definedName>
    <definedName name="thgian_bq" localSheetId="7">#REF!</definedName>
    <definedName name="thgian_bq" localSheetId="6">#REF!</definedName>
    <definedName name="thgian_bq" localSheetId="3">#REF!</definedName>
    <definedName name="thgian_bq" localSheetId="4">#REF!</definedName>
    <definedName name="thgian_bq" localSheetId="1">#REF!</definedName>
    <definedName name="thgian_bq" localSheetId="0">#REF!</definedName>
    <definedName name="thgian_bq">#REF!</definedName>
    <definedName name="thgian_bv" localSheetId="7">#REF!</definedName>
    <definedName name="thgian_bv" localSheetId="6">#REF!</definedName>
    <definedName name="thgian_bv" localSheetId="3">#REF!</definedName>
    <definedName name="thgian_bv" localSheetId="4">#REF!</definedName>
    <definedName name="thgian_bv" localSheetId="1">#REF!</definedName>
    <definedName name="thgian_bv" localSheetId="0">#REF!</definedName>
    <definedName name="thgian_bv">#REF!</definedName>
    <definedName name="thgian_ck" localSheetId="7">#REF!</definedName>
    <definedName name="thgian_ck" localSheetId="6">#REF!</definedName>
    <definedName name="thgian_ck" localSheetId="3">#REF!</definedName>
    <definedName name="thgian_ck" localSheetId="4">#REF!</definedName>
    <definedName name="thgian_ck" localSheetId="1">#REF!</definedName>
    <definedName name="thgian_ck" localSheetId="0">#REF!</definedName>
    <definedName name="thgian_ck">#REF!</definedName>
    <definedName name="thgian_d1" localSheetId="7">#REF!</definedName>
    <definedName name="thgian_d1" localSheetId="6">#REF!</definedName>
    <definedName name="thgian_d1" localSheetId="3">#REF!</definedName>
    <definedName name="thgian_d1" localSheetId="4">#REF!</definedName>
    <definedName name="thgian_d1" localSheetId="1">#REF!</definedName>
    <definedName name="thgian_d1" localSheetId="0">#REF!</definedName>
    <definedName name="thgian_d1">#REF!</definedName>
    <definedName name="thgian_d2">#REF!</definedName>
    <definedName name="thgian_d3">#REF!</definedName>
    <definedName name="thgian_dl">#REF!</definedName>
    <definedName name="thgian_kcs">#REF!</definedName>
    <definedName name="thgian_nb">#REF!</definedName>
    <definedName name="thgian_ngio">#REF!</definedName>
    <definedName name="thgian_nv">#REF!</definedName>
    <definedName name="thgian_t3">#REF!</definedName>
    <definedName name="thgian_t4">#REF!</definedName>
    <definedName name="thgian_t5">#REF!</definedName>
    <definedName name="thgian_t6">#REF!</definedName>
    <definedName name="thgian_tc">#REF!</definedName>
    <definedName name="thgian_tm">#REF!</definedName>
    <definedName name="thgian_vs">#REF!</definedName>
    <definedName name="thgian_xh">#REF!</definedName>
    <definedName name="thgio_bq">#REF!</definedName>
    <definedName name="thgio_bv">#REF!</definedName>
    <definedName name="thgio_ck">#REF!</definedName>
    <definedName name="thgio_d1">#REF!</definedName>
    <definedName name="thgio_d2">#REF!</definedName>
    <definedName name="thgio_d3">#REF!</definedName>
    <definedName name="thgio_dl">#REF!</definedName>
    <definedName name="thgio_kcs">#REF!</definedName>
    <definedName name="thgio_nb">#REF!</definedName>
    <definedName name="thgio_ngio">#REF!</definedName>
    <definedName name="thgio_nv">#REF!</definedName>
    <definedName name="thgio_t3">#REF!</definedName>
    <definedName name="thgio_t4">#REF!</definedName>
    <definedName name="thgio_t5">#REF!</definedName>
    <definedName name="thgio_t6">#REF!</definedName>
    <definedName name="thgio_tc">#REF!</definedName>
    <definedName name="thgio_tm">#REF!</definedName>
    <definedName name="thgio_vs">#REF!</definedName>
    <definedName name="thgio_xh">#REF!</definedName>
    <definedName name="TINHTP">OFFSET(#REF!,COUNTIF(#REF!,"&lt;&gt;0")-1,0,1)</definedName>
    <definedName name="tluong">#REF!</definedName>
    <definedName name="tnh_bq">#REF!</definedName>
    <definedName name="tnh_bv">#REF!</definedName>
    <definedName name="tnh_ck">#REF!</definedName>
    <definedName name="tnh_d1">#REF!</definedName>
    <definedName name="tnh_d2">#REF!</definedName>
    <definedName name="tnh_d3">#REF!</definedName>
    <definedName name="tnh_dl">#REF!</definedName>
    <definedName name="tnh_kcs">#REF!</definedName>
    <definedName name="tnh_nb">#REF!</definedName>
    <definedName name="tnh_ngio">#REF!</definedName>
    <definedName name="tnh_nv">#REF!</definedName>
    <definedName name="tnh_t3">#REF!</definedName>
    <definedName name="tnh_t4">#REF!</definedName>
    <definedName name="tnh_t5">#REF!</definedName>
    <definedName name="tnh_t6">#REF!</definedName>
    <definedName name="tnh_tc">#REF!</definedName>
    <definedName name="tnh_tm">#REF!</definedName>
    <definedName name="tnh_vs">#REF!</definedName>
    <definedName name="tnh_xh">#REF!</definedName>
    <definedName name="TON">#REF!</definedName>
    <definedName name="TOP">#REF!</definedName>
    <definedName name="tram" localSheetId="7" hidden="1">#REF!</definedName>
    <definedName name="tram" localSheetId="6" hidden="1">#REF!</definedName>
    <definedName name="tram" localSheetId="3" hidden="1">#REF!</definedName>
    <definedName name="tram" localSheetId="4" hidden="1">#REF!</definedName>
    <definedName name="tram" localSheetId="1" hidden="1">#REF!</definedName>
    <definedName name="tram" localSheetId="0" hidden="1">#REF!</definedName>
    <definedName name="tram" hidden="1">#REF!</definedName>
    <definedName name="TSSCM" localSheetId="7">#REF!</definedName>
    <definedName name="TSSCM" localSheetId="6">#REF!</definedName>
    <definedName name="TSSCM" localSheetId="3">#REF!</definedName>
    <definedName name="TSSCM" localSheetId="4">#REF!</definedName>
    <definedName name="TSSCM" localSheetId="1">#REF!</definedName>
    <definedName name="TSSCM" localSheetId="0">#REF!</definedName>
    <definedName name="TSSCM">#REF!</definedName>
    <definedName name="TSSlist" localSheetId="7">#REF!</definedName>
    <definedName name="TSSlist" localSheetId="6">#REF!</definedName>
    <definedName name="TSSlist" localSheetId="3">#REF!</definedName>
    <definedName name="TSSlist" localSheetId="4">#REF!</definedName>
    <definedName name="TSSlist" localSheetId="1">#REF!</definedName>
    <definedName name="TSSlist" localSheetId="0">#REF!</definedName>
    <definedName name="TSSlist">#REF!</definedName>
    <definedName name="ttbt" localSheetId="7">#REF!</definedName>
    <definedName name="ttbt" localSheetId="6">#REF!</definedName>
    <definedName name="ttbt" localSheetId="3">#REF!</definedName>
    <definedName name="ttbt" localSheetId="4">#REF!</definedName>
    <definedName name="ttbt" localSheetId="1">#REF!</definedName>
    <definedName name="ttbt" localSheetId="0">#REF!</definedName>
    <definedName name="ttbt">#REF!</definedName>
    <definedName name="ttt">#REF!</definedName>
    <definedName name="tttb">#REF!</definedName>
    <definedName name="vc3.">#REF!</definedName>
    <definedName name="vca">#REF!</definedName>
    <definedName name="vccot" localSheetId="7">#REF!</definedName>
    <definedName name="vccot" localSheetId="6">#REF!</definedName>
    <definedName name="vccot" localSheetId="3">#REF!</definedName>
    <definedName name="vccot" localSheetId="4">#REF!</definedName>
    <definedName name="vccot" localSheetId="1">#REF!</definedName>
    <definedName name="vccot" localSheetId="0">#REF!</definedName>
    <definedName name="vccot">#REF!</definedName>
    <definedName name="vccot.">#REF!</definedName>
    <definedName name="vcdbt">#REF!</definedName>
    <definedName name="vcdc.">#REF!</definedName>
    <definedName name="vcdd">#REF!</definedName>
    <definedName name="vcdt">#REF!</definedName>
    <definedName name="vcdtb">#REF!</definedName>
    <definedName name="vctb">#REF!</definedName>
    <definedName name="vctt">#REF!</definedName>
    <definedName name="VDCLY">#REF!</definedName>
    <definedName name="Vlcap0.7">#REF!</definedName>
    <definedName name="VLcap1">#REF!</definedName>
    <definedName name="WeekNumbers">#REF!</definedName>
    <definedName name="xfconc">#REF!</definedName>
    <definedName name="xfcovl">#REF!</definedName>
    <definedName name="xh_bq">#REF!</definedName>
    <definedName name="xh_bv">#REF!</definedName>
    <definedName name="xh_ck">#REF!</definedName>
    <definedName name="xh_d1">#REF!</definedName>
    <definedName name="xh_d2">#REF!</definedName>
    <definedName name="xh_d3">#REF!</definedName>
    <definedName name="xh_dl">#REF!</definedName>
    <definedName name="xh_kcs">#REF!</definedName>
    <definedName name="xh_nb">#REF!</definedName>
    <definedName name="xh_ngio">#REF!</definedName>
    <definedName name="xh_nv">#REF!</definedName>
    <definedName name="xh_t3">#REF!</definedName>
    <definedName name="xh_t4">#REF!</definedName>
    <definedName name="xh_t5">#REF!</definedName>
    <definedName name="xh_t6">#REF!</definedName>
    <definedName name="xh_tc">#REF!</definedName>
    <definedName name="xh_tm">#REF!</definedName>
    <definedName name="xh_vs">#REF!</definedName>
    <definedName name="xh_xh">#REF!</definedName>
    <definedName name="Yomost">#REF!</definedName>
    <definedName name="yt_bq">#REF!</definedName>
    <definedName name="yt_bv">#REF!</definedName>
    <definedName name="yt_ck">#REF!</definedName>
    <definedName name="yt_d1">#REF!</definedName>
    <definedName name="yt_d2">#REF!</definedName>
    <definedName name="yt_d3">#REF!</definedName>
    <definedName name="yt_dl">#REF!</definedName>
    <definedName name="yt_kcs">#REF!</definedName>
    <definedName name="yt_nb">#REF!</definedName>
    <definedName name="yt_ngio">#REF!</definedName>
    <definedName name="yt_nv">#REF!</definedName>
    <definedName name="yt_t3">#REF!</definedName>
    <definedName name="yt_t4">#REF!</definedName>
    <definedName name="yt_t5">#REF!</definedName>
    <definedName name="yt_t6">#REF!</definedName>
    <definedName name="yt_tc">#REF!</definedName>
    <definedName name="yt_tm">#REF!</definedName>
    <definedName name="yt_vs">#REF!</definedName>
    <definedName name="yt_xh">#REF!</definedName>
    <definedName name="ZYX">#REF!</definedName>
    <definedName name="ZZZ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H6" i="76" l="1"/>
  <c r="FG6" i="76"/>
  <c r="FF6" i="76"/>
  <c r="FE6" i="76"/>
  <c r="FD6" i="76"/>
  <c r="BV6" i="27"/>
  <c r="KA20" i="27"/>
  <c r="JZ20" i="27"/>
  <c r="JY20" i="27"/>
  <c r="JX20" i="27"/>
  <c r="JW20" i="27"/>
  <c r="KA17" i="27"/>
  <c r="KA18" i="27" s="1"/>
  <c r="KA19" i="27" s="1"/>
  <c r="JZ17" i="27"/>
  <c r="JZ18" i="27" s="1"/>
  <c r="JZ19" i="27" s="1"/>
  <c r="JY17" i="27"/>
  <c r="JY18" i="27" s="1"/>
  <c r="JY19" i="27" s="1"/>
  <c r="JX17" i="27"/>
  <c r="JX18" i="27" s="1"/>
  <c r="JX19" i="27" s="1"/>
  <c r="JW17" i="27"/>
  <c r="JW18" i="27" s="1"/>
  <c r="JW19" i="27" s="1"/>
  <c r="KA16" i="27"/>
  <c r="JZ16" i="27"/>
  <c r="JY16" i="27"/>
  <c r="JX16" i="27"/>
  <c r="JW16" i="27"/>
  <c r="FH10" i="76"/>
  <c r="FG10" i="76"/>
  <c r="FF10" i="76"/>
  <c r="FE10" i="76"/>
  <c r="FD10" i="76"/>
  <c r="FE7" i="76"/>
  <c r="FE11" i="76" s="1"/>
  <c r="FE12" i="76" s="1"/>
  <c r="FD7" i="76"/>
  <c r="FD11" i="76" s="1"/>
  <c r="FD12" i="76" s="1"/>
  <c r="FH7" i="76"/>
  <c r="FH11" i="76" s="1"/>
  <c r="FG7" i="76"/>
  <c r="FG11" i="76" s="1"/>
  <c r="FF7" i="76"/>
  <c r="FF11" i="76" s="1"/>
  <c r="FF12" i="76" s="1"/>
  <c r="JD26" i="22"/>
  <c r="JC26" i="22"/>
  <c r="JB26" i="22"/>
  <c r="JA26" i="22"/>
  <c r="IZ26" i="22"/>
  <c r="JD22" i="22"/>
  <c r="JC22" i="22"/>
  <c r="JB22" i="22"/>
  <c r="JA22" i="22"/>
  <c r="IZ22" i="22"/>
  <c r="JD12" i="22"/>
  <c r="JC12" i="22"/>
  <c r="JB12" i="22"/>
  <c r="JD9" i="22"/>
  <c r="JD11" i="22" s="1"/>
  <c r="JC9" i="22"/>
  <c r="JC11" i="22" s="1"/>
  <c r="JB9" i="22"/>
  <c r="JB11" i="22" s="1"/>
  <c r="JA9" i="22"/>
  <c r="JA12" i="22" s="1"/>
  <c r="IZ9" i="22"/>
  <c r="IZ12" i="22" s="1"/>
  <c r="GY19" i="69"/>
  <c r="GX19" i="69"/>
  <c r="GW19" i="69"/>
  <c r="GV19" i="69"/>
  <c r="GU19" i="69"/>
  <c r="GY14" i="69"/>
  <c r="GY15" i="69" s="1"/>
  <c r="GY16" i="69" s="1"/>
  <c r="GX14" i="69"/>
  <c r="GX15" i="69" s="1"/>
  <c r="GX16" i="69" s="1"/>
  <c r="GW14" i="69"/>
  <c r="GW15" i="69" s="1"/>
  <c r="GW16" i="69" s="1"/>
  <c r="GV14" i="69"/>
  <c r="GV15" i="69" s="1"/>
  <c r="GV16" i="69" s="1"/>
  <c r="GU14" i="69"/>
  <c r="GU15" i="69" s="1"/>
  <c r="GU16" i="69" s="1"/>
  <c r="GY11" i="69"/>
  <c r="GX11" i="69"/>
  <c r="GW11" i="69"/>
  <c r="GV11" i="69"/>
  <c r="GU11" i="69"/>
  <c r="GY9" i="69"/>
  <c r="GX9" i="69"/>
  <c r="GW9" i="69"/>
  <c r="GV9" i="69"/>
  <c r="GU9" i="69"/>
  <c r="GY18" i="65"/>
  <c r="GX18" i="65"/>
  <c r="GW18" i="65"/>
  <c r="GV18" i="65"/>
  <c r="GU18" i="65"/>
  <c r="GY14" i="65"/>
  <c r="GY15" i="65" s="1"/>
  <c r="GY16" i="65" s="1"/>
  <c r="GX14" i="65"/>
  <c r="GX15" i="65" s="1"/>
  <c r="GX16" i="65" s="1"/>
  <c r="GW14" i="65"/>
  <c r="GW15" i="65" s="1"/>
  <c r="GW16" i="65" s="1"/>
  <c r="GV14" i="65"/>
  <c r="GV15" i="65" s="1"/>
  <c r="GV16" i="65" s="1"/>
  <c r="GU14" i="65"/>
  <c r="GU15" i="65" s="1"/>
  <c r="GU16" i="65" s="1"/>
  <c r="ER8" i="81"/>
  <c r="ER9" i="81" s="1"/>
  <c r="ER10" i="81" s="1"/>
  <c r="EQ8" i="81"/>
  <c r="EQ9" i="81" s="1"/>
  <c r="EQ10" i="81" s="1"/>
  <c r="EP8" i="81"/>
  <c r="EP9" i="81" s="1"/>
  <c r="EP10" i="81" s="1"/>
  <c r="EO8" i="81"/>
  <c r="EO9" i="81" s="1"/>
  <c r="EO10" i="81" s="1"/>
  <c r="EN8" i="81"/>
  <c r="EN9" i="81" s="1"/>
  <c r="EN10" i="81" s="1"/>
  <c r="EM8" i="83"/>
  <c r="EM9" i="83" s="1"/>
  <c r="EM10" i="83" s="1"/>
  <c r="EL8" i="83"/>
  <c r="EL9" i="83" s="1"/>
  <c r="EL10" i="83" s="1"/>
  <c r="EK8" i="83"/>
  <c r="EK9" i="83" s="1"/>
  <c r="EK10" i="83" s="1"/>
  <c r="EJ8" i="83"/>
  <c r="EJ9" i="83" s="1"/>
  <c r="EJ10" i="83" s="1"/>
  <c r="EI8" i="83"/>
  <c r="EI9" i="83" s="1"/>
  <c r="EI10" i="83" s="1"/>
  <c r="IY19" i="22"/>
  <c r="FG12" i="76" l="1"/>
  <c r="FH12" i="76"/>
  <c r="IZ23" i="22"/>
  <c r="IZ24" i="22" s="1"/>
  <c r="IZ13" i="22"/>
  <c r="JA23" i="22"/>
  <c r="JA24" i="22" s="1"/>
  <c r="IZ10" i="22"/>
  <c r="JA13" i="22"/>
  <c r="JB23" i="22"/>
  <c r="JB24" i="22" s="1"/>
  <c r="JA10" i="22"/>
  <c r="JB13" i="22"/>
  <c r="JC23" i="22"/>
  <c r="JC24" i="22" s="1"/>
  <c r="JB10" i="22"/>
  <c r="JC13" i="22"/>
  <c r="JD23" i="22"/>
  <c r="JD24" i="22" s="1"/>
  <c r="JC10" i="22"/>
  <c r="JD13" i="22"/>
  <c r="JD10" i="22"/>
  <c r="IZ11" i="22"/>
  <c r="JA11" i="22"/>
  <c r="BV17" i="27"/>
  <c r="BV18" i="27" s="1"/>
  <c r="BV19" i="27" s="1"/>
  <c r="BV13" i="27"/>
  <c r="AK10" i="76"/>
  <c r="AK8" i="76"/>
  <c r="AK7" i="76"/>
  <c r="AK11" i="76" s="1"/>
  <c r="AK12" i="76" s="1"/>
  <c r="BV28" i="22"/>
  <c r="BV27" i="22"/>
  <c r="BV21" i="22"/>
  <c r="BV23" i="22" s="1"/>
  <c r="BV24" i="22" s="1"/>
  <c r="BV25" i="22" s="1"/>
  <c r="BV9" i="22"/>
  <c r="BV13" i="22" s="1"/>
  <c r="BV7" i="22"/>
  <c r="BV12" i="22" s="1"/>
  <c r="IX19" i="22"/>
  <c r="IW19" i="22"/>
  <c r="AS14" i="69"/>
  <c r="AS15" i="69" s="1"/>
  <c r="AS16" i="69" s="1"/>
  <c r="AS10" i="69"/>
  <c r="AS9" i="69"/>
  <c r="AS14" i="65"/>
  <c r="AS15" i="65" s="1"/>
  <c r="AS16" i="65" s="1"/>
  <c r="AH8" i="81"/>
  <c r="AH9" i="81" s="1"/>
  <c r="AH10" i="81" s="1"/>
  <c r="AD8" i="83"/>
  <c r="AD9" i="83" s="1"/>
  <c r="AD10" i="83" s="1"/>
  <c r="BU12" i="27"/>
  <c r="BU13" i="27"/>
  <c r="BU14" i="27"/>
  <c r="BU11" i="27"/>
  <c r="JV20" i="27"/>
  <c r="JU20" i="27"/>
  <c r="JT20" i="27"/>
  <c r="JS20" i="27"/>
  <c r="JV17" i="27"/>
  <c r="JV18" i="27" s="1"/>
  <c r="JV19" i="27" s="1"/>
  <c r="JU17" i="27"/>
  <c r="JU18" i="27" s="1"/>
  <c r="JU19" i="27" s="1"/>
  <c r="JT17" i="27"/>
  <c r="JT18" i="27" s="1"/>
  <c r="JT19" i="27" s="1"/>
  <c r="JS17" i="27"/>
  <c r="JS18" i="27" s="1"/>
  <c r="JS19" i="27" s="1"/>
  <c r="JV16" i="27"/>
  <c r="JU16" i="27"/>
  <c r="JT16" i="27"/>
  <c r="JS16" i="27"/>
  <c r="AJ9" i="76"/>
  <c r="FC10" i="76"/>
  <c r="FB10" i="76"/>
  <c r="FA10" i="76"/>
  <c r="EZ10" i="76"/>
  <c r="FC6" i="76"/>
  <c r="FC7" i="76" s="1"/>
  <c r="FC11" i="76" s="1"/>
  <c r="FC12" i="76" s="1"/>
  <c r="FB6" i="76"/>
  <c r="FB7" i="76" s="1"/>
  <c r="FB11" i="76" s="1"/>
  <c r="FA6" i="76"/>
  <c r="FA7" i="76" s="1"/>
  <c r="FA11" i="76" s="1"/>
  <c r="EZ6" i="76"/>
  <c r="EZ7" i="76" s="1"/>
  <c r="EZ11" i="76" s="1"/>
  <c r="EZ12" i="76" s="1"/>
  <c r="BU19" i="22"/>
  <c r="BU20" i="22"/>
  <c r="BU18" i="22"/>
  <c r="IV19" i="22"/>
  <c r="IU19" i="22"/>
  <c r="IY26" i="22"/>
  <c r="IX26" i="22"/>
  <c r="IW26" i="22"/>
  <c r="IV26" i="22"/>
  <c r="IY22" i="22"/>
  <c r="IY23" i="22" s="1"/>
  <c r="IY24" i="22" s="1"/>
  <c r="IX22" i="22"/>
  <c r="IW22" i="22"/>
  <c r="IV22" i="22"/>
  <c r="IY12" i="22"/>
  <c r="IX12" i="22"/>
  <c r="IW12" i="22"/>
  <c r="IV12" i="22"/>
  <c r="IY11" i="22"/>
  <c r="IY9" i="22"/>
  <c r="IY13" i="22" s="1"/>
  <c r="IX9" i="22"/>
  <c r="IX13" i="22" s="1"/>
  <c r="IW9" i="22"/>
  <c r="IW13" i="22" s="1"/>
  <c r="IV9" i="22"/>
  <c r="IV13" i="22" s="1"/>
  <c r="AR13" i="69"/>
  <c r="GT19" i="69"/>
  <c r="GS19" i="69"/>
  <c r="GR19" i="69"/>
  <c r="GQ19" i="69"/>
  <c r="GT14" i="69"/>
  <c r="GT15" i="69" s="1"/>
  <c r="GT16" i="69" s="1"/>
  <c r="GS14" i="69"/>
  <c r="GS15" i="69" s="1"/>
  <c r="GS16" i="69" s="1"/>
  <c r="GR14" i="69"/>
  <c r="GR15" i="69" s="1"/>
  <c r="GR16" i="69" s="1"/>
  <c r="GQ14" i="69"/>
  <c r="GQ15" i="69" s="1"/>
  <c r="GQ16" i="69" s="1"/>
  <c r="GT11" i="69"/>
  <c r="GS11" i="69"/>
  <c r="GR11" i="69"/>
  <c r="GQ11" i="69"/>
  <c r="GT9" i="69"/>
  <c r="GS9" i="69"/>
  <c r="GR9" i="69"/>
  <c r="GQ9" i="69"/>
  <c r="AR13" i="65"/>
  <c r="GT18" i="65"/>
  <c r="GS18" i="65"/>
  <c r="GR18" i="65"/>
  <c r="GQ18" i="65"/>
  <c r="GT14" i="65"/>
  <c r="GT15" i="65" s="1"/>
  <c r="GT16" i="65" s="1"/>
  <c r="GS14" i="65"/>
  <c r="GS15" i="65" s="1"/>
  <c r="GS16" i="65" s="1"/>
  <c r="GR14" i="65"/>
  <c r="GR15" i="65" s="1"/>
  <c r="GR16" i="65" s="1"/>
  <c r="GQ14" i="65"/>
  <c r="GQ15" i="65" s="1"/>
  <c r="GQ16" i="65" s="1"/>
  <c r="AG7" i="81"/>
  <c r="EM8" i="81"/>
  <c r="EM9" i="81" s="1"/>
  <c r="EM10" i="81" s="1"/>
  <c r="EL8" i="81"/>
  <c r="EL9" i="81" s="1"/>
  <c r="EL10" i="81" s="1"/>
  <c r="EK8" i="81"/>
  <c r="EK9" i="81" s="1"/>
  <c r="EK10" i="81" s="1"/>
  <c r="EJ8" i="81"/>
  <c r="EJ9" i="81" s="1"/>
  <c r="EJ10" i="81" s="1"/>
  <c r="BV16" i="27" l="1"/>
  <c r="FB12" i="76"/>
  <c r="FA12" i="76"/>
  <c r="IW23" i="22"/>
  <c r="IW24" i="22" s="1"/>
  <c r="BV10" i="22"/>
  <c r="IV10" i="22"/>
  <c r="IX10" i="22"/>
  <c r="IY10" i="22"/>
  <c r="IV11" i="22"/>
  <c r="IV23" i="22"/>
  <c r="IV24" i="22" s="1"/>
  <c r="IX23" i="22"/>
  <c r="IX24" i="22" s="1"/>
  <c r="IW10" i="22"/>
  <c r="IW11" i="22"/>
  <c r="IX11" i="22"/>
  <c r="AC7" i="83"/>
  <c r="EH8" i="83" l="1"/>
  <c r="EH9" i="83" s="1"/>
  <c r="EH10" i="83" s="1"/>
  <c r="EG8" i="83"/>
  <c r="EG9" i="83" s="1"/>
  <c r="EG10" i="83" s="1"/>
  <c r="EF8" i="83"/>
  <c r="EF9" i="83" s="1"/>
  <c r="EF10" i="83" s="1"/>
  <c r="EE8" i="83"/>
  <c r="EE9" i="83" s="1"/>
  <c r="EE10" i="83" s="1"/>
  <c r="AC8" i="83"/>
  <c r="AC9" i="83" s="1"/>
  <c r="AC10" i="83" s="1"/>
  <c r="AG8" i="81"/>
  <c r="AG9" i="81" s="1"/>
  <c r="AG10" i="81" s="1"/>
  <c r="AR14" i="65"/>
  <c r="AR15" i="65" s="1"/>
  <c r="AR16" i="65" s="1"/>
  <c r="AR14" i="69" l="1"/>
  <c r="AR15" i="69" s="1"/>
  <c r="AR16" i="69" s="1"/>
  <c r="AR10" i="69"/>
  <c r="AR9" i="69"/>
  <c r="BU28" i="22"/>
  <c r="BU27" i="22"/>
  <c r="BU21" i="22"/>
  <c r="BU23" i="22" s="1"/>
  <c r="BU9" i="22"/>
  <c r="BU13" i="22" s="1"/>
  <c r="BU7" i="22"/>
  <c r="BU12" i="22" s="1"/>
  <c r="AJ10" i="76"/>
  <c r="AJ8" i="76"/>
  <c r="AJ7" i="76"/>
  <c r="BU16" i="27"/>
  <c r="BU6" i="27"/>
  <c r="BU24" i="22" l="1"/>
  <c r="BU25" i="22" s="1"/>
  <c r="BU17" i="27"/>
  <c r="BU18" i="27" s="1"/>
  <c r="BU19" i="27" s="1"/>
  <c r="AJ11" i="76"/>
  <c r="AJ12" i="76" s="1"/>
  <c r="BU10" i="22"/>
  <c r="IT19" i="22" l="1"/>
  <c r="IS19" i="22"/>
  <c r="BT12" i="27"/>
  <c r="BT13" i="27"/>
  <c r="BT14" i="27"/>
  <c r="BT11" i="27"/>
  <c r="JR20" i="27"/>
  <c r="JQ20" i="27"/>
  <c r="JP20" i="27"/>
  <c r="JO20" i="27"/>
  <c r="JR17" i="27"/>
  <c r="JQ17" i="27"/>
  <c r="JP17" i="27"/>
  <c r="JO17" i="27"/>
  <c r="JR16" i="27"/>
  <c r="JQ16" i="27"/>
  <c r="JP16" i="27"/>
  <c r="JO16" i="27"/>
  <c r="AI9" i="76"/>
  <c r="AI8" i="76"/>
  <c r="EY6" i="76"/>
  <c r="EY7" i="76" s="1"/>
  <c r="EY11" i="76" s="1"/>
  <c r="EX6" i="76"/>
  <c r="EX7" i="76" s="1"/>
  <c r="EX11" i="76" s="1"/>
  <c r="EW6" i="76"/>
  <c r="EW7" i="76" s="1"/>
  <c r="EW11" i="76" s="1"/>
  <c r="EV6" i="76"/>
  <c r="EV7" i="76" s="1"/>
  <c r="EV11" i="76" s="1"/>
  <c r="EY10" i="76"/>
  <c r="EX10" i="76"/>
  <c r="EW10" i="76"/>
  <c r="EV10" i="76"/>
  <c r="BT20" i="22"/>
  <c r="BT18" i="22"/>
  <c r="IR19" i="22"/>
  <c r="IQ19" i="22"/>
  <c r="IU9" i="22"/>
  <c r="IU10" i="22" s="1"/>
  <c r="IT9" i="22"/>
  <c r="IS9" i="22"/>
  <c r="IR9" i="22"/>
  <c r="IU26" i="22"/>
  <c r="IT26" i="22"/>
  <c r="IS26" i="22"/>
  <c r="IR26" i="22"/>
  <c r="IU22" i="22"/>
  <c r="IT22" i="22"/>
  <c r="IS22" i="22"/>
  <c r="IR22" i="22"/>
  <c r="IR23" i="22" s="1"/>
  <c r="IR24" i="22" s="1"/>
  <c r="IR12" i="22"/>
  <c r="AQ13" i="69"/>
  <c r="AQ14" i="69" s="1"/>
  <c r="GP19" i="69"/>
  <c r="GO19" i="69"/>
  <c r="GN19" i="69"/>
  <c r="GM19" i="69"/>
  <c r="GP14" i="69"/>
  <c r="GP15" i="69" s="1"/>
  <c r="GP16" i="69" s="1"/>
  <c r="GO14" i="69"/>
  <c r="GO15" i="69" s="1"/>
  <c r="GO16" i="69" s="1"/>
  <c r="GN14" i="69"/>
  <c r="GN15" i="69" s="1"/>
  <c r="GN16" i="69" s="1"/>
  <c r="GM14" i="69"/>
  <c r="GM15" i="69" s="1"/>
  <c r="GM16" i="69" s="1"/>
  <c r="GP11" i="69"/>
  <c r="GO11" i="69"/>
  <c r="GN11" i="69"/>
  <c r="GM11" i="69"/>
  <c r="GP9" i="69"/>
  <c r="GO9" i="69"/>
  <c r="GN9" i="69"/>
  <c r="GM9" i="69"/>
  <c r="AQ13" i="65"/>
  <c r="GP18" i="65"/>
  <c r="GO18" i="65"/>
  <c r="GN18" i="65"/>
  <c r="GM18" i="65"/>
  <c r="GP14" i="65"/>
  <c r="GP15" i="65" s="1"/>
  <c r="GP16" i="65" s="1"/>
  <c r="GO14" i="65"/>
  <c r="GO15" i="65" s="1"/>
  <c r="GO16" i="65" s="1"/>
  <c r="GN14" i="65"/>
  <c r="GN15" i="65" s="1"/>
  <c r="GN16" i="65" s="1"/>
  <c r="GM14" i="65"/>
  <c r="GM15" i="65" s="1"/>
  <c r="GM16" i="65" s="1"/>
  <c r="AF7" i="81"/>
  <c r="EI8" i="81"/>
  <c r="EI9" i="81" s="1"/>
  <c r="EI10" i="81" s="1"/>
  <c r="EH8" i="81"/>
  <c r="EH9" i="81" s="1"/>
  <c r="EH10" i="81" s="1"/>
  <c r="EG8" i="81"/>
  <c r="EG9" i="81" s="1"/>
  <c r="EG10" i="81" s="1"/>
  <c r="EF8" i="81"/>
  <c r="EF9" i="81" s="1"/>
  <c r="EF10" i="81" s="1"/>
  <c r="AB7" i="83"/>
  <c r="EW12" i="76" l="1"/>
  <c r="IU11" i="22"/>
  <c r="EY12" i="76"/>
  <c r="IS23" i="22"/>
  <c r="IS24" i="22" s="1"/>
  <c r="EV12" i="76"/>
  <c r="EX12" i="76"/>
  <c r="BT19" i="22"/>
  <c r="IT23" i="22"/>
  <c r="IT24" i="22" s="1"/>
  <c r="JO18" i="27"/>
  <c r="JO19" i="27" s="1"/>
  <c r="JP18" i="27"/>
  <c r="JP19" i="27" s="1"/>
  <c r="IU12" i="22"/>
  <c r="IU23" i="22"/>
  <c r="IU24" i="22" s="1"/>
  <c r="IT12" i="22"/>
  <c r="IS12" i="22"/>
  <c r="IS13" i="22"/>
  <c r="IT13" i="22"/>
  <c r="IU13" i="22"/>
  <c r="IR10" i="22"/>
  <c r="IR13" i="22"/>
  <c r="IR11" i="22"/>
  <c r="IS10" i="22"/>
  <c r="IT10" i="22"/>
  <c r="IS11" i="22"/>
  <c r="IT11" i="22"/>
  <c r="JR18" i="27" l="1"/>
  <c r="JR19" i="27" s="1"/>
  <c r="JQ18" i="27"/>
  <c r="JQ19" i="27" s="1"/>
  <c r="ED8" i="83" l="1"/>
  <c r="ED9" i="83" s="1"/>
  <c r="ED10" i="83" s="1"/>
  <c r="EC8" i="83"/>
  <c r="EC9" i="83" s="1"/>
  <c r="EC10" i="83" s="1"/>
  <c r="EB8" i="83"/>
  <c r="EB9" i="83" s="1"/>
  <c r="EB10" i="83" s="1"/>
  <c r="EA8" i="83"/>
  <c r="EA9" i="83" s="1"/>
  <c r="EA10" i="83" s="1"/>
  <c r="AP13" i="65"/>
  <c r="BS20" i="22"/>
  <c r="BS11" i="27"/>
  <c r="BS14" i="27"/>
  <c r="BT6" i="27" l="1"/>
  <c r="BT16" i="27"/>
  <c r="AI10" i="76"/>
  <c r="AI7" i="76"/>
  <c r="AI11" i="76" s="1"/>
  <c r="IP19" i="22"/>
  <c r="IO19" i="22"/>
  <c r="BT9" i="22"/>
  <c r="BT28" i="22"/>
  <c r="BT27" i="22"/>
  <c r="BT21" i="22"/>
  <c r="BT23" i="22" s="1"/>
  <c r="BT24" i="22" s="1"/>
  <c r="BT25" i="22" s="1"/>
  <c r="BT7" i="22"/>
  <c r="BT12" i="22" s="1"/>
  <c r="AQ15" i="69"/>
  <c r="AQ16" i="69" s="1"/>
  <c r="AQ10" i="69"/>
  <c r="AQ9" i="69"/>
  <c r="AQ14" i="65"/>
  <c r="AQ15" i="65" s="1"/>
  <c r="AQ16" i="65" s="1"/>
  <c r="AF8" i="81"/>
  <c r="AF9" i="81" s="1"/>
  <c r="AF10" i="81" s="1"/>
  <c r="AB8" i="83"/>
  <c r="AB9" i="83" s="1"/>
  <c r="AB10" i="83" s="1"/>
  <c r="AI12" i="76" l="1"/>
  <c r="BT17" i="27"/>
  <c r="BT18" i="27" s="1"/>
  <c r="BT19" i="27" s="1"/>
  <c r="BT10" i="22"/>
  <c r="BT13" i="22"/>
  <c r="IN19" i="22" l="1"/>
  <c r="IM19" i="22" l="1"/>
  <c r="BS12" i="27" l="1"/>
  <c r="BS13" i="27"/>
  <c r="BS17" i="27"/>
  <c r="JN20" i="27"/>
  <c r="JM20" i="27"/>
  <c r="JL20" i="27"/>
  <c r="JK20" i="27"/>
  <c r="JJ20" i="27"/>
  <c r="JN17" i="27"/>
  <c r="JM17" i="27"/>
  <c r="JL17" i="27"/>
  <c r="JK17" i="27"/>
  <c r="JJ17" i="27"/>
  <c r="JJ18" i="27" s="1"/>
  <c r="JJ19" i="27" s="1"/>
  <c r="JN16" i="27"/>
  <c r="JM16" i="27"/>
  <c r="JL16" i="27"/>
  <c r="JK16" i="27"/>
  <c r="JJ16" i="27"/>
  <c r="JK6" i="27"/>
  <c r="BS6" i="27"/>
  <c r="AH9" i="76"/>
  <c r="AH10" i="76" s="1"/>
  <c r="AH8" i="76"/>
  <c r="EU6" i="76"/>
  <c r="EU7" i="76" s="1"/>
  <c r="EU11" i="76" s="1"/>
  <c r="ET6" i="76"/>
  <c r="ET7" i="76" s="1"/>
  <c r="ET11" i="76" s="1"/>
  <c r="ES6" i="76"/>
  <c r="ES7" i="76" s="1"/>
  <c r="ES11" i="76" s="1"/>
  <c r="ER6" i="76"/>
  <c r="ER7" i="76" s="1"/>
  <c r="ER11" i="76" s="1"/>
  <c r="EQ6" i="76"/>
  <c r="EQ7" i="76" s="1"/>
  <c r="EQ11" i="76" s="1"/>
  <c r="EU10" i="76"/>
  <c r="ET10" i="76"/>
  <c r="ES10" i="76"/>
  <c r="ER10" i="76"/>
  <c r="EQ10" i="76"/>
  <c r="BS19" i="22"/>
  <c r="BS21" i="22"/>
  <c r="BS23" i="22" s="1"/>
  <c r="BS18" i="22"/>
  <c r="BS28" i="22"/>
  <c r="BS27" i="22"/>
  <c r="BS9" i="22"/>
  <c r="BS7" i="22"/>
  <c r="BS12" i="22" s="1"/>
  <c r="IQ26" i="22"/>
  <c r="IP26" i="22"/>
  <c r="IO26" i="22"/>
  <c r="IN26" i="22"/>
  <c r="IM26" i="22"/>
  <c r="IQ22" i="22"/>
  <c r="IP22" i="22"/>
  <c r="IO22" i="22"/>
  <c r="IN22" i="22"/>
  <c r="IM22" i="22"/>
  <c r="IQ9" i="22"/>
  <c r="IQ11" i="22" s="1"/>
  <c r="IP9" i="22"/>
  <c r="IP11" i="22" s="1"/>
  <c r="IO9" i="22"/>
  <c r="IO11" i="22" s="1"/>
  <c r="IN9" i="22"/>
  <c r="IN11" i="22" s="1"/>
  <c r="IM9" i="22"/>
  <c r="IM11" i="22" s="1"/>
  <c r="AP13" i="69"/>
  <c r="AP14" i="69" s="1"/>
  <c r="AP15" i="69" s="1"/>
  <c r="AP16" i="69" s="1"/>
  <c r="AP10" i="69"/>
  <c r="AP9" i="69"/>
  <c r="AP8" i="69"/>
  <c r="GL19" i="69"/>
  <c r="GK19" i="69"/>
  <c r="GJ19" i="69"/>
  <c r="GI19" i="69"/>
  <c r="GH19" i="69"/>
  <c r="GL14" i="69"/>
  <c r="GL15" i="69" s="1"/>
  <c r="GL16" i="69" s="1"/>
  <c r="GK14" i="69"/>
  <c r="GK15" i="69" s="1"/>
  <c r="GK16" i="69" s="1"/>
  <c r="GJ14" i="69"/>
  <c r="GJ15" i="69" s="1"/>
  <c r="GJ16" i="69" s="1"/>
  <c r="GI14" i="69"/>
  <c r="GI15" i="69" s="1"/>
  <c r="GI16" i="69" s="1"/>
  <c r="GH14" i="69"/>
  <c r="GH15" i="69" s="1"/>
  <c r="GH16" i="69" s="1"/>
  <c r="GL11" i="69"/>
  <c r="GK11" i="69"/>
  <c r="GJ11" i="69"/>
  <c r="GI11" i="69"/>
  <c r="GH11" i="69"/>
  <c r="GL9" i="69"/>
  <c r="GK9" i="69"/>
  <c r="GJ9" i="69"/>
  <c r="GI9" i="69"/>
  <c r="GH9" i="69"/>
  <c r="GL8" i="69"/>
  <c r="GK8" i="69"/>
  <c r="GJ8" i="69"/>
  <c r="GI8" i="69"/>
  <c r="GH8" i="69"/>
  <c r="AP14" i="65"/>
  <c r="AP15" i="65" s="1"/>
  <c r="AP16" i="65" s="1"/>
  <c r="GL18" i="65"/>
  <c r="GL14" i="65"/>
  <c r="GL15" i="65" s="1"/>
  <c r="GL16" i="65" s="1"/>
  <c r="GK18" i="65"/>
  <c r="GJ18" i="65"/>
  <c r="GI18" i="65"/>
  <c r="GH18" i="65"/>
  <c r="GK14" i="65"/>
  <c r="GK15" i="65" s="1"/>
  <c r="GK16" i="65" s="1"/>
  <c r="GJ14" i="65"/>
  <c r="GJ15" i="65" s="1"/>
  <c r="GJ16" i="65" s="1"/>
  <c r="GI14" i="65"/>
  <c r="GI15" i="65" s="1"/>
  <c r="GI16" i="65" s="1"/>
  <c r="GH14" i="65"/>
  <c r="GH15" i="65" s="1"/>
  <c r="GH16" i="65" s="1"/>
  <c r="AE7" i="81"/>
  <c r="AE8" i="81" s="1"/>
  <c r="EE8" i="81"/>
  <c r="EE9" i="81" s="1"/>
  <c r="EE10" i="81" s="1"/>
  <c r="ED8" i="81"/>
  <c r="ED9" i="81" s="1"/>
  <c r="ED10" i="81" s="1"/>
  <c r="EC8" i="81"/>
  <c r="EC9" i="81" s="1"/>
  <c r="EC10" i="81" s="1"/>
  <c r="EB8" i="81"/>
  <c r="EB9" i="81" s="1"/>
  <c r="EB10" i="81" s="1"/>
  <c r="EA8" i="81"/>
  <c r="EA9" i="81" s="1"/>
  <c r="EA10" i="81" s="1"/>
  <c r="EU12" i="76" l="1"/>
  <c r="ET12" i="76"/>
  <c r="ES12" i="76"/>
  <c r="IM12" i="22"/>
  <c r="IM23" i="22"/>
  <c r="IM24" i="22" s="1"/>
  <c r="EQ12" i="76"/>
  <c r="JL6" i="27"/>
  <c r="JK18" i="27"/>
  <c r="JK19" i="27" s="1"/>
  <c r="BS18" i="27"/>
  <c r="BS19" i="27" s="1"/>
  <c r="BS16" i="27"/>
  <c r="ER12" i="76"/>
  <c r="BS24" i="22"/>
  <c r="BS25" i="22" s="1"/>
  <c r="IO12" i="22"/>
  <c r="BS10" i="22"/>
  <c r="IP12" i="22"/>
  <c r="IQ12" i="22"/>
  <c r="BS13" i="22"/>
  <c r="IO23" i="22"/>
  <c r="IO24" i="22" s="1"/>
  <c r="IP23" i="22"/>
  <c r="IP24" i="22" s="1"/>
  <c r="IN12" i="22"/>
  <c r="IM13" i="22"/>
  <c r="IN23" i="22"/>
  <c r="IN24" i="22" s="1"/>
  <c r="IM10" i="22"/>
  <c r="IN13" i="22"/>
  <c r="IN10" i="22"/>
  <c r="IO13" i="22"/>
  <c r="IO10" i="22"/>
  <c r="IP13" i="22"/>
  <c r="IQ23" i="22"/>
  <c r="IQ24" i="22" s="1"/>
  <c r="IP10" i="22"/>
  <c r="IQ13" i="22"/>
  <c r="IQ10" i="22"/>
  <c r="AE9" i="81"/>
  <c r="AE10" i="81" s="1"/>
  <c r="JM6" i="27" l="1"/>
  <c r="JL18" i="27"/>
  <c r="JL19" i="27" s="1"/>
  <c r="JN18" i="27" l="1"/>
  <c r="JN19" i="27" s="1"/>
  <c r="JM18" i="27"/>
  <c r="JM19" i="27" s="1"/>
  <c r="AA7" i="83" l="1"/>
  <c r="AA8" i="83" s="1"/>
  <c r="DZ8" i="83"/>
  <c r="DZ9" i="83" s="1"/>
  <c r="DZ10" i="83" s="1"/>
  <c r="DY8" i="83"/>
  <c r="DY9" i="83" s="1"/>
  <c r="DY10" i="83" s="1"/>
  <c r="DX8" i="83"/>
  <c r="DX9" i="83" s="1"/>
  <c r="DX10" i="83" s="1"/>
  <c r="DW8" i="83"/>
  <c r="DW9" i="83" s="1"/>
  <c r="DW10" i="83" s="1"/>
  <c r="DV8" i="83"/>
  <c r="DV9" i="83" s="1"/>
  <c r="DV10" i="83" s="1"/>
  <c r="AA6" i="83"/>
  <c r="IK19" i="22"/>
  <c r="IL19" i="22"/>
  <c r="AA9" i="83" l="1"/>
  <c r="AA10" i="83" s="1"/>
  <c r="IJ19" i="22"/>
  <c r="BR12" i="27"/>
  <c r="BR13" i="27"/>
  <c r="BR14" i="27"/>
  <c r="BR17" i="27" s="1"/>
  <c r="BR11" i="27"/>
  <c r="BR6" i="27"/>
  <c r="JI20" i="27"/>
  <c r="JH20" i="27"/>
  <c r="JG20" i="27"/>
  <c r="JF20" i="27"/>
  <c r="JI17" i="27"/>
  <c r="JH17" i="27"/>
  <c r="JG17" i="27"/>
  <c r="JF17" i="27"/>
  <c r="JI16" i="27"/>
  <c r="JH16" i="27"/>
  <c r="JG16" i="27"/>
  <c r="JF16" i="27"/>
  <c r="AG9" i="76"/>
  <c r="AG10" i="76" s="1"/>
  <c r="AG8" i="76"/>
  <c r="EJ6" i="76"/>
  <c r="EJ7" i="76" s="1"/>
  <c r="EK6" i="76"/>
  <c r="EK7" i="76" s="1"/>
  <c r="EL6" i="76"/>
  <c r="EL7" i="76" s="1"/>
  <c r="EM6" i="76"/>
  <c r="EM7" i="76" s="1"/>
  <c r="EM11" i="76" s="1"/>
  <c r="EN6" i="76"/>
  <c r="EN7" i="76" s="1"/>
  <c r="EN11" i="76" s="1"/>
  <c r="EO6" i="76"/>
  <c r="EO7" i="76" s="1"/>
  <c r="EO11" i="76" s="1"/>
  <c r="EP6" i="76"/>
  <c r="EP7" i="76" s="1"/>
  <c r="EP11" i="76" s="1"/>
  <c r="EI6" i="76"/>
  <c r="EI7" i="76" s="1"/>
  <c r="EP10" i="76"/>
  <c r="EO10" i="76"/>
  <c r="EN10" i="76"/>
  <c r="EM10" i="76"/>
  <c r="BR20" i="22"/>
  <c r="BR21" i="22" s="1"/>
  <c r="BR23" i="22" s="1"/>
  <c r="BR18" i="22"/>
  <c r="BR9" i="22"/>
  <c r="BR28" i="22"/>
  <c r="BR27" i="22"/>
  <c r="BR7" i="22"/>
  <c r="II19" i="22"/>
  <c r="IF19" i="22"/>
  <c r="IG19" i="22"/>
  <c r="IH19" i="22"/>
  <c r="IJ9" i="22"/>
  <c r="IJ11" i="22" s="1"/>
  <c r="IK9" i="22"/>
  <c r="IK11" i="22" s="1"/>
  <c r="IL9" i="22"/>
  <c r="IL11" i="22" s="1"/>
  <c r="II9" i="22"/>
  <c r="II12" i="22" s="1"/>
  <c r="IL26" i="22"/>
  <c r="IK26" i="22"/>
  <c r="IJ26" i="22"/>
  <c r="II26" i="22"/>
  <c r="IL22" i="22"/>
  <c r="IK22" i="22"/>
  <c r="IJ22" i="22"/>
  <c r="II22" i="22"/>
  <c r="AO13" i="69"/>
  <c r="AO14" i="69" s="1"/>
  <c r="AO15" i="69" s="1"/>
  <c r="AO16" i="69" s="1"/>
  <c r="AO10" i="69"/>
  <c r="AO9" i="69"/>
  <c r="AO8" i="69"/>
  <c r="AN13" i="69"/>
  <c r="GG19" i="69"/>
  <c r="GG14" i="69"/>
  <c r="GG15" i="69" s="1"/>
  <c r="GG16" i="69" s="1"/>
  <c r="GG11" i="69"/>
  <c r="GG9" i="69"/>
  <c r="GG8" i="69"/>
  <c r="GF19" i="69"/>
  <c r="GE19" i="69"/>
  <c r="GD19" i="69"/>
  <c r="GF14" i="69"/>
  <c r="GF15" i="69" s="1"/>
  <c r="GF16" i="69" s="1"/>
  <c r="GE14" i="69"/>
  <c r="GE15" i="69" s="1"/>
  <c r="GE16" i="69" s="1"/>
  <c r="GD14" i="69"/>
  <c r="GD15" i="69" s="1"/>
  <c r="GD16" i="69" s="1"/>
  <c r="GF11" i="69"/>
  <c r="GE11" i="69"/>
  <c r="GD11" i="69"/>
  <c r="GF9" i="69"/>
  <c r="GE9" i="69"/>
  <c r="GD9" i="69"/>
  <c r="GF8" i="69"/>
  <c r="GE8" i="69"/>
  <c r="GD8" i="69"/>
  <c r="AO13" i="65"/>
  <c r="AO14" i="65" s="1"/>
  <c r="AO9" i="65"/>
  <c r="GE9" i="65"/>
  <c r="GF9" i="65"/>
  <c r="GG9" i="65"/>
  <c r="GD9" i="65"/>
  <c r="GE18" i="65"/>
  <c r="GG14" i="65"/>
  <c r="GF14" i="65"/>
  <c r="GE14" i="65"/>
  <c r="GD14" i="65"/>
  <c r="AD7" i="81"/>
  <c r="AD8" i="81" s="1"/>
  <c r="AD6" i="81"/>
  <c r="DZ8" i="81"/>
  <c r="DY8" i="81"/>
  <c r="DX8" i="81"/>
  <c r="DW8" i="81"/>
  <c r="DZ6" i="81"/>
  <c r="GG18" i="65" s="1"/>
  <c r="DY6" i="81"/>
  <c r="GF18" i="65" s="1"/>
  <c r="DX6" i="81"/>
  <c r="DW6" i="81"/>
  <c r="GD18" i="65" s="1"/>
  <c r="Z7" i="83"/>
  <c r="Z8" i="83" s="1"/>
  <c r="DU8" i="83"/>
  <c r="DU9" i="83" s="1"/>
  <c r="DU10" i="83" s="1"/>
  <c r="DT8" i="83"/>
  <c r="DT9" i="83" s="1"/>
  <c r="DT10" i="83" s="1"/>
  <c r="DS8" i="83"/>
  <c r="DS9" i="83" s="1"/>
  <c r="DS10" i="83" s="1"/>
  <c r="Z6" i="83"/>
  <c r="BR19" i="22" l="1"/>
  <c r="IK13" i="22"/>
  <c r="IJ12" i="22"/>
  <c r="IK23" i="22"/>
  <c r="IK24" i="22" s="1"/>
  <c r="IL13" i="22"/>
  <c r="IK12" i="22"/>
  <c r="IL23" i="22"/>
  <c r="IL24" i="22" s="1"/>
  <c r="IK10" i="22"/>
  <c r="II10" i="22"/>
  <c r="EO12" i="76"/>
  <c r="EN12" i="76"/>
  <c r="EP12" i="76"/>
  <c r="II11" i="22"/>
  <c r="IL10" i="22"/>
  <c r="IL12" i="22"/>
  <c r="II23" i="22"/>
  <c r="II24" i="22" s="1"/>
  <c r="GF15" i="65"/>
  <c r="GF16" i="65" s="1"/>
  <c r="GG15" i="65"/>
  <c r="GG16" i="65" s="1"/>
  <c r="GE15" i="65"/>
  <c r="GE16" i="65" s="1"/>
  <c r="GD15" i="65"/>
  <c r="GD16" i="65" s="1"/>
  <c r="DY9" i="81"/>
  <c r="DY10" i="81" s="1"/>
  <c r="DX9" i="81"/>
  <c r="DX10" i="81" s="1"/>
  <c r="AD9" i="81"/>
  <c r="AD10" i="81" s="1"/>
  <c r="EM12" i="76"/>
  <c r="BR18" i="27"/>
  <c r="BR19" i="27" s="1"/>
  <c r="BR16" i="27"/>
  <c r="BR12" i="22"/>
  <c r="BR24" i="22"/>
  <c r="BR25" i="22" s="1"/>
  <c r="IJ10" i="22"/>
  <c r="BR10" i="22"/>
  <c r="IJ23" i="22"/>
  <c r="IJ24" i="22" s="1"/>
  <c r="BR13" i="22"/>
  <c r="II13" i="22"/>
  <c r="IJ13" i="22"/>
  <c r="AO15" i="65"/>
  <c r="AO16" i="65" s="1"/>
  <c r="DZ9" i="81"/>
  <c r="DZ10" i="81" s="1"/>
  <c r="DW9" i="81"/>
  <c r="DW10" i="81" s="1"/>
  <c r="Z9" i="83"/>
  <c r="Z10" i="83" s="1"/>
  <c r="DR8" i="83" l="1"/>
  <c r="DR9" i="83" s="1"/>
  <c r="DR10" i="83" s="1"/>
  <c r="BQ6" i="27"/>
  <c r="IE19" i="22" l="1"/>
  <c r="BQ12" i="27"/>
  <c r="BQ13" i="27"/>
  <c r="BQ14" i="27"/>
  <c r="BQ16" i="27" s="1"/>
  <c r="BQ11" i="27"/>
  <c r="JE20" i="27"/>
  <c r="JD20" i="27"/>
  <c r="JC20" i="27"/>
  <c r="JB20" i="27"/>
  <c r="JE17" i="27"/>
  <c r="JD17" i="27"/>
  <c r="JC17" i="27"/>
  <c r="JB17" i="27"/>
  <c r="JE16" i="27"/>
  <c r="JD16" i="27"/>
  <c r="JC16" i="27"/>
  <c r="JB16" i="27"/>
  <c r="AF9" i="76"/>
  <c r="AF10" i="76" s="1"/>
  <c r="AF8" i="76"/>
  <c r="EJ11" i="76"/>
  <c r="EK11" i="76"/>
  <c r="EL11" i="76"/>
  <c r="EI11" i="76"/>
  <c r="EL10" i="76"/>
  <c r="EK10" i="76"/>
  <c r="EJ10" i="76"/>
  <c r="EI10" i="76"/>
  <c r="BQ20" i="22"/>
  <c r="BQ21" i="22" s="1"/>
  <c r="BQ23" i="22" s="1"/>
  <c r="BQ18" i="22"/>
  <c r="BQ9" i="22"/>
  <c r="BQ28" i="22"/>
  <c r="BQ27" i="22"/>
  <c r="BQ7" i="22"/>
  <c r="IF9" i="22"/>
  <c r="IF12" i="22" s="1"/>
  <c r="IG9" i="22"/>
  <c r="IG11" i="22" s="1"/>
  <c r="IH9" i="22"/>
  <c r="IH12" i="22" s="1"/>
  <c r="IE9" i="22"/>
  <c r="IE11" i="22" s="1"/>
  <c r="IH26" i="22"/>
  <c r="IG26" i="22"/>
  <c r="IF26" i="22"/>
  <c r="IE26" i="22"/>
  <c r="IH22" i="22"/>
  <c r="IG22" i="22"/>
  <c r="IF22" i="22"/>
  <c r="IE22" i="22"/>
  <c r="AN14" i="69"/>
  <c r="AN15" i="69" s="1"/>
  <c r="AN16" i="69" s="1"/>
  <c r="AN8" i="69"/>
  <c r="AN10" i="69"/>
  <c r="AN9" i="69"/>
  <c r="GA8" i="69"/>
  <c r="GB8" i="69"/>
  <c r="GC8" i="69"/>
  <c r="FZ8" i="69"/>
  <c r="GC19" i="69"/>
  <c r="GB19" i="69"/>
  <c r="GA19" i="69"/>
  <c r="FZ19" i="69"/>
  <c r="GC14" i="69"/>
  <c r="GC15" i="69" s="1"/>
  <c r="GC16" i="69" s="1"/>
  <c r="GB14" i="69"/>
  <c r="GB15" i="69" s="1"/>
  <c r="GB16" i="69" s="1"/>
  <c r="GA14" i="69"/>
  <c r="GA15" i="69" s="1"/>
  <c r="GA16" i="69" s="1"/>
  <c r="FZ14" i="69"/>
  <c r="FZ15" i="69" s="1"/>
  <c r="FZ16" i="69" s="1"/>
  <c r="GC11" i="69"/>
  <c r="GB11" i="69"/>
  <c r="GA11" i="69"/>
  <c r="FZ11" i="69"/>
  <c r="GC9" i="69"/>
  <c r="GB9" i="69"/>
  <c r="GA9" i="69"/>
  <c r="FZ9" i="69"/>
  <c r="AN13" i="65"/>
  <c r="AN14" i="65" s="1"/>
  <c r="GA9" i="65"/>
  <c r="GB9" i="65"/>
  <c r="GC9" i="65"/>
  <c r="FZ9" i="65"/>
  <c r="GC14" i="65"/>
  <c r="GB14" i="65"/>
  <c r="GA14" i="65"/>
  <c r="FZ14" i="65"/>
  <c r="AN9" i="65"/>
  <c r="AC7" i="81"/>
  <c r="AC8" i="81" s="1"/>
  <c r="AC6" i="81"/>
  <c r="DT6" i="81"/>
  <c r="GA18" i="65" s="1"/>
  <c r="DU6" i="81"/>
  <c r="GB18" i="65" s="1"/>
  <c r="DV6" i="81"/>
  <c r="GC18" i="65" s="1"/>
  <c r="DS6" i="81"/>
  <c r="FZ18" i="65" s="1"/>
  <c r="DV8" i="81"/>
  <c r="DV9" i="81" s="1"/>
  <c r="DV10" i="81" s="1"/>
  <c r="DU8" i="81"/>
  <c r="DT8" i="81"/>
  <c r="DS8" i="81"/>
  <c r="Y7" i="83"/>
  <c r="Y8" i="83" s="1"/>
  <c r="Y6" i="83"/>
  <c r="Y9" i="83" l="1"/>
  <c r="Y10" i="83" s="1"/>
  <c r="BQ12" i="22"/>
  <c r="BQ24" i="22"/>
  <c r="BQ25" i="22" s="1"/>
  <c r="FZ15" i="65"/>
  <c r="FZ16" i="65" s="1"/>
  <c r="GB15" i="65"/>
  <c r="GB16" i="65" s="1"/>
  <c r="GA15" i="65"/>
  <c r="GA16" i="65" s="1"/>
  <c r="GC15" i="65"/>
  <c r="GC16" i="65" s="1"/>
  <c r="DT9" i="81"/>
  <c r="DT10" i="81" s="1"/>
  <c r="DU9" i="81"/>
  <c r="DU10" i="81" s="1"/>
  <c r="BQ19" i="22"/>
  <c r="EI12" i="76"/>
  <c r="JB18" i="27"/>
  <c r="JB19" i="27" s="1"/>
  <c r="JC18" i="27"/>
  <c r="JC19" i="27" s="1"/>
  <c r="BQ17" i="27"/>
  <c r="BQ18" i="27" s="1"/>
  <c r="BQ19" i="27" s="1"/>
  <c r="EL12" i="76"/>
  <c r="EK12" i="76"/>
  <c r="EJ12" i="76"/>
  <c r="IH13" i="22"/>
  <c r="IH10" i="22"/>
  <c r="IH11" i="22"/>
  <c r="IG12" i="22"/>
  <c r="BQ10" i="22"/>
  <c r="BQ13" i="22"/>
  <c r="IH23" i="22"/>
  <c r="IH24" i="22" s="1"/>
  <c r="IF13" i="22"/>
  <c r="IG10" i="22"/>
  <c r="IF23" i="22"/>
  <c r="IF24" i="22" s="1"/>
  <c r="IG23" i="22"/>
  <c r="IG24" i="22" s="1"/>
  <c r="IF11" i="22"/>
  <c r="IE10" i="22"/>
  <c r="IE23" i="22"/>
  <c r="IE24" i="22" s="1"/>
  <c r="IE12" i="22"/>
  <c r="IE13" i="22"/>
  <c r="IF10" i="22"/>
  <c r="IG13" i="22"/>
  <c r="AN15" i="65"/>
  <c r="AN16" i="65" s="1"/>
  <c r="AC9" i="81"/>
  <c r="AC10" i="81" s="1"/>
  <c r="DS9" i="81"/>
  <c r="DS10" i="81" s="1"/>
  <c r="JD18" i="27" l="1"/>
  <c r="JD19" i="27" s="1"/>
  <c r="JE6" i="27"/>
  <c r="JE18" i="27" l="1"/>
  <c r="JE19" i="27" s="1"/>
  <c r="JF6" i="27"/>
  <c r="DQ8" i="83"/>
  <c r="DQ9" i="83" s="1"/>
  <c r="DQ10" i="83" s="1"/>
  <c r="DP8" i="83"/>
  <c r="DP9" i="83" s="1"/>
  <c r="DP10" i="83" s="1"/>
  <c r="DO8" i="83"/>
  <c r="DO9" i="83" s="1"/>
  <c r="DO10" i="83" s="1"/>
  <c r="DN8" i="83"/>
  <c r="DN9" i="83" s="1"/>
  <c r="DN10" i="83" s="1"/>
  <c r="ID19" i="22"/>
  <c r="IC19" i="22"/>
  <c r="IB19" i="22"/>
  <c r="IA19" i="22"/>
  <c r="HZ19" i="22"/>
  <c r="JG6" i="27" l="1"/>
  <c r="JF18" i="27"/>
  <c r="JF19" i="27" s="1"/>
  <c r="X7" i="83"/>
  <c r="X8" i="83" s="1"/>
  <c r="DM8" i="83"/>
  <c r="DM9" i="83" s="1"/>
  <c r="DM10" i="83" s="1"/>
  <c r="DL8" i="83"/>
  <c r="DL9" i="83" s="1"/>
  <c r="DL10" i="83" s="1"/>
  <c r="DK8" i="83"/>
  <c r="DK9" i="83" s="1"/>
  <c r="DK10" i="83" s="1"/>
  <c r="DJ8" i="83"/>
  <c r="DJ9" i="83" s="1"/>
  <c r="DJ10" i="83" s="1"/>
  <c r="DI8" i="83"/>
  <c r="DI9" i="83" s="1"/>
  <c r="DI10" i="83" s="1"/>
  <c r="X6" i="83"/>
  <c r="AB7" i="81"/>
  <c r="AB8" i="81" s="1"/>
  <c r="AB9" i="81" s="1"/>
  <c r="AB10" i="81" s="1"/>
  <c r="DR8" i="81"/>
  <c r="DR9" i="81" s="1"/>
  <c r="DR10" i="81" s="1"/>
  <c r="DQ8" i="81"/>
  <c r="DQ9" i="81" s="1"/>
  <c r="DQ10" i="81" s="1"/>
  <c r="DP8" i="81"/>
  <c r="DP9" i="81" s="1"/>
  <c r="DP10" i="81" s="1"/>
  <c r="DO8" i="81"/>
  <c r="DO9" i="81" s="1"/>
  <c r="DO10" i="81" s="1"/>
  <c r="DN8" i="81"/>
  <c r="DN9" i="81" s="1"/>
  <c r="DN10" i="81" s="1"/>
  <c r="AM13" i="65"/>
  <c r="AM14" i="65" s="1"/>
  <c r="AM15" i="65" s="1"/>
  <c r="AM16" i="65" s="1"/>
  <c r="FY18" i="65"/>
  <c r="FX18" i="65"/>
  <c r="FW18" i="65"/>
  <c r="FV18" i="65"/>
  <c r="FU18" i="65"/>
  <c r="FY14" i="65"/>
  <c r="FY15" i="65" s="1"/>
  <c r="FY16" i="65" s="1"/>
  <c r="FX14" i="65"/>
  <c r="FX15" i="65" s="1"/>
  <c r="FX16" i="65" s="1"/>
  <c r="FW14" i="65"/>
  <c r="FW15" i="65" s="1"/>
  <c r="FW16" i="65" s="1"/>
  <c r="FV14" i="65"/>
  <c r="FV15" i="65" s="1"/>
  <c r="FV16" i="65" s="1"/>
  <c r="FU14" i="65"/>
  <c r="FU15" i="65" s="1"/>
  <c r="FU16" i="65" s="1"/>
  <c r="AM13" i="69"/>
  <c r="AM14" i="69" s="1"/>
  <c r="AM15" i="69" s="1"/>
  <c r="AM16" i="69" s="1"/>
  <c r="AM10" i="69"/>
  <c r="AM9" i="69"/>
  <c r="FY19" i="69"/>
  <c r="FX19" i="69"/>
  <c r="FY14" i="69"/>
  <c r="FY15" i="69" s="1"/>
  <c r="FY16" i="69" s="1"/>
  <c r="FX14" i="69"/>
  <c r="FX15" i="69" s="1"/>
  <c r="FX16" i="69" s="1"/>
  <c r="FY11" i="69"/>
  <c r="FX11" i="69"/>
  <c r="FY9" i="69"/>
  <c r="FX9" i="69"/>
  <c r="FW19" i="69"/>
  <c r="FV19" i="69"/>
  <c r="FU19" i="69"/>
  <c r="FW14" i="69"/>
  <c r="FW15" i="69" s="1"/>
  <c r="FW16" i="69" s="1"/>
  <c r="FV14" i="69"/>
  <c r="FV15" i="69" s="1"/>
  <c r="FV16" i="69" s="1"/>
  <c r="FU14" i="69"/>
  <c r="FU15" i="69" s="1"/>
  <c r="FU16" i="69" s="1"/>
  <c r="FW11" i="69"/>
  <c r="FV11" i="69"/>
  <c r="FU11" i="69"/>
  <c r="FW9" i="69"/>
  <c r="FV9" i="69"/>
  <c r="FU9" i="69"/>
  <c r="BP19" i="22"/>
  <c r="BP20" i="22"/>
  <c r="BP18" i="22"/>
  <c r="HY19" i="22"/>
  <c r="ID26" i="22"/>
  <c r="IC26" i="22"/>
  <c r="IB26" i="22"/>
  <c r="IA26" i="22"/>
  <c r="HZ26" i="22"/>
  <c r="ID22" i="22"/>
  <c r="IC22" i="22"/>
  <c r="IB22" i="22"/>
  <c r="IB23" i="22" s="1"/>
  <c r="IB24" i="22" s="1"/>
  <c r="IA22" i="22"/>
  <c r="IA23" i="22" s="1"/>
  <c r="IA24" i="22" s="1"/>
  <c r="HZ22" i="22"/>
  <c r="HZ23" i="22" s="1"/>
  <c r="HZ24" i="22" s="1"/>
  <c r="ID9" i="22"/>
  <c r="ID10" i="22" s="1"/>
  <c r="IC9" i="22"/>
  <c r="IC10" i="22" s="1"/>
  <c r="IB9" i="22"/>
  <c r="IB11" i="22" s="1"/>
  <c r="IA9" i="22"/>
  <c r="IA11" i="22" s="1"/>
  <c r="HZ9" i="22"/>
  <c r="HZ11" i="22" s="1"/>
  <c r="BP28" i="22"/>
  <c r="BP27" i="22"/>
  <c r="BP21" i="22"/>
  <c r="BP23" i="22" s="1"/>
  <c r="BP9" i="22"/>
  <c r="BP13" i="22" s="1"/>
  <c r="BP7" i="22"/>
  <c r="BP12" i="22" s="1"/>
  <c r="JH6" i="27" l="1"/>
  <c r="JG18" i="27"/>
  <c r="JG19" i="27" s="1"/>
  <c r="ID12" i="22"/>
  <c r="IC23" i="22"/>
  <c r="IC24" i="22" s="1"/>
  <c r="ID23" i="22"/>
  <c r="ID24" i="22" s="1"/>
  <c r="IC11" i="22"/>
  <c r="HZ12" i="22"/>
  <c r="IA12" i="22"/>
  <c r="IB12" i="22"/>
  <c r="ID11" i="22"/>
  <c r="IC12" i="22"/>
  <c r="X9" i="83"/>
  <c r="X10" i="83" s="1"/>
  <c r="HZ13" i="22"/>
  <c r="HZ10" i="22"/>
  <c r="IA13" i="22"/>
  <c r="IA10" i="22"/>
  <c r="IB13" i="22"/>
  <c r="IB10" i="22"/>
  <c r="IC13" i="22"/>
  <c r="ID13" i="22"/>
  <c r="BP24" i="22"/>
  <c r="BP25" i="22" s="1"/>
  <c r="BP10" i="22"/>
  <c r="JI6" i="27" l="1"/>
  <c r="JI18" i="27" s="1"/>
  <c r="JI19" i="27" s="1"/>
  <c r="JH18" i="27"/>
  <c r="JH19" i="27" s="1"/>
  <c r="AE9" i="76"/>
  <c r="AE8" i="76"/>
  <c r="EH11" i="76"/>
  <c r="EG11" i="76"/>
  <c r="EF11" i="76"/>
  <c r="EE11" i="76"/>
  <c r="ED11" i="76"/>
  <c r="EH10" i="76"/>
  <c r="EG10" i="76"/>
  <c r="EF10" i="76"/>
  <c r="EE10" i="76"/>
  <c r="ED10" i="76"/>
  <c r="EH6" i="76"/>
  <c r="EG6" i="76"/>
  <c r="EF6" i="76"/>
  <c r="EE6" i="76"/>
  <c r="ED6" i="76"/>
  <c r="EE12" i="76" l="1"/>
  <c r="AE10" i="76"/>
  <c r="EF12" i="76"/>
  <c r="ED12" i="76"/>
  <c r="EG12" i="76"/>
  <c r="EH12" i="76"/>
  <c r="BP13" i="27" l="1"/>
  <c r="BP14" i="27"/>
  <c r="BP17" i="27" s="1"/>
  <c r="BP12" i="27"/>
  <c r="BP11" i="27"/>
  <c r="BP6" i="27"/>
  <c r="JA20" i="27"/>
  <c r="IZ20" i="27"/>
  <c r="IY20" i="27"/>
  <c r="IX20" i="27"/>
  <c r="IW20" i="27"/>
  <c r="JA17" i="27"/>
  <c r="IZ17" i="27"/>
  <c r="IY17" i="27"/>
  <c r="IX17" i="27"/>
  <c r="IW17" i="27"/>
  <c r="JA16" i="27"/>
  <c r="IZ16" i="27"/>
  <c r="IY16" i="27"/>
  <c r="IX16" i="27"/>
  <c r="IW16" i="27"/>
  <c r="HX19" i="22"/>
  <c r="HW19" i="22"/>
  <c r="W7" i="83"/>
  <c r="W8" i="83" s="1"/>
  <c r="HV19" i="22"/>
  <c r="HU19" i="22"/>
  <c r="W6" i="83"/>
  <c r="DH8" i="83"/>
  <c r="DH9" i="83" s="1"/>
  <c r="DH10" i="83" s="1"/>
  <c r="DG8" i="83"/>
  <c r="DG9" i="83" s="1"/>
  <c r="DG10" i="83" s="1"/>
  <c r="DF8" i="83"/>
  <c r="DF9" i="83" s="1"/>
  <c r="DF10" i="83" s="1"/>
  <c r="DE8" i="83"/>
  <c r="DE9" i="83" s="1"/>
  <c r="DE10" i="83" s="1"/>
  <c r="AA7" i="81"/>
  <c r="AA8" i="81" s="1"/>
  <c r="AA9" i="81" s="1"/>
  <c r="AA10" i="81" s="1"/>
  <c r="DM8" i="81"/>
  <c r="DM9" i="81" s="1"/>
  <c r="DM10" i="81" s="1"/>
  <c r="DL8" i="81"/>
  <c r="DL9" i="81" s="1"/>
  <c r="DL10" i="81" s="1"/>
  <c r="DK8" i="81"/>
  <c r="DK9" i="81" s="1"/>
  <c r="DK10" i="81" s="1"/>
  <c r="DJ8" i="81"/>
  <c r="DJ9" i="81" s="1"/>
  <c r="DJ10" i="81" s="1"/>
  <c r="AL13" i="65"/>
  <c r="AL14" i="65" s="1"/>
  <c r="AL15" i="65" s="1"/>
  <c r="AL16" i="65" s="1"/>
  <c r="FR18" i="65"/>
  <c r="FT18" i="65"/>
  <c r="FS18" i="65"/>
  <c r="FQ18" i="65"/>
  <c r="FT14" i="65"/>
  <c r="FT15" i="65" s="1"/>
  <c r="FT16" i="65" s="1"/>
  <c r="FS14" i="65"/>
  <c r="FS15" i="65" s="1"/>
  <c r="FS16" i="65" s="1"/>
  <c r="FR14" i="65"/>
  <c r="FR15" i="65" s="1"/>
  <c r="FR16" i="65" s="1"/>
  <c r="FQ14" i="65"/>
  <c r="FQ15" i="65" s="1"/>
  <c r="FQ16" i="65" s="1"/>
  <c r="AL13" i="69"/>
  <c r="AL14" i="69" s="1"/>
  <c r="AL15" i="69" s="1"/>
  <c r="AL16" i="69" s="1"/>
  <c r="AL10" i="69"/>
  <c r="AL9" i="69"/>
  <c r="FT19" i="69"/>
  <c r="FS19" i="69"/>
  <c r="FR19" i="69"/>
  <c r="FQ19" i="69"/>
  <c r="FT14" i="69"/>
  <c r="FT15" i="69" s="1"/>
  <c r="FT16" i="69" s="1"/>
  <c r="FS14" i="69"/>
  <c r="FS15" i="69" s="1"/>
  <c r="FS16" i="69" s="1"/>
  <c r="FR14" i="69"/>
  <c r="FR15" i="69" s="1"/>
  <c r="FR16" i="69" s="1"/>
  <c r="FQ14" i="69"/>
  <c r="FQ15" i="69" s="1"/>
  <c r="FQ16" i="69" s="1"/>
  <c r="FT11" i="69"/>
  <c r="FS11" i="69"/>
  <c r="FR11" i="69"/>
  <c r="FQ11" i="69"/>
  <c r="FT9" i="69"/>
  <c r="FS9" i="69"/>
  <c r="FR9" i="69"/>
  <c r="FQ9" i="69"/>
  <c r="BO20" i="22"/>
  <c r="BO21" i="22" s="1"/>
  <c r="BO23" i="22" s="1"/>
  <c r="BO18" i="22"/>
  <c r="BO28" i="22"/>
  <c r="BO27" i="22"/>
  <c r="BO9" i="22"/>
  <c r="BO13" i="22" s="1"/>
  <c r="BO7" i="22"/>
  <c r="HY26" i="22"/>
  <c r="HX26" i="22"/>
  <c r="HW26" i="22"/>
  <c r="HV26" i="22"/>
  <c r="HY22" i="22"/>
  <c r="HX22" i="22"/>
  <c r="HW22" i="22"/>
  <c r="HV22" i="22"/>
  <c r="HY9" i="22"/>
  <c r="HY13" i="22" s="1"/>
  <c r="HX9" i="22"/>
  <c r="HX13" i="22" s="1"/>
  <c r="HW9" i="22"/>
  <c r="HW13" i="22" s="1"/>
  <c r="HV9" i="22"/>
  <c r="HV10" i="22" s="1"/>
  <c r="AD9" i="76"/>
  <c r="AD10" i="76" s="1"/>
  <c r="AD8" i="76"/>
  <c r="EC11" i="76"/>
  <c r="EB11" i="76"/>
  <c r="EA11" i="76"/>
  <c r="DZ11" i="76"/>
  <c r="EC10" i="76"/>
  <c r="EB10" i="76"/>
  <c r="EA10" i="76"/>
  <c r="DZ10" i="76"/>
  <c r="EC6" i="76"/>
  <c r="EB6" i="76"/>
  <c r="EA6" i="76"/>
  <c r="DZ6" i="76"/>
  <c r="BO12" i="27"/>
  <c r="BO13" i="27"/>
  <c r="BO14" i="27"/>
  <c r="BO17" i="27" s="1"/>
  <c r="BO11" i="27"/>
  <c r="BO6" i="27"/>
  <c r="IV20" i="27"/>
  <c r="IU20" i="27"/>
  <c r="IT20" i="27"/>
  <c r="IS20" i="27"/>
  <c r="IV17" i="27"/>
  <c r="IU17" i="27"/>
  <c r="IT17" i="27"/>
  <c r="IS17" i="27"/>
  <c r="IV16" i="27"/>
  <c r="IU16" i="27"/>
  <c r="IT16" i="27"/>
  <c r="IS16" i="27"/>
  <c r="HT19" i="22"/>
  <c r="HS19" i="22"/>
  <c r="HR19" i="22"/>
  <c r="HX23" i="22" l="1"/>
  <c r="HX24" i="22" s="1"/>
  <c r="HX12" i="22"/>
  <c r="BO12" i="22"/>
  <c r="HY12" i="22"/>
  <c r="HY23" i="22"/>
  <c r="HY24" i="22" s="1"/>
  <c r="BO19" i="22"/>
  <c r="HY10" i="22"/>
  <c r="HV11" i="22"/>
  <c r="HW11" i="22"/>
  <c r="HX11" i="22"/>
  <c r="HX10" i="22"/>
  <c r="HY11" i="22"/>
  <c r="HV12" i="22"/>
  <c r="HW12" i="22"/>
  <c r="BP18" i="27"/>
  <c r="BP19" i="27" s="1"/>
  <c r="BP16" i="27"/>
  <c r="AD11" i="76"/>
  <c r="AD12" i="76" s="1"/>
  <c r="BO18" i="27"/>
  <c r="BO19" i="27" s="1"/>
  <c r="W9" i="83"/>
  <c r="W10" i="83" s="1"/>
  <c r="HV23" i="22"/>
  <c r="HV24" i="22" s="1"/>
  <c r="HV13" i="22"/>
  <c r="HW23" i="22"/>
  <c r="HW24" i="22" s="1"/>
  <c r="BO24" i="22"/>
  <c r="BO25" i="22" s="1"/>
  <c r="BO10" i="22"/>
  <c r="HW10" i="22"/>
  <c r="EB12" i="76"/>
  <c r="EC12" i="76"/>
  <c r="EA12" i="76"/>
  <c r="DZ12" i="76"/>
  <c r="BO16" i="27"/>
  <c r="BN14" i="27"/>
  <c r="BN17" i="27" s="1"/>
  <c r="BN12" i="27"/>
  <c r="BN11" i="27"/>
  <c r="IR20" i="27"/>
  <c r="IQ20" i="27"/>
  <c r="IP20" i="27"/>
  <c r="IO20" i="27"/>
  <c r="IR17" i="27"/>
  <c r="IQ17" i="27"/>
  <c r="IP17" i="27"/>
  <c r="IO17" i="27"/>
  <c r="IR16" i="27"/>
  <c r="IQ16" i="27"/>
  <c r="IP16" i="27"/>
  <c r="IO16" i="27"/>
  <c r="IN20" i="27"/>
  <c r="IN17" i="27"/>
  <c r="IN16" i="27"/>
  <c r="BN6" i="27"/>
  <c r="AB9" i="76"/>
  <c r="AB8" i="76"/>
  <c r="AC9" i="76"/>
  <c r="AC11" i="76" s="1"/>
  <c r="AC8" i="76"/>
  <c r="DY11" i="76"/>
  <c r="DX11" i="76"/>
  <c r="DW11" i="76"/>
  <c r="DV11" i="76"/>
  <c r="DY10" i="76"/>
  <c r="DX10" i="76"/>
  <c r="DW10" i="76"/>
  <c r="DV10" i="76"/>
  <c r="DY6" i="76"/>
  <c r="DX6" i="76"/>
  <c r="DW6" i="76"/>
  <c r="DV6" i="76"/>
  <c r="DU11" i="76"/>
  <c r="DU10" i="76"/>
  <c r="DU6" i="76"/>
  <c r="HO19" i="22"/>
  <c r="HP19" i="22"/>
  <c r="HQ19" i="22"/>
  <c r="BN19" i="22" s="1"/>
  <c r="BN20" i="22"/>
  <c r="BN21" i="22" s="1"/>
  <c r="BN23" i="22" s="1"/>
  <c r="BN18" i="22"/>
  <c r="HU26" i="22"/>
  <c r="HT26" i="22"/>
  <c r="HS26" i="22"/>
  <c r="HR26" i="22"/>
  <c r="HU22" i="22"/>
  <c r="HT22" i="22"/>
  <c r="HS22" i="22"/>
  <c r="HR22" i="22"/>
  <c r="HU9" i="22"/>
  <c r="HU13" i="22" s="1"/>
  <c r="HT9" i="22"/>
  <c r="HT13" i="22" s="1"/>
  <c r="HS9" i="22"/>
  <c r="HS13" i="22" s="1"/>
  <c r="HR9" i="22"/>
  <c r="HR13" i="22" s="1"/>
  <c r="HQ26" i="22"/>
  <c r="HQ22" i="22"/>
  <c r="HQ9" i="22"/>
  <c r="HQ13" i="22" s="1"/>
  <c r="BN28" i="22"/>
  <c r="BN27" i="22"/>
  <c r="BN9" i="22"/>
  <c r="BN7" i="22"/>
  <c r="BN12" i="22" s="1"/>
  <c r="AK13" i="69"/>
  <c r="AK14" i="69" s="1"/>
  <c r="AK15" i="69" s="1"/>
  <c r="AK16" i="69" s="1"/>
  <c r="FP19" i="69"/>
  <c r="FO19" i="69"/>
  <c r="FN19" i="69"/>
  <c r="FM19" i="69"/>
  <c r="FP14" i="69"/>
  <c r="FP15" i="69" s="1"/>
  <c r="FP16" i="69" s="1"/>
  <c r="FO14" i="69"/>
  <c r="FO15" i="69" s="1"/>
  <c r="FO16" i="69" s="1"/>
  <c r="FN14" i="69"/>
  <c r="FN15" i="69" s="1"/>
  <c r="FN16" i="69" s="1"/>
  <c r="FM14" i="69"/>
  <c r="FM15" i="69" s="1"/>
  <c r="FM16" i="69" s="1"/>
  <c r="FP11" i="69"/>
  <c r="FO11" i="69"/>
  <c r="FN11" i="69"/>
  <c r="FM11" i="69"/>
  <c r="FP9" i="69"/>
  <c r="FO9" i="69"/>
  <c r="FN9" i="69"/>
  <c r="FM9" i="69"/>
  <c r="FL19" i="69"/>
  <c r="FL14" i="69"/>
  <c r="FL15" i="69" s="1"/>
  <c r="FL16" i="69" s="1"/>
  <c r="FL11" i="69"/>
  <c r="FL9" i="69"/>
  <c r="AK10" i="69"/>
  <c r="AK9" i="69"/>
  <c r="AK13" i="65"/>
  <c r="AK14" i="65" s="1"/>
  <c r="AK15" i="65" s="1"/>
  <c r="AK16" i="65" s="1"/>
  <c r="FP18" i="65"/>
  <c r="FO18" i="65"/>
  <c r="FN18" i="65"/>
  <c r="FM18" i="65"/>
  <c r="FP14" i="65"/>
  <c r="FP15" i="65" s="1"/>
  <c r="FP16" i="65" s="1"/>
  <c r="FO14" i="65"/>
  <c r="FO15" i="65" s="1"/>
  <c r="FO16" i="65" s="1"/>
  <c r="FN14" i="65"/>
  <c r="FN15" i="65" s="1"/>
  <c r="FN16" i="65" s="1"/>
  <c r="FM14" i="65"/>
  <c r="FM15" i="65" s="1"/>
  <c r="FM16" i="65" s="1"/>
  <c r="FL18" i="65"/>
  <c r="FL14" i="65"/>
  <c r="FL15" i="65" s="1"/>
  <c r="FL16" i="65" s="1"/>
  <c r="Z7" i="81"/>
  <c r="Z8" i="81" s="1"/>
  <c r="Z9" i="81" s="1"/>
  <c r="Z10" i="81" s="1"/>
  <c r="DI8" i="81"/>
  <c r="DI9" i="81" s="1"/>
  <c r="DI10" i="81" s="1"/>
  <c r="DH8" i="81"/>
  <c r="DH9" i="81" s="1"/>
  <c r="DH10" i="81" s="1"/>
  <c r="DG8" i="81"/>
  <c r="DG9" i="81" s="1"/>
  <c r="DG10" i="81" s="1"/>
  <c r="DF8" i="81"/>
  <c r="DF9" i="81" s="1"/>
  <c r="DF10" i="81" s="1"/>
  <c r="DE8" i="81"/>
  <c r="DE9" i="81" s="1"/>
  <c r="DE10" i="81" s="1"/>
  <c r="V7" i="83"/>
  <c r="V8" i="83" s="1"/>
  <c r="V6" i="83"/>
  <c r="DW12" i="76" l="1"/>
  <c r="HU23" i="22"/>
  <c r="HU24" i="22" s="1"/>
  <c r="HT23" i="22"/>
  <c r="HT24" i="22" s="1"/>
  <c r="HR11" i="22"/>
  <c r="HT11" i="22"/>
  <c r="HU10" i="22"/>
  <c r="HS12" i="22"/>
  <c r="HR10" i="22"/>
  <c r="HT10" i="22"/>
  <c r="HU11" i="22"/>
  <c r="HR23" i="22"/>
  <c r="HR24" i="22" s="1"/>
  <c r="HS10" i="22"/>
  <c r="HS11" i="22"/>
  <c r="HR12" i="22"/>
  <c r="HS23" i="22"/>
  <c r="HS24" i="22" s="1"/>
  <c r="DV12" i="76"/>
  <c r="BN18" i="27"/>
  <c r="BN19" i="27" s="1"/>
  <c r="BN16" i="27"/>
  <c r="DU12" i="76"/>
  <c r="DX12" i="76"/>
  <c r="DY12" i="76"/>
  <c r="AC10" i="76"/>
  <c r="AC12" i="76" s="1"/>
  <c r="HT12" i="22"/>
  <c r="HU12" i="22"/>
  <c r="BN24" i="22"/>
  <c r="BN25" i="22" s="1"/>
  <c r="HQ10" i="22"/>
  <c r="HQ12" i="22"/>
  <c r="HQ23" i="22"/>
  <c r="HQ24" i="22" s="1"/>
  <c r="HQ11" i="22"/>
  <c r="BN10" i="22"/>
  <c r="BN13" i="22"/>
  <c r="V9" i="83"/>
  <c r="V10" i="83" s="1"/>
  <c r="DD8" i="83" l="1"/>
  <c r="DD9" i="83" s="1"/>
  <c r="DD10" i="83" s="1"/>
  <c r="DC8" i="83"/>
  <c r="DC9" i="83" s="1"/>
  <c r="DC10" i="83" s="1"/>
  <c r="DB8" i="83"/>
  <c r="DB9" i="83" s="1"/>
  <c r="DB10" i="83" s="1"/>
  <c r="DA8" i="83"/>
  <c r="DA9" i="83" s="1"/>
  <c r="DA10" i="83" s="1"/>
  <c r="CZ8" i="83"/>
  <c r="CZ9" i="83" s="1"/>
  <c r="CZ10" i="83" s="1"/>
  <c r="FH18" i="65" l="1"/>
  <c r="FI18" i="65"/>
  <c r="FJ18" i="65"/>
  <c r="FK18" i="65"/>
  <c r="HN19" i="22"/>
  <c r="HM19" i="22" l="1"/>
  <c r="BM19" i="22" s="1"/>
  <c r="BM14" i="27"/>
  <c r="BM12" i="27"/>
  <c r="BM11" i="27"/>
  <c r="IM20" i="27"/>
  <c r="IL20" i="27"/>
  <c r="IK20" i="27"/>
  <c r="IJ20" i="27"/>
  <c r="IM17" i="27"/>
  <c r="IL17" i="27"/>
  <c r="IK17" i="27"/>
  <c r="IJ17" i="27"/>
  <c r="IM16" i="27"/>
  <c r="IL16" i="27"/>
  <c r="IK16" i="27"/>
  <c r="IJ16" i="27"/>
  <c r="DR6" i="76"/>
  <c r="DS6" i="76"/>
  <c r="DT6" i="76"/>
  <c r="DQ6" i="76"/>
  <c r="DT11" i="76"/>
  <c r="DS11" i="76"/>
  <c r="DR11" i="76"/>
  <c r="DQ11" i="76"/>
  <c r="DT10" i="76"/>
  <c r="DS10" i="76"/>
  <c r="DR10" i="76"/>
  <c r="DQ10" i="76"/>
  <c r="BM20" i="22"/>
  <c r="BM18" i="22"/>
  <c r="HP26" i="22"/>
  <c r="HO26" i="22"/>
  <c r="HN26" i="22"/>
  <c r="HM26" i="22"/>
  <c r="HP22" i="22"/>
  <c r="HO22" i="22"/>
  <c r="HN22" i="22"/>
  <c r="HM22" i="22"/>
  <c r="HP9" i="22"/>
  <c r="HP11" i="22" s="1"/>
  <c r="HO9" i="22"/>
  <c r="HN9" i="22"/>
  <c r="HN23" i="22" s="1"/>
  <c r="HN24" i="22" s="1"/>
  <c r="HM9" i="22"/>
  <c r="HM11" i="22" s="1"/>
  <c r="HL19" i="22"/>
  <c r="AJ13" i="69"/>
  <c r="FK19" i="69"/>
  <c r="FJ19" i="69"/>
  <c r="FI19" i="69"/>
  <c r="FH19" i="69"/>
  <c r="FK14" i="69"/>
  <c r="FK15" i="69" s="1"/>
  <c r="FK16" i="69" s="1"/>
  <c r="FJ14" i="69"/>
  <c r="FJ15" i="69" s="1"/>
  <c r="FJ16" i="69" s="1"/>
  <c r="FI14" i="69"/>
  <c r="FI15" i="69" s="1"/>
  <c r="FI16" i="69" s="1"/>
  <c r="FH14" i="69"/>
  <c r="FH15" i="69" s="1"/>
  <c r="FH16" i="69" s="1"/>
  <c r="FK11" i="69"/>
  <c r="AS11" i="69" s="1"/>
  <c r="FJ11" i="69"/>
  <c r="AR11" i="69" s="1"/>
  <c r="FI11" i="69"/>
  <c r="AQ11" i="69" s="1"/>
  <c r="FH11" i="69"/>
  <c r="AP11" i="69" s="1"/>
  <c r="FK9" i="69"/>
  <c r="FJ9" i="69"/>
  <c r="FI9" i="69"/>
  <c r="FH9" i="69"/>
  <c r="AJ13" i="65"/>
  <c r="FK14" i="65"/>
  <c r="FK15" i="65" s="1"/>
  <c r="FK16" i="65" s="1"/>
  <c r="FJ14" i="65"/>
  <c r="FJ15" i="65" s="1"/>
  <c r="FJ16" i="65" s="1"/>
  <c r="FI14" i="65"/>
  <c r="FI15" i="65" s="1"/>
  <c r="FI16" i="65" s="1"/>
  <c r="FH14" i="65"/>
  <c r="FH15" i="65" s="1"/>
  <c r="FH16" i="65" s="1"/>
  <c r="Y7" i="81"/>
  <c r="DT12" i="76" l="1"/>
  <c r="DR12" i="76"/>
  <c r="DS12" i="76"/>
  <c r="HO23" i="22"/>
  <c r="HO24" i="22" s="1"/>
  <c r="HP23" i="22"/>
  <c r="HP24" i="22" s="1"/>
  <c r="HP12" i="22"/>
  <c r="DQ12" i="76"/>
  <c r="HM13" i="22"/>
  <c r="HM10" i="22"/>
  <c r="HN10" i="22"/>
  <c r="HO11" i="22"/>
  <c r="HO10" i="22"/>
  <c r="HP10" i="22"/>
  <c r="HM12" i="22"/>
  <c r="HM23" i="22"/>
  <c r="HM24" i="22" s="1"/>
  <c r="HN13" i="22"/>
  <c r="HO13" i="22"/>
  <c r="HP13" i="22"/>
  <c r="HN11" i="22"/>
  <c r="HN12" i="22"/>
  <c r="HO12" i="22"/>
  <c r="DD8" i="81" l="1"/>
  <c r="DD9" i="81" s="1"/>
  <c r="DD10" i="81" s="1"/>
  <c r="DC8" i="81"/>
  <c r="DC9" i="81" s="1"/>
  <c r="DC10" i="81" s="1"/>
  <c r="DB8" i="81"/>
  <c r="DB9" i="81" s="1"/>
  <c r="DB10" i="81" s="1"/>
  <c r="DA8" i="81"/>
  <c r="DA9" i="81" s="1"/>
  <c r="DA10" i="81" s="1"/>
  <c r="U7" i="83"/>
  <c r="U8" i="83" s="1"/>
  <c r="CY8" i="83"/>
  <c r="CY9" i="83" s="1"/>
  <c r="CY10" i="83" s="1"/>
  <c r="CX8" i="83"/>
  <c r="CX9" i="83" s="1"/>
  <c r="CX10" i="83" s="1"/>
  <c r="CW8" i="83"/>
  <c r="CW9" i="83" s="1"/>
  <c r="CW10" i="83" s="1"/>
  <c r="CV8" i="83"/>
  <c r="CV9" i="83" s="1"/>
  <c r="CV10" i="83" s="1"/>
  <c r="BM6" i="27"/>
  <c r="BM17" i="27"/>
  <c r="AB11" i="76"/>
  <c r="AB10" i="76"/>
  <c r="BM28" i="22"/>
  <c r="BM27" i="22"/>
  <c r="BM21" i="22"/>
  <c r="BM23" i="22" s="1"/>
  <c r="BM9" i="22"/>
  <c r="BM13" i="22" s="1"/>
  <c r="BM7" i="22"/>
  <c r="AJ14" i="69"/>
  <c r="AJ15" i="69" s="1"/>
  <c r="AJ16" i="69" s="1"/>
  <c r="AJ10" i="69"/>
  <c r="AJ9" i="69"/>
  <c r="AJ14" i="65"/>
  <c r="AJ15" i="65" s="1"/>
  <c r="AJ16" i="65" s="1"/>
  <c r="Y8" i="81"/>
  <c r="Y9" i="81" s="1"/>
  <c r="Y10" i="81" s="1"/>
  <c r="BM12" i="22" l="1"/>
  <c r="BM18" i="27"/>
  <c r="BM19" i="27" s="1"/>
  <c r="BM16" i="27"/>
  <c r="AB12" i="76"/>
  <c r="BM24" i="22"/>
  <c r="BM25" i="22" s="1"/>
  <c r="BM10" i="22"/>
  <c r="U9" i="83" l="1"/>
  <c r="U10" i="83" s="1"/>
  <c r="HK19" i="22"/>
  <c r="HJ19" i="22"/>
  <c r="BL14" i="27"/>
  <c r="BL12" i="27"/>
  <c r="BL11" i="27"/>
  <c r="II20" i="27"/>
  <c r="IH20" i="27"/>
  <c r="II17" i="27"/>
  <c r="IH17" i="27"/>
  <c r="II16" i="27"/>
  <c r="IH16" i="27"/>
  <c r="IG20" i="27"/>
  <c r="IG17" i="27"/>
  <c r="IG16" i="27"/>
  <c r="IF20" i="27"/>
  <c r="IF17" i="27"/>
  <c r="IF16" i="27"/>
  <c r="AA9" i="76"/>
  <c r="AA8" i="76"/>
  <c r="DP11" i="76"/>
  <c r="DO11" i="76"/>
  <c r="DN11" i="76"/>
  <c r="DP10" i="76"/>
  <c r="DO10" i="76"/>
  <c r="DN10" i="76"/>
  <c r="DP6" i="76"/>
  <c r="DO6" i="76"/>
  <c r="DN6" i="76"/>
  <c r="DM11" i="76"/>
  <c r="DM10" i="76"/>
  <c r="DM6" i="76"/>
  <c r="BL20" i="22"/>
  <c r="BL21" i="22" s="1"/>
  <c r="BL23" i="22" s="1"/>
  <c r="BL18" i="22"/>
  <c r="HL26" i="22"/>
  <c r="HK26" i="22"/>
  <c r="HJ26" i="22"/>
  <c r="HL22" i="22"/>
  <c r="HK22" i="22"/>
  <c r="HJ22" i="22"/>
  <c r="HL9" i="22"/>
  <c r="HL12" i="22" s="1"/>
  <c r="HK9" i="22"/>
  <c r="HK13" i="22" s="1"/>
  <c r="HJ9" i="22"/>
  <c r="HJ13" i="22" s="1"/>
  <c r="HH10" i="22"/>
  <c r="HI26" i="22"/>
  <c r="HI22" i="22"/>
  <c r="HI19" i="22"/>
  <c r="HI9" i="22"/>
  <c r="HI11" i="22" s="1"/>
  <c r="AI13" i="69"/>
  <c r="AI14" i="69" s="1"/>
  <c r="FG19" i="69"/>
  <c r="FF19" i="69"/>
  <c r="FE19" i="69"/>
  <c r="FG14" i="69"/>
  <c r="FG15" i="69" s="1"/>
  <c r="FG16" i="69" s="1"/>
  <c r="FF14" i="69"/>
  <c r="FF15" i="69" s="1"/>
  <c r="FF16" i="69" s="1"/>
  <c r="FE14" i="69"/>
  <c r="FE15" i="69" s="1"/>
  <c r="FE16" i="69" s="1"/>
  <c r="FG11" i="69"/>
  <c r="AO11" i="69" s="1"/>
  <c r="FF11" i="69"/>
  <c r="FE11" i="69"/>
  <c r="AM11" i="69" s="1"/>
  <c r="FG9" i="69"/>
  <c r="FF9" i="69"/>
  <c r="FE9" i="69"/>
  <c r="FD19" i="69"/>
  <c r="FD14" i="69"/>
  <c r="FD15" i="69" s="1"/>
  <c r="FD16" i="69" s="1"/>
  <c r="FD11" i="69"/>
  <c r="AL11" i="69" s="1"/>
  <c r="FD9" i="69"/>
  <c r="AI13" i="65"/>
  <c r="AI14" i="65" s="1"/>
  <c r="AI15" i="65" s="1"/>
  <c r="AI16" i="65" s="1"/>
  <c r="FG18" i="65"/>
  <c r="FF18" i="65"/>
  <c r="FE18" i="65"/>
  <c r="FG14" i="65"/>
  <c r="FG15" i="65" s="1"/>
  <c r="FG16" i="65" s="1"/>
  <c r="FF14" i="65"/>
  <c r="FF15" i="65" s="1"/>
  <c r="FF16" i="65" s="1"/>
  <c r="FE14" i="65"/>
  <c r="FE15" i="65" s="1"/>
  <c r="FE16" i="65" s="1"/>
  <c r="FD18" i="65"/>
  <c r="FD14" i="65"/>
  <c r="FD15" i="65" s="1"/>
  <c r="FD16" i="65" s="1"/>
  <c r="X7" i="81"/>
  <c r="X8" i="81" s="1"/>
  <c r="X6" i="81"/>
  <c r="CZ8" i="81"/>
  <c r="CZ9" i="81" s="1"/>
  <c r="CZ10" i="81" s="1"/>
  <c r="CY8" i="81"/>
  <c r="CY9" i="81" s="1"/>
  <c r="CY10" i="81" s="1"/>
  <c r="CX8" i="81"/>
  <c r="CX9" i="81" s="1"/>
  <c r="CX10" i="81" s="1"/>
  <c r="CW8" i="81"/>
  <c r="CW9" i="81" s="1"/>
  <c r="CW10" i="81" s="1"/>
  <c r="T7" i="83"/>
  <c r="T8" i="83" s="1"/>
  <c r="T6" i="83"/>
  <c r="CU8" i="83"/>
  <c r="CU9" i="83" s="1"/>
  <c r="CU10" i="83" s="1"/>
  <c r="CT8" i="83"/>
  <c r="CT9" i="83" s="1"/>
  <c r="CT10" i="83" s="1"/>
  <c r="CS8" i="83"/>
  <c r="CS9" i="83" s="1"/>
  <c r="CS10" i="83" s="1"/>
  <c r="CR8" i="83"/>
  <c r="CR9" i="83" s="1"/>
  <c r="CR10" i="83" s="1"/>
  <c r="FC18" i="65"/>
  <c r="FC14" i="65"/>
  <c r="FC15" i="65" s="1"/>
  <c r="FC16" i="65" s="1"/>
  <c r="CV8" i="81"/>
  <c r="CV9" i="81" s="1"/>
  <c r="CV10" i="81" s="1"/>
  <c r="CQ8" i="83"/>
  <c r="CQ9" i="83" s="1"/>
  <c r="CQ10" i="83" s="1"/>
  <c r="EZ19" i="69"/>
  <c r="AI9" i="69"/>
  <c r="AH10" i="69"/>
  <c r="FC19" i="69"/>
  <c r="FC14" i="69"/>
  <c r="FC15" i="69" s="1"/>
  <c r="FC16" i="69" s="1"/>
  <c r="FC11" i="69"/>
  <c r="FC9" i="69"/>
  <c r="AI10" i="69"/>
  <c r="BL9" i="22"/>
  <c r="BL13" i="22" s="1"/>
  <c r="BL28" i="22"/>
  <c r="BL27" i="22"/>
  <c r="BL10" i="22"/>
  <c r="BL7" i="22"/>
  <c r="BL12" i="22" s="1"/>
  <c r="HH13" i="22"/>
  <c r="HH26" i="22"/>
  <c r="HH22" i="22"/>
  <c r="HH23" i="22" s="1"/>
  <c r="HH24" i="22" s="1"/>
  <c r="HH19" i="22"/>
  <c r="AN11" i="69" l="1"/>
  <c r="AK11" i="69"/>
  <c r="DM12" i="76"/>
  <c r="BL19" i="22"/>
  <c r="HL13" i="22"/>
  <c r="DN12" i="76"/>
  <c r="DO12" i="76"/>
  <c r="DP12" i="76"/>
  <c r="HJ10" i="22"/>
  <c r="HK10" i="22"/>
  <c r="HL10" i="22"/>
  <c r="HJ23" i="22"/>
  <c r="HJ24" i="22" s="1"/>
  <c r="HJ11" i="22"/>
  <c r="HK23" i="22"/>
  <c r="HK24" i="22" s="1"/>
  <c r="HK11" i="22"/>
  <c r="HL23" i="22"/>
  <c r="HL24" i="22" s="1"/>
  <c r="HL11" i="22"/>
  <c r="HJ12" i="22"/>
  <c r="HK12" i="22"/>
  <c r="HI10" i="22"/>
  <c r="HI12" i="22"/>
  <c r="HI13" i="22"/>
  <c r="HI23" i="22"/>
  <c r="HI24" i="22" s="1"/>
  <c r="X9" i="81"/>
  <c r="X10" i="81" s="1"/>
  <c r="T9" i="83"/>
  <c r="T10" i="83" s="1"/>
  <c r="AI15" i="69"/>
  <c r="AI16" i="69" s="1"/>
  <c r="BL24" i="22"/>
  <c r="BL25" i="22" s="1"/>
  <c r="HH11" i="22"/>
  <c r="HH12" i="22"/>
  <c r="AA11" i="76" l="1"/>
  <c r="DL11" i="76"/>
  <c r="DL10" i="76"/>
  <c r="DL6" i="76"/>
  <c r="BL17" i="27"/>
  <c r="BL6" i="27"/>
  <c r="IE20" i="27"/>
  <c r="IE17" i="27"/>
  <c r="IE16" i="27"/>
  <c r="AH13" i="69"/>
  <c r="AG13" i="69"/>
  <c r="ID20" i="27"/>
  <c r="IC20" i="27"/>
  <c r="ID17" i="27"/>
  <c r="IC17" i="27"/>
  <c r="ID16" i="27"/>
  <c r="IC16" i="27"/>
  <c r="BL18" i="27" l="1"/>
  <c r="BL19" i="27" s="1"/>
  <c r="DL12" i="76"/>
  <c r="AA10" i="76"/>
  <c r="AA12" i="76" s="1"/>
  <c r="BL16" i="27"/>
  <c r="DK11" i="76"/>
  <c r="DJ11" i="76"/>
  <c r="DK10" i="76"/>
  <c r="DK12" i="76" s="1"/>
  <c r="DJ10" i="76"/>
  <c r="DK6" i="76"/>
  <c r="DJ6" i="76"/>
  <c r="HG26" i="22"/>
  <c r="HG22" i="22"/>
  <c r="HG23" i="22" s="1"/>
  <c r="HG24" i="22" s="1"/>
  <c r="HG19" i="22"/>
  <c r="HG13" i="22"/>
  <c r="HG12" i="22"/>
  <c r="HG11" i="22"/>
  <c r="HG10" i="22"/>
  <c r="HF26" i="22"/>
  <c r="HF22" i="22"/>
  <c r="HF23" i="22" s="1"/>
  <c r="HF24" i="22" s="1"/>
  <c r="HF19" i="22"/>
  <c r="HF13" i="22"/>
  <c r="HF12" i="22"/>
  <c r="HF11" i="22"/>
  <c r="HF10" i="22"/>
  <c r="FB19" i="69"/>
  <c r="FB14" i="69"/>
  <c r="FB15" i="69" s="1"/>
  <c r="FB16" i="69" s="1"/>
  <c r="FB11" i="69"/>
  <c r="AJ11" i="69" s="1"/>
  <c r="FB9" i="69"/>
  <c r="FA19" i="69"/>
  <c r="FA14" i="69"/>
  <c r="FA15" i="69" s="1"/>
  <c r="FA16" i="69" s="1"/>
  <c r="FA11" i="69"/>
  <c r="AI11" i="69" s="1"/>
  <c r="FA9" i="69"/>
  <c r="FB18" i="65"/>
  <c r="FA18" i="65"/>
  <c r="FB14" i="65"/>
  <c r="FB15" i="65" s="1"/>
  <c r="FB16" i="65" s="1"/>
  <c r="FA14" i="65"/>
  <c r="FA15" i="65" s="1"/>
  <c r="FA16" i="65" s="1"/>
  <c r="CU8" i="81"/>
  <c r="CU9" i="81" s="1"/>
  <c r="CU10" i="81" s="1"/>
  <c r="CT8" i="81"/>
  <c r="CT9" i="81" s="1"/>
  <c r="CT10" i="81" s="1"/>
  <c r="CP8" i="83"/>
  <c r="CP9" i="83" s="1"/>
  <c r="CP10" i="83" s="1"/>
  <c r="CO8" i="83"/>
  <c r="CO9" i="83" s="1"/>
  <c r="CO10" i="83" s="1"/>
  <c r="AH9" i="69"/>
  <c r="AG8" i="69"/>
  <c r="AG10" i="69"/>
  <c r="AG7" i="69"/>
  <c r="AH14" i="69"/>
  <c r="AH13" i="65"/>
  <c r="AH14" i="65" s="1"/>
  <c r="AH15" i="65" s="1"/>
  <c r="AH16" i="65" s="1"/>
  <c r="AG13" i="65"/>
  <c r="EZ18" i="65"/>
  <c r="EZ14" i="65"/>
  <c r="EZ15" i="65" s="1"/>
  <c r="EZ16" i="65" s="1"/>
  <c r="W7" i="81"/>
  <c r="W8" i="81" s="1"/>
  <c r="W6" i="81"/>
  <c r="V7" i="81"/>
  <c r="V6" i="81"/>
  <c r="CS8" i="81"/>
  <c r="CS9" i="81" s="1"/>
  <c r="CS10" i="81" s="1"/>
  <c r="S7" i="83"/>
  <c r="S8" i="83" s="1"/>
  <c r="S6" i="83"/>
  <c r="R6" i="83"/>
  <c r="R7" i="83"/>
  <c r="CN8" i="83"/>
  <c r="CN9" i="83" s="1"/>
  <c r="CN10" i="83" s="1"/>
  <c r="EZ14" i="69"/>
  <c r="EZ15" i="69" s="1"/>
  <c r="EZ16" i="69" s="1"/>
  <c r="EZ11" i="69"/>
  <c r="EZ9" i="69"/>
  <c r="BJ20" i="22"/>
  <c r="BJ18" i="22"/>
  <c r="BK20" i="22"/>
  <c r="BK21" i="22" s="1"/>
  <c r="BK23" i="22" s="1"/>
  <c r="BK24" i="22" s="1"/>
  <c r="BK25" i="22" s="1"/>
  <c r="BK18" i="22"/>
  <c r="BK28" i="22"/>
  <c r="BK27" i="22"/>
  <c r="BK13" i="22"/>
  <c r="BK10" i="22"/>
  <c r="BK7" i="22"/>
  <c r="BK12" i="22" s="1"/>
  <c r="AH11" i="69" l="1"/>
  <c r="S9" i="83"/>
  <c r="S10" i="83" s="1"/>
  <c r="DJ12" i="76"/>
  <c r="AH15" i="69"/>
  <c r="AH16" i="69" s="1"/>
  <c r="W9" i="81"/>
  <c r="W10" i="81" s="1"/>
  <c r="HE26" i="22" l="1"/>
  <c r="HE22" i="22"/>
  <c r="HE23" i="22" s="1"/>
  <c r="HE24" i="22" s="1"/>
  <c r="HE19" i="22"/>
  <c r="BK19" i="22" s="1"/>
  <c r="HE13" i="22"/>
  <c r="HE12" i="22"/>
  <c r="HE11" i="22"/>
  <c r="HE10" i="22"/>
  <c r="Z9" i="76"/>
  <c r="Z10" i="76" s="1"/>
  <c r="Z8" i="76"/>
  <c r="Y9" i="76"/>
  <c r="Y8" i="76"/>
  <c r="DI11" i="76"/>
  <c r="DI10" i="76"/>
  <c r="DI6" i="76"/>
  <c r="BJ14" i="27"/>
  <c r="BJ12" i="27"/>
  <c r="BJ11" i="27"/>
  <c r="BK14" i="27"/>
  <c r="BK16" i="27" s="1"/>
  <c r="BK12" i="27"/>
  <c r="BK11" i="27"/>
  <c r="BK6" i="27"/>
  <c r="DI12" i="76" l="1"/>
  <c r="Z11" i="76"/>
  <c r="Z12" i="76" s="1"/>
  <c r="BK17" i="27"/>
  <c r="BK18" i="27" s="1"/>
  <c r="BK19" i="27" s="1"/>
  <c r="IB20" i="27" l="1"/>
  <c r="IB17" i="27"/>
  <c r="IB16" i="27"/>
  <c r="EY18" i="65" l="1"/>
  <c r="EY14" i="65"/>
  <c r="EY15" i="65" s="1"/>
  <c r="EY16" i="65" s="1"/>
  <c r="EX18" i="65"/>
  <c r="EX14" i="65"/>
  <c r="EX15" i="65" s="1"/>
  <c r="EX16" i="65" s="1"/>
  <c r="CR8" i="81"/>
  <c r="CR9" i="81" s="1"/>
  <c r="CR10" i="81" s="1"/>
  <c r="CQ8" i="81"/>
  <c r="CQ9" i="81" s="1"/>
  <c r="CQ10" i="81" s="1"/>
  <c r="CM8" i="83"/>
  <c r="CM9" i="83" s="1"/>
  <c r="CM10" i="83" s="1"/>
  <c r="EY19" i="69"/>
  <c r="EY14" i="69"/>
  <c r="EY15" i="69" s="1"/>
  <c r="EY16" i="69" s="1"/>
  <c r="EX19" i="69"/>
  <c r="EX14" i="69"/>
  <c r="EX15" i="69" s="1"/>
  <c r="EX16" i="69" s="1"/>
  <c r="EY11" i="69"/>
  <c r="EY9" i="69"/>
  <c r="EX11" i="69"/>
  <c r="EX9" i="69"/>
  <c r="HD26" i="22"/>
  <c r="HD22" i="22"/>
  <c r="HD23" i="22" s="1"/>
  <c r="HD24" i="22" s="1"/>
  <c r="HD19" i="22"/>
  <c r="HC26" i="22"/>
  <c r="HC22" i="22"/>
  <c r="HC23" i="22" s="1"/>
  <c r="HC24" i="22" s="1"/>
  <c r="HC19" i="22"/>
  <c r="HD13" i="22"/>
  <c r="HD12" i="22"/>
  <c r="HD11" i="22"/>
  <c r="HD10" i="22"/>
  <c r="HC13" i="22"/>
  <c r="HC12" i="22"/>
  <c r="HC11" i="22"/>
  <c r="HC10" i="22"/>
  <c r="DH11" i="76"/>
  <c r="DH10" i="76"/>
  <c r="DG11" i="76"/>
  <c r="DG10" i="76"/>
  <c r="DF6" i="76"/>
  <c r="DG6" i="76"/>
  <c r="DH6" i="76"/>
  <c r="DE6" i="76"/>
  <c r="IA20" i="27"/>
  <c r="IA17" i="27"/>
  <c r="IA16" i="27"/>
  <c r="HZ20" i="27"/>
  <c r="HZ17" i="27"/>
  <c r="HZ16" i="27"/>
  <c r="HY20" i="27"/>
  <c r="HX20" i="27"/>
  <c r="HY17" i="27"/>
  <c r="HX17" i="27"/>
  <c r="HX18" i="27" s="1"/>
  <c r="HX19" i="27" s="1"/>
  <c r="HY16" i="27"/>
  <c r="HX16" i="27"/>
  <c r="HY6" i="27"/>
  <c r="HZ6" i="27" s="1"/>
  <c r="DF11" i="76"/>
  <c r="DE11" i="76"/>
  <c r="DF10" i="76"/>
  <c r="DE10" i="76"/>
  <c r="HB26" i="22"/>
  <c r="HA26" i="22"/>
  <c r="HB22" i="22"/>
  <c r="HB23" i="22" s="1"/>
  <c r="HB24" i="22" s="1"/>
  <c r="HA22" i="22"/>
  <c r="HA23" i="22" s="1"/>
  <c r="HA24" i="22" s="1"/>
  <c r="HB19" i="22"/>
  <c r="HA19" i="22"/>
  <c r="HB13" i="22"/>
  <c r="HA13" i="22"/>
  <c r="HB12" i="22"/>
  <c r="HA12" i="22"/>
  <c r="HB11" i="22"/>
  <c r="HA11" i="22"/>
  <c r="HB10" i="22"/>
  <c r="HA10" i="22"/>
  <c r="EW19" i="69"/>
  <c r="EV19" i="69"/>
  <c r="EW14" i="69"/>
  <c r="EW15" i="69" s="1"/>
  <c r="EW16" i="69" s="1"/>
  <c r="EV14" i="69"/>
  <c r="EV15" i="69" s="1"/>
  <c r="EV16" i="69" s="1"/>
  <c r="EW11" i="69"/>
  <c r="EV11" i="69"/>
  <c r="EW9" i="69"/>
  <c r="EV9" i="69"/>
  <c r="EW18" i="65"/>
  <c r="EV18" i="65"/>
  <c r="EW14" i="65"/>
  <c r="EW15" i="65" s="1"/>
  <c r="EW16" i="65" s="1"/>
  <c r="EV14" i="65"/>
  <c r="EV15" i="65" s="1"/>
  <c r="EV16" i="65" s="1"/>
  <c r="CP8" i="81"/>
  <c r="CP9" i="81" s="1"/>
  <c r="CP10" i="81" s="1"/>
  <c r="CO8" i="81"/>
  <c r="CO9" i="81" s="1"/>
  <c r="CO10" i="81" s="1"/>
  <c r="CL8" i="83"/>
  <c r="CL9" i="83" s="1"/>
  <c r="CL10" i="83" s="1"/>
  <c r="CK8" i="83"/>
  <c r="CK9" i="83" s="1"/>
  <c r="CK10" i="83" s="1"/>
  <c r="CJ8" i="83"/>
  <c r="CJ9" i="83" s="1"/>
  <c r="CJ10" i="83" s="1"/>
  <c r="DH12" i="76" l="1"/>
  <c r="BJ19" i="22"/>
  <c r="AG9" i="69"/>
  <c r="AG11" i="69"/>
  <c r="DE12" i="76"/>
  <c r="DF12" i="76"/>
  <c r="DG12" i="76"/>
  <c r="HZ18" i="27"/>
  <c r="HZ19" i="27" s="1"/>
  <c r="HY18" i="27"/>
  <c r="HY19" i="27" s="1"/>
  <c r="IA6" i="27"/>
  <c r="R8" i="83"/>
  <c r="V8" i="81"/>
  <c r="V9" i="81" s="1"/>
  <c r="V10" i="81" s="1"/>
  <c r="AG14" i="65"/>
  <c r="AG15" i="65" s="1"/>
  <c r="AG16" i="65" s="1"/>
  <c r="AG14" i="69"/>
  <c r="BJ21" i="22"/>
  <c r="BJ23" i="22" s="1"/>
  <c r="BJ24" i="22" s="1"/>
  <c r="BJ25" i="22" s="1"/>
  <c r="BJ28" i="22"/>
  <c r="BJ27" i="22"/>
  <c r="BJ13" i="22"/>
  <c r="BJ10" i="22"/>
  <c r="BJ7" i="22"/>
  <c r="BJ12" i="22" s="1"/>
  <c r="IA18" i="27" l="1"/>
  <c r="IA19" i="27" s="1"/>
  <c r="IB6" i="27"/>
  <c r="R9" i="83"/>
  <c r="R10" i="83" s="1"/>
  <c r="AG15" i="69"/>
  <c r="AG16" i="69" s="1"/>
  <c r="IB18" i="27" l="1"/>
  <c r="IB19" i="27" s="1"/>
  <c r="IC6" i="27"/>
  <c r="Y11" i="76"/>
  <c r="BJ6" i="27"/>
  <c r="ID6" i="27" l="1"/>
  <c r="IC18" i="27"/>
  <c r="IC19" i="27" s="1"/>
  <c r="Y10" i="76"/>
  <c r="Y12" i="76" s="1"/>
  <c r="BJ17" i="27"/>
  <c r="BJ18" i="27" s="1"/>
  <c r="BJ19" i="27" s="1"/>
  <c r="BJ16" i="27"/>
  <c r="BI12" i="27"/>
  <c r="BI11" i="27"/>
  <c r="BI14" i="27"/>
  <c r="HT6" i="27"/>
  <c r="HU6" i="27" s="1"/>
  <c r="HV6" i="27" s="1"/>
  <c r="HW6" i="27" s="1"/>
  <c r="DD6" i="76"/>
  <c r="DC6" i="76"/>
  <c r="DB6" i="76"/>
  <c r="DA6" i="76"/>
  <c r="HW20" i="27"/>
  <c r="HV20" i="27"/>
  <c r="HU20" i="27"/>
  <c r="HT20" i="27"/>
  <c r="HW17" i="27"/>
  <c r="HV17" i="27"/>
  <c r="HU17" i="27"/>
  <c r="HT17" i="27"/>
  <c r="HW16" i="27"/>
  <c r="HV16" i="27"/>
  <c r="HU16" i="27"/>
  <c r="HT16" i="27"/>
  <c r="X8" i="76"/>
  <c r="X9" i="76"/>
  <c r="DD11" i="76"/>
  <c r="DC11" i="76"/>
  <c r="DB11" i="76"/>
  <c r="DA11" i="76"/>
  <c r="DA12" i="76" s="1"/>
  <c r="DD10" i="76"/>
  <c r="DC10" i="76"/>
  <c r="DB10" i="76"/>
  <c r="DA10" i="76"/>
  <c r="BI18" i="22"/>
  <c r="BI20" i="22"/>
  <c r="GZ26" i="22"/>
  <c r="GY26" i="22"/>
  <c r="GX26" i="22"/>
  <c r="GW26" i="22"/>
  <c r="GZ22" i="22"/>
  <c r="GZ23" i="22" s="1"/>
  <c r="GZ24" i="22" s="1"/>
  <c r="GY22" i="22"/>
  <c r="GY23" i="22" s="1"/>
  <c r="GY24" i="22" s="1"/>
  <c r="GX22" i="22"/>
  <c r="GX23" i="22" s="1"/>
  <c r="GX24" i="22" s="1"/>
  <c r="GW22" i="22"/>
  <c r="GW23" i="22" s="1"/>
  <c r="GW24" i="22" s="1"/>
  <c r="GZ19" i="22"/>
  <c r="GY19" i="22"/>
  <c r="GX19" i="22"/>
  <c r="GW19" i="22"/>
  <c r="GZ13" i="22"/>
  <c r="GY13" i="22"/>
  <c r="GX13" i="22"/>
  <c r="GW13" i="22"/>
  <c r="GZ12" i="22"/>
  <c r="GY12" i="22"/>
  <c r="GX12" i="22"/>
  <c r="GW12" i="22"/>
  <c r="GZ11" i="22"/>
  <c r="GY11" i="22"/>
  <c r="GX11" i="22"/>
  <c r="GW11" i="22"/>
  <c r="GZ10" i="22"/>
  <c r="GY10" i="22"/>
  <c r="GX10" i="22"/>
  <c r="GW10" i="22"/>
  <c r="AF10" i="69"/>
  <c r="AF8" i="69"/>
  <c r="AF7" i="69"/>
  <c r="AF13" i="69"/>
  <c r="EU19" i="69"/>
  <c r="ET19" i="69"/>
  <c r="ES19" i="69"/>
  <c r="ER19" i="69"/>
  <c r="EU14" i="69"/>
  <c r="EU15" i="69" s="1"/>
  <c r="EU16" i="69" s="1"/>
  <c r="ET14" i="69"/>
  <c r="ET15" i="69" s="1"/>
  <c r="ET16" i="69" s="1"/>
  <c r="ES14" i="69"/>
  <c r="ES15" i="69" s="1"/>
  <c r="ES16" i="69" s="1"/>
  <c r="ER14" i="69"/>
  <c r="ER15" i="69" s="1"/>
  <c r="ER16" i="69" s="1"/>
  <c r="EU11" i="69"/>
  <c r="ET11" i="69"/>
  <c r="ES11" i="69"/>
  <c r="ER11" i="69"/>
  <c r="EU9" i="69"/>
  <c r="ET9" i="69"/>
  <c r="ES9" i="69"/>
  <c r="ER9" i="69"/>
  <c r="AF13" i="65"/>
  <c r="EU18" i="65"/>
  <c r="ET18" i="65"/>
  <c r="ES18" i="65"/>
  <c r="ER18" i="65"/>
  <c r="EU14" i="65"/>
  <c r="EU15" i="65" s="1"/>
  <c r="EU16" i="65" s="1"/>
  <c r="ET14" i="65"/>
  <c r="ET15" i="65" s="1"/>
  <c r="ET16" i="65" s="1"/>
  <c r="ES14" i="65"/>
  <c r="ES15" i="65" s="1"/>
  <c r="ES16" i="65" s="1"/>
  <c r="ER14" i="65"/>
  <c r="ER15" i="65" s="1"/>
  <c r="ER16" i="65" s="1"/>
  <c r="AF9" i="69" l="1"/>
  <c r="AF11" i="69"/>
  <c r="ID18" i="27"/>
  <c r="ID19" i="27" s="1"/>
  <c r="IE6" i="27"/>
  <c r="DC12" i="76"/>
  <c r="DB12" i="76"/>
  <c r="HW18" i="27"/>
  <c r="HW19" i="27" s="1"/>
  <c r="HV18" i="27"/>
  <c r="HV19" i="27" s="1"/>
  <c r="HU18" i="27"/>
  <c r="HU19" i="27" s="1"/>
  <c r="HT18" i="27"/>
  <c r="HT19" i="27" s="1"/>
  <c r="DD12" i="76"/>
  <c r="U7" i="81"/>
  <c r="U8" i="81" s="1"/>
  <c r="U9" i="81" s="1"/>
  <c r="U10" i="81" s="1"/>
  <c r="CN8" i="81"/>
  <c r="CN9" i="81" s="1"/>
  <c r="CN10" i="81" s="1"/>
  <c r="CM8" i="81"/>
  <c r="CM9" i="81" s="1"/>
  <c r="CM10" i="81" s="1"/>
  <c r="CL8" i="81"/>
  <c r="CL9" i="81" s="1"/>
  <c r="CL10" i="81" s="1"/>
  <c r="CK8" i="81"/>
  <c r="CK9" i="81" s="1"/>
  <c r="CK10" i="81" s="1"/>
  <c r="Q6" i="83"/>
  <c r="Q7" i="83"/>
  <c r="P7" i="83"/>
  <c r="CI8" i="83"/>
  <c r="CI9" i="83" s="1"/>
  <c r="CI10" i="83" s="1"/>
  <c r="CH8" i="83"/>
  <c r="CH9" i="83" s="1"/>
  <c r="CH10" i="83" s="1"/>
  <c r="CG8" i="83"/>
  <c r="CG9" i="83" s="1"/>
  <c r="CG10" i="83" s="1"/>
  <c r="CF8" i="83"/>
  <c r="CF9" i="83" s="1"/>
  <c r="CF10" i="83" s="1"/>
  <c r="CZ11" i="76"/>
  <c r="CY11" i="76"/>
  <c r="CX11" i="76"/>
  <c r="CW11" i="76"/>
  <c r="CZ10" i="76"/>
  <c r="CY10" i="76"/>
  <c r="CX10" i="76"/>
  <c r="CW10" i="76"/>
  <c r="BI6" i="27"/>
  <c r="BI17" i="27"/>
  <c r="HS20" i="27"/>
  <c r="HR20" i="27"/>
  <c r="HQ20" i="27"/>
  <c r="HP20" i="27"/>
  <c r="HS17" i="27"/>
  <c r="HS18" i="27" s="1"/>
  <c r="HS19" i="27" s="1"/>
  <c r="HR17" i="27"/>
  <c r="HR18" i="27" s="1"/>
  <c r="HR19" i="27" s="1"/>
  <c r="HQ17" i="27"/>
  <c r="HQ18" i="27" s="1"/>
  <c r="HQ19" i="27" s="1"/>
  <c r="HP17" i="27"/>
  <c r="HP18" i="27" s="1"/>
  <c r="HP19" i="27" s="1"/>
  <c r="HS16" i="27"/>
  <c r="HR16" i="27"/>
  <c r="HQ16" i="27"/>
  <c r="HP16" i="27"/>
  <c r="BI28" i="22"/>
  <c r="BI27" i="22"/>
  <c r="BI21" i="22"/>
  <c r="BI23" i="22" s="1"/>
  <c r="BI24" i="22" s="1"/>
  <c r="BI25" i="22" s="1"/>
  <c r="BI13" i="22"/>
  <c r="BI10" i="22"/>
  <c r="BI7" i="22"/>
  <c r="BI12" i="22" s="1"/>
  <c r="GV26" i="22"/>
  <c r="GU26" i="22"/>
  <c r="GT26" i="22"/>
  <c r="GS26" i="22"/>
  <c r="GV22" i="22"/>
  <c r="GV23" i="22" s="1"/>
  <c r="GV24" i="22" s="1"/>
  <c r="GU22" i="22"/>
  <c r="GU23" i="22" s="1"/>
  <c r="GU24" i="22" s="1"/>
  <c r="GT22" i="22"/>
  <c r="GT23" i="22" s="1"/>
  <c r="GT24" i="22" s="1"/>
  <c r="GS22" i="22"/>
  <c r="GS23" i="22" s="1"/>
  <c r="GS24" i="22" s="1"/>
  <c r="GV19" i="22"/>
  <c r="BI19" i="22" s="1"/>
  <c r="GU19" i="22"/>
  <c r="GT19" i="22"/>
  <c r="GS19" i="22"/>
  <c r="GV13" i="22"/>
  <c r="GU13" i="22"/>
  <c r="GT13" i="22"/>
  <c r="GS13" i="22"/>
  <c r="GV12" i="22"/>
  <c r="GU12" i="22"/>
  <c r="GT12" i="22"/>
  <c r="GS12" i="22"/>
  <c r="GV11" i="22"/>
  <c r="GU11" i="22"/>
  <c r="GT11" i="22"/>
  <c r="GS11" i="22"/>
  <c r="GV10" i="22"/>
  <c r="GU10" i="22"/>
  <c r="GT10" i="22"/>
  <c r="GS10" i="22"/>
  <c r="EQ19" i="69"/>
  <c r="EP19" i="69"/>
  <c r="EO19" i="69"/>
  <c r="EN19" i="69"/>
  <c r="EQ14" i="69"/>
  <c r="EQ15" i="69" s="1"/>
  <c r="EQ16" i="69" s="1"/>
  <c r="EP14" i="69"/>
  <c r="EP15" i="69" s="1"/>
  <c r="EP16" i="69" s="1"/>
  <c r="EO14" i="69"/>
  <c r="EO15" i="69" s="1"/>
  <c r="EO16" i="69" s="1"/>
  <c r="EN14" i="69"/>
  <c r="EN15" i="69" s="1"/>
  <c r="EN16" i="69" s="1"/>
  <c r="EQ11" i="69"/>
  <c r="EP11" i="69"/>
  <c r="EO11" i="69"/>
  <c r="EN11" i="69"/>
  <c r="EQ9" i="69"/>
  <c r="EP9" i="69"/>
  <c r="EO9" i="69"/>
  <c r="EN9" i="69"/>
  <c r="AF14" i="69"/>
  <c r="EQ18" i="65"/>
  <c r="EP18" i="65"/>
  <c r="EO18" i="65"/>
  <c r="EN18" i="65"/>
  <c r="EQ14" i="65"/>
  <c r="EQ15" i="65" s="1"/>
  <c r="EQ16" i="65" s="1"/>
  <c r="EP14" i="65"/>
  <c r="EP15" i="65" s="1"/>
  <c r="EP16" i="65" s="1"/>
  <c r="EO14" i="65"/>
  <c r="EO15" i="65" s="1"/>
  <c r="EO16" i="65" s="1"/>
  <c r="EN14" i="65"/>
  <c r="EN15" i="65" s="1"/>
  <c r="EN16" i="65" s="1"/>
  <c r="AF14" i="65"/>
  <c r="AF15" i="65" s="1"/>
  <c r="AF16" i="65" s="1"/>
  <c r="CJ8" i="81"/>
  <c r="CJ9" i="81" s="1"/>
  <c r="CJ10" i="81" s="1"/>
  <c r="CI8" i="81"/>
  <c r="CI9" i="81" s="1"/>
  <c r="CI10" i="81" s="1"/>
  <c r="CH8" i="81"/>
  <c r="CH9" i="81" s="1"/>
  <c r="CH10" i="81" s="1"/>
  <c r="CG8" i="81"/>
  <c r="CG9" i="81" s="1"/>
  <c r="CG10" i="81" s="1"/>
  <c r="IE18" i="27" l="1"/>
  <c r="IE19" i="27" s="1"/>
  <c r="IF6" i="27"/>
  <c r="CX12" i="76"/>
  <c r="CY12" i="76"/>
  <c r="CZ12" i="76"/>
  <c r="CW12" i="76"/>
  <c r="BI18" i="27"/>
  <c r="BI19" i="27" s="1"/>
  <c r="BI16" i="27"/>
  <c r="AF15" i="69"/>
  <c r="AF16" i="69" s="1"/>
  <c r="IF18" i="27" l="1"/>
  <c r="IF19" i="27" s="1"/>
  <c r="IG6" i="27"/>
  <c r="Q8" i="83"/>
  <c r="Q9" i="83" s="1"/>
  <c r="Q10" i="83" s="1"/>
  <c r="CE8" i="83"/>
  <c r="CE9" i="83" s="1"/>
  <c r="CE10" i="83" s="1"/>
  <c r="CD8" i="83"/>
  <c r="CD9" i="83" s="1"/>
  <c r="CD10" i="83" s="1"/>
  <c r="CC8" i="83"/>
  <c r="CC9" i="83" s="1"/>
  <c r="CC10" i="83" s="1"/>
  <c r="CB8" i="83"/>
  <c r="CB9" i="83" s="1"/>
  <c r="CB10" i="83" s="1"/>
  <c r="BH14" i="27"/>
  <c r="BH12" i="27"/>
  <c r="BH11" i="27"/>
  <c r="EM18" i="65"/>
  <c r="EM14" i="65"/>
  <c r="EM15" i="65" s="1"/>
  <c r="EM16" i="65" s="1"/>
  <c r="IG18" i="27" l="1"/>
  <c r="IG19" i="27" s="1"/>
  <c r="IH6" i="27"/>
  <c r="T7" i="81"/>
  <c r="CF8" i="81"/>
  <c r="CF9" i="81" s="1"/>
  <c r="CF10" i="81" s="1"/>
  <c r="BH16" i="27"/>
  <c r="HO20" i="27"/>
  <c r="HO17" i="27"/>
  <c r="HO18" i="27" s="1"/>
  <c r="HO19" i="27" s="1"/>
  <c r="HO16" i="27"/>
  <c r="HN20" i="27"/>
  <c r="HN17" i="27"/>
  <c r="HN18" i="27" s="1"/>
  <c r="HN19" i="27" s="1"/>
  <c r="HN16" i="27"/>
  <c r="W9" i="76"/>
  <c r="W11" i="76" s="1"/>
  <c r="W8" i="76"/>
  <c r="CV11" i="76"/>
  <c r="CV10" i="76"/>
  <c r="CU11" i="76"/>
  <c r="CU10" i="76"/>
  <c r="BH20" i="22"/>
  <c r="BH21" i="22" s="1"/>
  <c r="BH23" i="22" s="1"/>
  <c r="BH24" i="22" s="1"/>
  <c r="BH25" i="22" s="1"/>
  <c r="BH18" i="22"/>
  <c r="GR19" i="22"/>
  <c r="BH19" i="22" s="1"/>
  <c r="GR26" i="22"/>
  <c r="GR22" i="22"/>
  <c r="GR23" i="22" s="1"/>
  <c r="GR24" i="22" s="1"/>
  <c r="GR13" i="22"/>
  <c r="GR12" i="22"/>
  <c r="GR11" i="22"/>
  <c r="GR10" i="22"/>
  <c r="GQ26" i="22"/>
  <c r="GQ22" i="22"/>
  <c r="GQ23" i="22" s="1"/>
  <c r="GQ24" i="22" s="1"/>
  <c r="GQ19" i="22"/>
  <c r="GQ13" i="22"/>
  <c r="GQ12" i="22"/>
  <c r="GQ11" i="22"/>
  <c r="GQ10" i="22"/>
  <c r="BH28" i="22"/>
  <c r="BH27" i="22"/>
  <c r="BH13" i="22"/>
  <c r="BH10" i="22"/>
  <c r="BH7" i="22"/>
  <c r="BH12" i="22" s="1"/>
  <c r="AE13" i="69"/>
  <c r="AE14" i="69" s="1"/>
  <c r="AE10" i="69"/>
  <c r="AE8" i="69"/>
  <c r="AE7" i="69"/>
  <c r="EM9" i="69"/>
  <c r="AE9" i="69" s="1"/>
  <c r="EM19" i="69"/>
  <c r="EM14" i="69"/>
  <c r="EM15" i="69" s="1"/>
  <c r="EM16" i="69" s="1"/>
  <c r="EM11" i="69"/>
  <c r="AE11" i="69" s="1"/>
  <c r="EL19" i="69"/>
  <c r="EL14" i="69"/>
  <c r="EL15" i="69" s="1"/>
  <c r="EL16" i="69" s="1"/>
  <c r="EL11" i="69"/>
  <c r="EL9" i="69"/>
  <c r="II6" i="27" l="1"/>
  <c r="IH18" i="27"/>
  <c r="IH19" i="27" s="1"/>
  <c r="CU12" i="76"/>
  <c r="BH17" i="27"/>
  <c r="BH18" i="27" s="1"/>
  <c r="BH19" i="27" s="1"/>
  <c r="CV12" i="76"/>
  <c r="W10" i="76"/>
  <c r="W12" i="76" s="1"/>
  <c r="AE15" i="69"/>
  <c r="AE16" i="69" s="1"/>
  <c r="AE13" i="65"/>
  <c r="AE14" i="65" s="1"/>
  <c r="AE15" i="65" s="1"/>
  <c r="AE16" i="65" s="1"/>
  <c r="EL18" i="65"/>
  <c r="EL14" i="65"/>
  <c r="EL15" i="65" s="1"/>
  <c r="EL16" i="65" s="1"/>
  <c r="T8" i="81"/>
  <c r="T9" i="81" s="1"/>
  <c r="T10" i="81" s="1"/>
  <c r="CE8" i="81"/>
  <c r="CE9" i="81" s="1"/>
  <c r="CE10" i="81" s="1"/>
  <c r="CA8" i="83"/>
  <c r="CA9" i="83" s="1"/>
  <c r="CA10" i="83" s="1"/>
  <c r="II18" i="27" l="1"/>
  <c r="II19" i="27" s="1"/>
  <c r="IJ6" i="27"/>
  <c r="P8" i="83"/>
  <c r="P9" i="83" s="1"/>
  <c r="P10" i="83" s="1"/>
  <c r="BZ8" i="83"/>
  <c r="BZ9" i="83" s="1"/>
  <c r="BZ10" i="83" s="1"/>
  <c r="HM20" i="27"/>
  <c r="HM17" i="27"/>
  <c r="HM18" i="27" s="1"/>
  <c r="HM19" i="27" s="1"/>
  <c r="HM16" i="27"/>
  <c r="CT11" i="76"/>
  <c r="CT10" i="76"/>
  <c r="GP26" i="22"/>
  <c r="GP22" i="22"/>
  <c r="GP23" i="22" s="1"/>
  <c r="GP24" i="22" s="1"/>
  <c r="GP19" i="22"/>
  <c r="GP13" i="22"/>
  <c r="GP12" i="22"/>
  <c r="GP11" i="22"/>
  <c r="GP10" i="22"/>
  <c r="EK19" i="69"/>
  <c r="EK14" i="69"/>
  <c r="EK15" i="69" s="1"/>
  <c r="EK16" i="69" s="1"/>
  <c r="EK11" i="69"/>
  <c r="EK9" i="69"/>
  <c r="EK18" i="65"/>
  <c r="EK14" i="65"/>
  <c r="EK15" i="65" s="1"/>
  <c r="EK16" i="65" s="1"/>
  <c r="EK10" i="65"/>
  <c r="CD8" i="81"/>
  <c r="CD9" i="81" s="1"/>
  <c r="CD10" i="81" s="1"/>
  <c r="BY8" i="83"/>
  <c r="BY9" i="83" s="1"/>
  <c r="BY10" i="83" s="1"/>
  <c r="BG12" i="27"/>
  <c r="BG11" i="27"/>
  <c r="BG14" i="27"/>
  <c r="BG16" i="27" s="1"/>
  <c r="HL20" i="27"/>
  <c r="HK20" i="27"/>
  <c r="HL17" i="27"/>
  <c r="HL18" i="27" s="1"/>
  <c r="HL19" i="27" s="1"/>
  <c r="HK17" i="27"/>
  <c r="HK18" i="27" s="1"/>
  <c r="HK19" i="27" s="1"/>
  <c r="HL16" i="27"/>
  <c r="HK16" i="27"/>
  <c r="V8" i="76"/>
  <c r="V9" i="76"/>
  <c r="V11" i="76" s="1"/>
  <c r="CS11" i="76"/>
  <c r="CR11" i="76"/>
  <c r="CS10" i="76"/>
  <c r="CR10" i="76"/>
  <c r="BG18" i="22"/>
  <c r="BG20" i="22"/>
  <c r="BG21" i="22" s="1"/>
  <c r="BG23" i="22" s="1"/>
  <c r="BG24" i="22" s="1"/>
  <c r="BG25" i="22" s="1"/>
  <c r="GO26" i="22"/>
  <c r="GN26" i="22"/>
  <c r="GO22" i="22"/>
  <c r="GO23" i="22" s="1"/>
  <c r="GO24" i="22" s="1"/>
  <c r="GN22" i="22"/>
  <c r="GN23" i="22" s="1"/>
  <c r="GN24" i="22" s="1"/>
  <c r="GO19" i="22"/>
  <c r="GN19" i="22"/>
  <c r="GO13" i="22"/>
  <c r="GN13" i="22"/>
  <c r="GO12" i="22"/>
  <c r="GN12" i="22"/>
  <c r="GO11" i="22"/>
  <c r="GN11" i="22"/>
  <c r="GO10" i="22"/>
  <c r="GN10" i="22"/>
  <c r="AD10" i="69"/>
  <c r="AD8" i="69"/>
  <c r="AD7" i="69"/>
  <c r="AD13" i="69"/>
  <c r="AD14" i="69" s="1"/>
  <c r="EJ19" i="69"/>
  <c r="EI19" i="69"/>
  <c r="EJ14" i="69"/>
  <c r="EJ15" i="69" s="1"/>
  <c r="EJ16" i="69" s="1"/>
  <c r="EI14" i="69"/>
  <c r="EI15" i="69" s="1"/>
  <c r="EI16" i="69" s="1"/>
  <c r="EJ11" i="69"/>
  <c r="EI11" i="69"/>
  <c r="EJ9" i="69"/>
  <c r="EI9" i="69"/>
  <c r="AD13" i="65"/>
  <c r="EI18" i="65"/>
  <c r="EJ18" i="65"/>
  <c r="EH18" i="65"/>
  <c r="EJ14" i="65"/>
  <c r="EJ15" i="65" s="1"/>
  <c r="EJ16" i="65" s="1"/>
  <c r="EI14" i="65"/>
  <c r="EI15" i="65" s="1"/>
  <c r="EI16" i="65" s="1"/>
  <c r="EJ10" i="65"/>
  <c r="EI10" i="65"/>
  <c r="S7" i="81"/>
  <c r="CC8" i="81"/>
  <c r="CC9" i="81" s="1"/>
  <c r="CC10" i="81" s="1"/>
  <c r="CB8" i="81"/>
  <c r="CB9" i="81" s="1"/>
  <c r="CB10" i="81" s="1"/>
  <c r="O7" i="83"/>
  <c r="BX8" i="83"/>
  <c r="BX9" i="83" s="1"/>
  <c r="BX10" i="83" s="1"/>
  <c r="BW8" i="83"/>
  <c r="BW9" i="83" s="1"/>
  <c r="BW10" i="83" s="1"/>
  <c r="HJ20" i="27"/>
  <c r="HJ17" i="27"/>
  <c r="HJ18" i="27" s="1"/>
  <c r="HJ19" i="27" s="1"/>
  <c r="HJ16" i="27"/>
  <c r="CQ11" i="76"/>
  <c r="CQ10" i="76"/>
  <c r="GM26" i="22"/>
  <c r="GM22" i="22"/>
  <c r="GM23" i="22" s="1"/>
  <c r="GM24" i="22" s="1"/>
  <c r="GM19" i="22"/>
  <c r="GM13" i="22"/>
  <c r="GM12" i="22"/>
  <c r="GM11" i="22"/>
  <c r="GM10" i="22"/>
  <c r="EH19" i="69"/>
  <c r="EH14" i="69"/>
  <c r="EH15" i="69" s="1"/>
  <c r="EH16" i="69" s="1"/>
  <c r="EH11" i="69"/>
  <c r="EH9" i="69"/>
  <c r="EH14" i="65"/>
  <c r="EH15" i="65" s="1"/>
  <c r="EH16" i="65" s="1"/>
  <c r="EH10" i="65"/>
  <c r="CA8" i="81"/>
  <c r="CA9" i="81" s="1"/>
  <c r="CA10" i="81" s="1"/>
  <c r="BV8" i="83"/>
  <c r="BV9" i="83" s="1"/>
  <c r="BV10" i="83" s="1"/>
  <c r="BG13" i="22"/>
  <c r="BG28" i="22"/>
  <c r="BG27" i="22"/>
  <c r="BG10" i="22"/>
  <c r="BG7" i="22"/>
  <c r="BG12" i="22" s="1"/>
  <c r="R9" i="69"/>
  <c r="IJ18" i="27" l="1"/>
  <c r="IJ19" i="27" s="1"/>
  <c r="IK6" i="27"/>
  <c r="AD11" i="69"/>
  <c r="AD15" i="69"/>
  <c r="AD16" i="69" s="1"/>
  <c r="CT12" i="76"/>
  <c r="CQ12" i="76"/>
  <c r="CS12" i="76"/>
  <c r="BG19" i="22"/>
  <c r="AD9" i="69"/>
  <c r="CR12" i="76"/>
  <c r="BG17" i="27"/>
  <c r="BG18" i="27" s="1"/>
  <c r="BG19" i="27" s="1"/>
  <c r="V10" i="76"/>
  <c r="V12" i="76" s="1"/>
  <c r="IK18" i="27" l="1"/>
  <c r="IK19" i="27" s="1"/>
  <c r="IL6" i="27"/>
  <c r="AD14" i="65"/>
  <c r="AD15" i="65" s="1"/>
  <c r="AD16" i="65" s="1"/>
  <c r="S8" i="81"/>
  <c r="S9" i="81" s="1"/>
  <c r="S10" i="81" s="1"/>
  <c r="IL18" i="27" l="1"/>
  <c r="IL19" i="27" s="1"/>
  <c r="IM6" i="27"/>
  <c r="O8" i="83"/>
  <c r="O9" i="83" s="1"/>
  <c r="O10" i="83" s="1"/>
  <c r="BF12" i="27"/>
  <c r="BF11" i="27"/>
  <c r="HI20" i="27"/>
  <c r="HI17" i="27"/>
  <c r="HI18" i="27" s="1"/>
  <c r="HI19" i="27" s="1"/>
  <c r="HI16" i="27"/>
  <c r="U9" i="76"/>
  <c r="U8" i="76"/>
  <c r="CP11" i="76"/>
  <c r="CP10" i="76"/>
  <c r="BF20" i="22"/>
  <c r="BF18" i="22"/>
  <c r="GL26" i="22"/>
  <c r="GL22" i="22"/>
  <c r="GL23" i="22" s="1"/>
  <c r="GL24" i="22" s="1"/>
  <c r="GL19" i="22"/>
  <c r="GL13" i="22"/>
  <c r="GL12" i="22"/>
  <c r="GL11" i="22"/>
  <c r="GL10" i="22"/>
  <c r="EG19" i="69"/>
  <c r="EG14" i="69"/>
  <c r="EG15" i="69" s="1"/>
  <c r="EG16" i="69" s="1"/>
  <c r="EG11" i="69"/>
  <c r="EG9" i="69"/>
  <c r="EG14" i="65"/>
  <c r="EG15" i="65" s="1"/>
  <c r="EG16" i="65" s="1"/>
  <c r="EG10" i="65"/>
  <c r="BZ8" i="81"/>
  <c r="BZ9" i="81" s="1"/>
  <c r="BZ10" i="81" s="1"/>
  <c r="IM18" i="27" l="1"/>
  <c r="IM19" i="27" s="1"/>
  <c r="IN6" i="27"/>
  <c r="CP12" i="76"/>
  <c r="BU8" i="83"/>
  <c r="BU9" i="83" s="1"/>
  <c r="BU10" i="83" s="1"/>
  <c r="HH20" i="27"/>
  <c r="HH17" i="27"/>
  <c r="HH18" i="27" s="1"/>
  <c r="HH19" i="27" s="1"/>
  <c r="HH16" i="27"/>
  <c r="CO11" i="76"/>
  <c r="CO10" i="76"/>
  <c r="GK26" i="22"/>
  <c r="GK22" i="22"/>
  <c r="GK23" i="22" s="1"/>
  <c r="GK24" i="22" s="1"/>
  <c r="GK19" i="22"/>
  <c r="GK13" i="22"/>
  <c r="GK12" i="22"/>
  <c r="GK11" i="22"/>
  <c r="GK10" i="22"/>
  <c r="EF19" i="69"/>
  <c r="EF14" i="69"/>
  <c r="EF15" i="69" s="1"/>
  <c r="EF16" i="69" s="1"/>
  <c r="EF11" i="69"/>
  <c r="EF9" i="69"/>
  <c r="EF14" i="65"/>
  <c r="EF15" i="65" s="1"/>
  <c r="EF16" i="65" s="1"/>
  <c r="EF10" i="65"/>
  <c r="BY8" i="81"/>
  <c r="BY9" i="81" s="1"/>
  <c r="BY10" i="81" s="1"/>
  <c r="BT8" i="83"/>
  <c r="BT9" i="83" s="1"/>
  <c r="BT10" i="83" s="1"/>
  <c r="GA17" i="27"/>
  <c r="GB17" i="27"/>
  <c r="GC17" i="27"/>
  <c r="GD17" i="27"/>
  <c r="GE17" i="27"/>
  <c r="GF17" i="27"/>
  <c r="GG17" i="27"/>
  <c r="GH17" i="27"/>
  <c r="GI17" i="27"/>
  <c r="GJ17" i="27"/>
  <c r="GK17" i="27"/>
  <c r="GL17" i="27"/>
  <c r="GM17" i="27"/>
  <c r="GN17" i="27"/>
  <c r="GO17" i="27"/>
  <c r="GP17" i="27"/>
  <c r="GQ17" i="27"/>
  <c r="GR17" i="27"/>
  <c r="GS17" i="27"/>
  <c r="GT17" i="27"/>
  <c r="GU17" i="27"/>
  <c r="GV17" i="27"/>
  <c r="GW17" i="27"/>
  <c r="GX17" i="27"/>
  <c r="GY17" i="27"/>
  <c r="GZ17" i="27"/>
  <c r="HA17" i="27"/>
  <c r="HB17" i="27"/>
  <c r="HC17" i="27"/>
  <c r="HD17" i="27"/>
  <c r="HE17" i="27"/>
  <c r="HE18" i="27" s="1"/>
  <c r="HE19" i="27" s="1"/>
  <c r="HF17" i="27"/>
  <c r="HF18" i="27" s="1"/>
  <c r="HF19" i="27" s="1"/>
  <c r="HG17" i="27"/>
  <c r="HG18" i="27" s="1"/>
  <c r="HG19" i="27" s="1"/>
  <c r="BF14" i="27"/>
  <c r="BF16" i="27" s="1"/>
  <c r="HG20" i="27"/>
  <c r="HG16" i="27"/>
  <c r="U11" i="76"/>
  <c r="CN11" i="76"/>
  <c r="CM11" i="76"/>
  <c r="CN10" i="76"/>
  <c r="CM10" i="76"/>
  <c r="BF21" i="22"/>
  <c r="BF23" i="22" s="1"/>
  <c r="BF24" i="22" s="1"/>
  <c r="BF25" i="22" s="1"/>
  <c r="GJ22" i="22"/>
  <c r="GJ26" i="22"/>
  <c r="GJ23" i="22"/>
  <c r="GJ24" i="22" s="1"/>
  <c r="GJ19" i="22"/>
  <c r="GJ13" i="22"/>
  <c r="GJ12" i="22"/>
  <c r="GJ11" i="22"/>
  <c r="GJ10" i="22"/>
  <c r="GI26" i="22"/>
  <c r="GI22" i="22"/>
  <c r="GI23" i="22" s="1"/>
  <c r="GI24" i="22" s="1"/>
  <c r="GI19" i="22"/>
  <c r="GI13" i="22"/>
  <c r="GI12" i="22"/>
  <c r="GI11" i="22"/>
  <c r="GI10" i="22"/>
  <c r="AC13" i="69"/>
  <c r="AC14" i="69" s="1"/>
  <c r="AC15" i="69" s="1"/>
  <c r="AC16" i="69" s="1"/>
  <c r="EE19" i="69"/>
  <c r="EE14" i="69"/>
  <c r="EE15" i="69" s="1"/>
  <c r="EE16" i="69" s="1"/>
  <c r="EE11" i="69"/>
  <c r="EE9" i="69"/>
  <c r="ED19" i="69"/>
  <c r="ED14" i="69"/>
  <c r="ED15" i="69" s="1"/>
  <c r="ED16" i="69" s="1"/>
  <c r="ED11" i="69"/>
  <c r="ED9" i="69"/>
  <c r="AC13" i="65"/>
  <c r="AC14" i="65" s="1"/>
  <c r="AC15" i="65" s="1"/>
  <c r="AC16" i="65" s="1"/>
  <c r="EE14" i="65"/>
  <c r="EE15" i="65" s="1"/>
  <c r="EE16" i="65" s="1"/>
  <c r="ED14" i="65"/>
  <c r="ED15" i="65" s="1"/>
  <c r="ED16" i="65" s="1"/>
  <c r="EE10" i="65"/>
  <c r="ED10" i="65"/>
  <c r="R7" i="81"/>
  <c r="R8" i="81" s="1"/>
  <c r="R9" i="81" s="1"/>
  <c r="R10" i="81" s="1"/>
  <c r="BX8" i="81"/>
  <c r="BX9" i="81" s="1"/>
  <c r="BX10" i="81" s="1"/>
  <c r="BW8" i="81"/>
  <c r="BW9" i="81" s="1"/>
  <c r="BW10" i="81" s="1"/>
  <c r="N7" i="83"/>
  <c r="N8" i="83" s="1"/>
  <c r="N9" i="83" s="1"/>
  <c r="N10" i="83" s="1"/>
  <c r="BS8" i="83"/>
  <c r="BS9" i="83" s="1"/>
  <c r="BS10" i="83" s="1"/>
  <c r="BR8" i="83"/>
  <c r="BR9" i="83" s="1"/>
  <c r="BR10" i="83" s="1"/>
  <c r="HF20" i="27"/>
  <c r="HF16" i="27"/>
  <c r="HE20" i="27"/>
  <c r="HE16" i="27"/>
  <c r="U6" i="76"/>
  <c r="V6" i="76" s="1"/>
  <c r="W6" i="76" s="1"/>
  <c r="X6" i="76" s="1"/>
  <c r="Y6" i="76" s="1"/>
  <c r="Z6" i="76" s="1"/>
  <c r="AA6" i="76" s="1"/>
  <c r="AB6" i="76" s="1"/>
  <c r="AC6" i="76" s="1"/>
  <c r="AD6" i="76" s="1"/>
  <c r="AE6" i="76" s="1"/>
  <c r="CL11" i="76"/>
  <c r="CL10" i="76"/>
  <c r="BF28" i="22"/>
  <c r="BF27" i="22"/>
  <c r="BF13" i="22"/>
  <c r="BF10" i="22"/>
  <c r="BF7" i="22"/>
  <c r="BF12" i="22" s="1"/>
  <c r="GH26" i="22"/>
  <c r="GH22" i="22"/>
  <c r="GH23" i="22" s="1"/>
  <c r="GH24" i="22" s="1"/>
  <c r="GH19" i="22"/>
  <c r="GH13" i="22"/>
  <c r="GH12" i="22"/>
  <c r="GH11" i="22"/>
  <c r="GH10" i="22"/>
  <c r="AC11" i="69"/>
  <c r="AC9" i="69"/>
  <c r="EC19" i="69"/>
  <c r="EC14" i="69"/>
  <c r="EC15" i="69" s="1"/>
  <c r="EC16" i="69" s="1"/>
  <c r="EC11" i="69"/>
  <c r="EC9" i="69"/>
  <c r="EC14" i="65"/>
  <c r="EC15" i="65" s="1"/>
  <c r="EC16" i="65" s="1"/>
  <c r="EC10" i="65"/>
  <c r="BV8" i="81"/>
  <c r="BV9" i="81" s="1"/>
  <c r="BV10" i="81" s="1"/>
  <c r="AE7" i="76" l="1"/>
  <c r="AE11" i="76" s="1"/>
  <c r="AE12" i="76" s="1"/>
  <c r="AF6" i="76"/>
  <c r="IO6" i="27"/>
  <c r="IN18" i="27"/>
  <c r="IN19" i="27" s="1"/>
  <c r="CL12" i="76"/>
  <c r="BF19" i="22"/>
  <c r="CO12" i="76"/>
  <c r="CM12" i="76"/>
  <c r="CN12" i="76"/>
  <c r="BF17" i="27"/>
  <c r="BF18" i="27" s="1"/>
  <c r="BF19" i="27" s="1"/>
  <c r="U10" i="76"/>
  <c r="U12" i="76" s="1"/>
  <c r="AF7" i="76" l="1"/>
  <c r="AF11" i="76" s="1"/>
  <c r="AF12" i="76" s="1"/>
  <c r="AG6" i="76"/>
  <c r="IP6" i="27"/>
  <c r="IO18" i="27"/>
  <c r="IO19" i="27" s="1"/>
  <c r="BQ8" i="83"/>
  <c r="BQ9" i="83" s="1"/>
  <c r="BQ10" i="83" s="1"/>
  <c r="HD20" i="27"/>
  <c r="HD18" i="27"/>
  <c r="HD19" i="27" s="1"/>
  <c r="HD16" i="27"/>
  <c r="CK11" i="76"/>
  <c r="CK10" i="76"/>
  <c r="GG26" i="22"/>
  <c r="GG22" i="22"/>
  <c r="GG23" i="22" s="1"/>
  <c r="GG24" i="22" s="1"/>
  <c r="GG19" i="22"/>
  <c r="GG13" i="22"/>
  <c r="GG12" i="22"/>
  <c r="GG11" i="22"/>
  <c r="GG10" i="22"/>
  <c r="EB19" i="69"/>
  <c r="EB14" i="69"/>
  <c r="EB15" i="69" s="1"/>
  <c r="EB16" i="69" s="1"/>
  <c r="EB11" i="69"/>
  <c r="EB9" i="69"/>
  <c r="EB14" i="65"/>
  <c r="EB15" i="65" s="1"/>
  <c r="EB16" i="65" s="1"/>
  <c r="EB10" i="65"/>
  <c r="AG7" i="76" l="1"/>
  <c r="AG11" i="76" s="1"/>
  <c r="AG12" i="76" s="1"/>
  <c r="AH7" i="76"/>
  <c r="AH11" i="76" s="1"/>
  <c r="AH12" i="76" s="1"/>
  <c r="IQ6" i="27"/>
  <c r="IP18" i="27"/>
  <c r="IP19" i="27" s="1"/>
  <c r="CK12" i="76"/>
  <c r="BU8" i="81"/>
  <c r="BU9" i="81" s="1"/>
  <c r="BU10" i="81" s="1"/>
  <c r="BP8" i="83"/>
  <c r="BP9" i="83" s="1"/>
  <c r="BP10" i="83" s="1"/>
  <c r="HC20" i="27"/>
  <c r="HC18" i="27"/>
  <c r="HC19" i="27" s="1"/>
  <c r="HC16" i="27"/>
  <c r="CJ11" i="76"/>
  <c r="CJ10" i="76"/>
  <c r="GF26" i="22"/>
  <c r="GF22" i="22"/>
  <c r="GF23" i="22" s="1"/>
  <c r="GF24" i="22" s="1"/>
  <c r="GF19" i="22"/>
  <c r="GF13" i="22"/>
  <c r="GF12" i="22"/>
  <c r="GF11" i="22"/>
  <c r="GF10" i="22"/>
  <c r="EA19" i="69"/>
  <c r="EA14" i="69"/>
  <c r="EA15" i="69" s="1"/>
  <c r="EA16" i="69" s="1"/>
  <c r="EA11" i="69"/>
  <c r="EA9" i="69"/>
  <c r="EA14" i="65"/>
  <c r="EA15" i="65" s="1"/>
  <c r="EA16" i="65" s="1"/>
  <c r="EA10" i="65"/>
  <c r="BT8" i="81"/>
  <c r="BT9" i="81" s="1"/>
  <c r="BT10" i="81" s="1"/>
  <c r="BO8" i="83"/>
  <c r="BO9" i="83" s="1"/>
  <c r="BO10" i="83" s="1"/>
  <c r="BE14" i="27"/>
  <c r="BE17" i="27" s="1"/>
  <c r="BE18" i="27" s="1"/>
  <c r="BE19" i="27" s="1"/>
  <c r="BE12" i="27"/>
  <c r="BE11" i="27"/>
  <c r="HB20" i="27"/>
  <c r="HB18" i="27"/>
  <c r="HB19" i="27" s="1"/>
  <c r="HB16" i="27"/>
  <c r="T9" i="76"/>
  <c r="T11" i="76" s="1"/>
  <c r="T8" i="76"/>
  <c r="CI11" i="76"/>
  <c r="CI10" i="76"/>
  <c r="BE20" i="22"/>
  <c r="BE21" i="22" s="1"/>
  <c r="BE23" i="22" s="1"/>
  <c r="BE24" i="22" s="1"/>
  <c r="BE25" i="22" s="1"/>
  <c r="BE18" i="22"/>
  <c r="GE26" i="22"/>
  <c r="GE22" i="22"/>
  <c r="GE23" i="22" s="1"/>
  <c r="GE24" i="22" s="1"/>
  <c r="GE19" i="22"/>
  <c r="GE13" i="22"/>
  <c r="GE12" i="22"/>
  <c r="GE11" i="22"/>
  <c r="GE10" i="22"/>
  <c r="AB13" i="69"/>
  <c r="AB14" i="69" s="1"/>
  <c r="AB15" i="69" s="1"/>
  <c r="AB16" i="69" s="1"/>
  <c r="DZ19" i="69"/>
  <c r="DZ14" i="69"/>
  <c r="DZ15" i="69" s="1"/>
  <c r="DZ16" i="69" s="1"/>
  <c r="DZ11" i="69"/>
  <c r="DZ9" i="69"/>
  <c r="AB13" i="65"/>
  <c r="AB14" i="65" s="1"/>
  <c r="AB15" i="65" s="1"/>
  <c r="AB16" i="65" s="1"/>
  <c r="DZ14" i="65"/>
  <c r="DZ15" i="65" s="1"/>
  <c r="DZ16" i="65" s="1"/>
  <c r="DZ10" i="65"/>
  <c r="Q7" i="81"/>
  <c r="Q8" i="81" s="1"/>
  <c r="Q9" i="81" s="1"/>
  <c r="Q10" i="81" s="1"/>
  <c r="BS8" i="81"/>
  <c r="BS9" i="81" s="1"/>
  <c r="BS10" i="81" s="1"/>
  <c r="L7" i="83"/>
  <c r="M7" i="83"/>
  <c r="M8" i="83" s="1"/>
  <c r="M9" i="83" s="1"/>
  <c r="M10" i="83" s="1"/>
  <c r="BN8" i="83"/>
  <c r="BN9" i="83" s="1"/>
  <c r="BN10" i="83" s="1"/>
  <c r="HA20" i="27"/>
  <c r="HA18" i="27"/>
  <c r="HA19" i="27" s="1"/>
  <c r="HA16" i="27"/>
  <c r="T6" i="76"/>
  <c r="CH11" i="76"/>
  <c r="CH10" i="76"/>
  <c r="BE28" i="22"/>
  <c r="BE27" i="22"/>
  <c r="BE13" i="22"/>
  <c r="BE10" i="22"/>
  <c r="BE7" i="22"/>
  <c r="BE12" i="22" s="1"/>
  <c r="GD26" i="22"/>
  <c r="GD22" i="22"/>
  <c r="GD23" i="22" s="1"/>
  <c r="GD24" i="22" s="1"/>
  <c r="GD19" i="22"/>
  <c r="GD13" i="22"/>
  <c r="GD12" i="22"/>
  <c r="GD11" i="22"/>
  <c r="GD10" i="22"/>
  <c r="AB11" i="69"/>
  <c r="AB9" i="69"/>
  <c r="DY19" i="69"/>
  <c r="DY14" i="69"/>
  <c r="DY15" i="69" s="1"/>
  <c r="DY16" i="69" s="1"/>
  <c r="DY11" i="69"/>
  <c r="DY9" i="69"/>
  <c r="DY14" i="65"/>
  <c r="DY15" i="65" s="1"/>
  <c r="DY16" i="65" s="1"/>
  <c r="DY10" i="65"/>
  <c r="BR8" i="81"/>
  <c r="BR9" i="81" s="1"/>
  <c r="BR10" i="81" s="1"/>
  <c r="BM8" i="83"/>
  <c r="BM9" i="83" s="1"/>
  <c r="BM10" i="83" s="1"/>
  <c r="CI12" i="76" l="1"/>
  <c r="IR6" i="27"/>
  <c r="IQ18" i="27"/>
  <c r="IQ19" i="27" s="1"/>
  <c r="BE19" i="22"/>
  <c r="CJ12" i="76"/>
  <c r="BE16" i="27"/>
  <c r="T10" i="76"/>
  <c r="T12" i="76" s="1"/>
  <c r="CH12" i="76"/>
  <c r="IR18" i="27" l="1"/>
  <c r="IR19" i="27" s="1"/>
  <c r="BD12" i="27"/>
  <c r="BD11" i="27"/>
  <c r="BD14" i="27"/>
  <c r="GZ20" i="27"/>
  <c r="GZ18" i="27"/>
  <c r="GZ19" i="27" s="1"/>
  <c r="GZ16" i="27"/>
  <c r="GY20" i="27"/>
  <c r="GY18" i="27"/>
  <c r="GY19" i="27" s="1"/>
  <c r="GY16" i="27"/>
  <c r="S9" i="76"/>
  <c r="S8" i="76"/>
  <c r="CG11" i="76"/>
  <c r="CG10" i="76"/>
  <c r="CF11" i="76"/>
  <c r="CF10" i="76"/>
  <c r="BD18" i="22"/>
  <c r="GC19" i="22"/>
  <c r="GB19" i="22"/>
  <c r="GA19" i="22"/>
  <c r="BD20" i="22"/>
  <c r="GC26" i="22"/>
  <c r="GB26" i="22"/>
  <c r="GC22" i="22"/>
  <c r="GC23" i="22" s="1"/>
  <c r="GC24" i="22" s="1"/>
  <c r="GB22" i="22"/>
  <c r="GB23" i="22" s="1"/>
  <c r="GB24" i="22" s="1"/>
  <c r="GC13" i="22"/>
  <c r="GB13" i="22"/>
  <c r="GC12" i="22"/>
  <c r="GB12" i="22"/>
  <c r="GC11" i="22"/>
  <c r="GB11" i="22"/>
  <c r="GC10" i="22"/>
  <c r="GB10" i="22"/>
  <c r="AA13" i="69"/>
  <c r="DV19" i="69"/>
  <c r="DW19" i="69"/>
  <c r="DX19" i="69"/>
  <c r="DX14" i="69"/>
  <c r="DX15" i="69" s="1"/>
  <c r="DX16" i="69" s="1"/>
  <c r="DX11" i="69"/>
  <c r="DX9" i="69"/>
  <c r="DW14" i="69"/>
  <c r="DW15" i="69" s="1"/>
  <c r="DW16" i="69" s="1"/>
  <c r="DW11" i="69"/>
  <c r="DW9" i="69"/>
  <c r="DV14" i="69"/>
  <c r="DV15" i="69" s="1"/>
  <c r="DV16" i="69" s="1"/>
  <c r="DV11" i="69"/>
  <c r="DV9" i="69"/>
  <c r="BD19" i="22" l="1"/>
  <c r="IS18" i="27"/>
  <c r="IS19" i="27" s="1"/>
  <c r="CF12" i="76"/>
  <c r="CG12" i="76"/>
  <c r="DX14" i="65"/>
  <c r="DX15" i="65" s="1"/>
  <c r="DX16" i="65" s="1"/>
  <c r="DX10" i="65"/>
  <c r="BQ8" i="81"/>
  <c r="BQ9" i="81" s="1"/>
  <c r="BQ10" i="81" s="1"/>
  <c r="BL8" i="83"/>
  <c r="BL9" i="83" s="1"/>
  <c r="BL10" i="83" s="1"/>
  <c r="AA13" i="65"/>
  <c r="DW14" i="65"/>
  <c r="DW15" i="65" s="1"/>
  <c r="DW16" i="65" s="1"/>
  <c r="DW10" i="65"/>
  <c r="BP8" i="81"/>
  <c r="BP9" i="81" s="1"/>
  <c r="BP10" i="81" s="1"/>
  <c r="BK8" i="83"/>
  <c r="BK9" i="83" s="1"/>
  <c r="BK10" i="83" s="1"/>
  <c r="R8" i="76"/>
  <c r="DV10" i="65"/>
  <c r="GX20" i="27"/>
  <c r="GW20" i="27"/>
  <c r="GX18" i="27"/>
  <c r="GX19" i="27" s="1"/>
  <c r="GW18" i="27"/>
  <c r="GW19" i="27" s="1"/>
  <c r="GX16" i="27"/>
  <c r="GW16" i="27"/>
  <c r="GW8" i="27"/>
  <c r="CE11" i="76"/>
  <c r="CE10" i="76"/>
  <c r="CD11" i="76"/>
  <c r="CD10" i="76"/>
  <c r="S6" i="76"/>
  <c r="GA26" i="22"/>
  <c r="FZ26" i="22"/>
  <c r="GA22" i="22"/>
  <c r="GA23" i="22" s="1"/>
  <c r="GA24" i="22" s="1"/>
  <c r="FZ22" i="22"/>
  <c r="FZ23" i="22" s="1"/>
  <c r="FZ24" i="22" s="1"/>
  <c r="FZ19" i="22"/>
  <c r="GA13" i="22"/>
  <c r="FZ13" i="22"/>
  <c r="GA12" i="22"/>
  <c r="FZ12" i="22"/>
  <c r="GA11" i="22"/>
  <c r="FZ11" i="22"/>
  <c r="GA10" i="22"/>
  <c r="FZ10" i="22"/>
  <c r="AA11" i="69"/>
  <c r="AA9" i="69"/>
  <c r="DU19" i="69"/>
  <c r="DU14" i="69"/>
  <c r="DU15" i="69" s="1"/>
  <c r="DU16" i="69" s="1"/>
  <c r="DU11" i="69"/>
  <c r="DU9" i="69"/>
  <c r="IT18" i="27" l="1"/>
  <c r="IT19" i="27" s="1"/>
  <c r="CD12" i="76"/>
  <c r="CE12" i="76"/>
  <c r="DV14" i="65"/>
  <c r="DV15" i="65" s="1"/>
  <c r="DV16" i="65" s="1"/>
  <c r="DU14" i="65"/>
  <c r="DU15" i="65" s="1"/>
  <c r="DU16" i="65" s="1"/>
  <c r="DU10" i="65"/>
  <c r="P7" i="81"/>
  <c r="BO8" i="81"/>
  <c r="BO9" i="81" s="1"/>
  <c r="BO10" i="81" s="1"/>
  <c r="BN8" i="81"/>
  <c r="BN9" i="81" s="1"/>
  <c r="BN10" i="81" s="1"/>
  <c r="BJ8" i="83"/>
  <c r="BJ9" i="83" s="1"/>
  <c r="BJ10" i="83" s="1"/>
  <c r="BI8" i="83"/>
  <c r="BI9" i="83" s="1"/>
  <c r="BI10" i="83" s="1"/>
  <c r="IU18" i="27" l="1"/>
  <c r="IU19" i="27" s="1"/>
  <c r="P8" i="81"/>
  <c r="P9" i="81" s="1"/>
  <c r="P10" i="81" s="1"/>
  <c r="L8" i="83"/>
  <c r="L9" i="83" s="1"/>
  <c r="L10" i="83" s="1"/>
  <c r="IV18" i="27" l="1"/>
  <c r="IV19" i="27" s="1"/>
  <c r="BD28" i="22"/>
  <c r="BD27" i="22"/>
  <c r="BD21" i="22"/>
  <c r="BD23" i="22" s="1"/>
  <c r="BD24" i="22" s="1"/>
  <c r="BD25" i="22" s="1"/>
  <c r="BD13" i="22"/>
  <c r="BD10" i="22"/>
  <c r="BD7" i="22"/>
  <c r="BD12" i="22" s="1"/>
  <c r="IW18" i="27" l="1"/>
  <c r="IW19" i="27" s="1"/>
  <c r="BD17" i="27"/>
  <c r="BD18" i="27" s="1"/>
  <c r="BD19" i="27" s="1"/>
  <c r="BD16" i="27"/>
  <c r="GV20" i="27"/>
  <c r="GV18" i="27"/>
  <c r="GV19" i="27" s="1"/>
  <c r="GV16" i="27"/>
  <c r="GV8" i="27"/>
  <c r="S11" i="76"/>
  <c r="CC11" i="76"/>
  <c r="CC10" i="76"/>
  <c r="IX18" i="27" l="1"/>
  <c r="IX19" i="27" s="1"/>
  <c r="CC12" i="76"/>
  <c r="S10" i="76"/>
  <c r="S12" i="76" s="1"/>
  <c r="IY18" i="27" l="1"/>
  <c r="IY19" i="27" s="1"/>
  <c r="FY26" i="22"/>
  <c r="FY22" i="22"/>
  <c r="FY23" i="22" s="1"/>
  <c r="FY24" i="22" s="1"/>
  <c r="FY19" i="22"/>
  <c r="FY13" i="22"/>
  <c r="FY12" i="22"/>
  <c r="FY11" i="22"/>
  <c r="FY10" i="22"/>
  <c r="AA14" i="69"/>
  <c r="AA15" i="69" s="1"/>
  <c r="AA16" i="69" s="1"/>
  <c r="DT19" i="69"/>
  <c r="DT14" i="69"/>
  <c r="DT15" i="69" s="1"/>
  <c r="DT16" i="69" s="1"/>
  <c r="DT11" i="69"/>
  <c r="DT9" i="69"/>
  <c r="DT14" i="65"/>
  <c r="DT15" i="65" s="1"/>
  <c r="DT16" i="65" s="1"/>
  <c r="DT10" i="65"/>
  <c r="AA14" i="65"/>
  <c r="BM8" i="81"/>
  <c r="BM9" i="81" s="1"/>
  <c r="BM10" i="81" s="1"/>
  <c r="BH8" i="83"/>
  <c r="BH9" i="83" s="1"/>
  <c r="BH10" i="83" s="1"/>
  <c r="GH18" i="27"/>
  <c r="GI18" i="27"/>
  <c r="GJ18" i="27"/>
  <c r="GK18" i="27"/>
  <c r="GL18" i="27"/>
  <c r="GM18" i="27"/>
  <c r="GN18" i="27"/>
  <c r="GO18" i="27"/>
  <c r="GP18" i="27"/>
  <c r="GQ18" i="27"/>
  <c r="GR18" i="27"/>
  <c r="GS18" i="27"/>
  <c r="GS19" i="27" s="1"/>
  <c r="GT18" i="27"/>
  <c r="GT19" i="27" s="1"/>
  <c r="GU18" i="27"/>
  <c r="GU19" i="27" s="1"/>
  <c r="GD18" i="27"/>
  <c r="GE18" i="27"/>
  <c r="GF18" i="27"/>
  <c r="GG18" i="27"/>
  <c r="GU20" i="27"/>
  <c r="GU16" i="27"/>
  <c r="GU8" i="27"/>
  <c r="CB11" i="76"/>
  <c r="CB10" i="76"/>
  <c r="FX26" i="22"/>
  <c r="FX22" i="22"/>
  <c r="FX23" i="22" s="1"/>
  <c r="FX24" i="22" s="1"/>
  <c r="FX19" i="22"/>
  <c r="FX13" i="22"/>
  <c r="FX12" i="22"/>
  <c r="FX11" i="22"/>
  <c r="FX10" i="22"/>
  <c r="DS19" i="69"/>
  <c r="DS14" i="69"/>
  <c r="DS15" i="69" s="1"/>
  <c r="DS16" i="69" s="1"/>
  <c r="DS11" i="69"/>
  <c r="DS9" i="69"/>
  <c r="DS14" i="65"/>
  <c r="DS15" i="65" s="1"/>
  <c r="DS16" i="65" s="1"/>
  <c r="DS10" i="65"/>
  <c r="Z9" i="65"/>
  <c r="BL8" i="81"/>
  <c r="BL9" i="81" s="1"/>
  <c r="BL10" i="81" s="1"/>
  <c r="K7" i="83"/>
  <c r="K8" i="83" s="1"/>
  <c r="K9" i="83" s="1"/>
  <c r="K10" i="83" s="1"/>
  <c r="BG8" i="83"/>
  <c r="BG9" i="83" s="1"/>
  <c r="BG10" i="83" s="1"/>
  <c r="BC12" i="27"/>
  <c r="BC11" i="27"/>
  <c r="BC14" i="27"/>
  <c r="GT20" i="27"/>
  <c r="GT16" i="27"/>
  <c r="GT8" i="27"/>
  <c r="R9" i="76"/>
  <c r="R11" i="76" s="1"/>
  <c r="R6" i="76"/>
  <c r="CA11" i="76"/>
  <c r="CA10" i="76"/>
  <c r="BC18" i="22"/>
  <c r="BC20" i="22"/>
  <c r="FW26" i="22"/>
  <c r="FW22" i="22"/>
  <c r="FW23" i="22" s="1"/>
  <c r="FW24" i="22" s="1"/>
  <c r="FW19" i="22"/>
  <c r="FW13" i="22"/>
  <c r="FW12" i="22"/>
  <c r="FW11" i="22"/>
  <c r="FW10" i="22"/>
  <c r="Z13" i="69"/>
  <c r="Z14" i="69" s="1"/>
  <c r="Z15" i="69" s="1"/>
  <c r="Z16" i="69" s="1"/>
  <c r="DR19" i="69"/>
  <c r="DR14" i="69"/>
  <c r="DR15" i="69" s="1"/>
  <c r="DR16" i="69" s="1"/>
  <c r="DR11" i="69"/>
  <c r="DR9" i="69"/>
  <c r="Z11" i="69"/>
  <c r="Z9" i="69"/>
  <c r="Z13" i="65"/>
  <c r="DR14" i="65"/>
  <c r="DR15" i="65" s="1"/>
  <c r="DR16" i="65" s="1"/>
  <c r="DR10" i="65"/>
  <c r="O7" i="81"/>
  <c r="O8" i="81" s="1"/>
  <c r="O9" i="81" s="1"/>
  <c r="O10" i="81" s="1"/>
  <c r="BK8" i="81"/>
  <c r="BK9" i="81" s="1"/>
  <c r="BK10" i="81" s="1"/>
  <c r="BF8" i="83"/>
  <c r="BF9" i="83" s="1"/>
  <c r="BF10" i="83" s="1"/>
  <c r="GS20" i="27"/>
  <c r="GS16" i="27"/>
  <c r="GS8" i="27"/>
  <c r="BZ11" i="76"/>
  <c r="BZ10" i="76"/>
  <c r="FV26" i="22"/>
  <c r="FV22" i="22"/>
  <c r="FV23" i="22" s="1"/>
  <c r="FV24" i="22" s="1"/>
  <c r="FV19" i="22"/>
  <c r="FV13" i="22"/>
  <c r="FV12" i="22"/>
  <c r="FV11" i="22"/>
  <c r="FV10" i="22"/>
  <c r="DQ19" i="69"/>
  <c r="DQ14" i="69"/>
  <c r="DQ15" i="69" s="1"/>
  <c r="DQ16" i="69" s="1"/>
  <c r="DQ11" i="69"/>
  <c r="DQ9" i="69"/>
  <c r="DQ14" i="65"/>
  <c r="DQ15" i="65" s="1"/>
  <c r="DQ16" i="65" s="1"/>
  <c r="DQ10" i="65"/>
  <c r="JA18" i="27" l="1"/>
  <c r="JA19" i="27" s="1"/>
  <c r="IZ18" i="27"/>
  <c r="IZ19" i="27" s="1"/>
  <c r="CA12" i="76"/>
  <c r="Z10" i="65"/>
  <c r="CB12" i="76"/>
  <c r="BC19" i="22"/>
  <c r="AA15" i="65"/>
  <c r="AA16" i="65" s="1"/>
  <c r="R10" i="76"/>
  <c r="R12" i="76" s="1"/>
  <c r="BZ12" i="76"/>
  <c r="BJ8" i="81"/>
  <c r="BJ9" i="81" s="1"/>
  <c r="BJ10" i="81" s="1"/>
  <c r="BE8" i="83" l="1"/>
  <c r="BE9" i="83" s="1"/>
  <c r="BE10" i="83" s="1"/>
  <c r="Z14" i="65"/>
  <c r="BY11" i="76"/>
  <c r="BY10" i="76"/>
  <c r="BY12" i="76" l="1"/>
  <c r="Z15" i="65"/>
  <c r="Z16" i="65" s="1"/>
  <c r="BC17" i="27"/>
  <c r="GR20" i="27"/>
  <c r="GR19" i="27"/>
  <c r="GR16" i="27"/>
  <c r="GR8" i="27"/>
  <c r="BC28" i="22"/>
  <c r="BC27" i="22"/>
  <c r="BC21" i="22"/>
  <c r="BC23" i="22" s="1"/>
  <c r="BC24" i="22" s="1"/>
  <c r="BC25" i="22" s="1"/>
  <c r="BC13" i="22"/>
  <c r="BC10" i="22"/>
  <c r="BC7" i="22"/>
  <c r="BC12" i="22" s="1"/>
  <c r="FU26" i="22"/>
  <c r="FU22" i="22"/>
  <c r="FU23" i="22" s="1"/>
  <c r="FU24" i="22" s="1"/>
  <c r="FU19" i="22"/>
  <c r="FU13" i="22"/>
  <c r="FU12" i="22"/>
  <c r="FU11" i="22"/>
  <c r="FU10" i="22"/>
  <c r="DP19" i="69"/>
  <c r="DP14" i="69"/>
  <c r="DP15" i="69" s="1"/>
  <c r="DP16" i="69" s="1"/>
  <c r="DP11" i="69"/>
  <c r="DP9" i="69"/>
  <c r="Y9" i="65"/>
  <c r="Y13" i="65"/>
  <c r="DP14" i="65"/>
  <c r="DP15" i="65" s="1"/>
  <c r="DP16" i="65" s="1"/>
  <c r="DP10" i="65"/>
  <c r="BI8" i="81"/>
  <c r="BI9" i="81" s="1"/>
  <c r="BI10" i="81" s="1"/>
  <c r="W7" i="27"/>
  <c r="W8" i="27" s="1"/>
  <c r="W9" i="27" s="1"/>
  <c r="X7" i="27"/>
  <c r="X8" i="27" s="1"/>
  <c r="X9" i="27" s="1"/>
  <c r="Y7" i="27"/>
  <c r="Y8" i="27" s="1"/>
  <c r="Y9" i="27" s="1"/>
  <c r="Z7" i="27"/>
  <c r="Z8" i="27" s="1"/>
  <c r="Z9" i="27" s="1"/>
  <c r="AA7" i="27"/>
  <c r="AA8" i="27" s="1"/>
  <c r="AC7" i="27"/>
  <c r="AK7" i="27"/>
  <c r="CX7" i="27"/>
  <c r="CY7" i="27"/>
  <c r="CZ7" i="27"/>
  <c r="DA7" i="27"/>
  <c r="DB7" i="27"/>
  <c r="DC7" i="27"/>
  <c r="DD7" i="27"/>
  <c r="DE7" i="27"/>
  <c r="DF7" i="27"/>
  <c r="DG7" i="27"/>
  <c r="DH7" i="27"/>
  <c r="DI7" i="27"/>
  <c r="DJ7" i="27"/>
  <c r="DK7" i="27"/>
  <c r="DL7" i="27"/>
  <c r="DM7" i="27"/>
  <c r="EA7" i="27"/>
  <c r="EB7" i="27"/>
  <c r="EC7" i="27"/>
  <c r="ED7" i="27"/>
  <c r="EE7" i="27"/>
  <c r="EF7" i="27"/>
  <c r="EG7" i="27"/>
  <c r="EH7" i="27"/>
  <c r="EH8" i="27" s="1"/>
  <c r="AM8" i="27" s="1"/>
  <c r="AM9" i="27" s="1"/>
  <c r="EI7" i="27"/>
  <c r="EJ7" i="27"/>
  <c r="EJ8" i="27" s="1"/>
  <c r="EK7" i="27"/>
  <c r="EK8" i="27" s="1"/>
  <c r="EL7" i="27"/>
  <c r="EL8" i="27" s="1"/>
  <c r="EM7" i="27"/>
  <c r="EN7" i="27"/>
  <c r="EN8" i="27" s="1"/>
  <c r="EO7" i="27"/>
  <c r="EO8" i="27" s="1"/>
  <c r="EP7" i="27"/>
  <c r="EP8" i="27" s="1"/>
  <c r="EQ7" i="27"/>
  <c r="EQ8" i="27" s="1"/>
  <c r="ER7" i="27"/>
  <c r="ER8" i="27" s="1"/>
  <c r="ES7" i="27"/>
  <c r="ES8" i="27" s="1"/>
  <c r="ET7" i="27"/>
  <c r="ET8" i="27" s="1"/>
  <c r="EU7" i="27"/>
  <c r="EU8" i="27" s="1"/>
  <c r="EV7" i="27"/>
  <c r="EW7" i="27"/>
  <c r="EW8" i="27" s="1"/>
  <c r="EX7" i="27"/>
  <c r="EX8" i="27" s="1"/>
  <c r="EY7" i="27"/>
  <c r="EY8" i="27" s="1"/>
  <c r="EZ7" i="27"/>
  <c r="FA7" i="27"/>
  <c r="FA8" i="27" s="1"/>
  <c r="FB7" i="27"/>
  <c r="FB8" i="27" s="1"/>
  <c r="FC7" i="27"/>
  <c r="FC8" i="27" s="1"/>
  <c r="FD7" i="27"/>
  <c r="FE7" i="27"/>
  <c r="FE8" i="27" s="1"/>
  <c r="FF7" i="27"/>
  <c r="FF8" i="27" s="1"/>
  <c r="FG7" i="27"/>
  <c r="FG8" i="27" s="1"/>
  <c r="FH7" i="27"/>
  <c r="FH8" i="27" s="1"/>
  <c r="FI7" i="27"/>
  <c r="FI8" i="27" s="1"/>
  <c r="AT8" i="27" s="1"/>
  <c r="FJ7" i="27"/>
  <c r="FJ8" i="27" s="1"/>
  <c r="AU8" i="27" s="1"/>
  <c r="FK7" i="27"/>
  <c r="FK8" i="27" s="1"/>
  <c r="AV8" i="27" s="1"/>
  <c r="FL7" i="27"/>
  <c r="FL8" i="27" s="1"/>
  <c r="AW8" i="27" s="1"/>
  <c r="FM7" i="27"/>
  <c r="FM8" i="27" s="1"/>
  <c r="AX8" i="27" s="1"/>
  <c r="FN7" i="27"/>
  <c r="FN8" i="27" s="1"/>
  <c r="AY8" i="27" s="1"/>
  <c r="FO7" i="27"/>
  <c r="FO8" i="27" s="1"/>
  <c r="AZ8" i="27" s="1"/>
  <c r="FP7" i="27"/>
  <c r="FP8" i="27" s="1"/>
  <c r="BA8" i="27" s="1"/>
  <c r="FQ7" i="27"/>
  <c r="FQ8" i="27" s="1"/>
  <c r="BB8" i="27" s="1"/>
  <c r="FR7" i="27"/>
  <c r="FR8" i="27" s="1"/>
  <c r="BC8" i="27" s="1"/>
  <c r="FS7" i="27"/>
  <c r="FS8" i="27" s="1"/>
  <c r="BD8" i="27" s="1"/>
  <c r="FT7" i="27"/>
  <c r="FT8" i="27" s="1"/>
  <c r="BE8" i="27" s="1"/>
  <c r="FU7" i="27"/>
  <c r="FU8" i="27" s="1"/>
  <c r="BF8" i="27" s="1"/>
  <c r="FV7" i="27"/>
  <c r="FV8" i="27" s="1"/>
  <c r="BG8" i="27" s="1"/>
  <c r="FW7" i="27"/>
  <c r="FW8" i="27" s="1"/>
  <c r="BH8" i="27" s="1"/>
  <c r="FX7" i="27"/>
  <c r="FX8" i="27" s="1"/>
  <c r="BI8" i="27" s="1"/>
  <c r="I8" i="27"/>
  <c r="J8" i="27"/>
  <c r="K8" i="27"/>
  <c r="L8" i="27"/>
  <c r="M8" i="27"/>
  <c r="N8" i="27"/>
  <c r="O8" i="27"/>
  <c r="P8" i="27"/>
  <c r="Q8" i="27"/>
  <c r="R8" i="27"/>
  <c r="S8" i="27"/>
  <c r="T8" i="27"/>
  <c r="U8" i="27"/>
  <c r="V8" i="27"/>
  <c r="V9" i="27" s="1"/>
  <c r="AD8" i="27"/>
  <c r="AD9" i="27" s="1"/>
  <c r="AE8" i="27"/>
  <c r="AE9" i="27" s="1"/>
  <c r="AF8" i="27"/>
  <c r="AF9" i="27" s="1"/>
  <c r="AG8" i="27"/>
  <c r="AG9" i="27" s="1"/>
  <c r="AH8" i="27"/>
  <c r="AH9" i="27" s="1"/>
  <c r="AI8" i="27"/>
  <c r="AI9" i="27" s="1"/>
  <c r="AJ8" i="27"/>
  <c r="AJ9" i="27" s="1"/>
  <c r="AK8" i="27"/>
  <c r="AK9" i="27" s="1"/>
  <c r="AL8" i="27"/>
  <c r="AL9" i="27" s="1"/>
  <c r="DN8" i="27"/>
  <c r="DN9" i="27" s="1"/>
  <c r="DO8" i="27"/>
  <c r="DO9" i="27" s="1"/>
  <c r="DP8" i="27"/>
  <c r="DP9" i="27" s="1"/>
  <c r="DQ8" i="27"/>
  <c r="DQ9" i="27" s="1"/>
  <c r="FY8" i="27"/>
  <c r="BJ8" i="27" s="1"/>
  <c r="FZ8" i="27"/>
  <c r="BK8" i="27" s="1"/>
  <c r="GA8" i="27"/>
  <c r="BL8" i="27" s="1"/>
  <c r="GB8" i="27"/>
  <c r="BM8" i="27" s="1"/>
  <c r="GC8" i="27"/>
  <c r="BN8" i="27" s="1"/>
  <c r="GD8" i="27"/>
  <c r="BO8" i="27" s="1"/>
  <c r="GE8" i="27"/>
  <c r="BP8" i="27" s="1"/>
  <c r="GF8" i="27"/>
  <c r="BQ8" i="27" s="1"/>
  <c r="GG8" i="27"/>
  <c r="BR8" i="27" s="1"/>
  <c r="GH8" i="27"/>
  <c r="BS8" i="27" s="1"/>
  <c r="GI8" i="27"/>
  <c r="BT8" i="27" s="1"/>
  <c r="GJ8" i="27"/>
  <c r="BU8" i="27" s="1"/>
  <c r="GK8" i="27"/>
  <c r="BV8" i="27" s="1"/>
  <c r="GL8" i="27"/>
  <c r="GM8" i="27"/>
  <c r="GN8" i="27"/>
  <c r="GO8" i="27"/>
  <c r="GP8" i="27"/>
  <c r="GQ8" i="27"/>
  <c r="AC9" i="27"/>
  <c r="EX9" i="27"/>
  <c r="BC18" i="27" l="1"/>
  <c r="BC19" i="27" s="1"/>
  <c r="AZ7" i="27"/>
  <c r="AY7" i="27"/>
  <c r="AX7" i="27"/>
  <c r="AL7" i="27"/>
  <c r="AW7" i="27"/>
  <c r="AU7" i="27"/>
  <c r="AT7" i="27"/>
  <c r="BC16" i="27"/>
  <c r="AV7" i="27"/>
  <c r="AM7" i="27"/>
  <c r="AP8" i="27"/>
  <c r="AS7" i="27"/>
  <c r="AR7" i="27"/>
  <c r="AN7" i="27"/>
  <c r="AQ7" i="27"/>
  <c r="AP7" i="27"/>
  <c r="AO7" i="27"/>
  <c r="BA7" i="27"/>
  <c r="FD8" i="27"/>
  <c r="AS8" i="27" s="1"/>
  <c r="EM8" i="27"/>
  <c r="AO8" i="27" s="1"/>
  <c r="EZ8" i="27"/>
  <c r="AR8" i="27" s="1"/>
  <c r="EI8" i="27"/>
  <c r="AN8" i="27" s="1"/>
  <c r="EV8" i="27"/>
  <c r="AQ8" i="27" s="1"/>
  <c r="BD8" i="83" l="1"/>
  <c r="BD9" i="83" s="1"/>
  <c r="BD10" i="83" s="1"/>
  <c r="EA17" i="27"/>
  <c r="GQ20" i="27"/>
  <c r="GQ19" i="27"/>
  <c r="GQ16" i="27"/>
  <c r="BX11" i="76"/>
  <c r="BX10" i="76"/>
  <c r="FT26" i="22"/>
  <c r="FT22" i="22"/>
  <c r="FT23" i="22" s="1"/>
  <c r="FT24" i="22" s="1"/>
  <c r="FT19" i="22"/>
  <c r="FT13" i="22"/>
  <c r="FT12" i="22"/>
  <c r="FT11" i="22"/>
  <c r="FT10" i="22"/>
  <c r="DM11" i="69"/>
  <c r="DN11" i="69"/>
  <c r="DO11" i="69"/>
  <c r="DO19" i="69"/>
  <c r="DO14" i="69"/>
  <c r="DO15" i="69" s="1"/>
  <c r="DO16" i="69" s="1"/>
  <c r="DO9" i="69"/>
  <c r="DO14" i="65"/>
  <c r="DO15" i="65" s="1"/>
  <c r="DO16" i="65" s="1"/>
  <c r="DO10" i="65"/>
  <c r="BH8" i="81"/>
  <c r="BH9" i="81" s="1"/>
  <c r="BH10" i="81" s="1"/>
  <c r="BC8" i="83"/>
  <c r="BC9" i="83" s="1"/>
  <c r="BC10" i="83" s="1"/>
  <c r="GP20" i="27"/>
  <c r="GP19" i="27"/>
  <c r="GP16" i="27"/>
  <c r="BW11" i="76"/>
  <c r="BW10" i="76"/>
  <c r="FS19" i="22"/>
  <c r="FS26" i="22"/>
  <c r="FS22" i="22"/>
  <c r="FS23" i="22" s="1"/>
  <c r="FS24" i="22" s="1"/>
  <c r="FS13" i="22"/>
  <c r="FS12" i="22"/>
  <c r="FS11" i="22"/>
  <c r="FS10" i="22"/>
  <c r="DN19" i="69"/>
  <c r="DN14" i="69"/>
  <c r="DN15" i="69" s="1"/>
  <c r="DN16" i="69" s="1"/>
  <c r="DN9" i="69"/>
  <c r="DN14" i="65"/>
  <c r="DN15" i="65" s="1"/>
  <c r="DN16" i="65" s="1"/>
  <c r="DN10" i="65"/>
  <c r="BG8" i="81"/>
  <c r="BG9" i="81" s="1"/>
  <c r="BG10" i="81" s="1"/>
  <c r="BB8" i="83"/>
  <c r="BB9" i="83" s="1"/>
  <c r="BB10" i="83" s="1"/>
  <c r="FR19" i="22"/>
  <c r="GN16" i="27"/>
  <c r="BX12" i="76" l="1"/>
  <c r="BW12" i="76"/>
  <c r="BB14" i="27"/>
  <c r="BB16" i="27" s="1"/>
  <c r="BB12" i="27"/>
  <c r="BB11" i="27"/>
  <c r="BA11" i="27"/>
  <c r="GO20" i="27"/>
  <c r="GO19" i="27"/>
  <c r="GO16" i="27"/>
  <c r="BB17" i="27" l="1"/>
  <c r="Q9" i="76"/>
  <c r="Q8" i="76"/>
  <c r="P8" i="76"/>
  <c r="BV11" i="76"/>
  <c r="BV10" i="76"/>
  <c r="BB28" i="22"/>
  <c r="BB27" i="22"/>
  <c r="BB17" i="22"/>
  <c r="BB18" i="22"/>
  <c r="BB19" i="22"/>
  <c r="BB20" i="22"/>
  <c r="BB21" i="22" s="1"/>
  <c r="BB23" i="22" s="1"/>
  <c r="BB24" i="22" s="1"/>
  <c r="BB25" i="22" s="1"/>
  <c r="BB16" i="22"/>
  <c r="BA16" i="22"/>
  <c r="FR26" i="22"/>
  <c r="FR22" i="22"/>
  <c r="FR23" i="22" s="1"/>
  <c r="FR24" i="22" s="1"/>
  <c r="Y13" i="69"/>
  <c r="Y14" i="69" s="1"/>
  <c r="Y15" i="69" s="1"/>
  <c r="Y16" i="69" s="1"/>
  <c r="Y11" i="69"/>
  <c r="Y9" i="69"/>
  <c r="DM19" i="69"/>
  <c r="DM14" i="69"/>
  <c r="DM15" i="69" s="1"/>
  <c r="DM16" i="69" s="1"/>
  <c r="Y14" i="65"/>
  <c r="Y15" i="65" s="1"/>
  <c r="Y16" i="65" s="1"/>
  <c r="DM14" i="65"/>
  <c r="DM15" i="65" s="1"/>
  <c r="DM16" i="65" s="1"/>
  <c r="N7" i="81"/>
  <c r="N8" i="81" s="1"/>
  <c r="N9" i="81" s="1"/>
  <c r="N10" i="81" s="1"/>
  <c r="BF8" i="81"/>
  <c r="BF9" i="81" s="1"/>
  <c r="BF10" i="81" s="1"/>
  <c r="BA8" i="83"/>
  <c r="BA9" i="83" s="1"/>
  <c r="BA10" i="83" s="1"/>
  <c r="J7" i="83"/>
  <c r="J8" i="83" s="1"/>
  <c r="J9" i="83" s="1"/>
  <c r="J10" i="83" s="1"/>
  <c r="FP26" i="22"/>
  <c r="FO26" i="22"/>
  <c r="BB18" i="27" l="1"/>
  <c r="BB19" i="27" s="1"/>
  <c r="Q10" i="76"/>
  <c r="Q11" i="76"/>
  <c r="BV12" i="76"/>
  <c r="DM10" i="65"/>
  <c r="Y10" i="65" s="1"/>
  <c r="DM9" i="69"/>
  <c r="BB13" i="22"/>
  <c r="BB10" i="22"/>
  <c r="BB7" i="22"/>
  <c r="BB12" i="22" s="1"/>
  <c r="Q12" i="76" l="1"/>
  <c r="FR13" i="22"/>
  <c r="FR12" i="22"/>
  <c r="FR11" i="22"/>
  <c r="FR10" i="22"/>
  <c r="Q6" i="76"/>
  <c r="FQ19" i="22" l="1"/>
  <c r="FP19" i="22" l="1"/>
  <c r="BA14" i="27"/>
  <c r="BA12" i="27"/>
  <c r="GN22" i="27"/>
  <c r="GN20" i="27"/>
  <c r="GN19" i="27"/>
  <c r="GM22" i="27"/>
  <c r="GM20" i="27"/>
  <c r="GM19" i="27"/>
  <c r="GM16" i="27"/>
  <c r="GL22" i="27"/>
  <c r="GL20" i="27"/>
  <c r="GL19" i="27"/>
  <c r="GL16" i="27"/>
  <c r="P9" i="76"/>
  <c r="BU11" i="76"/>
  <c r="BU10" i="76"/>
  <c r="BT11" i="76"/>
  <c r="BT10" i="76"/>
  <c r="BS11" i="76"/>
  <c r="BS10" i="76"/>
  <c r="BA17" i="22"/>
  <c r="BA18" i="22"/>
  <c r="BA20" i="22"/>
  <c r="FQ26" i="22"/>
  <c r="FQ22" i="22"/>
  <c r="FQ23" i="22" s="1"/>
  <c r="FQ24" i="22" s="1"/>
  <c r="FQ13" i="22"/>
  <c r="FQ11" i="22"/>
  <c r="FQ10" i="22"/>
  <c r="FQ7" i="22"/>
  <c r="FQ12" i="22" s="1"/>
  <c r="FP22" i="22"/>
  <c r="FP23" i="22" s="1"/>
  <c r="FP24" i="22" s="1"/>
  <c r="FP13" i="22"/>
  <c r="FP11" i="22"/>
  <c r="FP10" i="22"/>
  <c r="FP7" i="22"/>
  <c r="FP12" i="22" s="1"/>
  <c r="FO22" i="22"/>
  <c r="FO23" i="22" s="1"/>
  <c r="FO24" i="22" s="1"/>
  <c r="FO19" i="22"/>
  <c r="FO13" i="22"/>
  <c r="FO11" i="22"/>
  <c r="FO10" i="22"/>
  <c r="FO7" i="22"/>
  <c r="FO12" i="22" s="1"/>
  <c r="X13" i="69"/>
  <c r="DL19" i="69"/>
  <c r="DL14" i="69"/>
  <c r="DL15" i="69" s="1"/>
  <c r="DL16" i="69" s="1"/>
  <c r="DL11" i="69"/>
  <c r="DL9" i="69"/>
  <c r="DK19" i="69"/>
  <c r="DK14" i="69"/>
  <c r="DK15" i="69" s="1"/>
  <c r="DK16" i="69" s="1"/>
  <c r="DK11" i="69"/>
  <c r="DK9" i="69"/>
  <c r="DJ19" i="69"/>
  <c r="DJ14" i="69"/>
  <c r="DJ15" i="69" s="1"/>
  <c r="DJ16" i="69" s="1"/>
  <c r="DJ11" i="69"/>
  <c r="DJ9" i="69"/>
  <c r="X13" i="65"/>
  <c r="X14" i="65" s="1"/>
  <c r="X9" i="65"/>
  <c r="DL14" i="65"/>
  <c r="DL15" i="65" s="1"/>
  <c r="DL16" i="65" s="1"/>
  <c r="DL10" i="65"/>
  <c r="DK14" i="65"/>
  <c r="DK15" i="65" s="1"/>
  <c r="DK16" i="65" s="1"/>
  <c r="DK10" i="65"/>
  <c r="DJ14" i="65"/>
  <c r="DJ15" i="65" s="1"/>
  <c r="DJ16" i="65" s="1"/>
  <c r="DJ10" i="65"/>
  <c r="M7" i="81"/>
  <c r="BE8" i="81"/>
  <c r="BE9" i="81" s="1"/>
  <c r="BE10" i="81" s="1"/>
  <c r="BD8" i="81"/>
  <c r="BD9" i="81" s="1"/>
  <c r="BD10" i="81" s="1"/>
  <c r="BC8" i="81"/>
  <c r="BC9" i="81" s="1"/>
  <c r="BC10" i="81" s="1"/>
  <c r="I7" i="83"/>
  <c r="AZ8" i="83"/>
  <c r="AZ9" i="83" s="1"/>
  <c r="AZ10" i="83" s="1"/>
  <c r="AY8" i="83"/>
  <c r="AY9" i="83" s="1"/>
  <c r="AY10" i="83" s="1"/>
  <c r="AX8" i="83"/>
  <c r="AX9" i="83" s="1"/>
  <c r="AX10" i="83" s="1"/>
  <c r="BU12" i="76" l="1"/>
  <c r="BS12" i="76"/>
  <c r="BT12" i="76"/>
  <c r="BR11" i="76"/>
  <c r="BR10" i="76"/>
  <c r="BR12" i="76" l="1"/>
  <c r="M8" i="81"/>
  <c r="M9" i="81" s="1"/>
  <c r="M10" i="81" s="1"/>
  <c r="BB8" i="81"/>
  <c r="BB9" i="81" s="1"/>
  <c r="BB10" i="81" s="1"/>
  <c r="I8" i="83"/>
  <c r="I9" i="83" s="1"/>
  <c r="I10" i="83" s="1"/>
  <c r="AW8" i="83"/>
  <c r="AW9" i="83" s="1"/>
  <c r="AW10" i="83" s="1"/>
  <c r="AZ14" i="27" l="1"/>
  <c r="AZ12" i="27"/>
  <c r="AZ11" i="27"/>
  <c r="BA16" i="27"/>
  <c r="GK22" i="27"/>
  <c r="GK20" i="27"/>
  <c r="GK19" i="27"/>
  <c r="GK16" i="27"/>
  <c r="P11" i="76"/>
  <c r="P6" i="76"/>
  <c r="P10" i="76" l="1"/>
  <c r="P12" i="76" s="1"/>
  <c r="BA17" i="27"/>
  <c r="BA18" i="27" s="1"/>
  <c r="BA21" i="22" l="1"/>
  <c r="BA23" i="22" s="1"/>
  <c r="BA24" i="22" s="1"/>
  <c r="BA25" i="22" s="1"/>
  <c r="BA28" i="22"/>
  <c r="BA27" i="22"/>
  <c r="BA13" i="22"/>
  <c r="BA10" i="22"/>
  <c r="BA7" i="22"/>
  <c r="BA12" i="22" s="1"/>
  <c r="FN22" i="22"/>
  <c r="FN23" i="22" s="1"/>
  <c r="FN24" i="22" s="1"/>
  <c r="FN19" i="22"/>
  <c r="BA19" i="22" s="1"/>
  <c r="FN13" i="22"/>
  <c r="FN11" i="22"/>
  <c r="FN10" i="22"/>
  <c r="FN7" i="22"/>
  <c r="FN12" i="22" s="1"/>
  <c r="X14" i="69"/>
  <c r="X15" i="69" s="1"/>
  <c r="X16" i="69" s="1"/>
  <c r="DI19" i="69"/>
  <c r="DI14" i="69"/>
  <c r="DI15" i="69" s="1"/>
  <c r="DI16" i="69" s="1"/>
  <c r="DI11" i="69"/>
  <c r="DI9" i="69"/>
  <c r="X11" i="69"/>
  <c r="X9" i="69"/>
  <c r="DI14" i="65"/>
  <c r="DI15" i="65" s="1"/>
  <c r="DI16" i="65" s="1"/>
  <c r="DI10" i="65"/>
  <c r="X10" i="65" s="1"/>
  <c r="GJ22" i="27"/>
  <c r="GJ20" i="27"/>
  <c r="GJ19" i="27"/>
  <c r="GJ16" i="27"/>
  <c r="O9" i="76"/>
  <c r="O8" i="76"/>
  <c r="BQ11" i="76"/>
  <c r="BQ10" i="76"/>
  <c r="FM11" i="22"/>
  <c r="FM10" i="22"/>
  <c r="FM7" i="22"/>
  <c r="FM12" i="22" s="1"/>
  <c r="FM13" i="22"/>
  <c r="AZ17" i="22"/>
  <c r="AZ18" i="22"/>
  <c r="AZ20" i="22"/>
  <c r="AZ16" i="22"/>
  <c r="FM22" i="22"/>
  <c r="FM23" i="22" s="1"/>
  <c r="FM24" i="22" s="1"/>
  <c r="FM19" i="22"/>
  <c r="DH14" i="69"/>
  <c r="DH15" i="69" s="1"/>
  <c r="DH16" i="69" s="1"/>
  <c r="DH19" i="69"/>
  <c r="W13" i="69"/>
  <c r="DH11" i="69"/>
  <c r="DH9" i="69"/>
  <c r="W13" i="65"/>
  <c r="W12" i="65"/>
  <c r="W11" i="65"/>
  <c r="W9" i="65"/>
  <c r="DH14" i="65"/>
  <c r="DH15" i="65" s="1"/>
  <c r="DH16" i="65" s="1"/>
  <c r="DH10" i="65"/>
  <c r="BA8" i="81"/>
  <c r="BA9" i="81" s="1"/>
  <c r="BA10" i="81" s="1"/>
  <c r="L7" i="81"/>
  <c r="AV8" i="83"/>
  <c r="AV9" i="83" s="1"/>
  <c r="AV10" i="83" s="1"/>
  <c r="H7" i="83"/>
  <c r="GI22" i="27"/>
  <c r="GI20" i="27"/>
  <c r="GI19" i="27"/>
  <c r="GI16" i="27"/>
  <c r="BP11" i="76"/>
  <c r="BP10" i="76"/>
  <c r="BQ12" i="76" l="1"/>
  <c r="X15" i="65"/>
  <c r="X16" i="65" s="1"/>
  <c r="BP12" i="76"/>
  <c r="FL22" i="22"/>
  <c r="FL23" i="22" s="1"/>
  <c r="FL24" i="22" s="1"/>
  <c r="FL19" i="22"/>
  <c r="FL13" i="22"/>
  <c r="FL11" i="22"/>
  <c r="FL10" i="22"/>
  <c r="FL7" i="22"/>
  <c r="FL12" i="22" s="1"/>
  <c r="DG19" i="69"/>
  <c r="DG14" i="69"/>
  <c r="DG15" i="69" s="1"/>
  <c r="DG16" i="69" s="1"/>
  <c r="DG11" i="69"/>
  <c r="DG9" i="69"/>
  <c r="DG18" i="65"/>
  <c r="DG14" i="65"/>
  <c r="DG15" i="65" s="1"/>
  <c r="DG16" i="65" s="1"/>
  <c r="DG10" i="65"/>
  <c r="AZ8" i="81"/>
  <c r="AZ9" i="81" s="1"/>
  <c r="AZ10" i="81" s="1"/>
  <c r="AU8" i="83"/>
  <c r="AU9" i="83" s="1"/>
  <c r="AU10" i="83" s="1"/>
  <c r="GH22" i="27"/>
  <c r="GH20" i="27"/>
  <c r="GH19" i="27"/>
  <c r="GH16" i="27"/>
  <c r="O11" i="76"/>
  <c r="BO11" i="76"/>
  <c r="BO10" i="76"/>
  <c r="FK22" i="22"/>
  <c r="FK23" i="22" s="1"/>
  <c r="FK24" i="22" s="1"/>
  <c r="FK19" i="22"/>
  <c r="FK13" i="22"/>
  <c r="FK11" i="22"/>
  <c r="FK10" i="22"/>
  <c r="FK7" i="22"/>
  <c r="FK12" i="22" s="1"/>
  <c r="DF19" i="69"/>
  <c r="DF14" i="69"/>
  <c r="DF15" i="69" s="1"/>
  <c r="DF16" i="69" s="1"/>
  <c r="DF11" i="69"/>
  <c r="DF9" i="69"/>
  <c r="DF18" i="65"/>
  <c r="DF14" i="65"/>
  <c r="DF15" i="65" s="1"/>
  <c r="DF16" i="65" s="1"/>
  <c r="DF10" i="65"/>
  <c r="AY8" i="81"/>
  <c r="AY9" i="81" s="1"/>
  <c r="AY10" i="81" s="1"/>
  <c r="AT8" i="83"/>
  <c r="AT9" i="83" s="1"/>
  <c r="AT10" i="83" s="1"/>
  <c r="AY14" i="27"/>
  <c r="AY12" i="27"/>
  <c r="AY11" i="27"/>
  <c r="N9" i="76"/>
  <c r="N11" i="76" s="1"/>
  <c r="N8" i="76"/>
  <c r="O6" i="76"/>
  <c r="BN11" i="76"/>
  <c r="BM11" i="76"/>
  <c r="BN10" i="76"/>
  <c r="BM10" i="76"/>
  <c r="GG22" i="27"/>
  <c r="GF22" i="27"/>
  <c r="GG20" i="27"/>
  <c r="GF20" i="27"/>
  <c r="GG19" i="27"/>
  <c r="GF19" i="27"/>
  <c r="GG16" i="27"/>
  <c r="GF16" i="27"/>
  <c r="AY17" i="22"/>
  <c r="AY18" i="22"/>
  <c r="AY20" i="22"/>
  <c r="AY16" i="22"/>
  <c r="FJ22" i="22"/>
  <c r="FJ23" i="22" s="1"/>
  <c r="FJ24" i="22" s="1"/>
  <c r="FI22" i="22"/>
  <c r="FI23" i="22" s="1"/>
  <c r="FI24" i="22" s="1"/>
  <c r="FJ19" i="22"/>
  <c r="FI19" i="22"/>
  <c r="FJ13" i="22"/>
  <c r="FI13" i="22"/>
  <c r="FJ11" i="22"/>
  <c r="FI11" i="22"/>
  <c r="FJ10" i="22"/>
  <c r="FI10" i="22"/>
  <c r="FJ7" i="22"/>
  <c r="FJ12" i="22" s="1"/>
  <c r="FI7" i="22"/>
  <c r="FI12" i="22" s="1"/>
  <c r="V13" i="69"/>
  <c r="BN12" i="76" l="1"/>
  <c r="AZ19" i="22"/>
  <c r="BO12" i="76"/>
  <c r="BM12" i="76"/>
  <c r="O10" i="76"/>
  <c r="O12" i="76" s="1"/>
  <c r="CY19" i="69"/>
  <c r="CZ19" i="69"/>
  <c r="DA19" i="69"/>
  <c r="DB19" i="69"/>
  <c r="DC19" i="69"/>
  <c r="DD19" i="69"/>
  <c r="DE19" i="69"/>
  <c r="CX19" i="69"/>
  <c r="DE14" i="69"/>
  <c r="DE15" i="69" s="1"/>
  <c r="DE16" i="69" s="1"/>
  <c r="DE11" i="69"/>
  <c r="DE9" i="69"/>
  <c r="DD22" i="69"/>
  <c r="DD14" i="69"/>
  <c r="DD15" i="69" s="1"/>
  <c r="DD16" i="69" s="1"/>
  <c r="DD11" i="69"/>
  <c r="DD9" i="69"/>
  <c r="DC18" i="65"/>
  <c r="DD18" i="65"/>
  <c r="DE18" i="65"/>
  <c r="DB18" i="65"/>
  <c r="V13" i="65"/>
  <c r="V12" i="65"/>
  <c r="V11" i="65"/>
  <c r="V9" i="65"/>
  <c r="DE14" i="65"/>
  <c r="DE15" i="65" s="1"/>
  <c r="DE16" i="65" s="1"/>
  <c r="DD14" i="65"/>
  <c r="DD15" i="65" s="1"/>
  <c r="DD16" i="65" s="1"/>
  <c r="DE10" i="65"/>
  <c r="W10" i="65" s="1"/>
  <c r="DD10" i="65"/>
  <c r="L8" i="81"/>
  <c r="L9" i="81" s="1"/>
  <c r="L10" i="81" s="1"/>
  <c r="K7" i="81"/>
  <c r="AX8" i="81"/>
  <c r="AX9" i="81" s="1"/>
  <c r="AX10" i="81" s="1"/>
  <c r="AW8" i="81"/>
  <c r="AW9" i="81" s="1"/>
  <c r="AW10" i="81" s="1"/>
  <c r="H8" i="83"/>
  <c r="H9" i="83" s="1"/>
  <c r="H10" i="83" s="1"/>
  <c r="G7" i="83"/>
  <c r="AS8" i="83"/>
  <c r="AS9" i="83" s="1"/>
  <c r="AS10" i="83" s="1"/>
  <c r="AR8" i="83"/>
  <c r="AR9" i="83" s="1"/>
  <c r="AR10" i="83" s="1"/>
  <c r="W14" i="65" l="1"/>
  <c r="W14" i="69"/>
  <c r="W15" i="69" s="1"/>
  <c r="W16" i="69" s="1"/>
  <c r="W11" i="69"/>
  <c r="W9" i="69"/>
  <c r="AZ28" i="22"/>
  <c r="AZ27" i="22"/>
  <c r="AZ21" i="22"/>
  <c r="AZ23" i="22" s="1"/>
  <c r="AZ24" i="22" s="1"/>
  <c r="AZ25" i="22" s="1"/>
  <c r="AZ13" i="22"/>
  <c r="AZ10" i="22"/>
  <c r="AZ7" i="22"/>
  <c r="AZ12" i="22" s="1"/>
  <c r="AZ17" i="27"/>
  <c r="AZ18" i="27" s="1"/>
  <c r="GE22" i="27"/>
  <c r="GE20" i="27"/>
  <c r="GE19" i="27"/>
  <c r="GE16" i="27"/>
  <c r="BL11" i="76"/>
  <c r="BL10" i="76"/>
  <c r="W15" i="65" l="1"/>
  <c r="W16" i="65" s="1"/>
  <c r="AZ16" i="27"/>
  <c r="BL12" i="76"/>
  <c r="FH22" i="22" l="1"/>
  <c r="FH23" i="22" s="1"/>
  <c r="FH24" i="22" s="1"/>
  <c r="FH19" i="22"/>
  <c r="FH13" i="22"/>
  <c r="FH11" i="22"/>
  <c r="FH10" i="22"/>
  <c r="FH7" i="22"/>
  <c r="FH12" i="22" s="1"/>
  <c r="DC22" i="69"/>
  <c r="DC14" i="69"/>
  <c r="DC15" i="69" s="1"/>
  <c r="DC16" i="69" s="1"/>
  <c r="DC11" i="69"/>
  <c r="DC9" i="69"/>
  <c r="DC14" i="65"/>
  <c r="DC15" i="65" s="1"/>
  <c r="DC16" i="65" s="1"/>
  <c r="DC10" i="65"/>
  <c r="AV8" i="81"/>
  <c r="AV9" i="81" s="1"/>
  <c r="AV10" i="81" s="1"/>
  <c r="AQ8" i="83"/>
  <c r="AQ9" i="83" s="1"/>
  <c r="AQ10" i="83" s="1"/>
  <c r="DE10" i="22" l="1"/>
  <c r="DF10" i="22"/>
  <c r="DG10" i="22"/>
  <c r="DH10" i="22"/>
  <c r="DI10" i="22"/>
  <c r="DJ10" i="22"/>
  <c r="DK10" i="22"/>
  <c r="DL10" i="22"/>
  <c r="DM10" i="22"/>
  <c r="DN10" i="22"/>
  <c r="DO10" i="22"/>
  <c r="DP10" i="22"/>
  <c r="DQ10" i="22"/>
  <c r="DR10" i="22"/>
  <c r="DS10" i="22"/>
  <c r="DT10" i="22"/>
  <c r="DU10" i="22"/>
  <c r="DV10" i="22"/>
  <c r="DW10" i="22"/>
  <c r="DX10" i="22"/>
  <c r="DY10" i="22"/>
  <c r="DZ10" i="22"/>
  <c r="EA10" i="22"/>
  <c r="EB10" i="22"/>
  <c r="EC10" i="22"/>
  <c r="ED10" i="22"/>
  <c r="EE10" i="22"/>
  <c r="EF10" i="22"/>
  <c r="EG10" i="22"/>
  <c r="EH10" i="22"/>
  <c r="EI10" i="22"/>
  <c r="EJ10" i="22"/>
  <c r="EK10" i="22"/>
  <c r="EL10" i="22"/>
  <c r="EM10" i="22"/>
  <c r="EN10" i="22"/>
  <c r="EO10" i="22"/>
  <c r="EP10" i="22"/>
  <c r="EQ10" i="22"/>
  <c r="ER10" i="22"/>
  <c r="ES10" i="22"/>
  <c r="ET10" i="22"/>
  <c r="EU10" i="22"/>
  <c r="EV10" i="22"/>
  <c r="EW10" i="22"/>
  <c r="EX10" i="22"/>
  <c r="EY10" i="22"/>
  <c r="EZ10" i="22"/>
  <c r="FA10" i="22"/>
  <c r="FB10" i="22"/>
  <c r="FC10" i="22"/>
  <c r="FD10" i="22"/>
  <c r="FE10" i="22"/>
  <c r="FF10" i="22"/>
  <c r="FG10" i="22"/>
  <c r="DD10" i="22"/>
  <c r="AM10" i="22"/>
  <c r="AN10" i="22"/>
  <c r="AO10" i="22"/>
  <c r="AP10" i="22"/>
  <c r="AQ10" i="22"/>
  <c r="AR10" i="22"/>
  <c r="AS10" i="22"/>
  <c r="AT10" i="22"/>
  <c r="AU10" i="22"/>
  <c r="AV10" i="22"/>
  <c r="AW10" i="22"/>
  <c r="AX10" i="22"/>
  <c r="AY10" i="22"/>
  <c r="AL10" i="22"/>
  <c r="AY21" i="22"/>
  <c r="AY23" i="22" s="1"/>
  <c r="AY24" i="22" s="1"/>
  <c r="AY25" i="22" s="1"/>
  <c r="FG22" i="22"/>
  <c r="FG23" i="22" s="1"/>
  <c r="FG24" i="22" s="1"/>
  <c r="FG19" i="22"/>
  <c r="AY19" i="22" s="1"/>
  <c r="FG13" i="22"/>
  <c r="FG11" i="22"/>
  <c r="FG7" i="22"/>
  <c r="FG12" i="22" s="1"/>
  <c r="AY28" i="22"/>
  <c r="AY27" i="22"/>
  <c r="AY13" i="22"/>
  <c r="AY7" i="22"/>
  <c r="AY12" i="22" s="1"/>
  <c r="N6" i="76"/>
  <c r="GD22" i="27"/>
  <c r="GD20" i="27"/>
  <c r="GD16" i="27"/>
  <c r="AY17" i="27"/>
  <c r="AY18" i="27" s="1"/>
  <c r="BK6" i="76"/>
  <c r="N10" i="76"/>
  <c r="N12" i="76" s="1"/>
  <c r="BK11" i="76"/>
  <c r="BK10" i="76"/>
  <c r="AQ11" i="76"/>
  <c r="AR11" i="76"/>
  <c r="AS11" i="76"/>
  <c r="AT11" i="76"/>
  <c r="AU11" i="76"/>
  <c r="AV11" i="76"/>
  <c r="AW11" i="76"/>
  <c r="AX11" i="76"/>
  <c r="AY11" i="76"/>
  <c r="AZ11" i="76"/>
  <c r="BA11" i="76"/>
  <c r="BB11" i="76"/>
  <c r="BC11" i="76"/>
  <c r="BD11" i="76"/>
  <c r="BE11" i="76"/>
  <c r="BF11" i="76"/>
  <c r="BG11" i="76"/>
  <c r="BH11" i="76"/>
  <c r="BI11" i="76"/>
  <c r="BJ11" i="76"/>
  <c r="AP11" i="76"/>
  <c r="AP10" i="76"/>
  <c r="AY16" i="27" l="1"/>
  <c r="BK12" i="76"/>
  <c r="DA22" i="69" l="1"/>
  <c r="DB22" i="69"/>
  <c r="V14" i="69"/>
  <c r="V15" i="69" s="1"/>
  <c r="V16" i="69" s="1"/>
  <c r="V11" i="69"/>
  <c r="V9" i="69"/>
  <c r="DB14" i="69"/>
  <c r="DB15" i="69" s="1"/>
  <c r="DB16" i="69" s="1"/>
  <c r="DB11" i="69"/>
  <c r="DB9" i="69"/>
  <c r="V14" i="65"/>
  <c r="DB14" i="65"/>
  <c r="DB15" i="65" s="1"/>
  <c r="DB16" i="65" s="1"/>
  <c r="DB10" i="65"/>
  <c r="V10" i="65" s="1"/>
  <c r="K8" i="81"/>
  <c r="K9" i="81" s="1"/>
  <c r="K10" i="81" s="1"/>
  <c r="AU8" i="81"/>
  <c r="AU9" i="81" s="1"/>
  <c r="AU10" i="81" s="1"/>
  <c r="AP8" i="83"/>
  <c r="AP9" i="83" s="1"/>
  <c r="AP10" i="83" s="1"/>
  <c r="V15" i="65" l="1"/>
  <c r="V16" i="65" s="1"/>
  <c r="G8" i="83" l="1"/>
  <c r="G9" i="83" s="1"/>
  <c r="G10" i="83" s="1"/>
  <c r="AQ6" i="76"/>
  <c r="AR6" i="76"/>
  <c r="AS6" i="76"/>
  <c r="AT6" i="76"/>
  <c r="AU6" i="76"/>
  <c r="AV6" i="76"/>
  <c r="AW6" i="76"/>
  <c r="AX6" i="76"/>
  <c r="AY6" i="76"/>
  <c r="AZ6" i="76"/>
  <c r="BA6" i="76"/>
  <c r="BB6" i="76"/>
  <c r="BC6" i="76"/>
  <c r="BD6" i="76"/>
  <c r="BE6" i="76"/>
  <c r="BF6" i="76"/>
  <c r="BG6" i="76"/>
  <c r="BH6" i="76"/>
  <c r="BI6" i="76"/>
  <c r="BJ6" i="76"/>
  <c r="AP6" i="76"/>
  <c r="K6" i="76"/>
  <c r="L6" i="76"/>
  <c r="M6" i="76"/>
  <c r="J6" i="76"/>
  <c r="GD19" i="27"/>
  <c r="AX14" i="27"/>
  <c r="AX12" i="27"/>
  <c r="AX11" i="27"/>
  <c r="GC22" i="27"/>
  <c r="GC20" i="27"/>
  <c r="GC16" i="27"/>
  <c r="M9" i="76"/>
  <c r="M11" i="76" s="1"/>
  <c r="M8" i="76"/>
  <c r="BJ10" i="76"/>
  <c r="BJ12" i="76" s="1"/>
  <c r="FF22" i="22"/>
  <c r="FF23" i="22" s="1"/>
  <c r="FF24" i="22" s="1"/>
  <c r="FF19" i="22"/>
  <c r="FF13" i="22"/>
  <c r="FF11" i="22"/>
  <c r="FF7" i="22"/>
  <c r="FF12" i="22" s="1"/>
  <c r="U13" i="69"/>
  <c r="DA14" i="69"/>
  <c r="DA15" i="69" s="1"/>
  <c r="DA16" i="69" s="1"/>
  <c r="DA11" i="69"/>
  <c r="DA9" i="69"/>
  <c r="U13" i="65"/>
  <c r="U12" i="65"/>
  <c r="U11" i="65"/>
  <c r="U9" i="65"/>
  <c r="GC18" i="27" l="1"/>
  <c r="GC19" i="27" s="1"/>
  <c r="DA14" i="65"/>
  <c r="DA15" i="65" s="1"/>
  <c r="DA16" i="65" s="1"/>
  <c r="DA10" i="65"/>
  <c r="J7" i="81"/>
  <c r="AT8" i="81"/>
  <c r="AT9" i="81" s="1"/>
  <c r="AT10" i="81" s="1"/>
  <c r="F7" i="83"/>
  <c r="AO8" i="83"/>
  <c r="AO9" i="83" s="1"/>
  <c r="AO10" i="83" s="1"/>
  <c r="GB22" i="27"/>
  <c r="GB20" i="27"/>
  <c r="GB16" i="27"/>
  <c r="BI10" i="76"/>
  <c r="AX20" i="22"/>
  <c r="AX18" i="22"/>
  <c r="AX16" i="22"/>
  <c r="AX17" i="22"/>
  <c r="FE22" i="22"/>
  <c r="FE23" i="22" s="1"/>
  <c r="FE24" i="22" s="1"/>
  <c r="FE19" i="22"/>
  <c r="FE13" i="22"/>
  <c r="FE11" i="22"/>
  <c r="FE7" i="22"/>
  <c r="FE12" i="22" s="1"/>
  <c r="CZ14" i="69"/>
  <c r="CZ15" i="69" s="1"/>
  <c r="CZ16" i="69" s="1"/>
  <c r="CZ11" i="69"/>
  <c r="CZ9" i="69"/>
  <c r="CZ14" i="65"/>
  <c r="CZ15" i="65" s="1"/>
  <c r="CZ16" i="65" s="1"/>
  <c r="CZ10" i="65"/>
  <c r="AS8" i="81"/>
  <c r="AS9" i="81" s="1"/>
  <c r="AS10" i="81" s="1"/>
  <c r="AN8" i="83"/>
  <c r="AN9" i="83" s="1"/>
  <c r="AN10" i="83" s="1"/>
  <c r="GA22" i="27"/>
  <c r="GA20" i="27"/>
  <c r="GA16" i="27"/>
  <c r="BH10" i="76"/>
  <c r="GA18" i="27" l="1"/>
  <c r="GA19" i="27" s="1"/>
  <c r="GB18" i="27"/>
  <c r="GB19" i="27" s="1"/>
  <c r="BI12" i="76"/>
  <c r="BH12" i="76"/>
  <c r="FD22" i="22"/>
  <c r="FD23" i="22" s="1"/>
  <c r="FD24" i="22" s="1"/>
  <c r="FD19" i="22"/>
  <c r="FD13" i="22"/>
  <c r="FD11" i="22"/>
  <c r="FD7" i="22"/>
  <c r="FD12" i="22" s="1"/>
  <c r="CY14" i="69"/>
  <c r="CY15" i="69" s="1"/>
  <c r="CY16" i="69" s="1"/>
  <c r="CY11" i="69"/>
  <c r="CY9" i="69"/>
  <c r="U14" i="65"/>
  <c r="CY14" i="65"/>
  <c r="CY15" i="65" s="1"/>
  <c r="CY16" i="65" s="1"/>
  <c r="CY10" i="65"/>
  <c r="AR8" i="81"/>
  <c r="AR9" i="81" s="1"/>
  <c r="AR10" i="81" s="1"/>
  <c r="F8" i="83"/>
  <c r="F9" i="83" s="1"/>
  <c r="F10" i="83" s="1"/>
  <c r="AM8" i="83"/>
  <c r="AM9" i="83" s="1"/>
  <c r="AM10" i="83" s="1"/>
  <c r="AX17" i="27"/>
  <c r="AX18" i="27" s="1"/>
  <c r="FZ22" i="27"/>
  <c r="FZ20" i="27"/>
  <c r="FZ17" i="27"/>
  <c r="FZ16" i="27"/>
  <c r="BG10" i="76"/>
  <c r="AX21" i="22"/>
  <c r="AX23" i="22" s="1"/>
  <c r="AX24" i="22" s="1"/>
  <c r="AX25" i="22" s="1"/>
  <c r="FC7" i="22"/>
  <c r="FC12" i="22" s="1"/>
  <c r="AX28" i="22"/>
  <c r="AX27" i="22"/>
  <c r="AX13" i="22"/>
  <c r="AX7" i="22"/>
  <c r="AX12" i="22" s="1"/>
  <c r="FC19" i="22"/>
  <c r="FC22" i="22"/>
  <c r="FC23" i="22" s="1"/>
  <c r="FC24" i="22" s="1"/>
  <c r="FC13" i="22"/>
  <c r="FC11" i="22"/>
  <c r="U14" i="69"/>
  <c r="U15" i="69" s="1"/>
  <c r="U16" i="69" s="1"/>
  <c r="U11" i="69"/>
  <c r="U9" i="69"/>
  <c r="CX14" i="69"/>
  <c r="CX15" i="69" s="1"/>
  <c r="CX16" i="69" s="1"/>
  <c r="CX11" i="69"/>
  <c r="CX9" i="69"/>
  <c r="CX14" i="65"/>
  <c r="CX15" i="65" s="1"/>
  <c r="CX16" i="65" s="1"/>
  <c r="CX10" i="65"/>
  <c r="J8" i="81"/>
  <c r="J9" i="81" s="1"/>
  <c r="J10" i="81" s="1"/>
  <c r="AQ8" i="81"/>
  <c r="AQ9" i="81" s="1"/>
  <c r="AQ10" i="81" s="1"/>
  <c r="AL8" i="83"/>
  <c r="AL9" i="83" s="1"/>
  <c r="AL10" i="83" s="1"/>
  <c r="AW14" i="27"/>
  <c r="AW17" i="27" s="1"/>
  <c r="AW18" i="27" s="1"/>
  <c r="AW12" i="27"/>
  <c r="AW11" i="27"/>
  <c r="FY22" i="27"/>
  <c r="FY20" i="27"/>
  <c r="FY17" i="27"/>
  <c r="FY18" i="27" s="1"/>
  <c r="FY19" i="27" s="1"/>
  <c r="FY16" i="27"/>
  <c r="BF10" i="76"/>
  <c r="AW17" i="22"/>
  <c r="AW18" i="22"/>
  <c r="AW20" i="22"/>
  <c r="AW21" i="22" s="1"/>
  <c r="AW23" i="22" s="1"/>
  <c r="AW24" i="22" s="1"/>
  <c r="AW25" i="22" s="1"/>
  <c r="AW16" i="22"/>
  <c r="FB26" i="22"/>
  <c r="FB22" i="22"/>
  <c r="FB23" i="22" s="1"/>
  <c r="FB24" i="22" s="1"/>
  <c r="FB19" i="22"/>
  <c r="FB13" i="22"/>
  <c r="FB11" i="22"/>
  <c r="FB7" i="22"/>
  <c r="FB12" i="22" s="1"/>
  <c r="T13" i="69"/>
  <c r="T14" i="69" s="1"/>
  <c r="T15" i="69" s="1"/>
  <c r="T16" i="69" s="1"/>
  <c r="T12" i="69"/>
  <c r="CW14" i="69"/>
  <c r="CW15" i="69" s="1"/>
  <c r="CW16" i="69" s="1"/>
  <c r="CW11" i="69"/>
  <c r="CW9" i="69"/>
  <c r="T12" i="65"/>
  <c r="T13" i="65"/>
  <c r="T14" i="65" s="1"/>
  <c r="T11" i="65"/>
  <c r="T9" i="65"/>
  <c r="CW14" i="65"/>
  <c r="CW15" i="65" s="1"/>
  <c r="CW16" i="65" s="1"/>
  <c r="CW10" i="65"/>
  <c r="I7" i="81"/>
  <c r="I8" i="81" s="1"/>
  <c r="AP8" i="81"/>
  <c r="AP9" i="81" s="1"/>
  <c r="AP10" i="81" s="1"/>
  <c r="E7" i="83"/>
  <c r="E8" i="83" s="1"/>
  <c r="E9" i="83" s="1"/>
  <c r="E10" i="83" s="1"/>
  <c r="AK8" i="83"/>
  <c r="AK9" i="83" s="1"/>
  <c r="AK10" i="83" s="1"/>
  <c r="AJ8" i="83"/>
  <c r="AJ9" i="83" s="1"/>
  <c r="AJ10" i="83" s="1"/>
  <c r="AI8" i="83"/>
  <c r="AI9" i="83" s="1"/>
  <c r="AI10" i="83" s="1"/>
  <c r="AH8" i="83"/>
  <c r="AH9" i="83" s="1"/>
  <c r="AH10" i="83" s="1"/>
  <c r="AG8" i="83"/>
  <c r="AG9" i="83" s="1"/>
  <c r="AG10" i="83" s="1"/>
  <c r="AO8" i="81"/>
  <c r="AO9" i="81" s="1"/>
  <c r="AO10" i="81" s="1"/>
  <c r="AN8" i="81"/>
  <c r="AN9" i="81" s="1"/>
  <c r="AN10" i="81" s="1"/>
  <c r="AM8" i="81"/>
  <c r="AM9" i="81" s="1"/>
  <c r="AM10" i="81" s="1"/>
  <c r="AL8" i="81"/>
  <c r="AL9" i="81" s="1"/>
  <c r="AL10" i="81" s="1"/>
  <c r="FW22" i="27"/>
  <c r="FX22" i="27"/>
  <c r="FV22" i="27"/>
  <c r="FX20" i="27"/>
  <c r="FX17" i="27"/>
  <c r="FX16" i="27"/>
  <c r="L9" i="76"/>
  <c r="L8" i="76"/>
  <c r="BE10" i="76"/>
  <c r="FA26" i="22"/>
  <c r="FA22" i="22"/>
  <c r="FA23" i="22" s="1"/>
  <c r="FA24" i="22" s="1"/>
  <c r="FA19" i="22"/>
  <c r="FA13" i="22"/>
  <c r="FA11" i="22"/>
  <c r="FA7" i="22"/>
  <c r="FA12" i="22" s="1"/>
  <c r="CV14" i="69"/>
  <c r="CV15" i="69" s="1"/>
  <c r="CV16" i="69" s="1"/>
  <c r="CV11" i="69"/>
  <c r="CV9" i="69"/>
  <c r="CV14" i="65"/>
  <c r="CV15" i="65" s="1"/>
  <c r="CV16" i="65" s="1"/>
  <c r="CV10" i="65"/>
  <c r="CU14" i="65"/>
  <c r="CU15" i="65" s="1"/>
  <c r="CU16" i="65" s="1"/>
  <c r="CU10" i="65"/>
  <c r="CU14" i="69"/>
  <c r="CU15" i="69" s="1"/>
  <c r="CU16" i="69" s="1"/>
  <c r="CU11" i="69"/>
  <c r="CU9" i="69"/>
  <c r="EZ26" i="22"/>
  <c r="EZ22" i="22"/>
  <c r="EZ23" i="22" s="1"/>
  <c r="EZ24" i="22" s="1"/>
  <c r="EZ19" i="22"/>
  <c r="EZ13" i="22"/>
  <c r="EZ11" i="22"/>
  <c r="EZ7" i="22"/>
  <c r="EZ12" i="22" s="1"/>
  <c r="BD10" i="76"/>
  <c r="FW20" i="27"/>
  <c r="FW17" i="27"/>
  <c r="FW16" i="27"/>
  <c r="FV20" i="27"/>
  <c r="FV17" i="27"/>
  <c r="FV16" i="27"/>
  <c r="BC10" i="76"/>
  <c r="EY26" i="22"/>
  <c r="EY22" i="22"/>
  <c r="EY23" i="22" s="1"/>
  <c r="EY24" i="22" s="1"/>
  <c r="EY19" i="22"/>
  <c r="EY13" i="22"/>
  <c r="EY11" i="22"/>
  <c r="EY7" i="22"/>
  <c r="EY12" i="22" s="1"/>
  <c r="CT14" i="69"/>
  <c r="CT15" i="69" s="1"/>
  <c r="CT16" i="69" s="1"/>
  <c r="CT11" i="69"/>
  <c r="CT9" i="69"/>
  <c r="CT14" i="65"/>
  <c r="CT15" i="65" s="1"/>
  <c r="CT16" i="65" s="1"/>
  <c r="CT10" i="65"/>
  <c r="FU22" i="27"/>
  <c r="FU20" i="27"/>
  <c r="FU17" i="27"/>
  <c r="FU16" i="27"/>
  <c r="BB10" i="76"/>
  <c r="AW28" i="22"/>
  <c r="AW27" i="22"/>
  <c r="AW13" i="22"/>
  <c r="AW7" i="22"/>
  <c r="AW12" i="22" s="1"/>
  <c r="EX26" i="22"/>
  <c r="EX22" i="22"/>
  <c r="EX23" i="22" s="1"/>
  <c r="EX24" i="22" s="1"/>
  <c r="EX19" i="22"/>
  <c r="EX13" i="22"/>
  <c r="EX11" i="22"/>
  <c r="EX7" i="22"/>
  <c r="EX12" i="22" s="1"/>
  <c r="T11" i="69"/>
  <c r="T9" i="69"/>
  <c r="CS14" i="69"/>
  <c r="CS15" i="69" s="1"/>
  <c r="CS16" i="69" s="1"/>
  <c r="CS11" i="69"/>
  <c r="CS9" i="69"/>
  <c r="CS14" i="65"/>
  <c r="CS15" i="65" s="1"/>
  <c r="CS16" i="65" s="1"/>
  <c r="CS10" i="65"/>
  <c r="AV14" i="27"/>
  <c r="AV12" i="27"/>
  <c r="AV11" i="27"/>
  <c r="FT22" i="27"/>
  <c r="FT20" i="27"/>
  <c r="FT17" i="27"/>
  <c r="FT16" i="27"/>
  <c r="K8" i="76"/>
  <c r="BA10" i="76"/>
  <c r="AV17" i="22"/>
  <c r="AV18" i="22"/>
  <c r="AV20" i="22"/>
  <c r="AV16" i="22"/>
  <c r="EW26" i="22"/>
  <c r="EW22" i="22"/>
  <c r="EW23" i="22" s="1"/>
  <c r="EW24" i="22" s="1"/>
  <c r="EW19" i="22"/>
  <c r="EW13" i="22"/>
  <c r="EW11" i="22"/>
  <c r="EW7" i="22"/>
  <c r="EW12" i="22" s="1"/>
  <c r="S13" i="69"/>
  <c r="S12" i="69"/>
  <c r="CR14" i="69"/>
  <c r="CR15" i="69" s="1"/>
  <c r="CR16" i="69" s="1"/>
  <c r="CR11" i="69"/>
  <c r="CR9" i="69"/>
  <c r="S12" i="65"/>
  <c r="S13" i="65"/>
  <c r="S11" i="65"/>
  <c r="CR14" i="65"/>
  <c r="CR15" i="65" s="1"/>
  <c r="CR16" i="65" s="1"/>
  <c r="CR10" i="65"/>
  <c r="FS22" i="27"/>
  <c r="FS20" i="27"/>
  <c r="FS17" i="27"/>
  <c r="FS16" i="27"/>
  <c r="K9" i="76"/>
  <c r="K11" i="76" s="1"/>
  <c r="AZ10" i="76"/>
  <c r="FZ18" i="27" l="1"/>
  <c r="FZ19" i="27" s="1"/>
  <c r="U10" i="65"/>
  <c r="FV18" i="27"/>
  <c r="FV19" i="27" s="1"/>
  <c r="FW18" i="27"/>
  <c r="FW19" i="27" s="1"/>
  <c r="L10" i="76"/>
  <c r="L11" i="76"/>
  <c r="AX19" i="22"/>
  <c r="FX18" i="27"/>
  <c r="FX19" i="27" s="1"/>
  <c r="BF12" i="76"/>
  <c r="BG12" i="76"/>
  <c r="BE12" i="76"/>
  <c r="BD12" i="76"/>
  <c r="FS18" i="27"/>
  <c r="FS19" i="27" s="1"/>
  <c r="FT18" i="27"/>
  <c r="FT19" i="27" s="1"/>
  <c r="T10" i="65"/>
  <c r="AW19" i="22"/>
  <c r="U15" i="65"/>
  <c r="U16" i="65" s="1"/>
  <c r="AX16" i="27"/>
  <c r="M10" i="76"/>
  <c r="AZ12" i="76"/>
  <c r="I9" i="81"/>
  <c r="I10" i="81" s="1"/>
  <c r="BC12" i="76"/>
  <c r="AW16" i="27"/>
  <c r="BA12" i="76"/>
  <c r="BB12" i="76"/>
  <c r="FU18" i="27"/>
  <c r="FU19" i="27" s="1"/>
  <c r="T15" i="65"/>
  <c r="T16" i="65" s="1"/>
  <c r="EV26" i="22" l="1"/>
  <c r="EV22" i="22"/>
  <c r="EV23" i="22" s="1"/>
  <c r="EV24" i="22" s="1"/>
  <c r="EV19" i="22"/>
  <c r="EV13" i="22"/>
  <c r="EV11" i="22"/>
  <c r="EV7" i="22"/>
  <c r="EV12" i="22" s="1"/>
  <c r="CQ14" i="69"/>
  <c r="CQ15" i="69" s="1"/>
  <c r="CQ16" i="69" s="1"/>
  <c r="CQ11" i="69"/>
  <c r="CQ9" i="69"/>
  <c r="S9" i="65"/>
  <c r="CQ14" i="65" l="1"/>
  <c r="CQ15" i="65" s="1"/>
  <c r="CQ16" i="65" s="1"/>
  <c r="CQ10" i="65"/>
  <c r="FR22" i="27"/>
  <c r="FR20" i="27"/>
  <c r="FR17" i="27"/>
  <c r="FR16" i="27"/>
  <c r="AY10" i="76"/>
  <c r="EU26" i="22"/>
  <c r="EU22" i="22"/>
  <c r="EU23" i="22" s="1"/>
  <c r="EU24" i="22" s="1"/>
  <c r="EU19" i="22"/>
  <c r="EU13" i="22"/>
  <c r="EU11" i="22"/>
  <c r="EU7" i="22"/>
  <c r="EU12" i="22" s="1"/>
  <c r="CP14" i="69"/>
  <c r="CP15" i="69" s="1"/>
  <c r="CP16" i="69" s="1"/>
  <c r="CP11" i="69"/>
  <c r="CP9" i="69"/>
  <c r="CP14" i="65"/>
  <c r="CP15" i="65" s="1"/>
  <c r="CP16" i="65" s="1"/>
  <c r="CP10" i="65"/>
  <c r="FR18" i="27" l="1"/>
  <c r="FR19" i="27" s="1"/>
  <c r="AY12" i="76"/>
  <c r="AU11" i="27"/>
  <c r="FQ22" i="27"/>
  <c r="FQ20" i="27"/>
  <c r="FQ17" i="27"/>
  <c r="FQ16" i="27"/>
  <c r="J8" i="76"/>
  <c r="AX10" i="76"/>
  <c r="AU16" i="22"/>
  <c r="ET19" i="22"/>
  <c r="AV19" i="22" s="1"/>
  <c r="ET22" i="22"/>
  <c r="ET23" i="22" s="1"/>
  <c r="ET24" i="22" s="1"/>
  <c r="AS27" i="22"/>
  <c r="AT27" i="22"/>
  <c r="AV27" i="22"/>
  <c r="AU27" i="22"/>
  <c r="ET26" i="22"/>
  <c r="ET13" i="22"/>
  <c r="ET11" i="22"/>
  <c r="ET7" i="22"/>
  <c r="ET12" i="22" s="1"/>
  <c r="R12" i="69"/>
  <c r="CO14" i="69"/>
  <c r="CO15" i="69" s="1"/>
  <c r="CO16" i="69" s="1"/>
  <c r="CO11" i="69"/>
  <c r="CO9" i="69"/>
  <c r="AV28" i="22"/>
  <c r="R11" i="65"/>
  <c r="CO14" i="65"/>
  <c r="CO15" i="65" s="1"/>
  <c r="CO16" i="65" s="1"/>
  <c r="CO10" i="65"/>
  <c r="EC22" i="27"/>
  <c r="ED22" i="27"/>
  <c r="EE22" i="27"/>
  <c r="EF22" i="27"/>
  <c r="EG22" i="27"/>
  <c r="EH22" i="27"/>
  <c r="EI22" i="27"/>
  <c r="EJ22" i="27"/>
  <c r="EK22" i="27"/>
  <c r="EL22" i="27"/>
  <c r="EM22" i="27"/>
  <c r="EN22" i="27"/>
  <c r="EO22" i="27"/>
  <c r="EP22" i="27"/>
  <c r="EQ22" i="27"/>
  <c r="ER22" i="27"/>
  <c r="ES22" i="27"/>
  <c r="ET22" i="27"/>
  <c r="EU22" i="27"/>
  <c r="EV22" i="27"/>
  <c r="EW22" i="27"/>
  <c r="EX22" i="27"/>
  <c r="EY22" i="27"/>
  <c r="EZ22" i="27"/>
  <c r="FA22" i="27"/>
  <c r="FB22" i="27"/>
  <c r="FC22" i="27"/>
  <c r="FD22" i="27"/>
  <c r="FE22" i="27"/>
  <c r="FF22" i="27"/>
  <c r="FG22" i="27"/>
  <c r="FH22" i="27"/>
  <c r="FI22" i="27"/>
  <c r="FJ22" i="27"/>
  <c r="FK22" i="27"/>
  <c r="FL22" i="27"/>
  <c r="FM22" i="27"/>
  <c r="FN22" i="27"/>
  <c r="FO22" i="27"/>
  <c r="FP22" i="27"/>
  <c r="EB22" i="27"/>
  <c r="EA22" i="27"/>
  <c r="AX12" i="76" l="1"/>
  <c r="FQ18" i="27"/>
  <c r="FQ19" i="27" s="1"/>
  <c r="S14" i="69"/>
  <c r="S15" i="69" s="1"/>
  <c r="S16" i="69" s="1"/>
  <c r="S9" i="69"/>
  <c r="S11" i="69"/>
  <c r="AV21" i="22"/>
  <c r="AV23" i="22" s="1"/>
  <c r="AV24" i="22" s="1"/>
  <c r="AV25" i="22" s="1"/>
  <c r="AV7" i="22"/>
  <c r="AV12" i="22" s="1"/>
  <c r="AV13" i="22"/>
  <c r="K10" i="76"/>
  <c r="AV16" i="27"/>
  <c r="AV17" i="27"/>
  <c r="AV18" i="27" s="1"/>
  <c r="S14" i="65"/>
  <c r="AU14" i="27"/>
  <c r="AU12" i="27"/>
  <c r="FP20" i="27"/>
  <c r="FP17" i="27"/>
  <c r="FP16" i="27"/>
  <c r="J9" i="76"/>
  <c r="AW10" i="76"/>
  <c r="AU17" i="22"/>
  <c r="AU18" i="22"/>
  <c r="AU20" i="22"/>
  <c r="BA19" i="27" l="1"/>
  <c r="J10" i="76"/>
  <c r="J11" i="76"/>
  <c r="FP18" i="27"/>
  <c r="FP19" i="27" s="1"/>
  <c r="S15" i="65"/>
  <c r="S16" i="65" s="1"/>
  <c r="AW12" i="76"/>
  <c r="ES26" i="22" l="1"/>
  <c r="ES22" i="22"/>
  <c r="ES19" i="22"/>
  <c r="ES13" i="22"/>
  <c r="ES11" i="22"/>
  <c r="ES7" i="22"/>
  <c r="ES12" i="22" s="1"/>
  <c r="R13" i="69"/>
  <c r="R14" i="69" s="1"/>
  <c r="R15" i="69" s="1"/>
  <c r="R16" i="69" s="1"/>
  <c r="CN14" i="69"/>
  <c r="CN15" i="69" s="1"/>
  <c r="CN16" i="69" s="1"/>
  <c r="CN11" i="69"/>
  <c r="CN9" i="69"/>
  <c r="R12" i="65"/>
  <c r="R13" i="65"/>
  <c r="R14" i="65" s="1"/>
  <c r="CN14" i="65"/>
  <c r="CN15" i="65" s="1"/>
  <c r="CN16" i="65" s="1"/>
  <c r="CN10" i="65"/>
  <c r="CM14" i="65"/>
  <c r="CM15" i="65" s="1"/>
  <c r="CM16" i="65" s="1"/>
  <c r="CM10" i="65"/>
  <c r="CM14" i="69"/>
  <c r="CM15" i="69" s="1"/>
  <c r="CM16" i="69" s="1"/>
  <c r="CM11" i="69"/>
  <c r="CM9" i="69"/>
  <c r="ER26" i="22"/>
  <c r="ER22" i="22"/>
  <c r="ER23" i="22" s="1"/>
  <c r="ER24" i="22" s="1"/>
  <c r="ER19" i="22"/>
  <c r="ER13" i="22"/>
  <c r="ER11" i="22"/>
  <c r="ER7" i="22"/>
  <c r="ER12" i="22" s="1"/>
  <c r="AV10" i="76"/>
  <c r="FO20" i="27"/>
  <c r="FO17" i="27"/>
  <c r="FO16" i="27"/>
  <c r="AR28" i="22"/>
  <c r="AS28" i="22"/>
  <c r="AT28" i="22"/>
  <c r="AU28" i="22"/>
  <c r="AQ28" i="22"/>
  <c r="FN20" i="27"/>
  <c r="FN17" i="27"/>
  <c r="FN16" i="27"/>
  <c r="AU10" i="76"/>
  <c r="EQ26" i="22"/>
  <c r="EQ22" i="22"/>
  <c r="EQ23" i="22" s="1"/>
  <c r="EQ24" i="22" s="1"/>
  <c r="EQ19" i="22"/>
  <c r="EQ13" i="22"/>
  <c r="EQ11" i="22"/>
  <c r="EQ7" i="22"/>
  <c r="EQ12" i="22" s="1"/>
  <c r="CL14" i="69"/>
  <c r="CL15" i="69" s="1"/>
  <c r="CL16" i="69" s="1"/>
  <c r="CL11" i="69"/>
  <c r="CL9" i="69"/>
  <c r="R9" i="65"/>
  <c r="CL14" i="65"/>
  <c r="CL15" i="65" s="1"/>
  <c r="CL16" i="65" s="1"/>
  <c r="CL10" i="65"/>
  <c r="FM20" i="27"/>
  <c r="FM17" i="27"/>
  <c r="FM16" i="27"/>
  <c r="AX19" i="27"/>
  <c r="AT10" i="76"/>
  <c r="AU13" i="22"/>
  <c r="AU7" i="22"/>
  <c r="AU12" i="22" s="1"/>
  <c r="EP26" i="22"/>
  <c r="EP22" i="22"/>
  <c r="EP23" i="22" s="1"/>
  <c r="EP24" i="22" s="1"/>
  <c r="EP19" i="22"/>
  <c r="EP13" i="22"/>
  <c r="EP11" i="22"/>
  <c r="EP7" i="22"/>
  <c r="EP12" i="22" s="1"/>
  <c r="Q12" i="69"/>
  <c r="R11" i="69"/>
  <c r="CK11" i="69"/>
  <c r="CK9" i="69"/>
  <c r="CK14" i="69"/>
  <c r="CK15" i="69" s="1"/>
  <c r="CK16" i="69" s="1"/>
  <c r="Q9" i="65"/>
  <c r="P9" i="65"/>
  <c r="CK14" i="65"/>
  <c r="CK15" i="65" s="1"/>
  <c r="CK16" i="65" s="1"/>
  <c r="CK10" i="65"/>
  <c r="AT14" i="27"/>
  <c r="AT16" i="27" s="1"/>
  <c r="AT12" i="27"/>
  <c r="FL20" i="27"/>
  <c r="FL17" i="27"/>
  <c r="FL16" i="27"/>
  <c r="AW19" i="27"/>
  <c r="I9" i="76"/>
  <c r="I8" i="76"/>
  <c r="AS10" i="76"/>
  <c r="L12" i="76"/>
  <c r="AT17" i="22"/>
  <c r="AT18" i="22"/>
  <c r="AT20" i="22"/>
  <c r="AT16" i="22"/>
  <c r="AZ19" i="27" l="1"/>
  <c r="AY19" i="27"/>
  <c r="AT12" i="76"/>
  <c r="M12" i="76"/>
  <c r="S10" i="65"/>
  <c r="AU19" i="22"/>
  <c r="FM18" i="27"/>
  <c r="FM19" i="27" s="1"/>
  <c r="ES23" i="22"/>
  <c r="ES24" i="22" s="1"/>
  <c r="R10" i="65"/>
  <c r="FO18" i="27"/>
  <c r="FO19" i="27" s="1"/>
  <c r="AU12" i="76"/>
  <c r="AV12" i="76"/>
  <c r="AS12" i="76"/>
  <c r="FN18" i="27"/>
  <c r="FN19" i="27" s="1"/>
  <c r="FL18" i="27"/>
  <c r="FL19" i="27" s="1"/>
  <c r="AU16" i="27"/>
  <c r="AU17" i="27"/>
  <c r="AU18" i="27" s="1"/>
  <c r="EO26" i="22"/>
  <c r="EO22" i="22"/>
  <c r="EO23" i="22" s="1"/>
  <c r="EO24" i="22" s="1"/>
  <c r="EO19" i="22"/>
  <c r="EO13" i="22"/>
  <c r="EO11" i="22"/>
  <c r="EO7" i="22"/>
  <c r="EO12" i="22" s="1"/>
  <c r="Q13" i="69"/>
  <c r="CJ14" i="69"/>
  <c r="CJ15" i="69" s="1"/>
  <c r="CJ16" i="69" s="1"/>
  <c r="CJ11" i="69"/>
  <c r="CJ9" i="69"/>
  <c r="Q12" i="65"/>
  <c r="Q13" i="65"/>
  <c r="Q11" i="65"/>
  <c r="CJ14" i="65"/>
  <c r="CJ15" i="65" s="1"/>
  <c r="CJ16" i="65" s="1"/>
  <c r="CJ10" i="65"/>
  <c r="FK20" i="27"/>
  <c r="FK17" i="27"/>
  <c r="FK16" i="27"/>
  <c r="FK11" i="27"/>
  <c r="AR10" i="76"/>
  <c r="K12" i="76"/>
  <c r="EN26" i="22"/>
  <c r="EN22" i="22"/>
  <c r="EN23" i="22" s="1"/>
  <c r="EN24" i="22" s="1"/>
  <c r="EN19" i="22"/>
  <c r="EN13" i="22"/>
  <c r="EN11" i="22"/>
  <c r="EN7" i="22"/>
  <c r="EN12" i="22" s="1"/>
  <c r="CI14" i="69"/>
  <c r="CI15" i="69" s="1"/>
  <c r="CI16" i="69" s="1"/>
  <c r="CI11" i="69"/>
  <c r="CI9" i="69"/>
  <c r="AV19" i="27" l="1"/>
  <c r="FK18" i="27"/>
  <c r="FK19" i="27" s="1"/>
  <c r="AR12" i="76"/>
  <c r="CI14" i="65"/>
  <c r="CI15" i="65" s="1"/>
  <c r="CI16" i="65" s="1"/>
  <c r="CI10" i="65"/>
  <c r="AQ10" i="76" l="1"/>
  <c r="W4" i="27"/>
  <c r="X4" i="27" s="1"/>
  <c r="Y4" i="27" s="1"/>
  <c r="I6" i="27"/>
  <c r="J6" i="27"/>
  <c r="K6" i="27"/>
  <c r="L6" i="27"/>
  <c r="M6" i="27"/>
  <c r="N6" i="27"/>
  <c r="O6" i="27"/>
  <c r="P6" i="27"/>
  <c r="Q6" i="27"/>
  <c r="R6" i="27"/>
  <c r="S6" i="27"/>
  <c r="T6" i="27"/>
  <c r="U6" i="27"/>
  <c r="V6" i="27"/>
  <c r="AD6" i="27"/>
  <c r="AD7" i="27" s="1"/>
  <c r="AE6" i="27"/>
  <c r="AE7" i="27" s="1"/>
  <c r="AF6" i="27"/>
  <c r="AF7" i="27" s="1"/>
  <c r="AG6" i="27"/>
  <c r="AG7" i="27" s="1"/>
  <c r="AH6" i="27"/>
  <c r="AH7" i="27" s="1"/>
  <c r="AI6" i="27"/>
  <c r="AI7" i="27" s="1"/>
  <c r="AJ6" i="27"/>
  <c r="AJ7" i="27" s="1"/>
  <c r="AI11" i="27"/>
  <c r="U16" i="27"/>
  <c r="V16" i="27"/>
  <c r="W16" i="27"/>
  <c r="X16" i="27"/>
  <c r="Y16" i="27"/>
  <c r="Z16" i="27"/>
  <c r="AA16" i="27"/>
  <c r="AB16" i="27"/>
  <c r="AC16" i="27"/>
  <c r="AD16" i="27"/>
  <c r="AE16" i="27"/>
  <c r="AF16" i="27"/>
  <c r="AG16" i="27"/>
  <c r="AH16" i="27"/>
  <c r="AI16" i="27"/>
  <c r="AJ16" i="27"/>
  <c r="X17" i="27"/>
  <c r="Y17" i="27"/>
  <c r="Z17" i="27"/>
  <c r="AA17" i="27"/>
  <c r="AB17" i="27"/>
  <c r="AB18" i="27" s="1"/>
  <c r="AB19" i="27" s="1"/>
  <c r="AC17" i="27"/>
  <c r="AD17" i="27"/>
  <c r="AE17" i="27"/>
  <c r="AF17" i="27"/>
  <c r="AG17" i="27"/>
  <c r="AH17" i="27"/>
  <c r="AI17" i="27"/>
  <c r="AJ17" i="27"/>
  <c r="AL6" i="27"/>
  <c r="AM6" i="27"/>
  <c r="AN6" i="27"/>
  <c r="AO6" i="27"/>
  <c r="AP6" i="27"/>
  <c r="AQ6" i="27"/>
  <c r="AR6" i="27"/>
  <c r="AS6" i="27"/>
  <c r="AL12" i="27"/>
  <c r="AM12" i="27"/>
  <c r="AN12" i="27"/>
  <c r="AO12" i="27"/>
  <c r="AP12" i="27"/>
  <c r="AQ12" i="27"/>
  <c r="AR12" i="27"/>
  <c r="AS12" i="27"/>
  <c r="AL13" i="27"/>
  <c r="AM13" i="27"/>
  <c r="AN13" i="27"/>
  <c r="AL14" i="27"/>
  <c r="AL17" i="27" s="1"/>
  <c r="AM14" i="27"/>
  <c r="AM17" i="27" s="1"/>
  <c r="AN14" i="27"/>
  <c r="AN16" i="27" s="1"/>
  <c r="AO14" i="27"/>
  <c r="AO16" i="27" s="1"/>
  <c r="AP14" i="27"/>
  <c r="AP16" i="27" s="1"/>
  <c r="AQ14" i="27"/>
  <c r="AR14" i="27"/>
  <c r="AR17" i="27" s="1"/>
  <c r="AS14" i="27"/>
  <c r="AS17" i="27" s="1"/>
  <c r="CB5" i="27"/>
  <c r="CC5" i="27" s="1"/>
  <c r="CD5" i="27" s="1"/>
  <c r="CE5" i="27" s="1"/>
  <c r="CF5" i="27" s="1"/>
  <c r="CG5" i="27" s="1"/>
  <c r="CH5" i="27" s="1"/>
  <c r="CI5" i="27" s="1"/>
  <c r="CJ5" i="27" s="1"/>
  <c r="CK5" i="27" s="1"/>
  <c r="CL5" i="27" s="1"/>
  <c r="CM5" i="27" s="1"/>
  <c r="CN5" i="27" s="1"/>
  <c r="CO5" i="27" s="1"/>
  <c r="CP5" i="27" s="1"/>
  <c r="CQ5" i="27" s="1"/>
  <c r="CR5" i="27" s="1"/>
  <c r="CS5" i="27" s="1"/>
  <c r="CT5" i="27" s="1"/>
  <c r="CU5" i="27" s="1"/>
  <c r="CV5" i="27" s="1"/>
  <c r="CW5" i="27" s="1"/>
  <c r="DN6" i="27"/>
  <c r="DN7" i="27" s="1"/>
  <c r="DO6" i="27"/>
  <c r="DO7" i="27" s="1"/>
  <c r="DP6" i="27"/>
  <c r="DP7" i="27" s="1"/>
  <c r="DQ6" i="27"/>
  <c r="DQ7" i="27" s="1"/>
  <c r="CX11" i="27"/>
  <c r="CY11" i="27"/>
  <c r="CZ11" i="27"/>
  <c r="DA11" i="27"/>
  <c r="DB11" i="27"/>
  <c r="DC11" i="27"/>
  <c r="DD11" i="27"/>
  <c r="DE11" i="27"/>
  <c r="DF11" i="27"/>
  <c r="DG11" i="27"/>
  <c r="DH11" i="27"/>
  <c r="DI11" i="27"/>
  <c r="DJ11" i="27"/>
  <c r="DK11" i="27"/>
  <c r="DL11" i="27"/>
  <c r="DM11" i="27"/>
  <c r="DQ11" i="27"/>
  <c r="DT11" i="27"/>
  <c r="DU11" i="27"/>
  <c r="DV11" i="27"/>
  <c r="DW11" i="27"/>
  <c r="DX11" i="27"/>
  <c r="DY11" i="27"/>
  <c r="DZ11" i="27"/>
  <c r="CX14" i="27"/>
  <c r="CY14" i="27"/>
  <c r="CZ14" i="27"/>
  <c r="DA14" i="27"/>
  <c r="DB14" i="27"/>
  <c r="DC14" i="27"/>
  <c r="DD14" i="27"/>
  <c r="DE14" i="27"/>
  <c r="DF14" i="27"/>
  <c r="DG14" i="27"/>
  <c r="DH14" i="27"/>
  <c r="DI14" i="27"/>
  <c r="DJ14" i="27"/>
  <c r="DK14" i="27"/>
  <c r="DL14" i="27"/>
  <c r="DM14" i="27"/>
  <c r="DT14" i="27"/>
  <c r="DT20" i="27" s="1"/>
  <c r="DU14" i="27"/>
  <c r="DU17" i="27" s="1"/>
  <c r="DU18" i="27" s="1"/>
  <c r="DU19" i="27" s="1"/>
  <c r="DV14" i="27"/>
  <c r="DV20" i="27" s="1"/>
  <c r="DW14" i="27"/>
  <c r="DX14" i="27"/>
  <c r="DX20" i="27" s="1"/>
  <c r="DY14" i="27"/>
  <c r="DY17" i="27" s="1"/>
  <c r="DY18" i="27" s="1"/>
  <c r="DY19" i="27" s="1"/>
  <c r="DZ14" i="27"/>
  <c r="DZ20" i="27" s="1"/>
  <c r="DL16" i="27"/>
  <c r="DM16" i="27"/>
  <c r="DN16" i="27"/>
  <c r="DO16" i="27"/>
  <c r="DP16" i="27"/>
  <c r="DQ16" i="27"/>
  <c r="DR16" i="27"/>
  <c r="DS16" i="27"/>
  <c r="DT16" i="27"/>
  <c r="DU16" i="27"/>
  <c r="DV16" i="27"/>
  <c r="DW16" i="27"/>
  <c r="DX16" i="27"/>
  <c r="DY16" i="27"/>
  <c r="DZ16" i="27"/>
  <c r="DN17" i="27"/>
  <c r="DO17" i="27"/>
  <c r="DP17" i="27"/>
  <c r="DQ17" i="27"/>
  <c r="DR17" i="27"/>
  <c r="DR18" i="27" s="1"/>
  <c r="DR19" i="27" s="1"/>
  <c r="DS17" i="27"/>
  <c r="DS18" i="27" s="1"/>
  <c r="DS19" i="27" s="1"/>
  <c r="DN20" i="27"/>
  <c r="DO20" i="27"/>
  <c r="DP20" i="27"/>
  <c r="DQ20" i="27"/>
  <c r="DR20" i="27"/>
  <c r="DS20" i="27"/>
  <c r="EA18" i="27"/>
  <c r="EA19" i="27" s="1"/>
  <c r="EA11" i="27"/>
  <c r="EB11" i="27"/>
  <c r="EC11" i="27"/>
  <c r="ED11" i="27"/>
  <c r="EE11" i="27"/>
  <c r="EF11" i="27"/>
  <c r="EG11" i="27"/>
  <c r="EH11" i="27"/>
  <c r="EI11" i="27"/>
  <c r="EJ11" i="27"/>
  <c r="EK11" i="27"/>
  <c r="EL11" i="27"/>
  <c r="EM11" i="27"/>
  <c r="EN11" i="27"/>
  <c r="EO11" i="27"/>
  <c r="EP11" i="27"/>
  <c r="EQ11" i="27"/>
  <c r="ER11" i="27"/>
  <c r="ES11" i="27"/>
  <c r="ET11" i="27"/>
  <c r="EU11" i="27"/>
  <c r="EV11" i="27"/>
  <c r="EW11" i="27"/>
  <c r="EX11" i="27"/>
  <c r="EY11" i="27"/>
  <c r="EZ11" i="27"/>
  <c r="FA11" i="27"/>
  <c r="FB11" i="27"/>
  <c r="FC11" i="27"/>
  <c r="FD11" i="27"/>
  <c r="FE11" i="27"/>
  <c r="FF11" i="27"/>
  <c r="FG11" i="27"/>
  <c r="FH11" i="27"/>
  <c r="EA16" i="27"/>
  <c r="EB16" i="27"/>
  <c r="EC16" i="27"/>
  <c r="ED16" i="27"/>
  <c r="EE16" i="27"/>
  <c r="EF16" i="27"/>
  <c r="EG16" i="27"/>
  <c r="EH16" i="27"/>
  <c r="EI16" i="27"/>
  <c r="EJ16" i="27"/>
  <c r="EK16" i="27"/>
  <c r="EL16" i="27"/>
  <c r="EM16" i="27"/>
  <c r="EN16" i="27"/>
  <c r="EO16" i="27"/>
  <c r="EP16" i="27"/>
  <c r="EQ16" i="27"/>
  <c r="ER16" i="27"/>
  <c r="ES16" i="27"/>
  <c r="ET16" i="27"/>
  <c r="EU16" i="27"/>
  <c r="EV16" i="27"/>
  <c r="EW16" i="27"/>
  <c r="EX16" i="27"/>
  <c r="EY16" i="27"/>
  <c r="EZ16" i="27"/>
  <c r="FA16" i="27"/>
  <c r="FB16" i="27"/>
  <c r="FC16" i="27"/>
  <c r="FD16" i="27"/>
  <c r="FE16" i="27"/>
  <c r="FF16" i="27"/>
  <c r="FG16" i="27"/>
  <c r="FH16" i="27"/>
  <c r="EB17" i="27"/>
  <c r="EC17" i="27"/>
  <c r="ED17" i="27"/>
  <c r="EE17" i="27"/>
  <c r="EF17" i="27"/>
  <c r="EG17" i="27"/>
  <c r="EH17" i="27"/>
  <c r="EI17" i="27"/>
  <c r="EJ17" i="27"/>
  <c r="EK17" i="27"/>
  <c r="EL17" i="27"/>
  <c r="EM17" i="27"/>
  <c r="EN17" i="27"/>
  <c r="EO17" i="27"/>
  <c r="EP17" i="27"/>
  <c r="EQ17" i="27"/>
  <c r="ER17" i="27"/>
  <c r="ES17" i="27"/>
  <c r="ET17" i="27"/>
  <c r="EU17" i="27"/>
  <c r="EV17" i="27"/>
  <c r="EW17" i="27"/>
  <c r="EX17" i="27"/>
  <c r="EY17" i="27"/>
  <c r="EZ17" i="27"/>
  <c r="FA17" i="27"/>
  <c r="FB17" i="27"/>
  <c r="FC17" i="27"/>
  <c r="FD17" i="27"/>
  <c r="FE17" i="27"/>
  <c r="FF17" i="27"/>
  <c r="FG17" i="27"/>
  <c r="FH17" i="27"/>
  <c r="EA20" i="27"/>
  <c r="EB20" i="27"/>
  <c r="EC20" i="27"/>
  <c r="ED20" i="27"/>
  <c r="EE20" i="27"/>
  <c r="EF20" i="27"/>
  <c r="EG20" i="27"/>
  <c r="EH20" i="27"/>
  <c r="EI20" i="27"/>
  <c r="EJ20" i="27"/>
  <c r="EK20" i="27"/>
  <c r="EL20" i="27"/>
  <c r="EM20" i="27"/>
  <c r="EN20" i="27"/>
  <c r="EO20" i="27"/>
  <c r="EP20" i="27"/>
  <c r="EQ20" i="27"/>
  <c r="ER20" i="27"/>
  <c r="ES20" i="27"/>
  <c r="ET20" i="27"/>
  <c r="EU20" i="27"/>
  <c r="EV20" i="27"/>
  <c r="EW20" i="27"/>
  <c r="EX20" i="27"/>
  <c r="EY20" i="27"/>
  <c r="EZ20" i="27"/>
  <c r="FA20" i="27"/>
  <c r="FB20" i="27"/>
  <c r="FC20" i="27"/>
  <c r="FD20" i="27"/>
  <c r="FE20" i="27"/>
  <c r="FF20" i="27"/>
  <c r="FG20" i="27"/>
  <c r="FH20" i="27"/>
  <c r="EA23" i="27"/>
  <c r="EB23" i="27"/>
  <c r="EC23" i="27"/>
  <c r="ED23" i="27"/>
  <c r="EE23" i="27"/>
  <c r="EF23" i="27"/>
  <c r="EG23" i="27"/>
  <c r="EH23" i="27"/>
  <c r="EI23" i="27"/>
  <c r="EJ23" i="27"/>
  <c r="EK23" i="27"/>
  <c r="EL23" i="27"/>
  <c r="EM23" i="27"/>
  <c r="EN23" i="27"/>
  <c r="EO23" i="27"/>
  <c r="EP23" i="27"/>
  <c r="EQ23" i="27"/>
  <c r="ER23" i="27"/>
  <c r="ES23" i="27"/>
  <c r="ET23" i="27"/>
  <c r="EU23" i="27"/>
  <c r="EV23" i="27"/>
  <c r="EW23" i="27"/>
  <c r="EX23" i="27"/>
  <c r="EY23" i="27"/>
  <c r="EZ23" i="27"/>
  <c r="FA23" i="27"/>
  <c r="FB23" i="27"/>
  <c r="FC23" i="27"/>
  <c r="FD23" i="27"/>
  <c r="FE23" i="27"/>
  <c r="FF23" i="27"/>
  <c r="FG23" i="27"/>
  <c r="AT17" i="27"/>
  <c r="AT18" i="27" s="1"/>
  <c r="FJ20" i="27"/>
  <c r="FJ17" i="27"/>
  <c r="FJ16" i="27"/>
  <c r="FJ11" i="27"/>
  <c r="AU19" i="27"/>
  <c r="AT13" i="22"/>
  <c r="AT21" i="22"/>
  <c r="AT23" i="22" s="1"/>
  <c r="AT24" i="22" s="1"/>
  <c r="AT25" i="22" s="1"/>
  <c r="EM26" i="22"/>
  <c r="EM22" i="22"/>
  <c r="EM23" i="22" s="1"/>
  <c r="EM24" i="22" s="1"/>
  <c r="EM19" i="22"/>
  <c r="EM13" i="22"/>
  <c r="EM11" i="22"/>
  <c r="EM7" i="22"/>
  <c r="EM12" i="22" s="1"/>
  <c r="Q14" i="69"/>
  <c r="P12" i="69"/>
  <c r="CH14" i="69"/>
  <c r="CH15" i="69" s="1"/>
  <c r="CH16" i="69" s="1"/>
  <c r="CH11" i="69"/>
  <c r="CH9" i="69"/>
  <c r="CH14" i="65"/>
  <c r="CH15" i="65" s="1"/>
  <c r="CH16" i="65" s="1"/>
  <c r="P11" i="65"/>
  <c r="CH10" i="65"/>
  <c r="AZ10" i="65"/>
  <c r="BA10" i="65"/>
  <c r="BB10" i="65"/>
  <c r="BC10" i="65"/>
  <c r="BD10" i="65"/>
  <c r="BE10" i="65"/>
  <c r="BF10" i="65"/>
  <c r="BG10" i="65"/>
  <c r="BH10" i="65"/>
  <c r="BI10" i="65"/>
  <c r="BJ10" i="65"/>
  <c r="BK10" i="65"/>
  <c r="BL10" i="65"/>
  <c r="BM10" i="65"/>
  <c r="BN10" i="65"/>
  <c r="BO10" i="65"/>
  <c r="BP10" i="65"/>
  <c r="BQ10" i="65"/>
  <c r="BR10" i="65"/>
  <c r="BS10" i="65"/>
  <c r="BT10" i="65"/>
  <c r="BU10" i="65"/>
  <c r="BV10" i="65"/>
  <c r="BW10" i="65"/>
  <c r="BX10" i="65"/>
  <c r="BY10" i="65"/>
  <c r="BZ10" i="65"/>
  <c r="CA10" i="65"/>
  <c r="CB10" i="65"/>
  <c r="CC10" i="65"/>
  <c r="CD10" i="65"/>
  <c r="CE10" i="65"/>
  <c r="CF10" i="65"/>
  <c r="CG10" i="65"/>
  <c r="AY10" i="65"/>
  <c r="FI11" i="27"/>
  <c r="FI20" i="27"/>
  <c r="FI17" i="27"/>
  <c r="FI16" i="27"/>
  <c r="AT7" i="22"/>
  <c r="AT12" i="22" s="1"/>
  <c r="AS20" i="22"/>
  <c r="AS21" i="22" s="1"/>
  <c r="EL26" i="22"/>
  <c r="EL22" i="22"/>
  <c r="EL23" i="22" s="1"/>
  <c r="EL24" i="22" s="1"/>
  <c r="EL19" i="22"/>
  <c r="EL13" i="22"/>
  <c r="EL11" i="22"/>
  <c r="EL7" i="22"/>
  <c r="EL12" i="22" s="1"/>
  <c r="Q10" i="69"/>
  <c r="Q7" i="69"/>
  <c r="AS18" i="27" l="1"/>
  <c r="AR18" i="27"/>
  <c r="AM18" i="27"/>
  <c r="AL18" i="27"/>
  <c r="AL16" i="27"/>
  <c r="DW17" i="27"/>
  <c r="DW18" i="27" s="1"/>
  <c r="DW19" i="27" s="1"/>
  <c r="AK14" i="27"/>
  <c r="DW20" i="27"/>
  <c r="Q10" i="65"/>
  <c r="DV17" i="27"/>
  <c r="DV18" i="27" s="1"/>
  <c r="DV19" i="27" s="1"/>
  <c r="J12" i="76"/>
  <c r="AT11" i="27"/>
  <c r="AS16" i="27"/>
  <c r="AA18" i="27"/>
  <c r="AA19" i="27" s="1"/>
  <c r="AT19" i="22"/>
  <c r="AN17" i="27"/>
  <c r="AN18" i="27" s="1"/>
  <c r="Z18" i="27"/>
  <c r="Z19" i="27" s="1"/>
  <c r="Q15" i="69"/>
  <c r="Q16" i="69" s="1"/>
  <c r="AH18" i="27"/>
  <c r="AH19" i="27" s="1"/>
  <c r="AI18" i="27"/>
  <c r="AI19" i="27" s="1"/>
  <c r="AF18" i="27"/>
  <c r="AF19" i="27" s="1"/>
  <c r="AM16" i="27"/>
  <c r="AD18" i="27"/>
  <c r="AD19" i="27" s="1"/>
  <c r="AN11" i="27"/>
  <c r="EN18" i="27"/>
  <c r="EN19" i="27" s="1"/>
  <c r="EF18" i="27"/>
  <c r="EF19" i="27" s="1"/>
  <c r="AE18" i="27"/>
  <c r="AE19" i="27" s="1"/>
  <c r="AL11" i="27"/>
  <c r="FF18" i="27"/>
  <c r="FF19" i="27" s="1"/>
  <c r="AR16" i="27"/>
  <c r="AO11" i="27"/>
  <c r="AM11" i="27"/>
  <c r="AJ18" i="27"/>
  <c r="AJ19" i="27" s="1"/>
  <c r="EX18" i="27"/>
  <c r="EX19" i="27" s="1"/>
  <c r="EP18" i="27"/>
  <c r="EP19" i="27" s="1"/>
  <c r="EH18" i="27"/>
  <c r="EH19" i="27" s="1"/>
  <c r="AR11" i="27"/>
  <c r="I10" i="76"/>
  <c r="AP12" i="76"/>
  <c r="AQ12" i="76"/>
  <c r="AQ17" i="27"/>
  <c r="AQ18" i="27" s="1"/>
  <c r="AQ16" i="27"/>
  <c r="AG18" i="27"/>
  <c r="AG19" i="27" s="1"/>
  <c r="AL19" i="27"/>
  <c r="AP17" i="27"/>
  <c r="AP18" i="27" s="1"/>
  <c r="AR19" i="27"/>
  <c r="Y18" i="27"/>
  <c r="Y19" i="27" s="1"/>
  <c r="AP11" i="27"/>
  <c r="AO17" i="27"/>
  <c r="AO18" i="27" s="1"/>
  <c r="X18" i="27"/>
  <c r="X19" i="27" s="1"/>
  <c r="DU20" i="27"/>
  <c r="FC18" i="27"/>
  <c r="FC19" i="27" s="1"/>
  <c r="EU18" i="27"/>
  <c r="EU19" i="27" s="1"/>
  <c r="EM18" i="27"/>
  <c r="EM19" i="27" s="1"/>
  <c r="EE18" i="27"/>
  <c r="EE19" i="27" s="1"/>
  <c r="AC18" i="27"/>
  <c r="AC19" i="27" s="1"/>
  <c r="AS11" i="27"/>
  <c r="AQ11" i="27"/>
  <c r="AM19" i="27"/>
  <c r="DQ18" i="27"/>
  <c r="DQ19" i="27" s="1"/>
  <c r="DN18" i="27"/>
  <c r="DN19" i="27" s="1"/>
  <c r="DP18" i="27"/>
  <c r="DP19" i="27" s="1"/>
  <c r="DY20" i="27"/>
  <c r="DX17" i="27"/>
  <c r="DX18" i="27" s="1"/>
  <c r="DX19" i="27" s="1"/>
  <c r="DO18" i="27"/>
  <c r="DO19" i="27" s="1"/>
  <c r="EO18" i="27"/>
  <c r="EO19" i="27" s="1"/>
  <c r="EG18" i="27"/>
  <c r="EG19" i="27" s="1"/>
  <c r="AS19" i="27"/>
  <c r="EW18" i="27"/>
  <c r="EW19" i="27" s="1"/>
  <c r="EV18" i="27"/>
  <c r="EV19" i="27" s="1"/>
  <c r="ET18" i="27"/>
  <c r="ET19" i="27" s="1"/>
  <c r="ED18" i="27"/>
  <c r="ED19" i="27" s="1"/>
  <c r="EC18" i="27"/>
  <c r="EC19" i="27" s="1"/>
  <c r="DT17" i="27"/>
  <c r="DT18" i="27" s="1"/>
  <c r="DT19" i="27" s="1"/>
  <c r="EB18" i="27"/>
  <c r="EB19" i="27" s="1"/>
  <c r="FE18" i="27"/>
  <c r="FE19" i="27" s="1"/>
  <c r="FG18" i="27"/>
  <c r="FG19" i="27" s="1"/>
  <c r="EY18" i="27"/>
  <c r="EY19" i="27" s="1"/>
  <c r="EQ18" i="27"/>
  <c r="EQ19" i="27" s="1"/>
  <c r="EI18" i="27"/>
  <c r="EI19" i="27" s="1"/>
  <c r="DZ17" i="27"/>
  <c r="DZ18" i="27" s="1"/>
  <c r="DZ19" i="27" s="1"/>
  <c r="FD18" i="27"/>
  <c r="FD19" i="27" s="1"/>
  <c r="FB18" i="27"/>
  <c r="FB19" i="27" s="1"/>
  <c r="EL18" i="27"/>
  <c r="EL19" i="27" s="1"/>
  <c r="FA18" i="27"/>
  <c r="FA19" i="27" s="1"/>
  <c r="ES18" i="27"/>
  <c r="ES19" i="27" s="1"/>
  <c r="EK18" i="27"/>
  <c r="EK19" i="27" s="1"/>
  <c r="FH18" i="27"/>
  <c r="FH19" i="27" s="1"/>
  <c r="EZ18" i="27"/>
  <c r="EZ19" i="27" s="1"/>
  <c r="ER18" i="27"/>
  <c r="ER19" i="27" s="1"/>
  <c r="EJ18" i="27"/>
  <c r="EJ19" i="27" s="1"/>
  <c r="FJ18" i="27"/>
  <c r="FJ19" i="27" s="1"/>
  <c r="AT19" i="27"/>
  <c r="FI18" i="27"/>
  <c r="FI19" i="27" s="1"/>
  <c r="CG14" i="69"/>
  <c r="CG15" i="69" s="1"/>
  <c r="CG16" i="69" s="1"/>
  <c r="CG11" i="69"/>
  <c r="CG9" i="69"/>
  <c r="Q14" i="65"/>
  <c r="Q15" i="65" s="1"/>
  <c r="Q16" i="65" s="1"/>
  <c r="AQ19" i="27" l="1"/>
  <c r="AN19" i="27"/>
  <c r="AP19" i="27"/>
  <c r="I11" i="76"/>
  <c r="I12" i="76" s="1"/>
  <c r="AO19" i="27"/>
  <c r="AK17" i="27"/>
  <c r="AK18" i="27" s="1"/>
  <c r="AK19" i="27" s="1"/>
  <c r="AK16" i="27"/>
  <c r="CG14" i="65"/>
  <c r="CG15" i="65" s="1"/>
  <c r="CG16" i="65" s="1"/>
  <c r="EK19" i="22"/>
  <c r="AS17" i="22"/>
  <c r="AS18" i="22"/>
  <c r="EK26" i="22"/>
  <c r="EK22" i="22"/>
  <c r="EK23" i="22" s="1"/>
  <c r="EK24" i="22" s="1"/>
  <c r="EK13" i="22"/>
  <c r="EK11" i="22"/>
  <c r="EK7" i="22"/>
  <c r="EK12" i="22" s="1"/>
  <c r="P13" i="69"/>
  <c r="P14" i="69" s="1"/>
  <c r="CF14" i="69"/>
  <c r="CF15" i="69" s="1"/>
  <c r="CF16" i="69" s="1"/>
  <c r="CF11" i="69"/>
  <c r="CF9" i="69"/>
  <c r="P12" i="65"/>
  <c r="P13" i="65"/>
  <c r="P14" i="65" s="1"/>
  <c r="CF14" i="65"/>
  <c r="CF15" i="65" s="1"/>
  <c r="CF16" i="65" s="1"/>
  <c r="AU21" i="22"/>
  <c r="AU23" i="22" s="1"/>
  <c r="AU24" i="22" s="1"/>
  <c r="AU25" i="22" s="1"/>
  <c r="R15" i="65"/>
  <c r="R16" i="65" s="1"/>
  <c r="EJ26" i="22"/>
  <c r="EI26" i="22"/>
  <c r="EJ7" i="22" l="1"/>
  <c r="EJ22" i="22" l="1"/>
  <c r="EJ23" i="22" s="1"/>
  <c r="EJ24" i="22" s="1"/>
  <c r="EJ19" i="22"/>
  <c r="EJ11" i="22"/>
  <c r="EJ13" i="22"/>
  <c r="EJ12" i="22"/>
  <c r="CE14" i="69"/>
  <c r="CE15" i="69" s="1"/>
  <c r="CE16" i="69" s="1"/>
  <c r="CE11" i="69"/>
  <c r="CE9" i="69"/>
  <c r="CE14" i="65"/>
  <c r="CE15" i="65" s="1"/>
  <c r="CE16" i="65" s="1"/>
  <c r="EI19" i="22"/>
  <c r="EI16" i="22"/>
  <c r="EH16" i="22"/>
  <c r="EI22" i="22"/>
  <c r="EI23" i="22" s="1"/>
  <c r="EI24" i="22" s="1"/>
  <c r="EI13" i="22"/>
  <c r="EI11" i="22"/>
  <c r="EI7" i="22"/>
  <c r="EI12" i="22" s="1"/>
  <c r="P18" i="69"/>
  <c r="CD14" i="69"/>
  <c r="CD15" i="69" s="1"/>
  <c r="CD16" i="69" s="1"/>
  <c r="CD11" i="69"/>
  <c r="CD9" i="69"/>
  <c r="O9" i="65"/>
  <c r="CD14" i="65"/>
  <c r="CD15" i="65" s="1"/>
  <c r="CD16" i="65" s="1"/>
  <c r="EH26" i="22"/>
  <c r="EH22" i="22"/>
  <c r="EH23" i="22" s="1"/>
  <c r="EH24" i="22" s="1"/>
  <c r="EH19" i="22"/>
  <c r="EG16" i="22"/>
  <c r="EH13" i="22"/>
  <c r="EH11" i="22"/>
  <c r="EH7" i="22"/>
  <c r="EH12" i="22" s="1"/>
  <c r="O12" i="69"/>
  <c r="CC14" i="69"/>
  <c r="CC15" i="69" s="1"/>
  <c r="CC16" i="69" s="1"/>
  <c r="CC11" i="69"/>
  <c r="CC9" i="69"/>
  <c r="O11" i="65"/>
  <c r="CC14" i="65"/>
  <c r="CC15" i="65" s="1"/>
  <c r="CC16" i="65" s="1"/>
  <c r="AS16" i="22" l="1"/>
  <c r="P15" i="65"/>
  <c r="P16" i="65" s="1"/>
  <c r="CB14" i="65"/>
  <c r="CB15" i="65" s="1"/>
  <c r="CB16" i="65" s="1"/>
  <c r="P10" i="65"/>
  <c r="O18" i="69"/>
  <c r="P10" i="69"/>
  <c r="P7" i="69"/>
  <c r="CB14" i="69"/>
  <c r="CB15" i="69" s="1"/>
  <c r="CB16" i="69" s="1"/>
  <c r="CB11" i="69"/>
  <c r="CB9" i="69"/>
  <c r="AS23" i="22"/>
  <c r="AS24" i="22" s="1"/>
  <c r="AS25" i="22" s="1"/>
  <c r="EF16" i="22"/>
  <c r="EG19" i="22"/>
  <c r="AS19" i="22" s="1"/>
  <c r="EG26" i="22"/>
  <c r="EG22" i="22"/>
  <c r="EG23" i="22" s="1"/>
  <c r="EG24" i="22" s="1"/>
  <c r="EG13" i="22"/>
  <c r="EG11" i="22"/>
  <c r="EG7" i="22"/>
  <c r="EG12" i="22" s="1"/>
  <c r="AS13" i="22"/>
  <c r="P15" i="69" l="1"/>
  <c r="P16" i="69" s="1"/>
  <c r="AS7" i="22"/>
  <c r="AS12" i="22" s="1"/>
  <c r="ED22" i="22"/>
  <c r="EA26" i="22"/>
  <c r="EB26" i="22"/>
  <c r="EC26" i="22"/>
  <c r="ED26" i="22"/>
  <c r="EE26" i="22"/>
  <c r="EF26" i="22"/>
  <c r="DZ26" i="22"/>
  <c r="EF19" i="22" l="1"/>
  <c r="AR20" i="22" l="1"/>
  <c r="AR21" i="22" s="1"/>
  <c r="AR18" i="22"/>
  <c r="AR17" i="22"/>
  <c r="EE16" i="22"/>
  <c r="EF22" i="22"/>
  <c r="EF23" i="22" s="1"/>
  <c r="EF24" i="22" s="1"/>
  <c r="EF13" i="22"/>
  <c r="EF11" i="22"/>
  <c r="EF7" i="22"/>
  <c r="EF12" i="22" s="1"/>
  <c r="O13" i="69"/>
  <c r="CA14" i="69"/>
  <c r="CA15" i="69" s="1"/>
  <c r="CA16" i="69" s="1"/>
  <c r="CA11" i="69"/>
  <c r="CA9" i="69"/>
  <c r="O13" i="65"/>
  <c r="O12" i="65"/>
  <c r="CA14" i="65"/>
  <c r="CA15" i="65" s="1"/>
  <c r="CA16" i="65" s="1"/>
  <c r="DE13" i="22"/>
  <c r="DF13" i="22"/>
  <c r="DG13" i="22"/>
  <c r="DH13" i="22"/>
  <c r="DI13" i="22"/>
  <c r="DJ13" i="22"/>
  <c r="DK13" i="22"/>
  <c r="DL13" i="22"/>
  <c r="DM13" i="22"/>
  <c r="DN13" i="22"/>
  <c r="DO13" i="22"/>
  <c r="DP13" i="22"/>
  <c r="DQ13" i="22"/>
  <c r="DR13" i="22"/>
  <c r="DS13" i="22"/>
  <c r="DT13" i="22"/>
  <c r="DU13" i="22"/>
  <c r="DV13" i="22"/>
  <c r="DW13" i="22"/>
  <c r="DX13" i="22"/>
  <c r="DY13" i="22"/>
  <c r="DZ13" i="22"/>
  <c r="EA13" i="22"/>
  <c r="EB13" i="22"/>
  <c r="EC13" i="22"/>
  <c r="ED13" i="22"/>
  <c r="EE13" i="22"/>
  <c r="DD13" i="22"/>
  <c r="BZ14" i="65" l="1"/>
  <c r="BZ15" i="65" s="1"/>
  <c r="BZ16" i="65" s="1"/>
  <c r="BY14" i="65"/>
  <c r="BY15" i="65" s="1"/>
  <c r="BY16" i="65" s="1"/>
  <c r="BX14" i="65"/>
  <c r="BX15" i="65" s="1"/>
  <c r="BX16" i="65" s="1"/>
  <c r="BW14" i="65"/>
  <c r="BW15" i="65" s="1"/>
  <c r="BW16" i="65" s="1"/>
  <c r="BV14" i="65"/>
  <c r="BV15" i="65" s="1"/>
  <c r="BV16" i="65" s="1"/>
  <c r="BU14" i="65"/>
  <c r="BU15" i="65" s="1"/>
  <c r="BU16" i="65" s="1"/>
  <c r="BT14" i="65"/>
  <c r="BT15" i="65" s="1"/>
  <c r="BT16" i="65" s="1"/>
  <c r="BS14" i="65"/>
  <c r="BS15" i="65" s="1"/>
  <c r="BS16" i="65" s="1"/>
  <c r="BR14" i="65"/>
  <c r="BR15" i="65" s="1"/>
  <c r="BR16" i="65" s="1"/>
  <c r="BQ14" i="65"/>
  <c r="BQ15" i="65" s="1"/>
  <c r="BQ16" i="65" s="1"/>
  <c r="BP14" i="65"/>
  <c r="BP15" i="65" s="1"/>
  <c r="BP16" i="65" s="1"/>
  <c r="BO14" i="65"/>
  <c r="BO15" i="65" s="1"/>
  <c r="BO16" i="65" s="1"/>
  <c r="BN14" i="65"/>
  <c r="BN15" i="65" s="1"/>
  <c r="BN16" i="65" s="1"/>
  <c r="BM14" i="65"/>
  <c r="BM15" i="65" s="1"/>
  <c r="BM16" i="65" s="1"/>
  <c r="BL14" i="65"/>
  <c r="BL15" i="65" s="1"/>
  <c r="BL16" i="65" s="1"/>
  <c r="BK14" i="65"/>
  <c r="BK15" i="65" s="1"/>
  <c r="BK16" i="65" s="1"/>
  <c r="BJ14" i="65"/>
  <c r="BJ15" i="65" s="1"/>
  <c r="BJ16" i="65" s="1"/>
  <c r="BI14" i="65"/>
  <c r="BI15" i="65" s="1"/>
  <c r="BI16" i="65" s="1"/>
  <c r="BH14" i="65"/>
  <c r="BH15" i="65" s="1"/>
  <c r="BH16" i="65" s="1"/>
  <c r="BG14" i="65"/>
  <c r="BG15" i="65" s="1"/>
  <c r="BG16" i="65" s="1"/>
  <c r="BF14" i="65"/>
  <c r="BF15" i="65" s="1"/>
  <c r="BF16" i="65" s="1"/>
  <c r="BE14" i="65"/>
  <c r="BE15" i="65" s="1"/>
  <c r="BE16" i="65" s="1"/>
  <c r="BD14" i="65"/>
  <c r="BD15" i="65" s="1"/>
  <c r="BD16" i="65" s="1"/>
  <c r="BC14" i="65"/>
  <c r="BC15" i="65" s="1"/>
  <c r="BC16" i="65" s="1"/>
  <c r="BB14" i="65"/>
  <c r="BB15" i="65" s="1"/>
  <c r="BB16" i="65" s="1"/>
  <c r="BA14" i="65"/>
  <c r="BA15" i="65" s="1"/>
  <c r="BA16" i="65" s="1"/>
  <c r="AZ14" i="65"/>
  <c r="AZ15" i="65" s="1"/>
  <c r="AZ16" i="65" s="1"/>
  <c r="AX14" i="65"/>
  <c r="AX15" i="65" s="1"/>
  <c r="AX16" i="65" s="1"/>
  <c r="AY13" i="65"/>
  <c r="AY14" i="65" s="1"/>
  <c r="AY15" i="65" s="1"/>
  <c r="AY16" i="65" s="1"/>
  <c r="O14" i="65"/>
  <c r="O15" i="65" s="1"/>
  <c r="O16" i="65" s="1"/>
  <c r="N13" i="65"/>
  <c r="N14" i="65" s="1"/>
  <c r="M13" i="65"/>
  <c r="M14" i="65" s="1"/>
  <c r="L13" i="65"/>
  <c r="L14" i="65" s="1"/>
  <c r="K13" i="65"/>
  <c r="K14" i="65" s="1"/>
  <c r="J13" i="65"/>
  <c r="J14" i="65" s="1"/>
  <c r="H13" i="65"/>
  <c r="AX12" i="65"/>
  <c r="N12" i="65"/>
  <c r="M12" i="65"/>
  <c r="L12" i="65"/>
  <c r="K12" i="65"/>
  <c r="J12" i="65"/>
  <c r="I12" i="65"/>
  <c r="H12" i="65"/>
  <c r="AW12" i="65" s="1"/>
  <c r="AX11" i="65"/>
  <c r="N11" i="65"/>
  <c r="M11" i="65"/>
  <c r="L11" i="65"/>
  <c r="K11" i="65"/>
  <c r="J11" i="65"/>
  <c r="I11" i="65"/>
  <c r="H11" i="65"/>
  <c r="AW11" i="65" s="1"/>
  <c r="AX10" i="65"/>
  <c r="N9" i="65"/>
  <c r="M9" i="65"/>
  <c r="L9" i="65"/>
  <c r="K9" i="65"/>
  <c r="J9" i="65"/>
  <c r="I9" i="65"/>
  <c r="AW8" i="65"/>
  <c r="H8" i="65"/>
  <c r="AW7" i="65"/>
  <c r="K7" i="65"/>
  <c r="J7" i="65"/>
  <c r="I7" i="65"/>
  <c r="H7" i="65"/>
  <c r="AW6" i="65"/>
  <c r="H6" i="65"/>
  <c r="BZ14" i="69"/>
  <c r="BZ15" i="69" s="1"/>
  <c r="BZ16" i="69" s="1"/>
  <c r="BY14" i="69"/>
  <c r="BY15" i="69" s="1"/>
  <c r="BY16" i="69" s="1"/>
  <c r="BX14" i="69"/>
  <c r="BX15" i="69" s="1"/>
  <c r="BX16" i="69" s="1"/>
  <c r="BW14" i="69"/>
  <c r="BW15" i="69" s="1"/>
  <c r="BW16" i="69" s="1"/>
  <c r="BV14" i="69"/>
  <c r="BV15" i="69" s="1"/>
  <c r="BV16" i="69" s="1"/>
  <c r="BU14" i="69"/>
  <c r="BU15" i="69" s="1"/>
  <c r="BU16" i="69" s="1"/>
  <c r="BT14" i="69"/>
  <c r="BT15" i="69" s="1"/>
  <c r="BT16" i="69" s="1"/>
  <c r="BS14" i="69"/>
  <c r="BS15" i="69" s="1"/>
  <c r="BS16" i="69" s="1"/>
  <c r="BR14" i="69"/>
  <c r="BR15" i="69" s="1"/>
  <c r="BR16" i="69" s="1"/>
  <c r="BQ14" i="69"/>
  <c r="BQ15" i="69" s="1"/>
  <c r="BQ16" i="69" s="1"/>
  <c r="BP14" i="69"/>
  <c r="BP15" i="69" s="1"/>
  <c r="BP16" i="69" s="1"/>
  <c r="BO14" i="69"/>
  <c r="BO15" i="69" s="1"/>
  <c r="BO16" i="69" s="1"/>
  <c r="BN14" i="69"/>
  <c r="BN15" i="69" s="1"/>
  <c r="BN16" i="69" s="1"/>
  <c r="BM14" i="69"/>
  <c r="BM15" i="69" s="1"/>
  <c r="BM16" i="69" s="1"/>
  <c r="BL14" i="69"/>
  <c r="BL15" i="69" s="1"/>
  <c r="BL16" i="69" s="1"/>
  <c r="BK14" i="69"/>
  <c r="BK15" i="69" s="1"/>
  <c r="BK16" i="69" s="1"/>
  <c r="BJ14" i="69"/>
  <c r="BJ15" i="69" s="1"/>
  <c r="BJ16" i="69" s="1"/>
  <c r="BI14" i="69"/>
  <c r="BI15" i="69" s="1"/>
  <c r="BI16" i="69" s="1"/>
  <c r="BH14" i="69"/>
  <c r="BH15" i="69" s="1"/>
  <c r="BH16" i="69" s="1"/>
  <c r="BG14" i="69"/>
  <c r="BG15" i="69" s="1"/>
  <c r="BG16" i="69" s="1"/>
  <c r="BF14" i="69"/>
  <c r="BF15" i="69" s="1"/>
  <c r="BF16" i="69" s="1"/>
  <c r="BE14" i="69"/>
  <c r="BE15" i="69" s="1"/>
  <c r="BE16" i="69" s="1"/>
  <c r="BD14" i="69"/>
  <c r="BD15" i="69" s="1"/>
  <c r="BD16" i="69" s="1"/>
  <c r="BC14" i="69"/>
  <c r="BC15" i="69" s="1"/>
  <c r="BC16" i="69" s="1"/>
  <c r="BB14" i="69"/>
  <c r="BB15" i="69" s="1"/>
  <c r="BB16" i="69" s="1"/>
  <c r="BA14" i="69"/>
  <c r="BA15" i="69" s="1"/>
  <c r="BA16" i="69" s="1"/>
  <c r="AZ14" i="69"/>
  <c r="AZ15" i="69" s="1"/>
  <c r="AZ16" i="69" s="1"/>
  <c r="AY14" i="69"/>
  <c r="AY15" i="69" s="1"/>
  <c r="AY16" i="69" s="1"/>
  <c r="AX14" i="69"/>
  <c r="AX15" i="69" s="1"/>
  <c r="AX16" i="69" s="1"/>
  <c r="O14" i="69"/>
  <c r="N13" i="69"/>
  <c r="N14" i="69" s="1"/>
  <c r="N15" i="69" s="1"/>
  <c r="N16" i="69" s="1"/>
  <c r="M13" i="69"/>
  <c r="M14" i="69" s="1"/>
  <c r="M15" i="69" s="1"/>
  <c r="M16" i="69" s="1"/>
  <c r="L13" i="69"/>
  <c r="L14" i="69" s="1"/>
  <c r="L15" i="69" s="1"/>
  <c r="L16" i="69" s="1"/>
  <c r="K13" i="69"/>
  <c r="K14" i="69" s="1"/>
  <c r="K15" i="69" s="1"/>
  <c r="K16" i="69" s="1"/>
  <c r="J13" i="69"/>
  <c r="J14" i="69" s="1"/>
  <c r="I13" i="69"/>
  <c r="I14" i="69" s="1"/>
  <c r="H13" i="69"/>
  <c r="AW13" i="69" s="1"/>
  <c r="AX12" i="69"/>
  <c r="N12" i="69"/>
  <c r="M12" i="69"/>
  <c r="L12" i="69"/>
  <c r="K12" i="69"/>
  <c r="J12" i="69"/>
  <c r="I12" i="69"/>
  <c r="H12" i="69"/>
  <c r="AW12" i="69" s="1"/>
  <c r="BZ11" i="69"/>
  <c r="Q11" i="69" s="1"/>
  <c r="BY11" i="69"/>
  <c r="P11" i="69" s="1"/>
  <c r="BX11" i="69"/>
  <c r="O11" i="69" s="1"/>
  <c r="BW11" i="69"/>
  <c r="BV11" i="69"/>
  <c r="BU11" i="69"/>
  <c r="BT11" i="69"/>
  <c r="BS11" i="69"/>
  <c r="BR11" i="69"/>
  <c r="BQ11" i="69"/>
  <c r="BP11" i="69"/>
  <c r="BO11" i="69"/>
  <c r="BN11" i="69"/>
  <c r="BM11" i="69"/>
  <c r="BL11" i="69"/>
  <c r="BK11" i="69"/>
  <c r="BJ11" i="69"/>
  <c r="BI11" i="69"/>
  <c r="BH11" i="69"/>
  <c r="BG11" i="69"/>
  <c r="BF11" i="69"/>
  <c r="BE11" i="69"/>
  <c r="BD11" i="69"/>
  <c r="BC11" i="69"/>
  <c r="BB11" i="69"/>
  <c r="BA11" i="69"/>
  <c r="AZ11" i="69"/>
  <c r="AY11" i="69"/>
  <c r="N11" i="69"/>
  <c r="M11" i="69"/>
  <c r="L11" i="69"/>
  <c r="K11" i="69"/>
  <c r="O10" i="69"/>
  <c r="BZ9" i="69"/>
  <c r="Q9" i="69" s="1"/>
  <c r="BY9" i="69"/>
  <c r="P9" i="69" s="1"/>
  <c r="BX9" i="69"/>
  <c r="O9" i="69" s="1"/>
  <c r="BW9" i="69"/>
  <c r="BV9" i="69"/>
  <c r="BU9" i="69"/>
  <c r="BT9" i="69"/>
  <c r="BS9" i="69"/>
  <c r="BR9" i="69"/>
  <c r="BQ9" i="69"/>
  <c r="BP9" i="69"/>
  <c r="BO9" i="69"/>
  <c r="BN9" i="69"/>
  <c r="BM9" i="69"/>
  <c r="BL9" i="69"/>
  <c r="BK9" i="69"/>
  <c r="BJ9" i="69"/>
  <c r="BI9" i="69"/>
  <c r="BH9" i="69"/>
  <c r="BG9" i="69"/>
  <c r="BF9" i="69"/>
  <c r="BE9" i="69"/>
  <c r="BD9" i="69"/>
  <c r="BC9" i="69"/>
  <c r="BB9" i="69"/>
  <c r="BA9" i="69"/>
  <c r="AZ9" i="69"/>
  <c r="AY9" i="69"/>
  <c r="AX9" i="69"/>
  <c r="N9" i="69"/>
  <c r="M9" i="69"/>
  <c r="L9" i="69"/>
  <c r="K9" i="69"/>
  <c r="O7" i="69"/>
  <c r="J7" i="69"/>
  <c r="I7" i="69"/>
  <c r="AW6" i="69"/>
  <c r="H6" i="69"/>
  <c r="AI45" i="22"/>
  <c r="AH45" i="22"/>
  <c r="AG45" i="22"/>
  <c r="AF45" i="22"/>
  <c r="AE45" i="22"/>
  <c r="AC45" i="22"/>
  <c r="AB45" i="22"/>
  <c r="AA45" i="22"/>
  <c r="Z45" i="22"/>
  <c r="Y45" i="22"/>
  <c r="X45" i="22"/>
  <c r="W45" i="22"/>
  <c r="V45" i="22"/>
  <c r="U45" i="22"/>
  <c r="AI44" i="22"/>
  <c r="AH44" i="22"/>
  <c r="AG44" i="22"/>
  <c r="AF44" i="22"/>
  <c r="AE44" i="22"/>
  <c r="AD44" i="22"/>
  <c r="AC44" i="22"/>
  <c r="AB44" i="22"/>
  <c r="AA44" i="22"/>
  <c r="Z44" i="22"/>
  <c r="Y44" i="22"/>
  <c r="X44" i="22"/>
  <c r="W44" i="22"/>
  <c r="V44" i="22"/>
  <c r="U44" i="22"/>
  <c r="AI43" i="22"/>
  <c r="AH43" i="22"/>
  <c r="AG43" i="22"/>
  <c r="AF43" i="22"/>
  <c r="AE43" i="22"/>
  <c r="AD43" i="22"/>
  <c r="AC43" i="22"/>
  <c r="AB43" i="22"/>
  <c r="AA43" i="22"/>
  <c r="Z43" i="22"/>
  <c r="Y43" i="22"/>
  <c r="X43" i="22"/>
  <c r="W43" i="22"/>
  <c r="V43" i="22"/>
  <c r="U43" i="22"/>
  <c r="AR27" i="22"/>
  <c r="AQ27" i="22"/>
  <c r="AP27" i="22"/>
  <c r="AO27" i="22"/>
  <c r="AN27" i="22"/>
  <c r="AM27" i="22"/>
  <c r="AL27" i="22"/>
  <c r="AK27" i="22"/>
  <c r="AJ27" i="22"/>
  <c r="AI27" i="22"/>
  <c r="AH27" i="22"/>
  <c r="AG27" i="22"/>
  <c r="AF27" i="22"/>
  <c r="AE27" i="22"/>
  <c r="AD27" i="22"/>
  <c r="AC27" i="22"/>
  <c r="AB27" i="22"/>
  <c r="AA27" i="22"/>
  <c r="Z27" i="22"/>
  <c r="Y27" i="22"/>
  <c r="X27" i="22"/>
  <c r="W27" i="22"/>
  <c r="V27" i="22"/>
  <c r="U27" i="22"/>
  <c r="DY26" i="22"/>
  <c r="DX26" i="22"/>
  <c r="DW26" i="22"/>
  <c r="DV26" i="22"/>
  <c r="DU26" i="22"/>
  <c r="DT26" i="22"/>
  <c r="DS26" i="22"/>
  <c r="DR26" i="22"/>
  <c r="DQ26" i="22"/>
  <c r="DP26" i="22"/>
  <c r="DO26" i="22"/>
  <c r="DN26" i="22"/>
  <c r="DM26" i="22"/>
  <c r="DL26" i="22"/>
  <c r="DK26" i="22"/>
  <c r="DJ26" i="22"/>
  <c r="DI26" i="22"/>
  <c r="DH26" i="22"/>
  <c r="DG26" i="22"/>
  <c r="DF26" i="22"/>
  <c r="DE26" i="22"/>
  <c r="DD26" i="22"/>
  <c r="DC26" i="22"/>
  <c r="DB26" i="22"/>
  <c r="DA26" i="22"/>
  <c r="CZ26" i="22"/>
  <c r="CY26" i="22"/>
  <c r="CX26" i="22"/>
  <c r="CW26" i="22"/>
  <c r="CV26" i="22"/>
  <c r="CU26" i="22"/>
  <c r="EE22" i="22"/>
  <c r="EE23" i="22" s="1"/>
  <c r="EE24" i="22" s="1"/>
  <c r="ED23" i="22"/>
  <c r="ED24" i="22" s="1"/>
  <c r="EC22" i="22"/>
  <c r="EC23" i="22" s="1"/>
  <c r="EC24" i="22" s="1"/>
  <c r="EB22" i="22"/>
  <c r="EB23" i="22" s="1"/>
  <c r="EB24" i="22" s="1"/>
  <c r="EA22" i="22"/>
  <c r="EA23" i="22" s="1"/>
  <c r="EA24" i="22" s="1"/>
  <c r="DZ22" i="22"/>
  <c r="DZ23" i="22" s="1"/>
  <c r="DZ24" i="22" s="1"/>
  <c r="DY22" i="22"/>
  <c r="DY23" i="22" s="1"/>
  <c r="DY24" i="22" s="1"/>
  <c r="DX22" i="22"/>
  <c r="DX23" i="22" s="1"/>
  <c r="DX24" i="22" s="1"/>
  <c r="DW22" i="22"/>
  <c r="DW23" i="22" s="1"/>
  <c r="DW24" i="22" s="1"/>
  <c r="DV22" i="22"/>
  <c r="DV23" i="22" s="1"/>
  <c r="DV24" i="22" s="1"/>
  <c r="DU22" i="22"/>
  <c r="DU23" i="22" s="1"/>
  <c r="DU24" i="22" s="1"/>
  <c r="DT22" i="22"/>
  <c r="DT23" i="22" s="1"/>
  <c r="DT24" i="22" s="1"/>
  <c r="DS22" i="22"/>
  <c r="DS23" i="22" s="1"/>
  <c r="DS24" i="22" s="1"/>
  <c r="DR22" i="22"/>
  <c r="DR23" i="22" s="1"/>
  <c r="DR24" i="22" s="1"/>
  <c r="DQ22" i="22"/>
  <c r="DQ23" i="22" s="1"/>
  <c r="DQ24" i="22" s="1"/>
  <c r="DP22" i="22"/>
  <c r="DP23" i="22" s="1"/>
  <c r="DP24" i="22" s="1"/>
  <c r="DO22" i="22"/>
  <c r="DO23" i="22" s="1"/>
  <c r="DO24" i="22" s="1"/>
  <c r="DN22" i="22"/>
  <c r="DN23" i="22" s="1"/>
  <c r="DN24" i="22" s="1"/>
  <c r="DM22" i="22"/>
  <c r="DM23" i="22" s="1"/>
  <c r="DM24" i="22" s="1"/>
  <c r="DL22" i="22"/>
  <c r="DL23" i="22" s="1"/>
  <c r="DL24" i="22" s="1"/>
  <c r="DK22" i="22"/>
  <c r="DK23" i="22" s="1"/>
  <c r="DK24" i="22" s="1"/>
  <c r="DJ22" i="22"/>
  <c r="DJ23" i="22" s="1"/>
  <c r="DJ24" i="22" s="1"/>
  <c r="DI22" i="22"/>
  <c r="DI23" i="22" s="1"/>
  <c r="DI24" i="22" s="1"/>
  <c r="DH22" i="22"/>
  <c r="DH23" i="22" s="1"/>
  <c r="DH24" i="22" s="1"/>
  <c r="DG22" i="22"/>
  <c r="DG23" i="22" s="1"/>
  <c r="DG24" i="22" s="1"/>
  <c r="DF22" i="22"/>
  <c r="DF23" i="22" s="1"/>
  <c r="DF24" i="22" s="1"/>
  <c r="DE22" i="22"/>
  <c r="DE23" i="22" s="1"/>
  <c r="DE24" i="22" s="1"/>
  <c r="DD22" i="22"/>
  <c r="DD23" i="22" s="1"/>
  <c r="DD24" i="22" s="1"/>
  <c r="CU22" i="22"/>
  <c r="CU23" i="22" s="1"/>
  <c r="CU24" i="22" s="1"/>
  <c r="CT22" i="22"/>
  <c r="CT23" i="22" s="1"/>
  <c r="CT24" i="22" s="1"/>
  <c r="CS22" i="22"/>
  <c r="CS23" i="22" s="1"/>
  <c r="CS24" i="22" s="1"/>
  <c r="EA21" i="22"/>
  <c r="EB21" i="22" s="1"/>
  <c r="EC21" i="22" s="1"/>
  <c r="ED21" i="22" s="1"/>
  <c r="EE21" i="22" s="1"/>
  <c r="EF21" i="22" s="1"/>
  <c r="EG21" i="22" s="1"/>
  <c r="EH21" i="22" s="1"/>
  <c r="EI21" i="22" s="1"/>
  <c r="EJ21" i="22" s="1"/>
  <c r="EK21" i="22" s="1"/>
  <c r="EL21" i="22" s="1"/>
  <c r="EM21" i="22" s="1"/>
  <c r="EN21" i="22" s="1"/>
  <c r="EO21" i="22" s="1"/>
  <c r="EP21" i="22" s="1"/>
  <c r="EQ21" i="22" s="1"/>
  <c r="DZ21" i="22"/>
  <c r="DY21" i="22"/>
  <c r="DX21" i="22"/>
  <c r="DW21" i="22"/>
  <c r="DV21" i="22"/>
  <c r="DU21" i="22"/>
  <c r="DT21" i="22"/>
  <c r="DS21" i="22"/>
  <c r="DR21" i="22"/>
  <c r="DQ21" i="22"/>
  <c r="DP21" i="22"/>
  <c r="DO21" i="22"/>
  <c r="DN21" i="22"/>
  <c r="DM21" i="22"/>
  <c r="DL21" i="22"/>
  <c r="DK21" i="22"/>
  <c r="DJ21" i="22"/>
  <c r="DI21" i="22"/>
  <c r="DH21" i="22"/>
  <c r="DG21" i="22"/>
  <c r="DF21" i="22"/>
  <c r="DE21" i="22"/>
  <c r="DD21" i="22"/>
  <c r="CU21" i="22"/>
  <c r="CT21" i="22"/>
  <c r="CS21" i="22"/>
  <c r="CR21" i="22"/>
  <c r="CQ21" i="22"/>
  <c r="AJ21" i="22"/>
  <c r="AJ23" i="22" s="1"/>
  <c r="AJ24" i="22" s="1"/>
  <c r="AJ25" i="22" s="1"/>
  <c r="AI21" i="22"/>
  <c r="AI23" i="22" s="1"/>
  <c r="AI24" i="22" s="1"/>
  <c r="AI25" i="22" s="1"/>
  <c r="AH21" i="22"/>
  <c r="AH23" i="22" s="1"/>
  <c r="AH24" i="22" s="1"/>
  <c r="AH25" i="22" s="1"/>
  <c r="AG21" i="22"/>
  <c r="AG23" i="22" s="1"/>
  <c r="AG24" i="22" s="1"/>
  <c r="AG25" i="22" s="1"/>
  <c r="AF21" i="22"/>
  <c r="AF23" i="22" s="1"/>
  <c r="AF24" i="22" s="1"/>
  <c r="AF25" i="22" s="1"/>
  <c r="AE21" i="22"/>
  <c r="AE23" i="22" s="1"/>
  <c r="AE24" i="22" s="1"/>
  <c r="AE25" i="22" s="1"/>
  <c r="AD21" i="22"/>
  <c r="AD23" i="22" s="1"/>
  <c r="AD24" i="22" s="1"/>
  <c r="AD25" i="22" s="1"/>
  <c r="AC21" i="22"/>
  <c r="AC23" i="22" s="1"/>
  <c r="AC24" i="22" s="1"/>
  <c r="AC25" i="22" s="1"/>
  <c r="AB21" i="22"/>
  <c r="AB23" i="22" s="1"/>
  <c r="AB24" i="22" s="1"/>
  <c r="AB25" i="22" s="1"/>
  <c r="AA21" i="22"/>
  <c r="AA23" i="22" s="1"/>
  <c r="AA24" i="22" s="1"/>
  <c r="AA25" i="22" s="1"/>
  <c r="Z21" i="22"/>
  <c r="Z23" i="22" s="1"/>
  <c r="Z24" i="22" s="1"/>
  <c r="Z25" i="22" s="1"/>
  <c r="Y21" i="22"/>
  <c r="Y23" i="22" s="1"/>
  <c r="Y24" i="22" s="1"/>
  <c r="Y25" i="22" s="1"/>
  <c r="X21" i="22"/>
  <c r="X23" i="22" s="1"/>
  <c r="X24" i="22" s="1"/>
  <c r="X25" i="22" s="1"/>
  <c r="W21" i="22"/>
  <c r="W23" i="22" s="1"/>
  <c r="W24" i="22" s="1"/>
  <c r="W25" i="22" s="1"/>
  <c r="V21" i="22"/>
  <c r="V23" i="22" s="1"/>
  <c r="V24" i="22" s="1"/>
  <c r="V25" i="22" s="1"/>
  <c r="U21" i="22"/>
  <c r="U23" i="22" s="1"/>
  <c r="U24" i="22" s="1"/>
  <c r="U25" i="22" s="1"/>
  <c r="DC20" i="22"/>
  <c r="DC22" i="22" s="1"/>
  <c r="DC23" i="22" s="1"/>
  <c r="DC24" i="22" s="1"/>
  <c r="DB20" i="22"/>
  <c r="DB21" i="22" s="1"/>
  <c r="DA20" i="22"/>
  <c r="DA22" i="22" s="1"/>
  <c r="DA23" i="22" s="1"/>
  <c r="DA24" i="22" s="1"/>
  <c r="CZ20" i="22"/>
  <c r="CZ21" i="22" s="1"/>
  <c r="CY20" i="22"/>
  <c r="CY22" i="22" s="1"/>
  <c r="CY23" i="22" s="1"/>
  <c r="CY24" i="22" s="1"/>
  <c r="CX20" i="22"/>
  <c r="CX21" i="22" s="1"/>
  <c r="CW20" i="22"/>
  <c r="CW22" i="22" s="1"/>
  <c r="CW23" i="22" s="1"/>
  <c r="CW24" i="22" s="1"/>
  <c r="CV20" i="22"/>
  <c r="CV21" i="22" s="1"/>
  <c r="CP20" i="22"/>
  <c r="CP21" i="22" s="1"/>
  <c r="CO20" i="22"/>
  <c r="CN20" i="22"/>
  <c r="CM20" i="22"/>
  <c r="CL20" i="22"/>
  <c r="CK20" i="22"/>
  <c r="CJ20" i="22"/>
  <c r="CI20" i="22"/>
  <c r="CH20" i="22"/>
  <c r="CG20" i="22"/>
  <c r="CF20" i="22"/>
  <c r="CE20" i="22"/>
  <c r="CD20" i="22"/>
  <c r="CC20" i="22"/>
  <c r="CB20" i="22"/>
  <c r="CA20" i="22"/>
  <c r="AQ20" i="22"/>
  <c r="AP20" i="22"/>
  <c r="AP21" i="22" s="1"/>
  <c r="AP23" i="22" s="1"/>
  <c r="AP24" i="22" s="1"/>
  <c r="AP25" i="22" s="1"/>
  <c r="AO20" i="22"/>
  <c r="AO21" i="22" s="1"/>
  <c r="AO23" i="22" s="1"/>
  <c r="AO24" i="22" s="1"/>
  <c r="AO25" i="22" s="1"/>
  <c r="AN20" i="22"/>
  <c r="AN21" i="22" s="1"/>
  <c r="AN23" i="22" s="1"/>
  <c r="AN24" i="22" s="1"/>
  <c r="AN25" i="22" s="1"/>
  <c r="AM20" i="22"/>
  <c r="AM21" i="22" s="1"/>
  <c r="AM23" i="22" s="1"/>
  <c r="AM24" i="22" s="1"/>
  <c r="AM25" i="22" s="1"/>
  <c r="AL20" i="22"/>
  <c r="AL21" i="22" s="1"/>
  <c r="AL23" i="22" s="1"/>
  <c r="EE19" i="22"/>
  <c r="ED19" i="22"/>
  <c r="EC19" i="22"/>
  <c r="EB19" i="22"/>
  <c r="AQ19" i="22" s="1"/>
  <c r="DW19" i="22"/>
  <c r="DW18" i="22" s="1"/>
  <c r="DV19" i="22"/>
  <c r="DV18" i="22" s="1"/>
  <c r="DU19" i="22"/>
  <c r="DU18" i="22" s="1"/>
  <c r="DT19" i="22"/>
  <c r="DS19" i="22"/>
  <c r="DS18" i="22" s="1"/>
  <c r="DR19" i="22"/>
  <c r="DR18" i="22" s="1"/>
  <c r="DQ19" i="22"/>
  <c r="DQ18" i="22" s="1"/>
  <c r="DP19" i="22"/>
  <c r="DP18" i="22" s="1"/>
  <c r="DO19" i="22"/>
  <c r="DO18" i="22" s="1"/>
  <c r="DN19" i="22"/>
  <c r="DN18" i="22" s="1"/>
  <c r="DM19" i="22"/>
  <c r="DM18" i="22" s="1"/>
  <c r="DL19" i="22"/>
  <c r="DK19" i="22"/>
  <c r="DK18" i="22" s="1"/>
  <c r="DJ19" i="22"/>
  <c r="DJ18" i="22" s="1"/>
  <c r="DI19" i="22"/>
  <c r="DI18" i="22" s="1"/>
  <c r="DH19" i="22"/>
  <c r="DG19" i="22"/>
  <c r="DG18" i="22" s="1"/>
  <c r="DF19" i="22"/>
  <c r="DF18" i="22" s="1"/>
  <c r="DE19" i="22"/>
  <c r="DE18" i="22" s="1"/>
  <c r="DD19" i="22"/>
  <c r="DC19" i="22"/>
  <c r="DC18" i="22" s="1"/>
  <c r="DB19" i="22"/>
  <c r="DB18" i="22" s="1"/>
  <c r="DA19" i="22"/>
  <c r="DA18" i="22" s="1"/>
  <c r="CZ19" i="22"/>
  <c r="CZ18" i="22" s="1"/>
  <c r="CY19" i="22"/>
  <c r="CX19" i="22"/>
  <c r="CW19" i="22"/>
  <c r="CV19" i="22"/>
  <c r="AJ19" i="22"/>
  <c r="AI19" i="22"/>
  <c r="AI46" i="22" s="1"/>
  <c r="AH19" i="22"/>
  <c r="AH46" i="22" s="1"/>
  <c r="AG19" i="22"/>
  <c r="AG46" i="22" s="1"/>
  <c r="AF19" i="22"/>
  <c r="AF46" i="22" s="1"/>
  <c r="AE19" i="22"/>
  <c r="AE46" i="22" s="1"/>
  <c r="AD19" i="22"/>
  <c r="AD46" i="22" s="1"/>
  <c r="AC19" i="22"/>
  <c r="AC46" i="22" s="1"/>
  <c r="AB19" i="22"/>
  <c r="AB46" i="22" s="1"/>
  <c r="AA19" i="22"/>
  <c r="AA46" i="22" s="1"/>
  <c r="Z19" i="22"/>
  <c r="Z46" i="22" s="1"/>
  <c r="Y19" i="22"/>
  <c r="Y46" i="22" s="1"/>
  <c r="X19" i="22"/>
  <c r="X46" i="22" s="1"/>
  <c r="W19" i="22"/>
  <c r="W46" i="22" s="1"/>
  <c r="V19" i="22"/>
  <c r="V46" i="22" s="1"/>
  <c r="U19" i="22"/>
  <c r="U46" i="22" s="1"/>
  <c r="T19" i="22"/>
  <c r="S19" i="22"/>
  <c r="R19" i="22"/>
  <c r="Q19" i="22"/>
  <c r="P19" i="22"/>
  <c r="O19" i="22"/>
  <c r="N19" i="22"/>
  <c r="M19" i="22"/>
  <c r="L19" i="22"/>
  <c r="K19" i="22"/>
  <c r="J19" i="22"/>
  <c r="I19" i="22"/>
  <c r="AQ18" i="22"/>
  <c r="AQ17" i="22"/>
  <c r="AP17" i="22"/>
  <c r="AO17" i="22"/>
  <c r="AN17" i="22"/>
  <c r="AM17" i="22"/>
  <c r="AL17" i="22"/>
  <c r="AK17" i="22"/>
  <c r="ED16" i="22"/>
  <c r="EC16" i="22"/>
  <c r="EB16" i="22"/>
  <c r="EA16" i="22"/>
  <c r="DZ16" i="22"/>
  <c r="DY16" i="22"/>
  <c r="DX16" i="22"/>
  <c r="DW16" i="22"/>
  <c r="DV16" i="22"/>
  <c r="DU16" i="22"/>
  <c r="DT16" i="22"/>
  <c r="DS16" i="22"/>
  <c r="DR16" i="22"/>
  <c r="DQ16" i="22"/>
  <c r="DP16" i="22"/>
  <c r="DO16" i="22"/>
  <c r="DN16" i="22"/>
  <c r="DM16" i="22"/>
  <c r="DL16" i="22"/>
  <c r="DK16" i="22"/>
  <c r="DJ16" i="22"/>
  <c r="DI16" i="22"/>
  <c r="DH16" i="22"/>
  <c r="DG16" i="22"/>
  <c r="DF16" i="22"/>
  <c r="DE16" i="22"/>
  <c r="DD16" i="22"/>
  <c r="DC16" i="22"/>
  <c r="DB16" i="22"/>
  <c r="DA16" i="22"/>
  <c r="CZ16" i="22"/>
  <c r="CY16" i="22"/>
  <c r="CX16" i="22"/>
  <c r="CV16" i="22"/>
  <c r="CP16" i="22"/>
  <c r="CO16" i="22"/>
  <c r="CN16" i="22"/>
  <c r="CM16" i="22"/>
  <c r="CL16" i="22"/>
  <c r="CK16" i="22"/>
  <c r="CJ16" i="22"/>
  <c r="CI16" i="22"/>
  <c r="CH16" i="22"/>
  <c r="CG16" i="22"/>
  <c r="CF16" i="22"/>
  <c r="CE16" i="22"/>
  <c r="CD16" i="22"/>
  <c r="CC16" i="22"/>
  <c r="CB16" i="22"/>
  <c r="CA16" i="22"/>
  <c r="AD16" i="22"/>
  <c r="AD45" i="22" s="1"/>
  <c r="DM14" i="22"/>
  <c r="DL14" i="22"/>
  <c r="DK14" i="22"/>
  <c r="DJ14" i="22"/>
  <c r="DI14" i="22"/>
  <c r="DH14" i="22"/>
  <c r="DG14" i="22"/>
  <c r="DF14" i="22"/>
  <c r="DE14" i="22"/>
  <c r="DD14" i="22"/>
  <c r="DC13" i="22"/>
  <c r="DC14" i="22" s="1"/>
  <c r="DB13" i="22"/>
  <c r="DB14" i="22" s="1"/>
  <c r="DA13" i="22"/>
  <c r="DA14" i="22" s="1"/>
  <c r="CZ13" i="22"/>
  <c r="CZ14" i="22" s="1"/>
  <c r="CY13" i="22"/>
  <c r="CY14" i="22" s="1"/>
  <c r="CX13" i="22"/>
  <c r="CX14" i="22" s="1"/>
  <c r="CW13" i="22"/>
  <c r="CW14" i="22" s="1"/>
  <c r="CV13" i="22"/>
  <c r="CV14" i="22" s="1"/>
  <c r="CU13" i="22"/>
  <c r="CU14" i="22" s="1"/>
  <c r="CT13" i="22"/>
  <c r="CT14" i="22" s="1"/>
  <c r="CS13" i="22"/>
  <c r="CS14" i="22" s="1"/>
  <c r="CR13" i="22"/>
  <c r="CR14" i="22" s="1"/>
  <c r="CQ13" i="22"/>
  <c r="CQ14" i="22" s="1"/>
  <c r="AR13" i="22"/>
  <c r="AQ13" i="22"/>
  <c r="AP13" i="22"/>
  <c r="AO13" i="22"/>
  <c r="AN13" i="22"/>
  <c r="AM13" i="22"/>
  <c r="AM14" i="22" s="1"/>
  <c r="AL13" i="22"/>
  <c r="AL14" i="22" s="1"/>
  <c r="AK13" i="22"/>
  <c r="AK14" i="22" s="1"/>
  <c r="AJ13" i="22"/>
  <c r="AJ14" i="22" s="1"/>
  <c r="AI13" i="22"/>
  <c r="AI14" i="22" s="1"/>
  <c r="AH13" i="22"/>
  <c r="AH14" i="22" s="1"/>
  <c r="AG13" i="22"/>
  <c r="AG14" i="22" s="1"/>
  <c r="AF13" i="22"/>
  <c r="AF14" i="22" s="1"/>
  <c r="AE13" i="22"/>
  <c r="AE14" i="22" s="1"/>
  <c r="AD13" i="22"/>
  <c r="AD14" i="22" s="1"/>
  <c r="AC13" i="22"/>
  <c r="AC14" i="22" s="1"/>
  <c r="AB13" i="22"/>
  <c r="AA13" i="22"/>
  <c r="Z13" i="22"/>
  <c r="Z14" i="22" s="1"/>
  <c r="Y13" i="22"/>
  <c r="Y14" i="22" s="1"/>
  <c r="X13" i="22"/>
  <c r="X14" i="22" s="1"/>
  <c r="W13" i="22"/>
  <c r="W14" i="22" s="1"/>
  <c r="V13" i="22"/>
  <c r="U13" i="22"/>
  <c r="T13" i="22"/>
  <c r="S13" i="22"/>
  <c r="R13" i="22"/>
  <c r="Q13" i="22"/>
  <c r="P13" i="22"/>
  <c r="O13" i="22"/>
  <c r="N13" i="22"/>
  <c r="M13" i="22"/>
  <c r="L13" i="22"/>
  <c r="K13" i="22"/>
  <c r="J13" i="22"/>
  <c r="I13" i="22"/>
  <c r="EE11" i="22"/>
  <c r="ED11" i="22"/>
  <c r="EC11" i="22"/>
  <c r="EB11" i="22"/>
  <c r="EA11" i="22"/>
  <c r="DZ11" i="22"/>
  <c r="DY11" i="22"/>
  <c r="DX11" i="22"/>
  <c r="DW11" i="22"/>
  <c r="DV11" i="22"/>
  <c r="DU11" i="22"/>
  <c r="DT11" i="22"/>
  <c r="DS11" i="22"/>
  <c r="DR11" i="22"/>
  <c r="DQ11" i="22"/>
  <c r="DP11" i="22"/>
  <c r="AA11" i="22"/>
  <c r="Z11" i="22"/>
  <c r="Y11" i="22"/>
  <c r="X11" i="22"/>
  <c r="W11" i="22"/>
  <c r="EE7" i="22"/>
  <c r="EE12" i="22" s="1"/>
  <c r="ED7" i="22"/>
  <c r="ED12" i="22" s="1"/>
  <c r="EC7" i="22"/>
  <c r="EC12" i="22" s="1"/>
  <c r="EB7" i="22"/>
  <c r="EB12" i="22" s="1"/>
  <c r="EA7" i="22"/>
  <c r="EA12" i="22" s="1"/>
  <c r="DZ7" i="22"/>
  <c r="DZ12" i="22" s="1"/>
  <c r="DY7" i="22"/>
  <c r="DY12" i="22" s="1"/>
  <c r="DX7" i="22"/>
  <c r="DX12" i="22" s="1"/>
  <c r="DW7" i="22"/>
  <c r="DW12" i="22" s="1"/>
  <c r="DV7" i="22"/>
  <c r="DV12" i="22" s="1"/>
  <c r="DU7" i="22"/>
  <c r="DU12" i="22" s="1"/>
  <c r="DT7" i="22"/>
  <c r="DT12" i="22" s="1"/>
  <c r="DS7" i="22"/>
  <c r="DS12" i="22" s="1"/>
  <c r="DR7" i="22"/>
  <c r="DR12" i="22" s="1"/>
  <c r="DQ7" i="22"/>
  <c r="DQ12" i="22" s="1"/>
  <c r="DP7" i="22"/>
  <c r="DP12" i="22" s="1"/>
  <c r="DO7" i="22"/>
  <c r="DO12" i="22" s="1"/>
  <c r="DN7" i="22"/>
  <c r="DN12" i="22" s="1"/>
  <c r="DM7" i="22"/>
  <c r="DM12" i="22" s="1"/>
  <c r="DL7" i="22"/>
  <c r="DL12" i="22" s="1"/>
  <c r="DK7" i="22"/>
  <c r="DK12" i="22" s="1"/>
  <c r="DJ7" i="22"/>
  <c r="DJ12" i="22" s="1"/>
  <c r="DI7" i="22"/>
  <c r="DI12" i="22" s="1"/>
  <c r="DH7" i="22"/>
  <c r="DH12" i="22" s="1"/>
  <c r="DG7" i="22"/>
  <c r="DG12" i="22" s="1"/>
  <c r="DF7" i="22"/>
  <c r="DF12" i="22" s="1"/>
  <c r="DE7" i="22"/>
  <c r="DE12" i="22" s="1"/>
  <c r="DD7" i="22"/>
  <c r="DD12" i="22" s="1"/>
  <c r="DC7" i="22"/>
  <c r="DC12" i="22" s="1"/>
  <c r="DB7" i="22"/>
  <c r="DB12" i="22" s="1"/>
  <c r="DA7" i="22"/>
  <c r="DA12" i="22" s="1"/>
  <c r="CZ7" i="22"/>
  <c r="CZ12" i="22" s="1"/>
  <c r="CY7" i="22"/>
  <c r="CY12" i="22" s="1"/>
  <c r="CX7" i="22"/>
  <c r="CX12" i="22" s="1"/>
  <c r="CW7" i="22"/>
  <c r="CW12" i="22" s="1"/>
  <c r="CV7" i="22"/>
  <c r="CV12" i="22" s="1"/>
  <c r="CU7" i="22"/>
  <c r="CU12" i="22" s="1"/>
  <c r="CT7" i="22"/>
  <c r="CT12" i="22" s="1"/>
  <c r="CS7" i="22"/>
  <c r="CS12" i="22" s="1"/>
  <c r="CR7" i="22"/>
  <c r="CR12" i="22" s="1"/>
  <c r="CQ7" i="22"/>
  <c r="CQ12" i="22" s="1"/>
  <c r="CP7" i="22"/>
  <c r="CO7" i="22"/>
  <c r="CN7" i="22"/>
  <c r="CM7" i="22"/>
  <c r="CL7" i="22"/>
  <c r="CK7" i="22"/>
  <c r="CJ7" i="22"/>
  <c r="CI7" i="22"/>
  <c r="CH7" i="22"/>
  <c r="CG7" i="22"/>
  <c r="CF7" i="22"/>
  <c r="CE7" i="22"/>
  <c r="CD7" i="22"/>
  <c r="CC7" i="22"/>
  <c r="CB7" i="22"/>
  <c r="CA7" i="22"/>
  <c r="AR7" i="22"/>
  <c r="AR12" i="22" s="1"/>
  <c r="AQ7" i="22"/>
  <c r="AQ12" i="22" s="1"/>
  <c r="AP7" i="22"/>
  <c r="AP12" i="22" s="1"/>
  <c r="AO7" i="22"/>
  <c r="AO12" i="22" s="1"/>
  <c r="AN7" i="22"/>
  <c r="AN12" i="22" s="1"/>
  <c r="AM7" i="22"/>
  <c r="AM12" i="22" s="1"/>
  <c r="AL7" i="22"/>
  <c r="AL12" i="22" s="1"/>
  <c r="AK7" i="22"/>
  <c r="AK12" i="22" s="1"/>
  <c r="AJ7" i="22"/>
  <c r="AJ12" i="22" s="1"/>
  <c r="AI7" i="22"/>
  <c r="AI12" i="22" s="1"/>
  <c r="AH7" i="22"/>
  <c r="AH12" i="22" s="1"/>
  <c r="AG7" i="22"/>
  <c r="AG12" i="22" s="1"/>
  <c r="AF7" i="22"/>
  <c r="AF12" i="22" s="1"/>
  <c r="AE7" i="22"/>
  <c r="AE12" i="22" s="1"/>
  <c r="AD7" i="22"/>
  <c r="AD12" i="22" s="1"/>
  <c r="AC7" i="22"/>
  <c r="AC12" i="22" s="1"/>
  <c r="AB7" i="22"/>
  <c r="AB12" i="22" s="1"/>
  <c r="AA7" i="22"/>
  <c r="AA12" i="22" s="1"/>
  <c r="Z7" i="22"/>
  <c r="Z12" i="22" s="1"/>
  <c r="V7" i="22"/>
  <c r="V12" i="22" s="1"/>
  <c r="U7" i="22"/>
  <c r="U12" i="22" s="1"/>
  <c r="T7" i="22"/>
  <c r="T12" i="22" s="1"/>
  <c r="S7" i="22"/>
  <c r="S12" i="22" s="1"/>
  <c r="R7" i="22"/>
  <c r="R12" i="22" s="1"/>
  <c r="Q7" i="22"/>
  <c r="Q12" i="22" s="1"/>
  <c r="P7" i="22"/>
  <c r="P12" i="22" s="1"/>
  <c r="O7" i="22"/>
  <c r="O12" i="22" s="1"/>
  <c r="N7" i="22"/>
  <c r="N12" i="22" s="1"/>
  <c r="M7" i="22"/>
  <c r="M12" i="22" s="1"/>
  <c r="L7" i="22"/>
  <c r="L12" i="22" s="1"/>
  <c r="K7" i="22"/>
  <c r="K12" i="22" s="1"/>
  <c r="J7" i="22"/>
  <c r="J12" i="22" s="1"/>
  <c r="I7" i="22"/>
  <c r="I12" i="22" s="1"/>
  <c r="W4" i="22"/>
  <c r="X4" i="22" s="1"/>
  <c r="AL24" i="22" l="1"/>
  <c r="AL25" i="22" s="1"/>
  <c r="ER21" i="22"/>
  <c r="ES21" i="22" s="1"/>
  <c r="ET21" i="22" s="1"/>
  <c r="EU21" i="22" s="1"/>
  <c r="EV21" i="22" s="1"/>
  <c r="EW21" i="22" s="1"/>
  <c r="EX21" i="22" s="1"/>
  <c r="EY21" i="22" s="1"/>
  <c r="EZ21" i="22" s="1"/>
  <c r="FA21" i="22" s="1"/>
  <c r="FB21" i="22" s="1"/>
  <c r="FC21" i="22" s="1"/>
  <c r="FD21" i="22" s="1"/>
  <c r="FE21" i="22" s="1"/>
  <c r="FF21" i="22" s="1"/>
  <c r="FG21" i="22" s="1"/>
  <c r="FH21" i="22" s="1"/>
  <c r="FI21" i="22" s="1"/>
  <c r="FJ21" i="22" s="1"/>
  <c r="FK21" i="22" s="1"/>
  <c r="FL21" i="22" s="1"/>
  <c r="FM21" i="22" s="1"/>
  <c r="FN21" i="22" s="1"/>
  <c r="FO21" i="22" s="1"/>
  <c r="FP21" i="22" s="1"/>
  <c r="FQ21" i="22" s="1"/>
  <c r="FR21" i="22" s="1"/>
  <c r="FS21" i="22" s="1"/>
  <c r="FT21" i="22" s="1"/>
  <c r="FU21" i="22" s="1"/>
  <c r="FV21" i="22" s="1"/>
  <c r="FW21" i="22" s="1"/>
  <c r="FX21" i="22" s="1"/>
  <c r="FY21" i="22" s="1"/>
  <c r="FZ21" i="22" s="1"/>
  <c r="GA21" i="22" s="1"/>
  <c r="GB21" i="22" s="1"/>
  <c r="GC21" i="22" s="1"/>
  <c r="GD21" i="22" s="1"/>
  <c r="GE21" i="22" s="1"/>
  <c r="GF21" i="22" s="1"/>
  <c r="GG21" i="22" s="1"/>
  <c r="GH21" i="22" s="1"/>
  <c r="GI21" i="22" s="1"/>
  <c r="GJ21" i="22" s="1"/>
  <c r="GK21" i="22" s="1"/>
  <c r="GL21" i="22" s="1"/>
  <c r="GM21" i="22" s="1"/>
  <c r="GN21" i="22" s="1"/>
  <c r="GO21" i="22" s="1"/>
  <c r="GP21" i="22" s="1"/>
  <c r="GQ21" i="22" s="1"/>
  <c r="GR21" i="22" s="1"/>
  <c r="GS21" i="22" s="1"/>
  <c r="GT21" i="22" s="1"/>
  <c r="GU21" i="22" s="1"/>
  <c r="GV21" i="22" s="1"/>
  <c r="GW21" i="22" s="1"/>
  <c r="GX21" i="22" s="1"/>
  <c r="GY21" i="22" s="1"/>
  <c r="GZ21" i="22" s="1"/>
  <c r="AL19" i="22"/>
  <c r="AL18" i="22" s="1"/>
  <c r="AN19" i="22"/>
  <c r="AN18" i="22" s="1"/>
  <c r="AP19" i="22"/>
  <c r="AR16" i="22"/>
  <c r="AQ16" i="22"/>
  <c r="AM19" i="22"/>
  <c r="AM46" i="22" s="1"/>
  <c r="J9" i="69"/>
  <c r="AR19" i="22"/>
  <c r="AQ21" i="22"/>
  <c r="AQ23" i="22" s="1"/>
  <c r="AQ24" i="22" s="1"/>
  <c r="AQ25" i="22" s="1"/>
  <c r="AL16" i="22"/>
  <c r="AN16" i="22"/>
  <c r="AP16" i="22"/>
  <c r="DA21" i="22"/>
  <c r="L15" i="65"/>
  <c r="L16" i="65" s="1"/>
  <c r="N15" i="65"/>
  <c r="N16" i="65" s="1"/>
  <c r="M10" i="65"/>
  <c r="O10" i="65"/>
  <c r="I10" i="65"/>
  <c r="K10" i="65"/>
  <c r="J10" i="65"/>
  <c r="I13" i="65"/>
  <c r="I14" i="65" s="1"/>
  <c r="I15" i="65" s="1"/>
  <c r="I16" i="65" s="1"/>
  <c r="L10" i="65"/>
  <c r="N10" i="65"/>
  <c r="O15" i="69"/>
  <c r="O16" i="69" s="1"/>
  <c r="I9" i="69"/>
  <c r="J15" i="69"/>
  <c r="J16" i="69" s="1"/>
  <c r="CW21" i="22"/>
  <c r="DH18" i="22"/>
  <c r="CY21" i="22"/>
  <c r="AK16" i="22"/>
  <c r="AM16" i="22"/>
  <c r="AM45" i="22" s="1"/>
  <c r="AO19" i="22"/>
  <c r="AO18" i="22" s="1"/>
  <c r="AO16" i="22"/>
  <c r="DD18" i="22"/>
  <c r="DL18" i="22"/>
  <c r="DT18" i="22"/>
  <c r="AP18" i="22" s="1"/>
  <c r="AK19" i="22"/>
  <c r="AK18" i="22" s="1"/>
  <c r="X7" i="22"/>
  <c r="X12" i="22" s="1"/>
  <c r="Y4" i="22"/>
  <c r="Y7" i="22" s="1"/>
  <c r="Y12" i="22" s="1"/>
  <c r="AR23" i="22"/>
  <c r="AR24" i="22" s="1"/>
  <c r="AR25" i="22" s="1"/>
  <c r="W7" i="22"/>
  <c r="W12" i="22" s="1"/>
  <c r="CZ22" i="22"/>
  <c r="CZ23" i="22" s="1"/>
  <c r="CZ24" i="22" s="1"/>
  <c r="AM43" i="22"/>
  <c r="AM44" i="22"/>
  <c r="DC21" i="22"/>
  <c r="CV22" i="22"/>
  <c r="CV23" i="22" s="1"/>
  <c r="CV24" i="22" s="1"/>
  <c r="CX22" i="22"/>
  <c r="CX23" i="22" s="1"/>
  <c r="CX24" i="22" s="1"/>
  <c r="DB22" i="22"/>
  <c r="DB23" i="22" s="1"/>
  <c r="DB24" i="22" s="1"/>
  <c r="AK20" i="22"/>
  <c r="AK21" i="22" s="1"/>
  <c r="AK23" i="22" s="1"/>
  <c r="AK24" i="22" s="1"/>
  <c r="AK25" i="22" s="1"/>
  <c r="I15" i="69"/>
  <c r="I16" i="69" s="1"/>
  <c r="M15" i="65"/>
  <c r="M16" i="65" s="1"/>
  <c r="J15" i="65"/>
  <c r="J16" i="65" s="1"/>
  <c r="K15" i="65"/>
  <c r="K16" i="65" s="1"/>
  <c r="AM18" i="22" l="1"/>
  <c r="X11" i="76"/>
  <c r="X10" i="76"/>
  <c r="X12" i="76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Diễm, Nguyễn Thị Thanh</author>
  </authors>
  <commentList>
    <comment ref="BL24" authorId="0" shapeId="0" xr:uid="{164B4B02-3774-4555-91B9-114AC3AD9C20}">
      <text>
        <r>
          <rPr>
            <b/>
            <sz val="9"/>
            <color indexed="81"/>
            <rFont val="Tahoma"/>
            <family val="2"/>
          </rPr>
          <t>Diễm, Nguyễn Thị Thanh:</t>
        </r>
        <r>
          <rPr>
            <sz val="9"/>
            <color indexed="81"/>
            <rFont val="Tahoma"/>
            <family val="2"/>
          </rPr>
          <t xml:space="preserve">
Tờ trình ký ngày 05.03</t>
        </r>
      </text>
    </comment>
    <comment ref="BM24" authorId="0" shapeId="0" xr:uid="{8E0F412C-B3FA-45A9-98AD-5D2904BA6ECC}">
      <text>
        <r>
          <rPr>
            <b/>
            <sz val="9"/>
            <color indexed="81"/>
            <rFont val="Tahoma"/>
            <family val="2"/>
          </rPr>
          <t>Diễm, Nguyễn Thị Thanh:</t>
        </r>
        <r>
          <rPr>
            <sz val="9"/>
            <color indexed="81"/>
            <rFont val="Tahoma"/>
            <family val="2"/>
          </rPr>
          <t xml:space="preserve">
Tờ trình ký ngày 05.03</t>
        </r>
      </text>
    </comment>
    <comment ref="BN24" authorId="0" shapeId="0" xr:uid="{D9387435-1FC4-4256-AACF-2F49CEEBA227}">
      <text>
        <r>
          <rPr>
            <b/>
            <sz val="9"/>
            <color indexed="81"/>
            <rFont val="Tahoma"/>
            <family val="2"/>
          </rPr>
          <t>Diễm, Nguyễn Thị Thanh:</t>
        </r>
        <r>
          <rPr>
            <sz val="9"/>
            <color indexed="81"/>
            <rFont val="Tahoma"/>
            <family val="2"/>
          </rPr>
          <t xml:space="preserve">
Tờ trình ký ngày 05.03</t>
        </r>
      </text>
    </comment>
    <comment ref="BO24" authorId="0" shapeId="0" xr:uid="{30F47F06-3C07-4546-91D9-0AE2D5804096}">
      <text>
        <r>
          <rPr>
            <b/>
            <sz val="9"/>
            <color indexed="81"/>
            <rFont val="Tahoma"/>
            <family val="2"/>
          </rPr>
          <t>Diễm, Nguyễn Thị Thanh:</t>
        </r>
        <r>
          <rPr>
            <sz val="9"/>
            <color indexed="81"/>
            <rFont val="Tahoma"/>
            <family val="2"/>
          </rPr>
          <t xml:space="preserve">
Tờ trình ký ngày 05.03</t>
        </r>
      </text>
    </comment>
    <comment ref="BP24" authorId="0" shapeId="0" xr:uid="{9158D75B-C1F3-4DAF-9144-BA369843EA56}">
      <text>
        <r>
          <rPr>
            <b/>
            <sz val="9"/>
            <color indexed="81"/>
            <rFont val="Tahoma"/>
            <family val="2"/>
          </rPr>
          <t>Diễm, Nguyễn Thị Thanh:</t>
        </r>
        <r>
          <rPr>
            <sz val="9"/>
            <color indexed="81"/>
            <rFont val="Tahoma"/>
            <family val="2"/>
          </rPr>
          <t xml:space="preserve">
Tờ trình ký ngày 05.03</t>
        </r>
      </text>
    </comment>
    <comment ref="BQ24" authorId="0" shapeId="0" xr:uid="{37FACCCB-FBC7-419D-88F5-1E159E4CF3B4}">
      <text>
        <r>
          <rPr>
            <b/>
            <sz val="9"/>
            <color indexed="81"/>
            <rFont val="Tahoma"/>
            <family val="2"/>
          </rPr>
          <t>Diễm, Nguyễn Thị Thanh:</t>
        </r>
        <r>
          <rPr>
            <sz val="9"/>
            <color indexed="81"/>
            <rFont val="Tahoma"/>
            <family val="2"/>
          </rPr>
          <t xml:space="preserve">
Tờ trình ký ngày 05.03</t>
        </r>
      </text>
    </comment>
    <comment ref="BR24" authorId="0" shapeId="0" xr:uid="{CC765D84-8FB3-4AA3-99ED-CE5635B404E5}">
      <text>
        <r>
          <rPr>
            <b/>
            <sz val="9"/>
            <color indexed="81"/>
            <rFont val="Tahoma"/>
            <family val="2"/>
          </rPr>
          <t>Diễm, Nguyễn Thị Thanh:</t>
        </r>
        <r>
          <rPr>
            <sz val="9"/>
            <color indexed="81"/>
            <rFont val="Tahoma"/>
            <family val="2"/>
          </rPr>
          <t xml:space="preserve">
Tờ trình ký ngày 05.03</t>
        </r>
      </text>
    </comment>
    <comment ref="BS24" authorId="0" shapeId="0" xr:uid="{F0DD7085-432E-4E40-95C4-3ED9D6319D73}">
      <text>
        <r>
          <rPr>
            <b/>
            <sz val="9"/>
            <color indexed="81"/>
            <rFont val="Tahoma"/>
            <family val="2"/>
          </rPr>
          <t>Diễm, Nguyễn Thị Thanh:</t>
        </r>
        <r>
          <rPr>
            <sz val="9"/>
            <color indexed="81"/>
            <rFont val="Tahoma"/>
            <family val="2"/>
          </rPr>
          <t xml:space="preserve">
Tờ trình ký ngày 05.03</t>
        </r>
      </text>
    </comment>
    <comment ref="BT24" authorId="0" shapeId="0" xr:uid="{C1F7D7B1-5FDC-406F-8D18-A09ADFE402CD}">
      <text>
        <r>
          <rPr>
            <b/>
            <sz val="9"/>
            <color indexed="81"/>
            <rFont val="Tahoma"/>
            <family val="2"/>
          </rPr>
          <t>Diễm, Nguyễn Thị Thanh:</t>
        </r>
        <r>
          <rPr>
            <sz val="9"/>
            <color indexed="81"/>
            <rFont val="Tahoma"/>
            <family val="2"/>
          </rPr>
          <t xml:space="preserve">
Tờ trình ký ngày 05.03</t>
        </r>
      </text>
    </comment>
    <comment ref="BU24" authorId="0" shapeId="0" xr:uid="{15E4FBCE-44FC-4613-81B7-99C0B95F2FA7}">
      <text>
        <r>
          <rPr>
            <b/>
            <sz val="9"/>
            <color indexed="81"/>
            <rFont val="Tahoma"/>
            <family val="2"/>
          </rPr>
          <t>Diễm, Nguyễn Thị Thanh:</t>
        </r>
        <r>
          <rPr>
            <sz val="9"/>
            <color indexed="81"/>
            <rFont val="Tahoma"/>
            <family val="2"/>
          </rPr>
          <t xml:space="preserve">
Tờ trình ký ngày 05.03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tc={E38F3020-B9E2-458C-8362-614AD84E00F2}</author>
  </authors>
  <commentList>
    <comment ref="AO6" authorId="0" shapeId="0" xr:uid="{E38F3020-B9E2-458C-8362-614AD84E00F2}">
      <text>
        <t>[Threaded comment]
Your version of Excel allows you to read this threaded comment; however, any edits to it will get removed if the file is opened in a newer version of Excel. Learn more: https://go.microsoft.com/fwlink/?linkid=870924
Comment:
    Giá WSS01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Lộc, Giang Văn</author>
    <author>Diễm, Nguyễn Thị Thanh</author>
  </authors>
  <commentList>
    <comment ref="F20" authorId="0" shapeId="0" xr:uid="{4515630C-3D7B-479F-9946-B3E5DD836263}">
      <text>
        <r>
          <rPr>
            <b/>
            <sz val="9"/>
            <color indexed="81"/>
            <rFont val="Tahoma"/>
            <family val="2"/>
          </rPr>
          <t>Lộc, Giang Văn:</t>
        </r>
        <r>
          <rPr>
            <sz val="9"/>
            <color indexed="81"/>
            <rFont val="Tahoma"/>
            <family val="2"/>
          </rPr>
          <t xml:space="preserve">
BQ 4 tuần</t>
        </r>
      </text>
    </comment>
    <comment ref="H20" authorId="0" shapeId="0" xr:uid="{BAD5B414-9895-4F3B-B98A-7DA56154BD09}">
      <text>
        <r>
          <rPr>
            <b/>
            <sz val="9"/>
            <color indexed="81"/>
            <rFont val="Tahoma"/>
            <family val="2"/>
          </rPr>
          <t>Lộc, Giang Văn:</t>
        </r>
        <r>
          <rPr>
            <sz val="9"/>
            <color indexed="81"/>
            <rFont val="Tahoma"/>
            <family val="2"/>
          </rPr>
          <t xml:space="preserve">
BQ 4 tuần</t>
        </r>
      </text>
    </comment>
    <comment ref="BZ20" authorId="0" shapeId="0" xr:uid="{206B2C4B-8D0B-469F-BF3E-A46D02D6639B}">
      <text>
        <r>
          <rPr>
            <b/>
            <sz val="9"/>
            <color indexed="81"/>
            <rFont val="Tahoma"/>
            <family val="2"/>
          </rPr>
          <t>Lộc, Giang Văn:</t>
        </r>
        <r>
          <rPr>
            <sz val="9"/>
            <color indexed="81"/>
            <rFont val="Tahoma"/>
            <family val="2"/>
          </rPr>
          <t xml:space="preserve">
BQ 4 tuần</t>
        </r>
      </text>
    </comment>
    <comment ref="BL22" authorId="1" shapeId="0" xr:uid="{D696C53E-3B2C-47DE-9BDA-D17B29CA0E3A}">
      <text>
        <r>
          <rPr>
            <b/>
            <sz val="9"/>
            <color indexed="81"/>
            <rFont val="Tahoma"/>
            <family val="2"/>
          </rPr>
          <t>Diễm, Nguyễn Thị Thanh:</t>
        </r>
        <r>
          <rPr>
            <sz val="9"/>
            <color indexed="81"/>
            <rFont val="Tahoma"/>
            <family val="2"/>
          </rPr>
          <t xml:space="preserve">
Tờ trình 05.03</t>
        </r>
      </text>
    </comment>
    <comment ref="BM22" authorId="1" shapeId="0" xr:uid="{7D7AAFEC-3B48-403F-B6CB-037DF43EC97D}">
      <text>
        <r>
          <rPr>
            <b/>
            <sz val="9"/>
            <color indexed="81"/>
            <rFont val="Tahoma"/>
            <family val="2"/>
          </rPr>
          <t>Diễm, Nguyễn Thị Thanh:</t>
        </r>
        <r>
          <rPr>
            <sz val="9"/>
            <color indexed="81"/>
            <rFont val="Tahoma"/>
            <family val="2"/>
          </rPr>
          <t xml:space="preserve">
Tờ trình 05.03</t>
        </r>
      </text>
    </comment>
    <comment ref="BN22" authorId="1" shapeId="0" xr:uid="{8E48445D-18C0-475E-BF3A-C6754F7D2071}">
      <text>
        <r>
          <rPr>
            <b/>
            <sz val="9"/>
            <color indexed="81"/>
            <rFont val="Tahoma"/>
            <family val="2"/>
          </rPr>
          <t>Diễm, Nguyễn Thị Thanh:</t>
        </r>
        <r>
          <rPr>
            <sz val="9"/>
            <color indexed="81"/>
            <rFont val="Tahoma"/>
            <family val="2"/>
          </rPr>
          <t xml:space="preserve">
Tờ trình 05.03</t>
        </r>
      </text>
    </comment>
    <comment ref="BO22" authorId="1" shapeId="0" xr:uid="{A8F61C70-41DD-4CD8-834A-6B44FFF99E71}">
      <text>
        <r>
          <rPr>
            <b/>
            <sz val="9"/>
            <color indexed="81"/>
            <rFont val="Tahoma"/>
            <family val="2"/>
          </rPr>
          <t>Diễm, Nguyễn Thị Thanh:</t>
        </r>
        <r>
          <rPr>
            <sz val="9"/>
            <color indexed="81"/>
            <rFont val="Tahoma"/>
            <family val="2"/>
          </rPr>
          <t xml:space="preserve">
Tờ trình 05.03</t>
        </r>
      </text>
    </comment>
    <comment ref="BP22" authorId="1" shapeId="0" xr:uid="{C6D9F369-D97F-4A82-AF48-CCF642DC01E8}">
      <text>
        <r>
          <rPr>
            <b/>
            <sz val="9"/>
            <color indexed="81"/>
            <rFont val="Tahoma"/>
            <family val="2"/>
          </rPr>
          <t>Diễm, Nguyễn Thị Thanh:</t>
        </r>
        <r>
          <rPr>
            <sz val="9"/>
            <color indexed="81"/>
            <rFont val="Tahoma"/>
            <family val="2"/>
          </rPr>
          <t xml:space="preserve">
Tờ trình 05.03</t>
        </r>
      </text>
    </comment>
    <comment ref="BQ22" authorId="1" shapeId="0" xr:uid="{808C3C18-FA80-45A6-ACBF-08385E50C7BB}">
      <text>
        <r>
          <rPr>
            <b/>
            <sz val="9"/>
            <color indexed="81"/>
            <rFont val="Tahoma"/>
            <family val="2"/>
          </rPr>
          <t>Diễm, Nguyễn Thị Thanh:</t>
        </r>
        <r>
          <rPr>
            <sz val="9"/>
            <color indexed="81"/>
            <rFont val="Tahoma"/>
            <family val="2"/>
          </rPr>
          <t xml:space="preserve">
Tờ trình 05.03</t>
        </r>
      </text>
    </comment>
    <comment ref="BR22" authorId="1" shapeId="0" xr:uid="{0C391F74-AC93-4123-97A8-08F07CF7749E}">
      <text>
        <r>
          <rPr>
            <b/>
            <sz val="9"/>
            <color indexed="81"/>
            <rFont val="Tahoma"/>
            <family val="2"/>
          </rPr>
          <t>Diễm, Nguyễn Thị Thanh:</t>
        </r>
        <r>
          <rPr>
            <sz val="9"/>
            <color indexed="81"/>
            <rFont val="Tahoma"/>
            <family val="2"/>
          </rPr>
          <t xml:space="preserve">
Tờ trình 05.03</t>
        </r>
      </text>
    </comment>
    <comment ref="BS22" authorId="1" shapeId="0" xr:uid="{7BB3C59B-F60E-4C09-B2B5-D2BF4D99F912}">
      <text>
        <r>
          <rPr>
            <b/>
            <sz val="9"/>
            <color indexed="81"/>
            <rFont val="Tahoma"/>
            <family val="2"/>
          </rPr>
          <t>Diễm, Nguyễn Thị Thanh:</t>
        </r>
        <r>
          <rPr>
            <sz val="9"/>
            <color indexed="81"/>
            <rFont val="Tahoma"/>
            <family val="2"/>
          </rPr>
          <t xml:space="preserve">
Tờ trình 05.03</t>
        </r>
      </text>
    </comment>
    <comment ref="BT22" authorId="1" shapeId="0" xr:uid="{980A1B31-50CA-44D4-B32A-B7932A35AB51}">
      <text>
        <r>
          <rPr>
            <b/>
            <sz val="9"/>
            <color indexed="81"/>
            <rFont val="Tahoma"/>
            <family val="2"/>
          </rPr>
          <t>Diễm, Nguyễn Thị Thanh:</t>
        </r>
        <r>
          <rPr>
            <sz val="9"/>
            <color indexed="81"/>
            <rFont val="Tahoma"/>
            <family val="2"/>
          </rPr>
          <t xml:space="preserve">
Tờ trình 05.03</t>
        </r>
      </text>
    </comment>
    <comment ref="BU22" authorId="1" shapeId="0" xr:uid="{28CE7D86-1BEE-48F7-BAF4-9043EAB59BA9}">
      <text>
        <r>
          <rPr>
            <b/>
            <sz val="9"/>
            <color indexed="81"/>
            <rFont val="Tahoma"/>
            <family val="2"/>
          </rPr>
          <t>Diễm, Nguyễn Thị Thanh:</t>
        </r>
        <r>
          <rPr>
            <sz val="9"/>
            <color indexed="81"/>
            <rFont val="Tahoma"/>
            <family val="2"/>
          </rPr>
          <t xml:space="preserve">
Tờ trình 05.03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Lộc, Giang Văn</author>
  </authors>
  <commentList>
    <comment ref="F6" authorId="0" shapeId="0" xr:uid="{F5C95243-1A4C-4B6D-A7CD-7F779D045C84}">
      <text>
        <r>
          <rPr>
            <b/>
            <sz val="8"/>
            <color indexed="81"/>
            <rFont val="Tahoma"/>
            <family val="2"/>
          </rPr>
          <t>Lộc, Giang Văn:</t>
        </r>
        <r>
          <rPr>
            <sz val="8"/>
            <color indexed="81"/>
            <rFont val="Tahoma"/>
            <family val="2"/>
          </rPr>
          <t xml:space="preserve">
Lấy giá tồn kho cuối tháng của 38% chai + 62% vảy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<sst xmlns="http://schemas.openxmlformats.org/spreadsheetml/2006/main" count="1038" uniqueCount="199">
  <si>
    <t>Stt</t>
  </si>
  <si>
    <t>Mã SAP</t>
  </si>
  <si>
    <t>Diễn giải</t>
  </si>
  <si>
    <t>Tỷ giá</t>
  </si>
  <si>
    <t>Tên hàng hóa SAP</t>
  </si>
  <si>
    <t>Mã SP</t>
  </si>
  <si>
    <t>Tên sản phẩm</t>
  </si>
  <si>
    <t>Đơn vị tính</t>
  </si>
  <si>
    <t>T1.21</t>
  </si>
  <si>
    <t>T2.21</t>
  </si>
  <si>
    <t>T3.21</t>
  </si>
  <si>
    <t>T4.21</t>
  </si>
  <si>
    <t>T5.21</t>
  </si>
  <si>
    <t>T6.21</t>
  </si>
  <si>
    <t>T7.21</t>
  </si>
  <si>
    <t>T8.21</t>
  </si>
  <si>
    <t>T9.21</t>
  </si>
  <si>
    <t>T10.21</t>
  </si>
  <si>
    <t>T11.21</t>
  </si>
  <si>
    <t>T12.21</t>
  </si>
  <si>
    <t>Vảy PET DBF01-CR</t>
  </si>
  <si>
    <t>A4</t>
  </si>
  <si>
    <t>A4 - Vảy PET tuyển -RL mua ngoài</t>
  </si>
  <si>
    <t>đồng /kg</t>
  </si>
  <si>
    <t>$ /tấn</t>
  </si>
  <si>
    <t>110000329</t>
  </si>
  <si>
    <t>Hạt rPET WSS01</t>
  </si>
  <si>
    <t>WSS01/G</t>
  </si>
  <si>
    <t>WSS01 - Hạt rPET (IV 0.78)</t>
  </si>
  <si>
    <t>DTR-Giá EXW xuất xưởng</t>
  </si>
  <si>
    <t>ẩn</t>
  </si>
  <si>
    <t>Tỷ lệ % lãi gộp Vảy /Giá EXW</t>
  </si>
  <si>
    <t>110000330</t>
  </si>
  <si>
    <t>Hạt rPET SS01</t>
  </si>
  <si>
    <t>ISS01/G</t>
  </si>
  <si>
    <t>SS01 - Hạt rPET  (IV 0.82)</t>
  </si>
  <si>
    <t>DTR-Giá FOB rPET ISS01</t>
  </si>
  <si>
    <t>ICIS</t>
  </si>
  <si>
    <t>ICIS giá rPET  ($ /tấn)</t>
  </si>
  <si>
    <t>ICIS FOB ĐNA - Giá trung bình</t>
  </si>
  <si>
    <t>ICIS FOB ĐNA - Giá Cao</t>
  </si>
  <si>
    <t>Anh 12</t>
  </si>
  <si>
    <t>FENC_FOB TAIWAN BÁN CHO UNILEVER</t>
  </si>
  <si>
    <t>C1</t>
  </si>
  <si>
    <t>DTR-Giá mua Vảy HDPE _Clear  ($ /tấn)</t>
  </si>
  <si>
    <t>Giá vảy HDPE mua ngoài</t>
  </si>
  <si>
    <t>110000339</t>
  </si>
  <si>
    <t>Hạt nhựa rHDPE MBF01</t>
  </si>
  <si>
    <t>MBF01</t>
  </si>
  <si>
    <t>DTR-Giá EXW rHD xuất xưởng</t>
  </si>
  <si>
    <t>DTR-Giá FOB cảng HCM</t>
  </si>
  <si>
    <t>DTR-Giá FOB rHD cảng HCM</t>
  </si>
  <si>
    <t>DTR-Giá FOB rHD xuất xưởng</t>
  </si>
  <si>
    <t>Giá CIF_ĐNÁ rHDPE ($ /tấn)</t>
  </si>
  <si>
    <t>Giá Dafon CIF_ĐNÁ rHD</t>
  </si>
  <si>
    <t>Giá FOB_ĐNÁ rHDPE ($ /tấn)</t>
  </si>
  <si>
    <t>Giá Dafon FOB Taiwan</t>
  </si>
  <si>
    <t>MA TRẬN GIÁ BÁN rHDPE</t>
  </si>
  <si>
    <t>MA TRẬN GIÁ BÁN rPET</t>
  </si>
  <si>
    <t>Giá keo chính phẩm +15%</t>
  </si>
  <si>
    <t xml:space="preserve">ICIS </t>
  </si>
  <si>
    <t>DTR-Giá WSS01 FOB-HCM (IV: 0,78+/- 0.02)</t>
  </si>
  <si>
    <t>DTR-Giá ISS01 FOB-HCM (IV: 0,82+/- 0.02)</t>
  </si>
  <si>
    <t>Hiện tại 23/8</t>
  </si>
  <si>
    <t>ICIS - Giá vảy HDPE</t>
  </si>
  <si>
    <t>4/10</t>
  </si>
  <si>
    <t>11/10</t>
  </si>
  <si>
    <t>18/10</t>
  </si>
  <si>
    <t>25/10</t>
  </si>
  <si>
    <t>Giá thị trường chính phẩm</t>
  </si>
  <si>
    <t>x</t>
  </si>
  <si>
    <t>FENC_BÁN CHO UNILEVER</t>
  </si>
  <si>
    <t>ISS01 (IV: 0,82+/- 0.02)</t>
  </si>
  <si>
    <t>"FOB-DTR"</t>
  </si>
  <si>
    <t>1/23</t>
  </si>
  <si>
    <t>T1/23</t>
  </si>
  <si>
    <t>07.02</t>
  </si>
  <si>
    <t>ICIS Thị trường Mỹ (FOB)</t>
  </si>
  <si>
    <t>Giá tới nhà máy Plascene</t>
  </si>
  <si>
    <t>14.02</t>
  </si>
  <si>
    <t>21.02</t>
  </si>
  <si>
    <t>%</t>
  </si>
  <si>
    <t>TTCP</t>
  </si>
  <si>
    <t>CL</t>
  </si>
  <si>
    <t>Giá keo dự báo</t>
  </si>
  <si>
    <t>Giá dự báo</t>
  </si>
  <si>
    <t>28.02</t>
  </si>
  <si>
    <t>Điểm hòa vốn</t>
  </si>
  <si>
    <t>ICIS Bờ Tây Mỹ (FOB)</t>
  </si>
  <si>
    <t>Điểm hòa vốn có rework</t>
  </si>
  <si>
    <t xml:space="preserve">MA TRẬN GIÁ BÁN rPP </t>
  </si>
  <si>
    <t xml:space="preserve">Vảy PP tuyển </t>
  </si>
  <si>
    <t>Vảy PP tuyển mua ngoài - ICIS</t>
  </si>
  <si>
    <t xml:space="preserve">Giá rPP </t>
  </si>
  <si>
    <t>Giá keo PP chính phẩm</t>
  </si>
  <si>
    <t xml:space="preserve">DTR FOB rPP </t>
  </si>
  <si>
    <t>Dafon FOB (personal care)</t>
  </si>
  <si>
    <t>1</t>
  </si>
  <si>
    <t>Dafon FOB (Home care)</t>
  </si>
  <si>
    <t>Giá bán Unilever</t>
  </si>
  <si>
    <t>DTR- rHD</t>
  </si>
  <si>
    <t>giá EXW</t>
  </si>
  <si>
    <t xml:space="preserve">MA TRẬN GIÁ BÁN rHD ÉP </t>
  </si>
  <si>
    <t>DTR FOB rHD Ép- màu trắng&amp; đỏ</t>
  </si>
  <si>
    <t>DTR FOB rHD Ép- màu dương đậm</t>
  </si>
  <si>
    <t>DTR-xuất hóa đơn (màu trắng&amp; đỏ)</t>
  </si>
  <si>
    <t>Điểm hòa vốn sử dụng 100% Olefin</t>
  </si>
  <si>
    <t>Điểm hòa vốn ( có phí hỗ trợ)</t>
  </si>
  <si>
    <t>Giá bán đối thủ Intco</t>
  </si>
  <si>
    <t>Điểm hòa vốn (có phí hỗ trợ)</t>
  </si>
  <si>
    <t xml:space="preserve">FOB rPP </t>
  </si>
  <si>
    <t>Giá bán đối thủ CHORI</t>
  </si>
  <si>
    <t>Giá bán đối thủ Hyosung</t>
  </si>
  <si>
    <t>Điểm hòa vốn có 25% rewash</t>
  </si>
  <si>
    <t>Giá bán vảy PP</t>
  </si>
  <si>
    <t>Giá bán vảy</t>
  </si>
  <si>
    <t>Giá bán Dafong</t>
  </si>
  <si>
    <t>1/24</t>
  </si>
  <si>
    <t xml:space="preserve">MA TRẬN GIÁ BÁN VẢY PP </t>
  </si>
  <si>
    <t>T12.23</t>
  </si>
  <si>
    <t>MA TRẬN GIÁ BÁN VẢY HDPE ÉP</t>
  </si>
  <si>
    <t>01</t>
  </si>
  <si>
    <t>T1.24</t>
  </si>
  <si>
    <t>02</t>
  </si>
  <si>
    <t>03</t>
  </si>
  <si>
    <t>04</t>
  </si>
  <si>
    <t>05</t>
  </si>
  <si>
    <t>Giá DTR</t>
  </si>
  <si>
    <t>Hạt đen (Châu Âu) - ICIS</t>
  </si>
  <si>
    <t>Hạt màu (Châu Âu) - ICIS</t>
  </si>
  <si>
    <t>RESIN</t>
  </si>
  <si>
    <t>Hạt rHD ép (Châu Âu)-ICIS</t>
  </si>
  <si>
    <t>DTR</t>
  </si>
  <si>
    <t>Unilever</t>
  </si>
  <si>
    <t>Đối thủ CHORI</t>
  </si>
  <si>
    <t>Đối thủ Hyosung</t>
  </si>
  <si>
    <t>DTR-Food grade</t>
  </si>
  <si>
    <t xml:space="preserve">DTR </t>
  </si>
  <si>
    <t>DTR (dương đậm)</t>
  </si>
  <si>
    <t>DTR (màu trắng&amp; đỏ)</t>
  </si>
  <si>
    <t>DTR (personal care)</t>
  </si>
  <si>
    <t>DTR (Home care)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</si>
  <si>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</si>
  <si>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</si>
  <si>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</si>
  <si>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</si>
  <si>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</si>
  <si>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</si>
  <si>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</si>
  <si>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</si>
  <si>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</si>
  <si>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</si>
  <si>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</si>
  <si>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</si>
  <si>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</si>
  <si>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</si>
  <si>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Giá bán cho U</t>
  </si>
  <si>
    <t>Giá bán của DTR</t>
  </si>
  <si>
    <t>Giá FOB Dafon ( Anh 12 cung cấp)</t>
  </si>
  <si>
    <t>Giá FOB Dafon Taiwan</t>
  </si>
  <si>
    <t>Giá bán DTR</t>
  </si>
  <si>
    <t>DTR-nội địa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</si>
  <si>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</si>
  <si>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</si>
  <si>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</si>
  <si>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</si>
  <si>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</si>
  <si>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</si>
  <si>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</si>
  <si>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</si>
  <si>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</si>
  <si>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</si>
  <si>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</si>
  <si>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</si>
  <si>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T1.25</t>
  </si>
  <si>
    <t>06</t>
  </si>
  <si>
    <t>WSS01G</t>
  </si>
  <si>
    <t>07</t>
  </si>
  <si>
    <t>DTR (PTBV)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</si>
  <si>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</si>
  <si>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</si>
  <si>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</si>
  <si>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</si>
  <si>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</si>
  <si>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</si>
  <si>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</si>
  <si>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</si>
  <si>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</si>
  <si>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</si>
  <si>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</si>
  <si>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</si>
  <si>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</si>
  <si>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</si>
  <si>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</si>
  <si>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</si>
  <si>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</si>
  <si>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</si>
  <si>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</si>
  <si>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T1.26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</si>
</sst>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5" formatCode="&quot;$&quot;#,##0_);\(&quot;$&quot;#,##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_-* #,##0.00\ _₫_-;\-* #,##0.00\ _₫_-;_-* &quot;-&quot;??\ _₫_-;_-@_-"/>
    <numFmt numFmtId="166" formatCode="_(* #,##0_);_(* \(#,##0\);_(* &quot;-&quot;??_);_(@_)"/>
    <numFmt numFmtId="167" formatCode="#,##0\ [$₫-42A];\-#,##0\ [$₫-42A]"/>
    <numFmt numFmtId="168" formatCode="0.0%"/>
  </numFmts>
  <fonts count="4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3"/>
      <scheme val="minor"/>
    </font>
    <font>
      <sz val="11"/>
      <color theme="1"/>
      <name val="Times New Roman"/>
      <family val="1"/>
    </font>
    <font>
      <sz val="11"/>
      <name val="Times New Roman"/>
      <family val="1"/>
    </font>
    <font>
      <sz val="10"/>
      <color theme="1"/>
      <name val="Times New Roman"/>
      <family val="1"/>
    </font>
    <font>
      <sz val="11"/>
      <color rgb="FFC00000"/>
      <name val="Times New Roman"/>
      <family val="1"/>
    </font>
    <font>
      <sz val="10"/>
      <color rgb="FFC00000"/>
      <name val="Times New Roman"/>
      <family val="1"/>
    </font>
    <font>
      <sz val="10"/>
      <color theme="1"/>
      <name val=".VnArial"/>
      <family val="2"/>
    </font>
    <font>
      <sz val="11"/>
      <color rgb="FF000099"/>
      <name val="Times New Roman"/>
      <family val="1"/>
    </font>
    <font>
      <b/>
      <sz val="18"/>
      <color theme="1"/>
      <name val="Times New Roman"/>
      <family val="1"/>
    </font>
    <font>
      <sz val="10"/>
      <color rgb="FF92D050"/>
      <name val="Times New Roman"/>
      <family val="1"/>
    </font>
    <font>
      <b/>
      <sz val="11"/>
      <color rgb="FF000099"/>
      <name val="Times New Roman"/>
      <family val="1"/>
    </font>
    <font>
      <b/>
      <sz val="11"/>
      <color rgb="FFC00000"/>
      <name val="Times New Roman"/>
      <family val="1"/>
    </font>
    <font>
      <b/>
      <sz val="10"/>
      <color theme="1"/>
      <name val="Times New Roman"/>
      <family val="1"/>
    </font>
    <font>
      <b/>
      <sz val="11"/>
      <color theme="1"/>
      <name val="Times New Roman"/>
      <family val="1"/>
    </font>
    <font>
      <sz val="10"/>
      <color rgb="FF0000FF"/>
      <name val="Times New Roman"/>
      <family val="1"/>
    </font>
    <font>
      <sz val="11"/>
      <color rgb="FF0000FF"/>
      <name val="Times New Roman"/>
      <family val="1"/>
    </font>
    <font>
      <sz val="12"/>
      <name val="Times New Roman"/>
      <family val="1"/>
    </font>
    <font>
      <b/>
      <sz val="12"/>
      <color theme="1"/>
      <name val="Times New Roman"/>
      <family val="1"/>
    </font>
    <font>
      <sz val="8"/>
      <name val="Calibri"/>
      <family val="2"/>
      <scheme val="minor"/>
    </font>
    <font>
      <b/>
      <sz val="11"/>
      <name val="Times New Roman"/>
      <family val="1"/>
    </font>
    <font>
      <sz val="10"/>
      <name val="Times New Roman"/>
      <family val="1"/>
    </font>
    <font>
      <sz val="12"/>
      <color theme="1"/>
      <name val="Calibri"/>
      <family val="2"/>
      <scheme val="minor"/>
    </font>
    <font>
      <sz val="10"/>
      <color rgb="FF000099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4"/>
      <name val="Times New Roman"/>
      <family val="1"/>
    </font>
    <font>
      <b/>
      <sz val="12"/>
      <color theme="9"/>
      <name val="Calibri"/>
      <family val="2"/>
      <scheme val="minor"/>
    </font>
    <font>
      <b/>
      <sz val="16"/>
      <color theme="9"/>
      <name val="Calibri"/>
      <family val="2"/>
      <scheme val="minor"/>
    </font>
    <font>
      <b/>
      <sz val="11"/>
      <color rgb="FFFF0000"/>
      <name val="Times New Roman"/>
      <family val="1"/>
    </font>
    <font>
      <sz val="11"/>
      <color rgb="FFFF0000"/>
      <name val="Times New Roman"/>
      <family val="1"/>
    </font>
    <font>
      <sz val="10"/>
      <color theme="1"/>
      <name val="segoe UI"/>
      <family val="2"/>
      <charset val="163"/>
    </font>
    <font>
      <sz val="14"/>
      <color rgb="FFFF0000"/>
      <name val="Times New Roman"/>
      <family val="1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b/>
      <sz val="14"/>
      <color rgb="FF0000FF"/>
      <name val="Times New Roman"/>
      <family val="1"/>
    </font>
    <font>
      <b/>
      <sz val="14"/>
      <color theme="5"/>
      <name val="Calibri"/>
      <family val="2"/>
      <scheme val="minor"/>
    </font>
    <font>
      <sz val="14"/>
      <color rgb="FFFF3399"/>
      <name val="Times New Roman"/>
      <family val="1"/>
    </font>
    <font>
      <sz val="10"/>
      <name val="Arial"/>
      <family val="2"/>
    </font>
    <font>
      <sz val="10"/>
      <name val="Arial"/>
      <family val="2"/>
    </font>
    <font>
      <b/>
      <sz val="10"/>
      <name val="Times New Roman"/>
      <family val="1"/>
    </font>
    <font>
      <sz val="12"/>
      <color theme="1"/>
      <name val="Times New Roman"/>
      <family val="1"/>
    </font>
  </fonts>
  <fills count="10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6">
    <xf numFmtId="0" fontId="0" fillId="0" borderId="0"/>
    <xf numFmtId="43" fontId="1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8" fillId="0" borderId="0"/>
    <xf numFmtId="0" fontId="32" fillId="0" borderId="0"/>
    <xf numFmtId="164" fontId="32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39" fillId="0" borderId="0"/>
    <xf numFmtId="0" fontId="40" fillId="0" borderId="0"/>
    <xf numFmtId="0" fontId="39" fillId="0" borderId="0"/>
    <xf numFmtId="164" fontId="39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190">
    <xf numFmtId="0" fontId="0" fillId="0" borderId="0" xfId="0"/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166" fontId="5" fillId="0" borderId="0" xfId="1" applyNumberFormat="1" applyFont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167" fontId="4" fillId="0" borderId="1" xfId="6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left" vertical="center"/>
    </xf>
    <xf numFmtId="0" fontId="4" fillId="4" borderId="1" xfId="0" applyFont="1" applyFill="1" applyBorder="1" applyAlignment="1">
      <alignment horizontal="center" vertical="center"/>
    </xf>
    <xf numFmtId="5" fontId="4" fillId="0" borderId="1" xfId="6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/>
    </xf>
    <xf numFmtId="5" fontId="4" fillId="4" borderId="1" xfId="6" applyNumberFormat="1" applyFont="1" applyFill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3" fillId="0" borderId="0" xfId="0" applyFont="1"/>
    <xf numFmtId="0" fontId="10" fillId="0" borderId="0" xfId="0" applyFont="1" applyAlignment="1">
      <alignment vertical="center"/>
    </xf>
    <xf numFmtId="0" fontId="4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168" fontId="6" fillId="0" borderId="1" xfId="5" applyNumberFormat="1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left" vertical="center"/>
    </xf>
    <xf numFmtId="0" fontId="4" fillId="0" borderId="4" xfId="0" applyFont="1" applyBorder="1" applyAlignment="1">
      <alignment horizontal="center" vertical="center"/>
    </xf>
    <xf numFmtId="5" fontId="4" fillId="0" borderId="4" xfId="6" applyNumberFormat="1" applyFont="1" applyFill="1" applyBorder="1" applyAlignment="1">
      <alignment horizontal="center" vertical="center"/>
    </xf>
    <xf numFmtId="5" fontId="4" fillId="0" borderId="3" xfId="6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4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/>
    </xf>
    <xf numFmtId="5" fontId="4" fillId="5" borderId="1" xfId="6" applyNumberFormat="1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left" vertical="center"/>
    </xf>
    <xf numFmtId="0" fontId="14" fillId="0" borderId="0" xfId="0" applyFont="1" applyAlignment="1">
      <alignment horizontal="center" vertical="center"/>
    </xf>
    <xf numFmtId="0" fontId="14" fillId="0" borderId="0" xfId="0" applyFont="1" applyAlignment="1">
      <alignment vertical="center"/>
    </xf>
    <xf numFmtId="0" fontId="15" fillId="2" borderId="1" xfId="0" applyFont="1" applyFill="1" applyBorder="1" applyAlignment="1">
      <alignment horizontal="center" vertical="center"/>
    </xf>
    <xf numFmtId="0" fontId="15" fillId="2" borderId="1" xfId="0" applyFont="1" applyFill="1" applyBorder="1" applyAlignment="1">
      <alignment horizontal="center" vertical="center" wrapText="1"/>
    </xf>
    <xf numFmtId="5" fontId="4" fillId="0" borderId="2" xfId="6" applyNumberFormat="1" applyFont="1" applyFill="1" applyBorder="1" applyAlignment="1">
      <alignment horizontal="center" vertical="center"/>
    </xf>
    <xf numFmtId="5" fontId="4" fillId="4" borderId="2" xfId="6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7" fillId="0" borderId="1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 wrapText="1"/>
    </xf>
    <xf numFmtId="166" fontId="16" fillId="0" borderId="0" xfId="1" applyNumberFormat="1" applyFont="1" applyAlignment="1">
      <alignment vertical="center"/>
    </xf>
    <xf numFmtId="5" fontId="5" fillId="0" borderId="0" xfId="0" applyNumberFormat="1" applyFont="1" applyAlignment="1">
      <alignment vertical="center"/>
    </xf>
    <xf numFmtId="5" fontId="6" fillId="0" borderId="1" xfId="6" applyNumberFormat="1" applyFont="1" applyFill="1" applyBorder="1" applyAlignment="1">
      <alignment horizontal="center" vertical="center"/>
    </xf>
    <xf numFmtId="5" fontId="4" fillId="0" borderId="0" xfId="6" applyNumberFormat="1" applyFont="1" applyFill="1" applyBorder="1" applyAlignment="1">
      <alignment horizontal="center" vertical="center"/>
    </xf>
    <xf numFmtId="0" fontId="21" fillId="5" borderId="1" xfId="0" applyFont="1" applyFill="1" applyBorder="1" applyAlignment="1">
      <alignment horizontal="center" vertical="center"/>
    </xf>
    <xf numFmtId="0" fontId="21" fillId="5" borderId="1" xfId="0" applyFont="1" applyFill="1" applyBorder="1" applyAlignment="1">
      <alignment horizontal="left" vertical="center"/>
    </xf>
    <xf numFmtId="5" fontId="21" fillId="5" borderId="1" xfId="6" applyNumberFormat="1" applyFont="1" applyFill="1" applyBorder="1" applyAlignment="1">
      <alignment horizontal="center" vertical="center"/>
    </xf>
    <xf numFmtId="166" fontId="16" fillId="0" borderId="1" xfId="1" applyNumberFormat="1" applyFont="1" applyBorder="1" applyAlignment="1">
      <alignment vertical="center"/>
    </xf>
    <xf numFmtId="167" fontId="4" fillId="0" borderId="3" xfId="6" applyNumberFormat="1" applyFont="1" applyBorder="1" applyAlignment="1">
      <alignment horizontal="center" vertical="center"/>
    </xf>
    <xf numFmtId="5" fontId="4" fillId="0" borderId="3" xfId="6" applyNumberFormat="1" applyFont="1" applyBorder="1" applyAlignment="1">
      <alignment horizontal="center" vertical="center"/>
    </xf>
    <xf numFmtId="5" fontId="4" fillId="4" borderId="3" xfId="6" applyNumberFormat="1" applyFont="1" applyFill="1" applyBorder="1" applyAlignment="1">
      <alignment horizontal="center" vertical="center"/>
    </xf>
    <xf numFmtId="9" fontId="5" fillId="0" borderId="0" xfId="5" applyFont="1" applyAlignment="1">
      <alignment vertical="center"/>
    </xf>
    <xf numFmtId="0" fontId="4" fillId="0" borderId="4" xfId="0" applyFont="1" applyBorder="1" applyAlignment="1">
      <alignment vertical="center"/>
    </xf>
    <xf numFmtId="0" fontId="11" fillId="0" borderId="3" xfId="0" applyFont="1" applyBorder="1" applyAlignment="1">
      <alignment vertical="center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left" vertical="center"/>
    </xf>
    <xf numFmtId="5" fontId="9" fillId="0" borderId="1" xfId="6" applyNumberFormat="1" applyFont="1" applyFill="1" applyBorder="1" applyAlignment="1">
      <alignment horizontal="center" vertical="center"/>
    </xf>
    <xf numFmtId="5" fontId="9" fillId="0" borderId="2" xfId="6" applyNumberFormat="1" applyFont="1" applyFill="1" applyBorder="1" applyAlignment="1">
      <alignment horizontal="center" vertical="center"/>
    </xf>
    <xf numFmtId="5" fontId="9" fillId="0" borderId="3" xfId="6" applyNumberFormat="1" applyFont="1" applyFill="1" applyBorder="1" applyAlignment="1">
      <alignment horizontal="center" vertical="center"/>
    </xf>
    <xf numFmtId="0" fontId="9" fillId="0" borderId="1" xfId="0" applyFont="1" applyBorder="1" applyAlignment="1">
      <alignment horizontal="left" vertical="center" wrapText="1"/>
    </xf>
    <xf numFmtId="0" fontId="12" fillId="0" borderId="1" xfId="0" applyFont="1" applyBorder="1" applyAlignment="1">
      <alignment horizontal="center" vertical="center" wrapText="1"/>
    </xf>
    <xf numFmtId="0" fontId="22" fillId="0" borderId="0" xfId="0" applyFont="1" applyAlignment="1">
      <alignment vertical="center"/>
    </xf>
    <xf numFmtId="0" fontId="19" fillId="0" borderId="0" xfId="0" applyFont="1" applyAlignment="1">
      <alignment horizontal="center" vertical="center"/>
    </xf>
    <xf numFmtId="0" fontId="18" fillId="0" borderId="0" xfId="0" applyFont="1" applyAlignment="1">
      <alignment vertical="center"/>
    </xf>
    <xf numFmtId="0" fontId="23" fillId="0" borderId="0" xfId="0" applyFont="1"/>
    <xf numFmtId="0" fontId="24" fillId="0" borderId="0" xfId="0" applyFont="1" applyAlignment="1">
      <alignment vertical="center"/>
    </xf>
    <xf numFmtId="166" fontId="5" fillId="0" borderId="1" xfId="1" applyNumberFormat="1" applyFont="1" applyBorder="1" applyAlignment="1">
      <alignment horizontal="center" vertical="center"/>
    </xf>
    <xf numFmtId="5" fontId="14" fillId="0" borderId="1" xfId="0" applyNumberFormat="1" applyFont="1" applyBorder="1" applyAlignment="1">
      <alignment horizontal="center" vertical="center"/>
    </xf>
    <xf numFmtId="5" fontId="14" fillId="0" borderId="1" xfId="0" applyNumberFormat="1" applyFont="1" applyBorder="1" applyAlignment="1">
      <alignment vertical="center"/>
    </xf>
    <xf numFmtId="166" fontId="16" fillId="0" borderId="0" xfId="1" applyNumberFormat="1" applyFont="1" applyBorder="1" applyAlignment="1">
      <alignment vertical="center"/>
    </xf>
    <xf numFmtId="0" fontId="28" fillId="0" borderId="0" xfId="0" applyFont="1"/>
    <xf numFmtId="0" fontId="22" fillId="0" borderId="0" xfId="0" applyFont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2" fillId="0" borderId="0" xfId="0" applyFont="1" applyAlignment="1">
      <alignment horizontal="right" vertical="center"/>
    </xf>
    <xf numFmtId="3" fontId="22" fillId="0" borderId="0" xfId="0" applyNumberFormat="1" applyFont="1" applyAlignment="1">
      <alignment horizontal="center" vertical="center"/>
    </xf>
    <xf numFmtId="5" fontId="4" fillId="0" borderId="1" xfId="6" applyNumberFormat="1" applyFont="1" applyBorder="1" applyAlignment="1">
      <alignment horizontal="center" vertical="center"/>
    </xf>
    <xf numFmtId="9" fontId="0" fillId="0" borderId="0" xfId="5" applyFont="1"/>
    <xf numFmtId="168" fontId="6" fillId="0" borderId="1" xfId="5" applyNumberFormat="1" applyFont="1" applyBorder="1" applyAlignment="1">
      <alignment horizontal="center" vertical="center"/>
    </xf>
    <xf numFmtId="0" fontId="15" fillId="2" borderId="0" xfId="0" applyFont="1" applyFill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2" fillId="0" borderId="0" xfId="0" quotePrefix="1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 wrapText="1"/>
    </xf>
    <xf numFmtId="5" fontId="4" fillId="0" borderId="0" xfId="6" applyNumberFormat="1" applyFont="1" applyFill="1" applyBorder="1" applyAlignment="1">
      <alignment horizontal="right" vertical="center"/>
    </xf>
    <xf numFmtId="9" fontId="22" fillId="0" borderId="0" xfId="5" applyFont="1" applyBorder="1" applyAlignment="1">
      <alignment vertical="center"/>
    </xf>
    <xf numFmtId="0" fontId="28" fillId="0" borderId="0" xfId="0" applyFont="1" applyAlignment="1">
      <alignment wrapText="1"/>
    </xf>
    <xf numFmtId="0" fontId="15" fillId="2" borderId="1" xfId="0" quotePrefix="1" applyFont="1" applyFill="1" applyBorder="1" applyAlignment="1">
      <alignment horizontal="center" vertical="center"/>
    </xf>
    <xf numFmtId="0" fontId="28" fillId="0" borderId="0" xfId="0" applyFont="1" applyAlignment="1">
      <alignment vertical="center" wrapText="1"/>
    </xf>
    <xf numFmtId="0" fontId="29" fillId="0" borderId="0" xfId="0" applyFont="1" applyAlignment="1">
      <alignment vertical="center" wrapText="1"/>
    </xf>
    <xf numFmtId="16" fontId="15" fillId="2" borderId="1" xfId="0" quotePrefix="1" applyNumberFormat="1" applyFont="1" applyFill="1" applyBorder="1" applyAlignment="1">
      <alignment horizontal="center" vertical="center"/>
    </xf>
    <xf numFmtId="166" fontId="15" fillId="2" borderId="1" xfId="1" quotePrefix="1" applyNumberFormat="1" applyFont="1" applyFill="1" applyBorder="1" applyAlignment="1">
      <alignment horizontal="center" vertical="center"/>
    </xf>
    <xf numFmtId="167" fontId="4" fillId="0" borderId="1" xfId="6" applyNumberFormat="1" applyFont="1" applyBorder="1" applyAlignment="1">
      <alignment horizontal="center" vertical="center"/>
    </xf>
    <xf numFmtId="166" fontId="4" fillId="0" borderId="3" xfId="1" applyNumberFormat="1" applyFont="1" applyFill="1" applyBorder="1" applyAlignment="1">
      <alignment horizontal="center" vertical="center"/>
    </xf>
    <xf numFmtId="0" fontId="11" fillId="0" borderId="1" xfId="0" applyFont="1" applyBorder="1" applyAlignment="1">
      <alignment vertical="center"/>
    </xf>
    <xf numFmtId="1" fontId="15" fillId="2" borderId="1" xfId="0" quotePrefix="1" applyNumberFormat="1" applyFont="1" applyFill="1" applyBorder="1" applyAlignment="1">
      <alignment horizontal="center" vertical="center"/>
    </xf>
    <xf numFmtId="5" fontId="4" fillId="0" borderId="1" xfId="6" applyNumberFormat="1" applyFont="1" applyFill="1" applyBorder="1" applyAlignment="1">
      <alignment vertical="center"/>
    </xf>
    <xf numFmtId="0" fontId="30" fillId="5" borderId="1" xfId="0" applyFont="1" applyFill="1" applyBorder="1" applyAlignment="1">
      <alignment horizontal="left" vertical="center"/>
    </xf>
    <xf numFmtId="0" fontId="31" fillId="0" borderId="1" xfId="0" applyFont="1" applyBorder="1" applyAlignment="1">
      <alignment horizontal="left" vertical="center"/>
    </xf>
    <xf numFmtId="166" fontId="0" fillId="0" borderId="0" xfId="1" applyNumberFormat="1" applyFont="1"/>
    <xf numFmtId="1" fontId="15" fillId="2" borderId="1" xfId="0" applyNumberFormat="1" applyFont="1" applyFill="1" applyBorder="1" applyAlignment="1">
      <alignment horizontal="center" vertical="center"/>
    </xf>
    <xf numFmtId="5" fontId="9" fillId="0" borderId="1" xfId="6" applyNumberFormat="1" applyFont="1" applyBorder="1" applyAlignment="1">
      <alignment horizontal="center" vertical="center"/>
    </xf>
    <xf numFmtId="166" fontId="15" fillId="2" borderId="1" xfId="1" applyNumberFormat="1" applyFont="1" applyFill="1" applyBorder="1" applyAlignment="1">
      <alignment horizontal="center" vertical="center"/>
    </xf>
    <xf numFmtId="5" fontId="9" fillId="0" borderId="3" xfId="6" applyNumberFormat="1" applyFont="1" applyBorder="1" applyAlignment="1">
      <alignment horizontal="center" vertical="center"/>
    </xf>
    <xf numFmtId="9" fontId="3" fillId="0" borderId="0" xfId="5" applyFont="1"/>
    <xf numFmtId="0" fontId="29" fillId="0" borderId="0" xfId="0" applyFont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/>
    </xf>
    <xf numFmtId="0" fontId="9" fillId="8" borderId="1" xfId="0" applyFont="1" applyFill="1" applyBorder="1" applyAlignment="1">
      <alignment horizontal="center" vertical="center"/>
    </xf>
    <xf numFmtId="5" fontId="9" fillId="3" borderId="1" xfId="6" applyNumberFormat="1" applyFont="1" applyFill="1" applyBorder="1" applyAlignment="1">
      <alignment horizontal="center" vertical="center"/>
    </xf>
    <xf numFmtId="14" fontId="5" fillId="0" borderId="0" xfId="0" applyNumberFormat="1" applyFont="1" applyAlignment="1">
      <alignment vertical="center"/>
    </xf>
    <xf numFmtId="0" fontId="5" fillId="3" borderId="0" xfId="0" applyFont="1" applyFill="1" applyAlignment="1">
      <alignment vertical="center"/>
    </xf>
    <xf numFmtId="0" fontId="9" fillId="3" borderId="1" xfId="0" applyFont="1" applyFill="1" applyBorder="1" applyAlignment="1">
      <alignment horizontal="left" vertical="center" wrapText="1"/>
    </xf>
    <xf numFmtId="0" fontId="9" fillId="3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/>
    </xf>
    <xf numFmtId="0" fontId="0" fillId="0" borderId="0" xfId="0" quotePrefix="1"/>
    <xf numFmtId="5" fontId="9" fillId="7" borderId="1" xfId="6" applyNumberFormat="1" applyFont="1" applyFill="1" applyBorder="1" applyAlignment="1">
      <alignment horizontal="center" vertical="center"/>
    </xf>
    <xf numFmtId="5" fontId="9" fillId="7" borderId="3" xfId="6" applyNumberFormat="1" applyFont="1" applyFill="1" applyBorder="1" applyAlignment="1">
      <alignment horizontal="center" vertical="center"/>
    </xf>
    <xf numFmtId="0" fontId="5" fillId="0" borderId="0" xfId="0" quotePrefix="1" applyFont="1" applyAlignment="1">
      <alignment vertical="center"/>
    </xf>
    <xf numFmtId="0" fontId="31" fillId="6" borderId="0" xfId="0" applyFont="1" applyFill="1" applyAlignment="1">
      <alignment horizontal="left" vertical="center" wrapText="1"/>
    </xf>
    <xf numFmtId="5" fontId="4" fillId="7" borderId="1" xfId="6" applyNumberFormat="1" applyFont="1" applyFill="1" applyBorder="1" applyAlignment="1">
      <alignment horizontal="center" vertical="center"/>
    </xf>
    <xf numFmtId="166" fontId="5" fillId="0" borderId="0" xfId="1" applyNumberFormat="1" applyFont="1" applyBorder="1" applyAlignment="1">
      <alignment horizontal="center" vertical="center"/>
    </xf>
    <xf numFmtId="5" fontId="14" fillId="0" borderId="0" xfId="0" applyNumberFormat="1" applyFont="1" applyAlignment="1">
      <alignment horizontal="center" vertical="center"/>
    </xf>
    <xf numFmtId="5" fontId="14" fillId="0" borderId="0" xfId="0" applyNumberFormat="1" applyFont="1" applyAlignment="1">
      <alignment vertical="center"/>
    </xf>
    <xf numFmtId="0" fontId="0" fillId="6" borderId="0" xfId="0" applyFill="1"/>
    <xf numFmtId="166" fontId="0" fillId="6" borderId="0" xfId="1" applyNumberFormat="1" applyFont="1" applyFill="1"/>
    <xf numFmtId="9" fontId="0" fillId="6" borderId="0" xfId="5" applyFont="1" applyFill="1"/>
    <xf numFmtId="166" fontId="31" fillId="6" borderId="0" xfId="1" applyNumberFormat="1" applyFont="1" applyFill="1" applyAlignment="1">
      <alignment horizontal="left" vertical="center" wrapText="1"/>
    </xf>
    <xf numFmtId="0" fontId="9" fillId="9" borderId="1" xfId="0" applyFont="1" applyFill="1" applyBorder="1" applyAlignment="1">
      <alignment horizontal="left" vertical="center"/>
    </xf>
    <xf numFmtId="0" fontId="9" fillId="9" borderId="1" xfId="0" applyFont="1" applyFill="1" applyBorder="1" applyAlignment="1">
      <alignment horizontal="left" vertical="center" wrapText="1"/>
    </xf>
    <xf numFmtId="0" fontId="5" fillId="9" borderId="0" xfId="0" applyFont="1" applyFill="1" applyAlignment="1">
      <alignment vertical="center"/>
    </xf>
    <xf numFmtId="166" fontId="9" fillId="0" borderId="1" xfId="1" applyNumberFormat="1" applyFont="1" applyFill="1" applyBorder="1" applyAlignment="1">
      <alignment horizontal="center" vertical="center"/>
    </xf>
    <xf numFmtId="166" fontId="9" fillId="0" borderId="3" xfId="1" applyNumberFormat="1" applyFont="1" applyFill="1" applyBorder="1" applyAlignment="1">
      <alignment horizontal="center" vertical="center"/>
    </xf>
    <xf numFmtId="166" fontId="5" fillId="0" borderId="0" xfId="5" applyNumberFormat="1" applyFont="1" applyAlignment="1">
      <alignment vertical="center"/>
    </xf>
    <xf numFmtId="166" fontId="4" fillId="7" borderId="1" xfId="1" applyNumberFormat="1" applyFont="1" applyFill="1" applyBorder="1" applyAlignment="1">
      <alignment horizontal="center" vertical="center"/>
    </xf>
    <xf numFmtId="166" fontId="21" fillId="5" borderId="1" xfId="1" applyNumberFormat="1" applyFont="1" applyFill="1" applyBorder="1" applyAlignment="1">
      <alignment horizontal="center" vertical="center"/>
    </xf>
    <xf numFmtId="5" fontId="4" fillId="0" borderId="0" xfId="6" applyNumberFormat="1" applyFont="1" applyAlignment="1">
      <alignment horizontal="center" vertical="center"/>
    </xf>
    <xf numFmtId="5" fontId="5" fillId="0" borderId="0" xfId="0" applyNumberFormat="1" applyFont="1" applyAlignment="1">
      <alignment horizontal="right" vertical="center"/>
    </xf>
    <xf numFmtId="0" fontId="4" fillId="0" borderId="1" xfId="0" applyFont="1" applyBorder="1" applyAlignment="1">
      <alignment horizontal="left" vertical="center" wrapText="1"/>
    </xf>
    <xf numFmtId="5" fontId="4" fillId="0" borderId="3" xfId="6" applyNumberFormat="1" applyFont="1" applyFill="1" applyBorder="1" applyAlignment="1">
      <alignment horizontal="right" vertical="center"/>
    </xf>
    <xf numFmtId="166" fontId="4" fillId="0" borderId="3" xfId="1" applyNumberFormat="1" applyFont="1" applyFill="1" applyBorder="1" applyAlignment="1">
      <alignment horizontal="right" vertical="center"/>
    </xf>
    <xf numFmtId="5" fontId="4" fillId="0" borderId="1" xfId="6" applyNumberFormat="1" applyFont="1" applyFill="1" applyBorder="1" applyAlignment="1">
      <alignment horizontal="right" vertical="center"/>
    </xf>
    <xf numFmtId="5" fontId="4" fillId="0" borderId="0" xfId="6" applyNumberFormat="1" applyFont="1" applyBorder="1" applyAlignment="1">
      <alignment horizontal="center" vertical="center"/>
    </xf>
    <xf numFmtId="166" fontId="4" fillId="7" borderId="0" xfId="1" applyNumberFormat="1" applyFont="1" applyFill="1" applyBorder="1" applyAlignment="1">
      <alignment horizontal="center" vertical="center"/>
    </xf>
    <xf numFmtId="3" fontId="5" fillId="0" borderId="0" xfId="0" applyNumberFormat="1" applyFont="1" applyAlignment="1">
      <alignment vertical="center"/>
    </xf>
    <xf numFmtId="0" fontId="5" fillId="0" borderId="0" xfId="1" applyNumberFormat="1" applyFont="1" applyAlignment="1">
      <alignment horizontal="right" vertical="center"/>
    </xf>
    <xf numFmtId="3" fontId="5" fillId="0" borderId="0" xfId="1" applyNumberFormat="1" applyFont="1" applyAlignment="1">
      <alignment horizontal="right" vertical="center"/>
    </xf>
    <xf numFmtId="5" fontId="6" fillId="0" borderId="1" xfId="6" applyNumberFormat="1" applyFont="1" applyBorder="1" applyAlignment="1">
      <alignment horizontal="center" vertical="center"/>
    </xf>
    <xf numFmtId="9" fontId="22" fillId="0" borderId="0" xfId="5" applyFont="1" applyAlignment="1">
      <alignment vertical="center"/>
    </xf>
    <xf numFmtId="166" fontId="4" fillId="7" borderId="0" xfId="1" applyNumberFormat="1" applyFont="1" applyFill="1" applyAlignment="1">
      <alignment horizontal="center" vertical="center"/>
    </xf>
    <xf numFmtId="0" fontId="41" fillId="0" borderId="0" xfId="0" applyFont="1" applyAlignment="1">
      <alignment vertical="center"/>
    </xf>
    <xf numFmtId="166" fontId="22" fillId="0" borderId="0" xfId="1" applyNumberFormat="1" applyFont="1" applyAlignment="1">
      <alignment vertical="center"/>
    </xf>
    <xf numFmtId="166" fontId="41" fillId="0" borderId="0" xfId="0" applyNumberFormat="1" applyFont="1" applyAlignment="1">
      <alignment vertical="center"/>
    </xf>
    <xf numFmtId="166" fontId="22" fillId="0" borderId="0" xfId="0" applyNumberFormat="1" applyFont="1" applyAlignment="1">
      <alignment vertical="center"/>
    </xf>
    <xf numFmtId="10" fontId="22" fillId="0" borderId="0" xfId="0" applyNumberFormat="1" applyFont="1" applyAlignment="1">
      <alignment vertical="center"/>
    </xf>
    <xf numFmtId="5" fontId="22" fillId="0" borderId="0" xfId="0" applyNumberFormat="1" applyFont="1" applyAlignment="1">
      <alignment vertical="center"/>
    </xf>
    <xf numFmtId="166" fontId="22" fillId="0" borderId="0" xfId="1" applyNumberFormat="1" applyFont="1" applyAlignment="1">
      <alignment horizontal="center" vertical="center"/>
    </xf>
    <xf numFmtId="166" fontId="4" fillId="4" borderId="3" xfId="1" applyNumberFormat="1" applyFont="1" applyFill="1" applyBorder="1" applyAlignment="1">
      <alignment horizontal="center" vertical="center"/>
    </xf>
    <xf numFmtId="166" fontId="9" fillId="0" borderId="3" xfId="1" applyNumberFormat="1" applyFont="1" applyBorder="1" applyAlignment="1">
      <alignment horizontal="center" vertical="center"/>
    </xf>
    <xf numFmtId="166" fontId="5" fillId="0" borderId="0" xfId="1" applyNumberFormat="1" applyFont="1" applyAlignment="1">
      <alignment horizontal="right" vertical="center"/>
    </xf>
    <xf numFmtId="5" fontId="4" fillId="0" borderId="0" xfId="6" applyNumberFormat="1" applyFont="1" applyAlignment="1">
      <alignment horizontal="right" vertical="center"/>
    </xf>
    <xf numFmtId="166" fontId="5" fillId="0" borderId="0" xfId="1" applyNumberFormat="1" applyFont="1" applyAlignment="1">
      <alignment horizontal="center" vertical="center"/>
    </xf>
    <xf numFmtId="5" fontId="4" fillId="0" borderId="1" xfId="6" applyNumberFormat="1" applyFont="1" applyBorder="1" applyAlignment="1">
      <alignment vertical="center"/>
    </xf>
    <xf numFmtId="166" fontId="9" fillId="0" borderId="1" xfId="1" applyNumberFormat="1" applyFont="1" applyBorder="1" applyAlignment="1">
      <alignment horizontal="center" vertical="center"/>
    </xf>
    <xf numFmtId="0" fontId="42" fillId="0" borderId="0" xfId="0" applyFont="1" applyAlignment="1">
      <alignment horizontal="center" vertical="center"/>
    </xf>
    <xf numFmtId="0" fontId="42" fillId="0" borderId="0" xfId="0" applyFont="1" applyAlignment="1">
      <alignment horizontal="left" vertical="center"/>
    </xf>
    <xf numFmtId="5" fontId="21" fillId="5" borderId="0" xfId="6" applyNumberFormat="1" applyFont="1" applyFill="1" applyBorder="1" applyAlignment="1">
      <alignment horizontal="center" vertical="center"/>
    </xf>
    <xf numFmtId="166" fontId="21" fillId="5" borderId="0" xfId="1" applyNumberFormat="1" applyFont="1" applyFill="1" applyBorder="1" applyAlignment="1">
      <alignment horizontal="center" vertical="center"/>
    </xf>
    <xf numFmtId="0" fontId="21" fillId="5" borderId="0" xfId="0" applyFont="1" applyFill="1" applyAlignment="1">
      <alignment horizontal="center" vertical="center"/>
    </xf>
    <xf numFmtId="0" fontId="21" fillId="5" borderId="0" xfId="0" applyFont="1" applyFill="1" applyAlignment="1">
      <alignment horizontal="left" vertical="center"/>
    </xf>
    <xf numFmtId="0" fontId="0" fillId="0" borderId="0" xfId="0" applyAlignment="1">
      <alignment vertical="top"/>
    </xf>
    <xf numFmtId="0" fontId="9" fillId="0" borderId="1" xfId="1" applyNumberFormat="1" applyFont="1" applyBorder="1" applyAlignment="1">
      <alignment horizontal="center" vertical="center"/>
    </xf>
    <xf numFmtId="0" fontId="14" fillId="3" borderId="0" xfId="0" applyFont="1" applyFill="1" applyAlignment="1">
      <alignment vertical="center"/>
    </xf>
    <xf numFmtId="166" fontId="5" fillId="3" borderId="0" xfId="1" applyNumberFormat="1" applyFont="1" applyFill="1" applyAlignment="1">
      <alignment vertical="center"/>
    </xf>
    <xf numFmtId="3" fontId="5" fillId="3" borderId="0" xfId="1" applyNumberFormat="1" applyFont="1" applyFill="1" applyAlignment="1">
      <alignment horizontal="right" vertical="center"/>
    </xf>
    <xf numFmtId="1" fontId="5" fillId="0" borderId="0" xfId="0" applyNumberFormat="1" applyFont="1" applyAlignment="1">
      <alignment vertical="center"/>
    </xf>
    <xf numFmtId="1" fontId="0" fillId="0" borderId="0" xfId="0" applyNumberFormat="1" applyAlignment="1">
      <alignment vertical="top"/>
    </xf>
    <xf numFmtId="168" fontId="29" fillId="0" borderId="0" xfId="5" applyNumberFormat="1" applyFont="1" applyAlignment="1">
      <alignment vertical="center" wrapText="1"/>
    </xf>
    <xf numFmtId="3" fontId="5" fillId="3" borderId="0" xfId="0" applyNumberFormat="1" applyFont="1" applyFill="1" applyAlignment="1">
      <alignment vertical="center"/>
    </xf>
    <xf numFmtId="166" fontId="5" fillId="0" borderId="0" xfId="0" applyNumberFormat="1" applyFont="1" applyAlignment="1">
      <alignment vertical="center"/>
    </xf>
    <xf numFmtId="0" fontId="41" fillId="3" borderId="0" xfId="0" applyFont="1" applyFill="1" applyAlignment="1">
      <alignment vertical="center"/>
    </xf>
    <xf numFmtId="168" fontId="0" fillId="0" borderId="0" xfId="0" applyNumberFormat="1"/>
    <xf numFmtId="43" fontId="0" fillId="0" borderId="0" xfId="0" applyNumberFormat="1"/>
    <xf numFmtId="5" fontId="4" fillId="5" borderId="3" xfId="6" applyNumberFormat="1" applyFont="1" applyFill="1" applyBorder="1" applyAlignment="1">
      <alignment horizontal="center" vertical="center"/>
    </xf>
    <xf numFmtId="0" fontId="28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37" fillId="0" borderId="0" xfId="0" applyFont="1" applyAlignment="1">
      <alignment horizontal="center" vertical="center" wrapText="1"/>
    </xf>
    <xf numFmtId="0" fontId="38" fillId="0" borderId="0" xfId="0" applyFont="1" applyAlignment="1">
      <alignment horizontal="center" vertical="center"/>
    </xf>
    <xf numFmtId="0" fontId="33" fillId="0" borderId="0" xfId="0" applyFont="1" applyAlignment="1">
      <alignment horizontal="left" wrapText="1"/>
    </xf>
    <xf numFmtId="0" fontId="33" fillId="0" borderId="0" xfId="0" quotePrefix="1" applyFont="1" applyAlignment="1">
      <alignment horizontal="left" wrapText="1"/>
    </xf>
    <xf numFmtId="9" fontId="36" fillId="0" borderId="0" xfId="5" applyFont="1" applyAlignment="1">
      <alignment horizontal="center" vertical="center" wrapText="1"/>
    </xf>
    <xf numFmtId="0" fontId="29" fillId="0" borderId="0" xfId="0" applyFont="1" applyAlignment="1">
      <alignment horizontal="center" vertical="center" wrapText="1"/>
    </xf>
  </cellXfs>
  <cellStyles count="16">
    <cellStyle name="Comma" xfId="1" builtinId="3"/>
    <cellStyle name="Comma 2" xfId="3" xr:uid="{194E7761-03A8-44F9-BB05-263B1C78CC73}"/>
    <cellStyle name="Comma 2 2" xfId="9" xr:uid="{B070CB0A-E990-438F-9A05-4D2B8B00BB61}"/>
    <cellStyle name="Comma 3" xfId="10" xr:uid="{C6CF9922-71FF-4B02-ABBC-976A0C2F44D2}"/>
    <cellStyle name="Comma 4" xfId="14" xr:uid="{41706825-7D02-4CED-A836-0572959B3845}"/>
    <cellStyle name="Comma 5" xfId="15" xr:uid="{FB08A40A-C8A1-4AF4-95E6-975B75C1DB5F}"/>
    <cellStyle name="Currency" xfId="6" builtinId="4"/>
    <cellStyle name="Normal" xfId="0" builtinId="0"/>
    <cellStyle name="Normal 10" xfId="7" xr:uid="{71E9BD72-641B-468E-ADC3-E2C0EE31EE9B}"/>
    <cellStyle name="Normal 2" xfId="2" xr:uid="{991F7F03-A84D-4AE6-9014-83531200038C}"/>
    <cellStyle name="Normal 2 2" xfId="8" xr:uid="{CF5ABDB8-0502-48EC-812C-10BF2A0C0E15}"/>
    <cellStyle name="Normal 3" xfId="11" xr:uid="{F5403120-556B-402E-80FC-9E4945468064}"/>
    <cellStyle name="Normal 4" xfId="12" xr:uid="{13C362C1-B5D5-4B5C-98B0-B146F8EF7A73}"/>
    <cellStyle name="Normal 5" xfId="13" xr:uid="{8D15DEF2-E4EA-440E-A253-FF9932868990}"/>
    <cellStyle name="Percent" xfId="5" builtinId="5"/>
    <cellStyle name="Percent 2" xfId="4" xr:uid="{D46C7BA7-423C-4BFB-84DF-0670B505554D}"/>
  </cellStyles>
  <dxfs count="0"/>
  <tableStyles count="0" defaultTableStyle="TableStyleMedium2" defaultPivotStyle="PivotStyleLight16"/>
  <colors>
    <mruColors>
      <color rgb="FFFF3399"/>
      <color rgb="FF0000FF"/>
      <color rgb="FF60943C"/>
      <color rgb="FF4E6F49"/>
      <color rgb="FF639D69"/>
      <color rgb="FF2CD8D4"/>
      <color rgb="FFFFCC00"/>
      <color rgb="FFFF6600"/>
      <color rgb="FFFF5050"/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microsoft.com/office/2022/10/relationships/richValueRel" Target="richData/richValueRel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eetMetadata" Target="metadata.xml"/><Relationship Id="rId33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microsoft.com/office/2017/06/relationships/rdRichValueTypes" Target="richData/rdRichValueTyp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32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28" Type="http://schemas.microsoft.com/office/2017/06/relationships/rdRichValueStructure" Target="richData/rdrichvaluestructure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Relationship Id="rId27" Type="http://schemas.microsoft.com/office/2017/06/relationships/rdRichValue" Target="richData/rdrichvalue.xml"/><Relationship Id="rId30" Type="http://schemas.microsoft.com/office/2017/10/relationships/person" Target="persons/person.xml"/><Relationship Id="rId8" Type="http://schemas.openxmlformats.org/officeDocument/2006/relationships/worksheet" Target="worksheets/sheet8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6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8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0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2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4.xml"/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6.xml"/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8.xml"/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0.xml"/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2.xml"/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4.xml"/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6.xml"/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8.xml"/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rgbClr val="0000FF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2000" b="1" baseline="0">
                <a:solidFill>
                  <a:srgbClr val="0000FF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GIÁ HẠT NHỰA </a:t>
            </a:r>
            <a:r>
              <a:rPr lang="en-US" sz="20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rPET </a:t>
            </a:r>
            <a:r>
              <a:rPr lang="en-US" sz="2000" b="1">
                <a:solidFill>
                  <a:srgbClr val="0000FF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sz="2000" b="1" baseline="0">
                <a:solidFill>
                  <a:srgbClr val="0000FF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WSS01G NĂM 2024 &amp;2025 (USD/tấn)</a:t>
            </a:r>
            <a:endParaRPr lang="en-US" sz="2000" b="1">
              <a:solidFill>
                <a:srgbClr val="0000FF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rgbClr val="0000FF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9505115686632961E-2"/>
          <c:y val="0.11047368858807251"/>
          <c:w val="0.78550934188825883"/>
          <c:h val="0.8086243455651364"/>
        </c:manualLayout>
      </c:layout>
      <c:areaChart>
        <c:grouping val="stacked"/>
        <c:varyColors val="0"/>
        <c:ser>
          <c:idx val="1"/>
          <c:order val="7"/>
          <c:tx>
            <c:strRef>
              <c:f>'Ma trận PET'!$H$17</c:f>
              <c:strCache>
                <c:ptCount val="1"/>
                <c:pt idx="0">
                  <c:v>TTCP</c:v>
                </c:pt>
              </c:strCache>
            </c:strRef>
          </c:tx>
          <c:spPr>
            <a:noFill/>
            <a:ln>
              <a:noFill/>
            </a:ln>
            <a:effectLst/>
          </c:spPr>
          <c:val>
            <c:numRef>
              <c:f>'Ma trận PET'!$X$17:$BV$17</c:f>
              <c:numCache>
                <c:formatCode>"$"#,##0_);\("$"#,##0\)</c:formatCode>
                <c:ptCount val="25"/>
                <c:pt idx="0">
                  <c:v>930</c:v>
                </c:pt>
                <c:pt idx="1">
                  <c:v>943.33333333333337</c:v>
                </c:pt>
                <c:pt idx="2">
                  <c:v>940</c:v>
                </c:pt>
                <c:pt idx="3">
                  <c:v>940</c:v>
                </c:pt>
                <c:pt idx="4">
                  <c:v>942</c:v>
                </c:pt>
                <c:pt idx="5">
                  <c:v>950</c:v>
                </c:pt>
                <c:pt idx="6">
                  <c:v>947.5</c:v>
                </c:pt>
                <c:pt idx="7">
                  <c:v>930</c:v>
                </c:pt>
                <c:pt idx="8">
                  <c:v>880</c:v>
                </c:pt>
                <c:pt idx="9">
                  <c:v>862.5</c:v>
                </c:pt>
                <c:pt idx="10">
                  <c:v>852</c:v>
                </c:pt>
                <c:pt idx="11">
                  <c:v>830</c:v>
                </c:pt>
                <c:pt idx="12">
                  <c:v>827.5</c:v>
                </c:pt>
                <c:pt idx="13">
                  <c:v>840</c:v>
                </c:pt>
                <c:pt idx="14">
                  <c:v>822.5</c:v>
                </c:pt>
                <c:pt idx="15">
                  <c:v>765</c:v>
                </c:pt>
                <c:pt idx="16">
                  <c:v>782</c:v>
                </c:pt>
                <c:pt idx="17">
                  <c:v>807.5</c:v>
                </c:pt>
                <c:pt idx="18">
                  <c:v>802</c:v>
                </c:pt>
                <c:pt idx="19">
                  <c:v>795</c:v>
                </c:pt>
                <c:pt idx="20">
                  <c:v>782.5</c:v>
                </c:pt>
                <c:pt idx="21">
                  <c:v>772</c:v>
                </c:pt>
                <c:pt idx="22">
                  <c:v>770</c:v>
                </c:pt>
                <c:pt idx="23">
                  <c:v>772.5</c:v>
                </c:pt>
                <c:pt idx="24">
                  <c:v>795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5CC-432C-9FA9-F70F542DAA5F}"/>
            </c:ext>
          </c:extLst>
        </c:ser>
        <c:ser>
          <c:idx val="2"/>
          <c:order val="9"/>
          <c:tx>
            <c:strRef>
              <c:f>'Ma trận PET'!$H$18</c:f>
              <c:strCache>
                <c:ptCount val="1"/>
                <c:pt idx="0">
                  <c:v>CL</c:v>
                </c:pt>
              </c:strCache>
            </c:strRef>
          </c:tx>
          <c:spPr>
            <a:solidFill>
              <a:schemeClr val="accent4">
                <a:lumMod val="20000"/>
                <a:lumOff val="80000"/>
              </a:schemeClr>
            </a:solidFill>
            <a:ln>
              <a:solidFill>
                <a:schemeClr val="accent4">
                  <a:lumMod val="20000"/>
                  <a:lumOff val="80000"/>
                </a:schemeClr>
              </a:solidFill>
            </a:ln>
            <a:effectLst/>
          </c:spPr>
          <c:val>
            <c:numRef>
              <c:f>'Ma trận PET'!$X$18:$BV$18</c:f>
              <c:numCache>
                <c:formatCode>"$"#,##0_);\("$"#,##0\)</c:formatCode>
                <c:ptCount val="25"/>
                <c:pt idx="0">
                  <c:v>320</c:v>
                </c:pt>
                <c:pt idx="1">
                  <c:v>306.66666666666663</c:v>
                </c:pt>
                <c:pt idx="2">
                  <c:v>310</c:v>
                </c:pt>
                <c:pt idx="3">
                  <c:v>310</c:v>
                </c:pt>
                <c:pt idx="4">
                  <c:v>358</c:v>
                </c:pt>
                <c:pt idx="5">
                  <c:v>350</c:v>
                </c:pt>
                <c:pt idx="6">
                  <c:v>352.5</c:v>
                </c:pt>
                <c:pt idx="7">
                  <c:v>370</c:v>
                </c:pt>
                <c:pt idx="8">
                  <c:v>430</c:v>
                </c:pt>
                <c:pt idx="9">
                  <c:v>462.5</c:v>
                </c:pt>
                <c:pt idx="10">
                  <c:v>473</c:v>
                </c:pt>
                <c:pt idx="11">
                  <c:v>445</c:v>
                </c:pt>
                <c:pt idx="12">
                  <c:v>402.5</c:v>
                </c:pt>
                <c:pt idx="13">
                  <c:v>390</c:v>
                </c:pt>
                <c:pt idx="14">
                  <c:v>407.5</c:v>
                </c:pt>
                <c:pt idx="15">
                  <c:v>485</c:v>
                </c:pt>
                <c:pt idx="16">
                  <c:v>468</c:v>
                </c:pt>
                <c:pt idx="17">
                  <c:v>442.5</c:v>
                </c:pt>
                <c:pt idx="18">
                  <c:v>448</c:v>
                </c:pt>
                <c:pt idx="19">
                  <c:v>425</c:v>
                </c:pt>
                <c:pt idx="20">
                  <c:v>437.5</c:v>
                </c:pt>
                <c:pt idx="21">
                  <c:v>438</c:v>
                </c:pt>
                <c:pt idx="22">
                  <c:v>430</c:v>
                </c:pt>
                <c:pt idx="23">
                  <c:v>427.5</c:v>
                </c:pt>
                <c:pt idx="24">
                  <c:v>365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5CC-432C-9FA9-F70F542DAA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17916735"/>
        <c:axId val="1917910079"/>
      </c:areaChart>
      <c:lineChart>
        <c:grouping val="standard"/>
        <c:varyColors val="0"/>
        <c:ser>
          <c:idx val="4"/>
          <c:order val="0"/>
          <c:tx>
            <c:strRef>
              <c:f>'Ma trận PET'!$H$24</c:f>
              <c:strCache>
                <c:ptCount val="1"/>
                <c:pt idx="0">
                  <c:v>Giá bán Unilever</c:v>
                </c:pt>
              </c:strCache>
            </c:strRef>
          </c:tx>
          <c:spPr>
            <a:ln w="53975" cap="rnd">
              <a:solidFill>
                <a:srgbClr val="2CD8D4"/>
              </a:solidFill>
              <a:round/>
            </a:ln>
            <a:effectLst/>
          </c:spPr>
          <c:marker>
            <c:symbol val="none"/>
          </c:marke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804D-4B9B-8EBA-22D46FC5B951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ADAE-401E-95D2-E8DFD5D5569B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804D-4B9B-8EBA-22D46FC5B951}"/>
                </c:ext>
              </c:extLst>
            </c:dLbl>
            <c:dLbl>
              <c:idx val="5"/>
              <c:layout>
                <c:manualLayout>
                  <c:x val="-2.1664281057494204E-2"/>
                  <c:y val="-2.782499571356708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DAE-401E-95D2-E8DFD5D5569B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ADAE-401E-95D2-E8DFD5D5569B}"/>
                </c:ext>
              </c:extLst>
            </c:dLbl>
            <c:dLbl>
              <c:idx val="8"/>
              <c:layout>
                <c:manualLayout>
                  <c:x val="-2.9034603479115768E-3"/>
                  <c:y val="1.835756978612926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DAE-401E-95D2-E8DFD5D5569B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804D-4B9B-8EBA-22D46FC5B951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ADAE-401E-95D2-E8DFD5D5569B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804D-4B9B-8EBA-22D46FC5B951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8F4-467A-814F-13B9DCDEF39B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92B-4564-B668-9A24E0F7F070}"/>
                </c:ext>
              </c:extLst>
            </c:dLbl>
            <c:dLbl>
              <c:idx val="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92B-4564-B668-9A24E0F7F070}"/>
                </c:ext>
              </c:extLst>
            </c:dLbl>
            <c:dLbl>
              <c:idx val="19"/>
              <c:layout>
                <c:manualLayout>
                  <c:x val="-1.6275536494068047E-2"/>
                  <c:y val="2.006998228812806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626-46D5-BFF4-1A00FBD72391}"/>
                </c:ext>
              </c:extLst>
            </c:dLbl>
            <c:dLbl>
              <c:idx val="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92B-4564-B668-9A24E0F7F070}"/>
                </c:ext>
              </c:extLst>
            </c:dLbl>
            <c:dLbl>
              <c:idx val="21"/>
              <c:layout>
                <c:manualLayout>
                  <c:x val="-9.1410547432437556E-3"/>
                  <c:y val="-2.702159626502158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D1E-4CB3-AFCD-641780F6C29E}"/>
                </c:ext>
              </c:extLst>
            </c:dLbl>
            <c:dLbl>
              <c:idx val="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54DA-4595-B6C0-1B360A62682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rgbClr val="2CD8D4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'Ma trận PET'!$I$5:$BV$5</c:f>
              <c:strCache>
                <c:ptCount val="25"/>
                <c:pt idx="0">
                  <c:v>T1.24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T1.25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  <c:pt idx="16">
                  <c:v>5</c:v>
                </c:pt>
                <c:pt idx="17">
                  <c:v>6</c:v>
                </c:pt>
                <c:pt idx="18">
                  <c:v>7</c:v>
                </c:pt>
                <c:pt idx="19">
                  <c:v>8</c:v>
                </c:pt>
                <c:pt idx="20">
                  <c:v>9</c:v>
                </c:pt>
                <c:pt idx="21">
                  <c:v>10</c:v>
                </c:pt>
                <c:pt idx="22">
                  <c:v>11</c:v>
                </c:pt>
                <c:pt idx="23">
                  <c:v>12</c:v>
                </c:pt>
                <c:pt idx="24">
                  <c:v>T1.26</c:v>
                </c:pt>
              </c:strCache>
            </c:strRef>
          </c:cat>
          <c:val>
            <c:numRef>
              <c:f>'Ma trận PET'!$X$24:$BV$24</c:f>
              <c:numCache>
                <c:formatCode>#,##0</c:formatCode>
                <c:ptCount val="25"/>
                <c:pt idx="0">
                  <c:v>1320</c:v>
                </c:pt>
                <c:pt idx="1">
                  <c:v>1320</c:v>
                </c:pt>
                <c:pt idx="2">
                  <c:v>1320</c:v>
                </c:pt>
                <c:pt idx="3">
                  <c:v>1320</c:v>
                </c:pt>
                <c:pt idx="4">
                  <c:v>1320</c:v>
                </c:pt>
                <c:pt idx="5">
                  <c:v>1320</c:v>
                </c:pt>
                <c:pt idx="6">
                  <c:v>1300</c:v>
                </c:pt>
                <c:pt idx="7">
                  <c:v>1300</c:v>
                </c:pt>
                <c:pt idx="8">
                  <c:v>1300</c:v>
                </c:pt>
                <c:pt idx="9">
                  <c:v>1300</c:v>
                </c:pt>
                <c:pt idx="10">
                  <c:v>1300</c:v>
                </c:pt>
                <c:pt idx="11">
                  <c:v>1300</c:v>
                </c:pt>
                <c:pt idx="12">
                  <c:v>1300</c:v>
                </c:pt>
                <c:pt idx="13">
                  <c:v>1300</c:v>
                </c:pt>
                <c:pt idx="14">
                  <c:v>1250</c:v>
                </c:pt>
                <c:pt idx="15">
                  <c:v>1250</c:v>
                </c:pt>
                <c:pt idx="16">
                  <c:v>1250</c:v>
                </c:pt>
                <c:pt idx="17">
                  <c:v>1250</c:v>
                </c:pt>
                <c:pt idx="18">
                  <c:v>1280</c:v>
                </c:pt>
                <c:pt idx="19">
                  <c:v>1280</c:v>
                </c:pt>
                <c:pt idx="20">
                  <c:v>1280</c:v>
                </c:pt>
                <c:pt idx="21">
                  <c:v>1280</c:v>
                </c:pt>
                <c:pt idx="22">
                  <c:v>1280</c:v>
                </c:pt>
                <c:pt idx="23">
                  <c:v>1280</c:v>
                </c:pt>
                <c:pt idx="24">
                  <c:v>1250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2DAD-4A38-A633-822797BF3B10}"/>
            </c:ext>
          </c:extLst>
        </c:ser>
        <c:ser>
          <c:idx val="12"/>
          <c:order val="1"/>
          <c:tx>
            <c:strRef>
              <c:f>'Ma trận PET'!$H$11:$H$11</c:f>
              <c:strCache>
                <c:ptCount val="1"/>
                <c:pt idx="0">
                  <c:v>ICIS</c:v>
                </c:pt>
              </c:strCache>
            </c:strRef>
          </c:tx>
          <c:spPr>
            <a:ln w="539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3.7911877694702164E-3"/>
                  <c:y val="1.614683309682776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1EF-4599-B152-89067E339141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50B1-4EC1-8685-74911942C3E3}"/>
                </c:ext>
              </c:extLst>
            </c:dLbl>
            <c:dLbl>
              <c:idx val="2"/>
              <c:layout>
                <c:manualLayout>
                  <c:x val="-1.4495717942092003E-2"/>
                  <c:y val="2.776325978519297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5F2D-49E3-8DED-11BE198763C6}"/>
                </c:ext>
              </c:extLst>
            </c:dLbl>
            <c:dLbl>
              <c:idx val="3"/>
              <c:layout>
                <c:manualLayout>
                  <c:x val="-2.0740027209454712E-2"/>
                  <c:y val="-3.031887365663351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ADAE-401E-95D2-E8DFD5D5569B}"/>
                </c:ext>
              </c:extLst>
            </c:dLbl>
            <c:dLbl>
              <c:idx val="4"/>
              <c:layout>
                <c:manualLayout>
                  <c:x val="-1.8964397387519559E-2"/>
                  <c:y val="-3.228586493042349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ADAE-401E-95D2-E8DFD5D5569B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ADAE-401E-95D2-E8DFD5D5569B}"/>
                </c:ext>
              </c:extLst>
            </c:dLbl>
            <c:dLbl>
              <c:idx val="19"/>
              <c:layout>
                <c:manualLayout>
                  <c:x val="-1.5383726275214881E-2"/>
                  <c:y val="-2.477914014344303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8626-46D5-BFF4-1A00FBD72391}"/>
                </c:ext>
              </c:extLst>
            </c:dLbl>
            <c:dLbl>
              <c:idx val="20"/>
              <c:layout>
                <c:manualLayout>
                  <c:x val="-1.2708295618655902E-2"/>
                  <c:y val="-2.477914014344303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92B-4564-B668-9A24E0F7F070}"/>
                </c:ext>
              </c:extLst>
            </c:dLbl>
            <c:dLbl>
              <c:idx val="21"/>
              <c:layout>
                <c:manualLayout>
                  <c:x val="-1.1816485399802734E-2"/>
                  <c:y val="1.558507004497091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D1E-4CB3-AFCD-641780F6C29E}"/>
                </c:ext>
              </c:extLst>
            </c:dLbl>
            <c:dLbl>
              <c:idx val="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4DA-4595-B6C0-1B360A626825}"/>
                </c:ext>
              </c:extLst>
            </c:dLbl>
            <c:dLbl>
              <c:idx val="23"/>
              <c:layout>
                <c:manualLayout>
                  <c:x val="-2.3410018244892208E-2"/>
                  <c:y val="-3.150650850817873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7FF-4AE1-84A2-C94DD2C66B81}"/>
                </c:ext>
              </c:extLst>
            </c:dLbl>
            <c:dLbl>
              <c:idx val="24"/>
              <c:layout>
                <c:manualLayout>
                  <c:x val="-1.7167346712920955E-2"/>
                  <c:y val="2.006998228812798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356-4F7B-B033-0C4D28D8E281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rgbClr val="7030A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'Ma trận PET'!$I$5:$BV$5</c:f>
              <c:strCache>
                <c:ptCount val="25"/>
                <c:pt idx="0">
                  <c:v>T1.24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T1.25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  <c:pt idx="16">
                  <c:v>5</c:v>
                </c:pt>
                <c:pt idx="17">
                  <c:v>6</c:v>
                </c:pt>
                <c:pt idx="18">
                  <c:v>7</c:v>
                </c:pt>
                <c:pt idx="19">
                  <c:v>8</c:v>
                </c:pt>
                <c:pt idx="20">
                  <c:v>9</c:v>
                </c:pt>
                <c:pt idx="21">
                  <c:v>10</c:v>
                </c:pt>
                <c:pt idx="22">
                  <c:v>11</c:v>
                </c:pt>
                <c:pt idx="23">
                  <c:v>12</c:v>
                </c:pt>
                <c:pt idx="24">
                  <c:v>T1.26</c:v>
                </c:pt>
              </c:strCache>
            </c:strRef>
          </c:cat>
          <c:val>
            <c:numRef>
              <c:f>'Ma trận PET'!$I$11:$BV$11</c:f>
              <c:numCache>
                <c:formatCode>"$"#,##0_);\("$"#,##0\)</c:formatCode>
                <c:ptCount val="25"/>
                <c:pt idx="0">
                  <c:v>1312.5</c:v>
                </c:pt>
                <c:pt idx="1">
                  <c:v>1325</c:v>
                </c:pt>
                <c:pt idx="2">
                  <c:v>1320</c:v>
                </c:pt>
                <c:pt idx="3">
                  <c:v>1323.75</c:v>
                </c:pt>
                <c:pt idx="4">
                  <c:v>1346.6</c:v>
                </c:pt>
                <c:pt idx="5">
                  <c:v>1365</c:v>
                </c:pt>
                <c:pt idx="6">
                  <c:v>1365</c:v>
                </c:pt>
                <c:pt idx="7">
                  <c:v>1404</c:v>
                </c:pt>
                <c:pt idx="8">
                  <c:v>1427.5</c:v>
                </c:pt>
                <c:pt idx="9">
                  <c:v>1440</c:v>
                </c:pt>
                <c:pt idx="10">
                  <c:v>1440</c:v>
                </c:pt>
                <c:pt idx="11">
                  <c:v>1421.25</c:v>
                </c:pt>
                <c:pt idx="12">
                  <c:v>1368.75</c:v>
                </c:pt>
                <c:pt idx="13">
                  <c:v>1350</c:v>
                </c:pt>
                <c:pt idx="14">
                  <c:v>1360</c:v>
                </c:pt>
                <c:pt idx="15">
                  <c:v>1360</c:v>
                </c:pt>
                <c:pt idx="16">
                  <c:v>1360</c:v>
                </c:pt>
                <c:pt idx="17">
                  <c:v>1360</c:v>
                </c:pt>
                <c:pt idx="18">
                  <c:v>1324</c:v>
                </c:pt>
                <c:pt idx="19">
                  <c:v>1295</c:v>
                </c:pt>
                <c:pt idx="20">
                  <c:v>1275</c:v>
                </c:pt>
                <c:pt idx="21">
                  <c:v>1248</c:v>
                </c:pt>
                <c:pt idx="22">
                  <c:v>1243.75</c:v>
                </c:pt>
                <c:pt idx="23">
                  <c:v>1193.75</c:v>
                </c:pt>
                <c:pt idx="24">
                  <c:v>1150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2-AAD9-428E-AA2F-574999B2252F}"/>
            </c:ext>
          </c:extLst>
        </c:ser>
        <c:ser>
          <c:idx val="14"/>
          <c:order val="2"/>
          <c:tx>
            <c:strRef>
              <c:f>'Ma trận PET'!$H$6</c:f>
              <c:strCache>
                <c:ptCount val="1"/>
                <c:pt idx="0">
                  <c:v>DTR</c:v>
                </c:pt>
              </c:strCache>
            </c:strRef>
          </c:tx>
          <c:spPr>
            <a:ln w="5080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2A6F-4524-A680-A8A288F16413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5F2D-49E3-8DED-11BE198763C6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ADAE-401E-95D2-E8DFD5D5569B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2A6F-4524-A680-A8A288F16413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ADAE-401E-95D2-E8DFD5D5569B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ADAE-401E-95D2-E8DFD5D5569B}"/>
                </c:ext>
              </c:extLst>
            </c:dLbl>
            <c:dLbl>
              <c:idx val="8"/>
              <c:layout>
                <c:manualLayout>
                  <c:x val="-1.7197418983784084E-2"/>
                  <c:y val="-2.990321116105333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ADAE-401E-95D2-E8DFD5D5569B}"/>
                </c:ext>
              </c:extLst>
            </c:dLbl>
            <c:dLbl>
              <c:idx val="9"/>
              <c:layout>
                <c:manualLayout>
                  <c:x val="-1.362392932481586E-2"/>
                  <c:y val="-2.990321116105329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2A6F-4524-A680-A8A288F16413}"/>
                </c:ext>
              </c:extLst>
            </c:dLbl>
            <c:dLbl>
              <c:idx val="10"/>
              <c:layout>
                <c:manualLayout>
                  <c:x val="-9.1570672511058736E-3"/>
                  <c:y val="-1.835756978612926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2A6F-4524-A680-A8A288F16413}"/>
                </c:ext>
              </c:extLst>
            </c:dLbl>
            <c:dLbl>
              <c:idx val="11"/>
              <c:layout>
                <c:manualLayout>
                  <c:x val="-3.41714948638824E-2"/>
                  <c:y val="1.858848261362774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2A6F-4524-A680-A8A288F16413}"/>
                </c:ext>
              </c:extLst>
            </c:dLbl>
            <c:dLbl>
              <c:idx val="12"/>
              <c:layout>
                <c:manualLayout>
                  <c:x val="-7.3703224216216945E-3"/>
                  <c:y val="-2.990321116105333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ADAE-401E-95D2-E8DFD5D5569B}"/>
                </c:ext>
              </c:extLst>
            </c:dLbl>
            <c:dLbl>
              <c:idx val="13"/>
              <c:layout>
                <c:manualLayout>
                  <c:x val="-1.6304046569041931E-2"/>
                  <c:y val="-2.75940828860685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2847-4015-B647-A8F113DFFA5F}"/>
                </c:ext>
              </c:extLst>
            </c:dLbl>
            <c:dLbl>
              <c:idx val="14"/>
              <c:layout>
                <c:manualLayout>
                  <c:x val="-2.5243131360820917E-2"/>
                  <c:y val="2.265318884403830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8F4-467A-814F-13B9DCDEF39B}"/>
                </c:ext>
              </c:extLst>
            </c:dLbl>
            <c:dLbl>
              <c:idx val="15"/>
              <c:layout>
                <c:manualLayout>
                  <c:x val="-1.5367188337168181E-2"/>
                  <c:y val="2.5308992649472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A8C3-4A8D-9D5C-A82200F95B38}"/>
                </c:ext>
              </c:extLst>
            </c:dLbl>
            <c:dLbl>
              <c:idx val="16"/>
              <c:layout>
                <c:manualLayout>
                  <c:x val="-2.1583936827378896E-2"/>
                  <c:y val="2.304781977935781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A28-422E-BED9-9080227676E8}"/>
                </c:ext>
              </c:extLst>
            </c:dLbl>
            <c:dLbl>
              <c:idx val="20"/>
              <c:layout>
                <c:manualLayout>
                  <c:x val="-1.9842777369480064E-2"/>
                  <c:y val="-2.23124384097066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C92B-4564-B668-9A24E0F7F070}"/>
                </c:ext>
              </c:extLst>
            </c:dLbl>
            <c:dLbl>
              <c:idx val="21"/>
              <c:layout>
                <c:manualLayout>
                  <c:x val="-1.7167346712920955E-2"/>
                  <c:y val="2.029422790028592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ED1E-4CB3-AFCD-641780F6C29E}"/>
                </c:ext>
              </c:extLst>
            </c:dLbl>
            <c:dLbl>
              <c:idx val="22"/>
              <c:layout>
                <c:manualLayout>
                  <c:x val="-1.270829561865577E-2"/>
                  <c:y val="2.477914014344303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4DA-4595-B6C0-1B360A626825}"/>
                </c:ext>
              </c:extLst>
            </c:dLbl>
            <c:dLbl>
              <c:idx val="23"/>
              <c:layout>
                <c:manualLayout>
                  <c:x val="3.3442883206987561E-3"/>
                  <c:y val="2.3545789276574825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7FF-4AE1-84A2-C94DD2C66B81}"/>
                </c:ext>
              </c:extLst>
            </c:dLbl>
            <c:dLbl>
              <c:idx val="24"/>
              <c:layout>
                <c:manualLayout>
                  <c:x val="-2.2295255471338994E-4"/>
                  <c:y val="2.3545789276574825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8E40-4114-B2EB-A4B2C680A60B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accent6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'Ma trận PET'!$I$5:$BV$5</c:f>
              <c:strCache>
                <c:ptCount val="25"/>
                <c:pt idx="0">
                  <c:v>T1.24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T1.25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  <c:pt idx="16">
                  <c:v>5</c:v>
                </c:pt>
                <c:pt idx="17">
                  <c:v>6</c:v>
                </c:pt>
                <c:pt idx="18">
                  <c:v>7</c:v>
                </c:pt>
                <c:pt idx="19">
                  <c:v>8</c:v>
                </c:pt>
                <c:pt idx="20">
                  <c:v>9</c:v>
                </c:pt>
                <c:pt idx="21">
                  <c:v>10</c:v>
                </c:pt>
                <c:pt idx="22">
                  <c:v>11</c:v>
                </c:pt>
                <c:pt idx="23">
                  <c:v>12</c:v>
                </c:pt>
                <c:pt idx="24">
                  <c:v>T1.26</c:v>
                </c:pt>
              </c:strCache>
            </c:strRef>
          </c:cat>
          <c:val>
            <c:numRef>
              <c:f>'Ma trận PET'!$AL$6:$BV$6</c:f>
              <c:numCache>
                <c:formatCode>"$"#,##0_);\("$"#,##0\)</c:formatCode>
                <c:ptCount val="25"/>
                <c:pt idx="0">
                  <c:v>1250</c:v>
                </c:pt>
                <c:pt idx="1">
                  <c:v>1250</c:v>
                </c:pt>
                <c:pt idx="2">
                  <c:v>1250</c:v>
                </c:pt>
                <c:pt idx="3">
                  <c:v>1250</c:v>
                </c:pt>
                <c:pt idx="4">
                  <c:v>1300</c:v>
                </c:pt>
                <c:pt idx="5">
                  <c:v>1300</c:v>
                </c:pt>
                <c:pt idx="6">
                  <c:v>1300</c:v>
                </c:pt>
                <c:pt idx="7">
                  <c:v>1300</c:v>
                </c:pt>
                <c:pt idx="8">
                  <c:v>1310</c:v>
                </c:pt>
                <c:pt idx="9">
                  <c:v>1325</c:v>
                </c:pt>
                <c:pt idx="10">
                  <c:v>1325</c:v>
                </c:pt>
                <c:pt idx="11">
                  <c:v>1275</c:v>
                </c:pt>
                <c:pt idx="12">
                  <c:v>1230</c:v>
                </c:pt>
                <c:pt idx="13">
                  <c:v>1230</c:v>
                </c:pt>
                <c:pt idx="14">
                  <c:v>1230</c:v>
                </c:pt>
                <c:pt idx="15">
                  <c:v>1250</c:v>
                </c:pt>
                <c:pt idx="16">
                  <c:v>1250</c:v>
                </c:pt>
                <c:pt idx="17">
                  <c:v>1250</c:v>
                </c:pt>
                <c:pt idx="18">
                  <c:v>1250</c:v>
                </c:pt>
                <c:pt idx="19">
                  <c:v>1220</c:v>
                </c:pt>
                <c:pt idx="20">
                  <c:v>1220</c:v>
                </c:pt>
                <c:pt idx="21">
                  <c:v>1210</c:v>
                </c:pt>
                <c:pt idx="22">
                  <c:v>1200</c:v>
                </c:pt>
                <c:pt idx="23">
                  <c:v>1200</c:v>
                </c:pt>
                <c:pt idx="24">
                  <c:v>1160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44-AAD9-428E-AA2F-574999B2252F}"/>
            </c:ext>
          </c:extLst>
        </c:ser>
        <c:ser>
          <c:idx val="0"/>
          <c:order val="3"/>
          <c:tx>
            <c:strRef>
              <c:f>'Ma trận PET'!$H$16</c:f>
              <c:strCache>
                <c:ptCount val="1"/>
                <c:pt idx="0">
                  <c:v>Giá keo dự báo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'Ma trận PET'!$I$5:$BV$5</c:f>
              <c:strCache>
                <c:ptCount val="25"/>
                <c:pt idx="0">
                  <c:v>T1.24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T1.25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  <c:pt idx="16">
                  <c:v>5</c:v>
                </c:pt>
                <c:pt idx="17">
                  <c:v>6</c:v>
                </c:pt>
                <c:pt idx="18">
                  <c:v>7</c:v>
                </c:pt>
                <c:pt idx="19">
                  <c:v>8</c:v>
                </c:pt>
                <c:pt idx="20">
                  <c:v>9</c:v>
                </c:pt>
                <c:pt idx="21">
                  <c:v>10</c:v>
                </c:pt>
                <c:pt idx="22">
                  <c:v>11</c:v>
                </c:pt>
                <c:pt idx="23">
                  <c:v>12</c:v>
                </c:pt>
                <c:pt idx="24">
                  <c:v>T1.26</c:v>
                </c:pt>
              </c:strCache>
            </c:strRef>
          </c:cat>
          <c:val>
            <c:numRef>
              <c:f>'Ma trận PET'!$U$16:$AT$16</c:f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E5D8-4192-9A7E-2102ECE33B65}"/>
            </c:ext>
          </c:extLst>
        </c:ser>
        <c:ser>
          <c:idx val="11"/>
          <c:order val="4"/>
          <c:tx>
            <c:strRef>
              <c:f>'Ma trận PET'!$H$10:$H$10</c:f>
              <c:strCache>
                <c:ptCount val="1"/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'Ma trận PET'!$I$5:$BV$5</c:f>
              <c:strCache>
                <c:ptCount val="25"/>
                <c:pt idx="0">
                  <c:v>T1.24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T1.25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  <c:pt idx="16">
                  <c:v>5</c:v>
                </c:pt>
                <c:pt idx="17">
                  <c:v>6</c:v>
                </c:pt>
                <c:pt idx="18">
                  <c:v>7</c:v>
                </c:pt>
                <c:pt idx="19">
                  <c:v>8</c:v>
                </c:pt>
                <c:pt idx="20">
                  <c:v>9</c:v>
                </c:pt>
                <c:pt idx="21">
                  <c:v>10</c:v>
                </c:pt>
                <c:pt idx="22">
                  <c:v>11</c:v>
                </c:pt>
                <c:pt idx="23">
                  <c:v>12</c:v>
                </c:pt>
                <c:pt idx="24">
                  <c:v>T1.26</c:v>
                </c:pt>
              </c:strCache>
            </c:strRef>
          </c:cat>
          <c:val>
            <c:numRef>
              <c:f>'Ma trận PET'!$I$10:$AT$10</c:f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41-AAD9-428E-AA2F-574999B2252F}"/>
            </c:ext>
          </c:extLst>
        </c:ser>
        <c:ser>
          <c:idx val="3"/>
          <c:order val="5"/>
          <c:tx>
            <c:strRef>
              <c:f>'Ma trận PET'!$H$20</c:f>
              <c:strCache>
                <c:ptCount val="1"/>
                <c:pt idx="0">
                  <c:v>Điểm hòa vốn</c:v>
                </c:pt>
              </c:strCache>
            </c:strRef>
          </c:tx>
          <c:spPr>
            <a:ln w="539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dLbls>
            <c:dLbl>
              <c:idx val="4"/>
              <c:layout>
                <c:manualLayout>
                  <c:x val="-2.3227682783292614E-2"/>
                  <c:y val="3.001866757480257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ADAE-401E-95D2-E8DFD5D5569B}"/>
                </c:ext>
              </c:extLst>
            </c:dLbl>
            <c:dLbl>
              <c:idx val="5"/>
              <c:layout>
                <c:manualLayout>
                  <c:x val="-2.8800343915726601E-2"/>
                  <c:y val="3.917058787488083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ADAE-401E-95D2-E8DFD5D5569B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rgbClr val="FF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'Ma trận PET'!$I$5:$BV$5</c:f>
              <c:strCache>
                <c:ptCount val="25"/>
                <c:pt idx="0">
                  <c:v>T1.24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T1.25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  <c:pt idx="16">
                  <c:v>5</c:v>
                </c:pt>
                <c:pt idx="17">
                  <c:v>6</c:v>
                </c:pt>
                <c:pt idx="18">
                  <c:v>7</c:v>
                </c:pt>
                <c:pt idx="19">
                  <c:v>8</c:v>
                </c:pt>
                <c:pt idx="20">
                  <c:v>9</c:v>
                </c:pt>
                <c:pt idx="21">
                  <c:v>10</c:v>
                </c:pt>
                <c:pt idx="22">
                  <c:v>11</c:v>
                </c:pt>
                <c:pt idx="23">
                  <c:v>12</c:v>
                </c:pt>
                <c:pt idx="24">
                  <c:v>T1.26</c:v>
                </c:pt>
              </c:strCache>
            </c:strRef>
          </c:cat>
          <c:val>
            <c:numRef>
              <c:f>'Ma trận PET'!$X$20:$BV$20</c:f>
              <c:numCache>
                <c:formatCode>"$"#,##0_);\("$"#,##0\)</c:formatCode>
                <c:ptCount val="25"/>
                <c:pt idx="0">
                  <c:v>1162</c:v>
                </c:pt>
                <c:pt idx="1">
                  <c:v>1175</c:v>
                </c:pt>
                <c:pt idx="2">
                  <c:v>1200</c:v>
                </c:pt>
                <c:pt idx="3" formatCode="_(* #,##0_);_(* \(#,##0\);_(* &quot;-&quot;??_);_(@_)">
                  <c:v>1230</c:v>
                </c:pt>
                <c:pt idx="4" formatCode="_(* #,##0_);_(* \(#,##0\);_(* &quot;-&quot;??_);_(@_)">
                  <c:v>1260</c:v>
                </c:pt>
                <c:pt idx="5" formatCode="_(* #,##0_);_(* \(#,##0\);_(* &quot;-&quot;??_);_(@_)">
                  <c:v>1250</c:v>
                </c:pt>
                <c:pt idx="6" formatCode="_(* #,##0_);_(* \(#,##0\);_(* &quot;-&quot;??_);_(@_)">
                  <c:v>1174</c:v>
                </c:pt>
                <c:pt idx="7" formatCode="_(* #,##0_);_(* \(#,##0\);_(* &quot;-&quot;??_);_(@_)">
                  <c:v>1131</c:v>
                </c:pt>
                <c:pt idx="8" formatCode="_(* #,##0_);_(* \(#,##0\);_(* &quot;-&quot;??_);_(@_)">
                  <c:v>1154.4175324983562</c:v>
                </c:pt>
                <c:pt idx="9" formatCode="_(* #,##0_);_(* \(#,##0\);_(* &quot;-&quot;??_);_(@_)">
                  <c:v>1161.0768651093263</c:v>
                </c:pt>
                <c:pt idx="10" formatCode="_(* #,##0_);_(* \(#,##0\);_(* &quot;-&quot;??_);_(@_)">
                  <c:v>1179.9225619184629</c:v>
                </c:pt>
                <c:pt idx="11" formatCode="_(* #,##0_);_(* \(#,##0\);_(* &quot;-&quot;??_);_(@_)">
                  <c:v>1183.4455288794234</c:v>
                </c:pt>
                <c:pt idx="12" formatCode="_(* #,##0_);_(* \(#,##0\);_(* &quot;-&quot;??_);_(@_)">
                  <c:v>1181</c:v>
                </c:pt>
                <c:pt idx="13" formatCode="_(* #,##0_);_(* \(#,##0\);_(* &quot;-&quot;??_);_(@_)">
                  <c:v>1185.2425317608468</c:v>
                </c:pt>
                <c:pt idx="14" formatCode="_(* #,##0_);_(* \(#,##0\);_(* &quot;-&quot;??_);_(@_)">
                  <c:v>1190.7839269244525</c:v>
                </c:pt>
                <c:pt idx="15" formatCode="_(* #,##0_);_(* \(#,##0\);_(* &quot;-&quot;??_);_(@_)">
                  <c:v>1188.8989547033088</c:v>
                </c:pt>
                <c:pt idx="16" formatCode="_(* #,##0_);_(* \(#,##0\);_(* &quot;-&quot;??_);_(@_)">
                  <c:v>1208.4563999076058</c:v>
                </c:pt>
                <c:pt idx="17" formatCode="_(* #,##0_);_(* \(#,##0\);_(* &quot;-&quot;??_);_(@_)">
                  <c:v>1167.8121893749728</c:v>
                </c:pt>
                <c:pt idx="18" formatCode="_(* #,##0_);_(* \(#,##0\);_(* &quot;-&quot;??_);_(@_)">
                  <c:v>1185.3194123375963</c:v>
                </c:pt>
                <c:pt idx="19" formatCode="_(* #,##0_);_(* \(#,##0\);_(* &quot;-&quot;??_);_(@_)">
                  <c:v>1163.1486661843744</c:v>
                </c:pt>
                <c:pt idx="20" formatCode="_(* #,##0_);_(* \(#,##0\);_(* &quot;-&quot;??_);_(@_)">
                  <c:v>1186.2627781335511</c:v>
                </c:pt>
                <c:pt idx="21" formatCode="_(* #,##0_);_(* \(#,##0\);_(* &quot;-&quot;??_);_(@_)">
                  <c:v>1128</c:v>
                </c:pt>
                <c:pt idx="22" formatCode="_(* #,##0_);_(* \(#,##0\);_(* &quot;-&quot;??_);_(@_)">
                  <c:v>1070.511623054196</c:v>
                </c:pt>
                <c:pt idx="23" formatCode="_(* #,##0_);_(* \(#,##0\);_(* &quot;-&quot;??_);_(@_)">
                  <c:v>1092.8990526695691</c:v>
                </c:pt>
                <c:pt idx="24" formatCode="_(* #,##0_);_(* \(#,##0\);_(* &quot;-&quot;??_);_(@_)">
                  <c:v>1096.8836793746136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48-40C3-8211-CA0056C21B68}"/>
            </c:ext>
          </c:extLst>
        </c:ser>
        <c:ser>
          <c:idx val="13"/>
          <c:order val="6"/>
          <c:tx>
            <c:strRef>
              <c:f>'Ma trận PET'!$H$12:$H$12</c:f>
              <c:strCache>
                <c:ptCount val="1"/>
                <c:pt idx="0">
                  <c:v>ICIS FOB ĐNA - Giá Cao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'Ma trận PET'!$I$5:$BV$5</c:f>
              <c:strCache>
                <c:ptCount val="25"/>
                <c:pt idx="0">
                  <c:v>T1.24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T1.25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  <c:pt idx="16">
                  <c:v>5</c:v>
                </c:pt>
                <c:pt idx="17">
                  <c:v>6</c:v>
                </c:pt>
                <c:pt idx="18">
                  <c:v>7</c:v>
                </c:pt>
                <c:pt idx="19">
                  <c:v>8</c:v>
                </c:pt>
                <c:pt idx="20">
                  <c:v>9</c:v>
                </c:pt>
                <c:pt idx="21">
                  <c:v>10</c:v>
                </c:pt>
                <c:pt idx="22">
                  <c:v>11</c:v>
                </c:pt>
                <c:pt idx="23">
                  <c:v>12</c:v>
                </c:pt>
                <c:pt idx="24">
                  <c:v>T1.26</c:v>
                </c:pt>
              </c:strCache>
            </c:strRef>
          </c:cat>
          <c:val>
            <c:numRef>
              <c:f>'Ma trận PET'!$I$12:$AT$12</c:f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43-AAD9-428E-AA2F-574999B2252F}"/>
            </c:ext>
          </c:extLst>
        </c:ser>
        <c:ser>
          <c:idx val="15"/>
          <c:order val="8"/>
          <c:tx>
            <c:strRef>
              <c:f>'Ma trận PET'!$H$14:$H$14</c:f>
              <c:strCache>
                <c:ptCount val="1"/>
                <c:pt idx="0">
                  <c:v>RESIN</c:v>
                </c:pt>
              </c:strCache>
            </c:strRef>
          </c:tx>
          <c:spPr>
            <a:ln w="53975" cap="rnd">
              <a:solidFill>
                <a:srgbClr val="FF3399"/>
              </a:solidFill>
              <a:round/>
            </a:ln>
            <a:effectLst/>
          </c:spPr>
          <c:marker>
            <c:symbol val="none"/>
          </c:marker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rgbClr val="FF3399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'Ma trận PET'!$I$5:$BV$5</c:f>
              <c:strCache>
                <c:ptCount val="25"/>
                <c:pt idx="0">
                  <c:v>T1.24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T1.25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  <c:pt idx="16">
                  <c:v>5</c:v>
                </c:pt>
                <c:pt idx="17">
                  <c:v>6</c:v>
                </c:pt>
                <c:pt idx="18">
                  <c:v>7</c:v>
                </c:pt>
                <c:pt idx="19">
                  <c:v>8</c:v>
                </c:pt>
                <c:pt idx="20">
                  <c:v>9</c:v>
                </c:pt>
                <c:pt idx="21">
                  <c:v>10</c:v>
                </c:pt>
                <c:pt idx="22">
                  <c:v>11</c:v>
                </c:pt>
                <c:pt idx="23">
                  <c:v>12</c:v>
                </c:pt>
                <c:pt idx="24">
                  <c:v>T1.26</c:v>
                </c:pt>
              </c:strCache>
            </c:strRef>
          </c:cat>
          <c:val>
            <c:numRef>
              <c:f>'Ma trận PET'!$I$14:$BV$14</c:f>
              <c:numCache>
                <c:formatCode>"$"#,##0_);\("$"#,##0\)</c:formatCode>
                <c:ptCount val="25"/>
                <c:pt idx="0">
                  <c:v>930</c:v>
                </c:pt>
                <c:pt idx="1">
                  <c:v>943.33333333333337</c:v>
                </c:pt>
                <c:pt idx="2">
                  <c:v>940</c:v>
                </c:pt>
                <c:pt idx="3">
                  <c:v>940</c:v>
                </c:pt>
                <c:pt idx="4">
                  <c:v>942</c:v>
                </c:pt>
                <c:pt idx="5">
                  <c:v>950</c:v>
                </c:pt>
                <c:pt idx="6">
                  <c:v>947.5</c:v>
                </c:pt>
                <c:pt idx="7">
                  <c:v>930</c:v>
                </c:pt>
                <c:pt idx="8">
                  <c:v>880</c:v>
                </c:pt>
                <c:pt idx="9">
                  <c:v>862.5</c:v>
                </c:pt>
                <c:pt idx="10">
                  <c:v>852</c:v>
                </c:pt>
                <c:pt idx="11">
                  <c:v>830</c:v>
                </c:pt>
                <c:pt idx="12">
                  <c:v>827.5</c:v>
                </c:pt>
                <c:pt idx="13">
                  <c:v>840</c:v>
                </c:pt>
                <c:pt idx="14">
                  <c:v>822.5</c:v>
                </c:pt>
                <c:pt idx="15">
                  <c:v>765</c:v>
                </c:pt>
                <c:pt idx="16">
                  <c:v>782</c:v>
                </c:pt>
                <c:pt idx="17">
                  <c:v>807.5</c:v>
                </c:pt>
                <c:pt idx="18">
                  <c:v>802</c:v>
                </c:pt>
                <c:pt idx="19">
                  <c:v>795</c:v>
                </c:pt>
                <c:pt idx="20">
                  <c:v>782.5</c:v>
                </c:pt>
                <c:pt idx="21">
                  <c:v>772</c:v>
                </c:pt>
                <c:pt idx="22">
                  <c:v>770</c:v>
                </c:pt>
                <c:pt idx="23">
                  <c:v>772.5</c:v>
                </c:pt>
                <c:pt idx="24">
                  <c:v>795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5-AAD9-428E-AA2F-574999B2252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bg2"/>
              </a:solidFill>
              <a:round/>
            </a:ln>
            <a:effectLst/>
          </c:spPr>
        </c:dropLines>
        <c:marker val="1"/>
        <c:smooth val="0"/>
        <c:axId val="1917916735"/>
        <c:axId val="1917910079"/>
        <c:extLst/>
      </c:lineChart>
      <c:catAx>
        <c:axId val="19179167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917910079"/>
        <c:crosses val="autoZero"/>
        <c:auto val="1"/>
        <c:lblAlgn val="ctr"/>
        <c:lblOffset val="100"/>
        <c:noMultiLvlLbl val="0"/>
      </c:catAx>
      <c:valAx>
        <c:axId val="1917910079"/>
        <c:scaling>
          <c:orientation val="minMax"/>
          <c:min val="700"/>
        </c:scaling>
        <c:delete val="0"/>
        <c:axPos val="l"/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9179167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0"/>
        <c:delete val="1"/>
      </c:legendEntry>
      <c:legendEntry>
        <c:idx val="1"/>
        <c:delete val="1"/>
      </c:legendEntry>
      <c:legendEntry>
        <c:idx val="2"/>
        <c:txPr>
          <a:bodyPr rot="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rgbClr val="2CD8D4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legendEntry>
      <c:legendEntry>
        <c:idx val="4"/>
        <c:txPr>
          <a:bodyPr rot="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accent6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legendEntry>
      <c:legendEntry>
        <c:idx val="5"/>
        <c:txPr>
          <a:bodyPr rot="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rgbClr val="FF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legendEntry>
      <c:legendEntry>
        <c:idx val="6"/>
        <c:txPr>
          <a:bodyPr rot="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rgbClr val="FF3399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legendEntry>
      <c:layout>
        <c:manualLayout>
          <c:xMode val="edge"/>
          <c:yMode val="edge"/>
          <c:x val="0.87375062479739984"/>
          <c:y val="0.37906686982302973"/>
          <c:w val="0.12089472182259471"/>
          <c:h val="0.4684103624380007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landscape"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0" baseline="0">
                <a:solidFill>
                  <a:srgbClr val="0000FF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2400" b="1" baseline="0">
                <a:solidFill>
                  <a:srgbClr val="0000FF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GIÁ HẠT NHỰA </a:t>
            </a:r>
            <a:r>
              <a:rPr lang="en-US" sz="24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rPET </a:t>
            </a:r>
            <a:r>
              <a:rPr lang="en-US" sz="2400" b="1">
                <a:solidFill>
                  <a:srgbClr val="0000FF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sz="2400" b="1" baseline="0">
                <a:solidFill>
                  <a:srgbClr val="0000FF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WSS01G NĂM 2025 (USD/tấn)</a:t>
            </a:r>
            <a:endParaRPr lang="en-US" sz="2400" b="1">
              <a:solidFill>
                <a:srgbClr val="0000FF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layout>
        <c:manualLayout>
          <c:xMode val="edge"/>
          <c:yMode val="edge"/>
          <c:x val="0.184932756217568"/>
          <c:y val="1.703915500549495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0" baseline="0">
              <a:solidFill>
                <a:srgbClr val="0000FF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5036512302036513E-2"/>
          <c:y val="0.12702304327693809"/>
          <c:w val="0.83837451831756371"/>
          <c:h val="0.78739317269635756"/>
        </c:manualLayout>
      </c:layout>
      <c:areaChart>
        <c:grouping val="stacked"/>
        <c:varyColors val="0"/>
        <c:ser>
          <c:idx val="5"/>
          <c:order val="9"/>
          <c:tx>
            <c:strRef>
              <c:f>'Ma trận PET'!$BZ$17</c:f>
              <c:strCache>
                <c:ptCount val="1"/>
                <c:pt idx="0">
                  <c:v>TTCP</c:v>
                </c:pt>
              </c:strCache>
            </c:strRef>
          </c:tx>
          <c:spPr>
            <a:solidFill>
              <a:schemeClr val="bg1"/>
            </a:solidFill>
            <a:ln>
              <a:noFill/>
            </a:ln>
            <a:effectLst/>
          </c:spPr>
          <c:val>
            <c:numRef>
              <c:f>'Ma trận PET'!$DN$17:$JV$17</c:f>
              <c:numCache>
                <c:formatCode>"$"#,##0_);\("$"#,##0\)</c:formatCode>
                <c:ptCount val="51"/>
                <c:pt idx="0">
                  <c:v>820</c:v>
                </c:pt>
                <c:pt idx="1">
                  <c:v>820</c:v>
                </c:pt>
                <c:pt idx="2">
                  <c:v>820</c:v>
                </c:pt>
                <c:pt idx="3">
                  <c:v>850</c:v>
                </c:pt>
                <c:pt idx="4">
                  <c:v>840</c:v>
                </c:pt>
                <c:pt idx="5">
                  <c:v>840</c:v>
                </c:pt>
                <c:pt idx="6">
                  <c:v>840</c:v>
                </c:pt>
                <c:pt idx="7">
                  <c:v>840</c:v>
                </c:pt>
                <c:pt idx="8">
                  <c:v>840</c:v>
                </c:pt>
                <c:pt idx="9">
                  <c:v>830</c:v>
                </c:pt>
                <c:pt idx="10">
                  <c:v>810</c:v>
                </c:pt>
                <c:pt idx="11">
                  <c:v>810</c:v>
                </c:pt>
                <c:pt idx="12">
                  <c:v>800</c:v>
                </c:pt>
                <c:pt idx="13">
                  <c:v>750</c:v>
                </c:pt>
                <c:pt idx="14">
                  <c:v>750</c:v>
                </c:pt>
                <c:pt idx="15">
                  <c:v>760</c:v>
                </c:pt>
                <c:pt idx="16">
                  <c:v>760</c:v>
                </c:pt>
                <c:pt idx="17">
                  <c:v>760</c:v>
                </c:pt>
                <c:pt idx="18">
                  <c:v>800</c:v>
                </c:pt>
                <c:pt idx="19">
                  <c:v>800</c:v>
                </c:pt>
                <c:pt idx="20">
                  <c:v>790</c:v>
                </c:pt>
                <c:pt idx="21">
                  <c:v>800</c:v>
                </c:pt>
                <c:pt idx="22">
                  <c:v>790</c:v>
                </c:pt>
                <c:pt idx="23">
                  <c:v>820</c:v>
                </c:pt>
                <c:pt idx="24">
                  <c:v>820</c:v>
                </c:pt>
                <c:pt idx="25">
                  <c:v>820</c:v>
                </c:pt>
                <c:pt idx="26">
                  <c:v>820</c:v>
                </c:pt>
                <c:pt idx="27">
                  <c:v>790</c:v>
                </c:pt>
                <c:pt idx="28">
                  <c:v>790</c:v>
                </c:pt>
                <c:pt idx="29">
                  <c:v>790</c:v>
                </c:pt>
                <c:pt idx="30">
                  <c:v>800</c:v>
                </c:pt>
                <c:pt idx="31">
                  <c:v>790</c:v>
                </c:pt>
                <c:pt idx="32">
                  <c:v>790</c:v>
                </c:pt>
                <c:pt idx="33">
                  <c:v>800</c:v>
                </c:pt>
                <c:pt idx="34">
                  <c:v>790</c:v>
                </c:pt>
                <c:pt idx="35">
                  <c:v>780</c:v>
                </c:pt>
                <c:pt idx="36">
                  <c:v>780</c:v>
                </c:pt>
                <c:pt idx="37">
                  <c:v>780</c:v>
                </c:pt>
                <c:pt idx="38">
                  <c:v>780</c:v>
                </c:pt>
                <c:pt idx="39">
                  <c:v>780</c:v>
                </c:pt>
                <c:pt idx="40">
                  <c:v>770</c:v>
                </c:pt>
                <c:pt idx="41">
                  <c:v>760</c:v>
                </c:pt>
                <c:pt idx="42">
                  <c:v>770</c:v>
                </c:pt>
                <c:pt idx="43">
                  <c:v>770</c:v>
                </c:pt>
                <c:pt idx="44">
                  <c:v>770</c:v>
                </c:pt>
                <c:pt idx="45">
                  <c:v>770</c:v>
                </c:pt>
                <c:pt idx="46">
                  <c:v>770</c:v>
                </c:pt>
                <c:pt idx="47">
                  <c:v>770</c:v>
                </c:pt>
                <c:pt idx="48">
                  <c:v>770</c:v>
                </c:pt>
                <c:pt idx="49">
                  <c:v>770</c:v>
                </c:pt>
                <c:pt idx="50">
                  <c:v>780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C-6EAD-431A-BDD4-033E20348306}"/>
            </c:ext>
          </c:extLst>
        </c:ser>
        <c:ser>
          <c:idx val="8"/>
          <c:order val="11"/>
          <c:tx>
            <c:strRef>
              <c:f>'Ma trận PET'!$BZ$18</c:f>
              <c:strCache>
                <c:ptCount val="1"/>
                <c:pt idx="0">
                  <c:v>CL</c:v>
                </c:pt>
              </c:strCache>
            </c:strRef>
          </c:tx>
          <c:spPr>
            <a:solidFill>
              <a:schemeClr val="accent4">
                <a:lumMod val="20000"/>
                <a:lumOff val="80000"/>
              </a:schemeClr>
            </a:solidFill>
            <a:ln>
              <a:noFill/>
            </a:ln>
            <a:effectLst/>
          </c:spPr>
          <c:val>
            <c:numRef>
              <c:f>'Ma trận PET'!$DN$18:$JV$18</c:f>
              <c:numCache>
                <c:formatCode>"$"#,##0_);\("$"#,##0\)</c:formatCode>
                <c:ptCount val="51"/>
                <c:pt idx="0">
                  <c:v>410</c:v>
                </c:pt>
                <c:pt idx="1">
                  <c:v>410</c:v>
                </c:pt>
                <c:pt idx="2">
                  <c:v>410</c:v>
                </c:pt>
                <c:pt idx="3">
                  <c:v>380</c:v>
                </c:pt>
                <c:pt idx="4">
                  <c:v>390</c:v>
                </c:pt>
                <c:pt idx="5">
                  <c:v>390</c:v>
                </c:pt>
                <c:pt idx="6">
                  <c:v>390</c:v>
                </c:pt>
                <c:pt idx="7">
                  <c:v>390</c:v>
                </c:pt>
                <c:pt idx="8">
                  <c:v>390</c:v>
                </c:pt>
                <c:pt idx="9">
                  <c:v>400</c:v>
                </c:pt>
                <c:pt idx="10">
                  <c:v>420</c:v>
                </c:pt>
                <c:pt idx="11">
                  <c:v>420</c:v>
                </c:pt>
                <c:pt idx="12">
                  <c:v>450</c:v>
                </c:pt>
                <c:pt idx="13">
                  <c:v>500</c:v>
                </c:pt>
                <c:pt idx="14">
                  <c:v>500</c:v>
                </c:pt>
                <c:pt idx="15">
                  <c:v>490</c:v>
                </c:pt>
                <c:pt idx="16">
                  <c:v>490</c:v>
                </c:pt>
                <c:pt idx="17">
                  <c:v>490</c:v>
                </c:pt>
                <c:pt idx="18">
                  <c:v>450</c:v>
                </c:pt>
                <c:pt idx="19">
                  <c:v>450</c:v>
                </c:pt>
                <c:pt idx="20">
                  <c:v>460</c:v>
                </c:pt>
                <c:pt idx="21">
                  <c:v>423.08345182389439</c:v>
                </c:pt>
                <c:pt idx="22">
                  <c:v>435.22861301447779</c:v>
                </c:pt>
                <c:pt idx="23">
                  <c:v>399.85946597651218</c:v>
                </c:pt>
                <c:pt idx="24">
                  <c:v>399.05305328016675</c:v>
                </c:pt>
                <c:pt idx="25">
                  <c:v>395.28891612105326</c:v>
                </c:pt>
                <c:pt idx="26">
                  <c:v>408.31313760815851</c:v>
                </c:pt>
                <c:pt idx="27">
                  <c:v>426.0902473013</c:v>
                </c:pt>
                <c:pt idx="28">
                  <c:v>430.5681658529486</c:v>
                </c:pt>
                <c:pt idx="29">
                  <c:v>426.90734480216793</c:v>
                </c:pt>
                <c:pt idx="30">
                  <c:v>404.47341524403009</c:v>
                </c:pt>
                <c:pt idx="31">
                  <c:v>397.68137723989094</c:v>
                </c:pt>
                <c:pt idx="32">
                  <c:v>430</c:v>
                </c:pt>
                <c:pt idx="33">
                  <c:v>420</c:v>
                </c:pt>
                <c:pt idx="34">
                  <c:v>430</c:v>
                </c:pt>
                <c:pt idx="35">
                  <c:v>440</c:v>
                </c:pt>
                <c:pt idx="36">
                  <c:v>440</c:v>
                </c:pt>
                <c:pt idx="37">
                  <c:v>440</c:v>
                </c:pt>
                <c:pt idx="38">
                  <c:v>430</c:v>
                </c:pt>
                <c:pt idx="39">
                  <c:v>430</c:v>
                </c:pt>
                <c:pt idx="40">
                  <c:v>440</c:v>
                </c:pt>
                <c:pt idx="41">
                  <c:v>450</c:v>
                </c:pt>
                <c:pt idx="42">
                  <c:v>440</c:v>
                </c:pt>
                <c:pt idx="43">
                  <c:v>430</c:v>
                </c:pt>
                <c:pt idx="44">
                  <c:v>430</c:v>
                </c:pt>
                <c:pt idx="45">
                  <c:v>430</c:v>
                </c:pt>
                <c:pt idx="46">
                  <c:v>430</c:v>
                </c:pt>
                <c:pt idx="47">
                  <c:v>430</c:v>
                </c:pt>
                <c:pt idx="48">
                  <c:v>430</c:v>
                </c:pt>
                <c:pt idx="49">
                  <c:v>430</c:v>
                </c:pt>
                <c:pt idx="50">
                  <c:v>420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F-6EAD-431A-BDD4-033E203483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17916735"/>
        <c:axId val="1917910079"/>
      </c:areaChart>
      <c:lineChart>
        <c:grouping val="standard"/>
        <c:varyColors val="0"/>
        <c:ser>
          <c:idx val="9"/>
          <c:order val="6"/>
          <c:tx>
            <c:strRef>
              <c:f>'Ma trận PET'!#REF!</c:f>
              <c:strCache>
                <c:ptCount val="1"/>
                <c:pt idx="0">
                  <c:v>#REF!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'Ma trận PET'!$CX$5:$EJ$5</c:f>
            </c:multiLvlStrRef>
          </c:cat>
          <c:val>
            <c:numRef>
              <c:f>'Ma trận PET'!#REF!</c:f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48-6EAD-431A-BDD4-033E20348306}"/>
            </c:ext>
          </c:extLst>
        </c:ser>
        <c:ser>
          <c:idx val="6"/>
          <c:order val="7"/>
          <c:tx>
            <c:strRef>
              <c:f>'Ma trận PET'!$BZ$9</c:f>
              <c:strCache>
                <c:ptCount val="1"/>
                <c:pt idx="0">
                  <c:v>DTR-Giá FOB rPET ISS01</c:v>
                </c:pt>
              </c:strCache>
            </c:strRef>
          </c:tx>
          <c:spPr>
            <a:ln w="41275" cap="rnd">
              <a:solidFill>
                <a:srgbClr val="FF0000"/>
              </a:solidFill>
              <a:prstDash val="sysDash"/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rgbClr val="FF3399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'Ma trận PET'!$CX$5:$EJ$5</c:f>
            </c:multiLvlStrRef>
          </c:cat>
          <c:val>
            <c:numRef>
              <c:f>'Ma trận PET'!$CA$9:$EJ$9</c:f>
            </c:numRef>
          </c:val>
          <c:smooth val="0"/>
          <c:extLst>
            <c:ext xmlns:c16="http://schemas.microsoft.com/office/drawing/2014/chart" uri="{C3380CC4-5D6E-409C-BE32-E72D297353CC}">
              <c16:uniqueId val="{00000049-6EAD-431A-BDD4-033E2034830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917916735"/>
        <c:axId val="1917910079"/>
        <c:extLst/>
      </c:lineChart>
      <c:lineChart>
        <c:grouping val="standard"/>
        <c:varyColors val="0"/>
        <c:ser>
          <c:idx val="0"/>
          <c:order val="0"/>
          <c:tx>
            <c:strRef>
              <c:f>'Ma trận PET'!$BZ$25</c:f>
              <c:strCache>
                <c:ptCount val="1"/>
                <c:pt idx="0">
                  <c:v>Unilever</c:v>
                </c:pt>
              </c:strCache>
            </c:strRef>
          </c:tx>
          <c:spPr>
            <a:ln w="50800" cap="rnd">
              <a:solidFill>
                <a:srgbClr val="2CD8D4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D5D-49B1-9278-C3021B5DD973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2540-436E-9013-39C77CB23993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433-44F9-B223-5B8453268D18}"/>
                </c:ext>
              </c:extLst>
            </c:dLbl>
            <c:dLbl>
              <c:idx val="4"/>
              <c:layout>
                <c:manualLayout>
                  <c:x val="-1.3611431254910359E-2"/>
                  <c:y val="-2.407160659373616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9B3-47AA-914F-1482BE39E1B8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3533-4936-AF49-FCE9A80DD487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D5D-49B1-9278-C3021B5DD973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3533-4936-AF49-FCE9A80DD487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3533-4936-AF49-FCE9A80DD487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0212-409F-AE7A-38E108CB0922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3533-4936-AF49-FCE9A80DD487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325-4F74-8347-112235FB4391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212-409F-AE7A-38E108CB0922}"/>
                </c:ext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325-4F74-8347-112235FB4391}"/>
                </c:ext>
              </c:extLst>
            </c:dLbl>
            <c:dLbl>
              <c:idx val="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6325-4F74-8347-112235FB4391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0212-409F-AE7A-38E108CB0922}"/>
                </c:ext>
              </c:extLst>
            </c:dLbl>
            <c:dLbl>
              <c:idx val="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6325-4F74-8347-112235FB4391}"/>
                </c:ext>
              </c:extLst>
            </c:dLbl>
            <c:dLbl>
              <c:idx val="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5832-4DE7-9E30-2FAF9CDB335A}"/>
                </c:ext>
              </c:extLst>
            </c:dLbl>
            <c:dLbl>
              <c:idx val="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0212-409F-AE7A-38E108CB0922}"/>
                </c:ext>
              </c:extLst>
            </c:dLbl>
            <c:dLbl>
              <c:idx val="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5832-4DE7-9E30-2FAF9CDB335A}"/>
                </c:ext>
              </c:extLst>
            </c:dLbl>
            <c:dLbl>
              <c:idx val="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B6E-4646-BEFC-935A5189FEE4}"/>
                </c:ext>
              </c:extLst>
            </c:dLbl>
            <c:dLbl>
              <c:idx val="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870-4621-8A96-EBED49CF6C5C}"/>
                </c:ext>
              </c:extLst>
            </c:dLbl>
            <c:dLbl>
              <c:idx val="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870-4621-8A96-EBED49CF6C5C}"/>
                </c:ext>
              </c:extLst>
            </c:dLbl>
            <c:dLbl>
              <c:idx val="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2BC-4120-B985-286E95C55897}"/>
                </c:ext>
              </c:extLst>
            </c:dLbl>
            <c:dLbl>
              <c:idx val="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DFF3-4E7E-A541-C5524FAAB4AA}"/>
                </c:ext>
              </c:extLst>
            </c:dLbl>
            <c:dLbl>
              <c:idx val="30"/>
              <c:layout>
                <c:manualLayout>
                  <c:x val="-4.6754698031969064E-3"/>
                  <c:y val="1.870569174376171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DFF3-4E7E-A541-C5524FAAB4AA}"/>
                </c:ext>
              </c:extLst>
            </c:dLbl>
            <c:dLbl>
              <c:idx val="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FF3-4E7E-A541-C5524FAAB4AA}"/>
                </c:ext>
              </c:extLst>
            </c:dLbl>
            <c:dLbl>
              <c:idx val="3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0E7-40B7-81A7-3AE7922953A2}"/>
                </c:ext>
              </c:extLst>
            </c:dLbl>
            <c:dLbl>
              <c:idx val="33"/>
              <c:layout>
                <c:manualLayout>
                  <c:x val="-2.159621766238571E-2"/>
                  <c:y val="3.047027774612768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30E7-40B7-81A7-3AE7922953A2}"/>
                </c:ext>
              </c:extLst>
            </c:dLbl>
            <c:dLbl>
              <c:idx val="3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221-4911-BAA8-3FC7053CC879}"/>
                </c:ext>
              </c:extLst>
            </c:dLbl>
            <c:dLbl>
              <c:idx val="3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221-4911-BAA8-3FC7053CC879}"/>
                </c:ext>
              </c:extLst>
            </c:dLbl>
            <c:dLbl>
              <c:idx val="3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4374-47B8-B804-538CDDF8A553}"/>
                </c:ext>
              </c:extLst>
            </c:dLbl>
            <c:dLbl>
              <c:idx val="3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374-47B8-B804-538CDDF8A553}"/>
                </c:ext>
              </c:extLst>
            </c:dLbl>
            <c:dLbl>
              <c:idx val="3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680-4983-AE94-2320E8F7A2B7}"/>
                </c:ext>
              </c:extLst>
            </c:dLbl>
            <c:dLbl>
              <c:idx val="4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DE81-4D38-8623-A379E868D2F4}"/>
                </c:ext>
              </c:extLst>
            </c:dLbl>
            <c:dLbl>
              <c:idx val="4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62CC-419E-B562-83EEE74276B3}"/>
                </c:ext>
              </c:extLst>
            </c:dLbl>
            <c:dLbl>
              <c:idx val="4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937-4AFB-8307-047C30F33244}"/>
                </c:ext>
              </c:extLst>
            </c:dLbl>
            <c:dLbl>
              <c:idx val="4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89D-4CDB-B758-DEE5F8952F01}"/>
                </c:ext>
              </c:extLst>
            </c:dLbl>
            <c:dLbl>
              <c:idx val="4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1BD-4C90-8ABD-441A17A8AF5F}"/>
                </c:ext>
              </c:extLst>
            </c:dLbl>
            <c:dLbl>
              <c:idx val="4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62CC-419E-B562-83EEE74276B3}"/>
                </c:ext>
              </c:extLst>
            </c:dLbl>
            <c:dLbl>
              <c:idx val="4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0212-409F-AE7A-38E108CB0922}"/>
                </c:ext>
              </c:extLst>
            </c:dLbl>
            <c:dLbl>
              <c:idx val="5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72E-46C3-9D47-B1328D2A4ABB}"/>
                </c:ext>
              </c:extLst>
            </c:dLbl>
            <c:dLbl>
              <c:idx val="5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2AB-410A-B4C9-FD059D6748F3}"/>
                </c:ext>
              </c:extLst>
            </c:dLbl>
            <c:dLbl>
              <c:idx val="5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7B4-41E4-879A-D82BA321E415}"/>
                </c:ext>
              </c:extLst>
            </c:dLbl>
            <c:dLbl>
              <c:idx val="5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D42-432A-A3F7-9E1215926D25}"/>
                </c:ext>
              </c:extLst>
            </c:dLbl>
            <c:dLbl>
              <c:idx val="5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DA33-40D2-B237-94C83C6E1D3B}"/>
                </c:ext>
              </c:extLst>
            </c:dLbl>
            <c:dLbl>
              <c:idx val="5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DA33-40D2-B237-94C83C6E1D3B}"/>
                </c:ext>
              </c:extLst>
            </c:dLbl>
            <c:dLbl>
              <c:idx val="5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DB0F-4EB2-A5C8-E42A4D1CF9DB}"/>
                </c:ext>
              </c:extLst>
            </c:dLbl>
            <c:dLbl>
              <c:idx val="5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DEC2-48B7-BEDC-3AE2B23EF644}"/>
                </c:ext>
              </c:extLst>
            </c:dLbl>
            <c:dLbl>
              <c:idx val="6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66F-4684-B8EB-8DDA87FAAD14}"/>
                </c:ext>
              </c:extLst>
            </c:dLbl>
            <c:dLbl>
              <c:idx val="6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87FB-4F7F-85EB-3C2C29456DD5}"/>
                </c:ext>
              </c:extLst>
            </c:dLbl>
            <c:dLbl>
              <c:idx val="6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909-4A10-82DD-6510788A9499}"/>
                </c:ext>
              </c:extLst>
            </c:dLbl>
            <c:dLbl>
              <c:idx val="6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29EE-4832-85F2-9B60663C2D4B}"/>
                </c:ext>
              </c:extLst>
            </c:dLbl>
            <c:dLbl>
              <c:idx val="6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9EE-4832-85F2-9B60663C2D4B}"/>
                </c:ext>
              </c:extLst>
            </c:dLbl>
            <c:dLbl>
              <c:idx val="6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DF33-48DA-8109-51AC1E381852}"/>
                </c:ext>
              </c:extLst>
            </c:dLbl>
            <c:dLbl>
              <c:idx val="6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0040-435D-A11C-6A58A05490EE}"/>
                </c:ext>
              </c:extLst>
            </c:dLbl>
            <c:dLbl>
              <c:idx val="67"/>
              <c:layout>
                <c:manualLayout>
                  <c:x val="3.0126751643790722E-2"/>
                  <c:y val="-1.2070222290161133E-5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A22-470F-8110-4991449EDC01}"/>
                </c:ext>
              </c:extLst>
            </c:dLbl>
            <c:dLbl>
              <c:idx val="6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5A22-470F-8110-4991449EDC01}"/>
                </c:ext>
              </c:extLst>
            </c:dLbl>
            <c:dLbl>
              <c:idx val="6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D0F3-41CB-9243-CD5E3271357B}"/>
                </c:ext>
              </c:extLst>
            </c:dLbl>
            <c:dLbl>
              <c:idx val="7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EDD-4DBE-960B-F6FFA3CC408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rgbClr val="2CD8D4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'Ma trận PET'!$CX$5:$JV$5</c:f>
              <c:strCache>
                <c:ptCount val="51"/>
                <c:pt idx="0">
                  <c:v> 01 </c:v>
                </c:pt>
                <c:pt idx="1">
                  <c:v> 02 </c:v>
                </c:pt>
                <c:pt idx="2">
                  <c:v> 03 </c:v>
                </c:pt>
                <c:pt idx="3">
                  <c:v> 04 </c:v>
                </c:pt>
                <c:pt idx="4">
                  <c:v> 06 </c:v>
                </c:pt>
                <c:pt idx="5">
                  <c:v> 07 </c:v>
                </c:pt>
                <c:pt idx="6">
                  <c:v> 08 </c:v>
                </c:pt>
                <c:pt idx="7">
                  <c:v> 09 </c:v>
                </c:pt>
                <c:pt idx="8">
                  <c:v> 10 </c:v>
                </c:pt>
                <c:pt idx="9">
                  <c:v> 11 </c:v>
                </c:pt>
                <c:pt idx="10">
                  <c:v> 12 </c:v>
                </c:pt>
                <c:pt idx="11">
                  <c:v> 13 </c:v>
                </c:pt>
                <c:pt idx="12">
                  <c:v> 14 </c:v>
                </c:pt>
                <c:pt idx="13">
                  <c:v> 15 </c:v>
                </c:pt>
                <c:pt idx="14">
                  <c:v> 16 </c:v>
                </c:pt>
                <c:pt idx="15">
                  <c:v> 17 </c:v>
                </c:pt>
                <c:pt idx="16">
                  <c:v> 18 </c:v>
                </c:pt>
                <c:pt idx="17">
                  <c:v> 19 </c:v>
                </c:pt>
                <c:pt idx="18">
                  <c:v> 20 </c:v>
                </c:pt>
                <c:pt idx="19">
                  <c:v> 21 </c:v>
                </c:pt>
                <c:pt idx="20">
                  <c:v> 22 </c:v>
                </c:pt>
                <c:pt idx="21">
                  <c:v> 23 </c:v>
                </c:pt>
                <c:pt idx="22">
                  <c:v> 24 </c:v>
                </c:pt>
                <c:pt idx="23">
                  <c:v> 25 </c:v>
                </c:pt>
                <c:pt idx="24">
                  <c:v> 26 </c:v>
                </c:pt>
                <c:pt idx="25">
                  <c:v> 27 </c:v>
                </c:pt>
                <c:pt idx="26">
                  <c:v> 28 </c:v>
                </c:pt>
                <c:pt idx="27">
                  <c:v> 29 </c:v>
                </c:pt>
                <c:pt idx="28">
                  <c:v> 30 </c:v>
                </c:pt>
                <c:pt idx="29">
                  <c:v> 31 </c:v>
                </c:pt>
                <c:pt idx="30">
                  <c:v> 32 </c:v>
                </c:pt>
                <c:pt idx="31">
                  <c:v> 33 </c:v>
                </c:pt>
                <c:pt idx="32">
                  <c:v> 34 </c:v>
                </c:pt>
                <c:pt idx="33">
                  <c:v> 35 </c:v>
                </c:pt>
                <c:pt idx="34">
                  <c:v> 36 </c:v>
                </c:pt>
                <c:pt idx="35">
                  <c:v> 37 </c:v>
                </c:pt>
                <c:pt idx="36">
                  <c:v> 38 </c:v>
                </c:pt>
                <c:pt idx="37">
                  <c:v> 39 </c:v>
                </c:pt>
                <c:pt idx="38">
                  <c:v> 40 </c:v>
                </c:pt>
                <c:pt idx="39">
                  <c:v> 41 </c:v>
                </c:pt>
                <c:pt idx="40">
                  <c:v> 42 </c:v>
                </c:pt>
                <c:pt idx="41">
                  <c:v> 43 </c:v>
                </c:pt>
                <c:pt idx="42">
                  <c:v> 44 </c:v>
                </c:pt>
                <c:pt idx="43">
                  <c:v> 45 </c:v>
                </c:pt>
                <c:pt idx="44">
                  <c:v> 46 </c:v>
                </c:pt>
                <c:pt idx="45">
                  <c:v> 47 </c:v>
                </c:pt>
                <c:pt idx="46">
                  <c:v> 48 </c:v>
                </c:pt>
                <c:pt idx="47">
                  <c:v> 49 </c:v>
                </c:pt>
                <c:pt idx="48">
                  <c:v> 50 </c:v>
                </c:pt>
                <c:pt idx="49">
                  <c:v> 51 </c:v>
                </c:pt>
                <c:pt idx="50">
                  <c:v> 52 </c:v>
                </c:pt>
              </c:strCache>
            </c:strRef>
          </c:cat>
          <c:val>
            <c:numRef>
              <c:f>'Ma trận PET'!$EA$25:$JV$25</c:f>
              <c:numCache>
                <c:formatCode>#,##0</c:formatCode>
                <c:ptCount val="51"/>
                <c:pt idx="0">
                  <c:v>1300</c:v>
                </c:pt>
                <c:pt idx="1">
                  <c:v>1300</c:v>
                </c:pt>
                <c:pt idx="2">
                  <c:v>1300</c:v>
                </c:pt>
                <c:pt idx="3">
                  <c:v>1300</c:v>
                </c:pt>
                <c:pt idx="4">
                  <c:v>1300</c:v>
                </c:pt>
                <c:pt idx="5">
                  <c:v>1300</c:v>
                </c:pt>
                <c:pt idx="6">
                  <c:v>1300</c:v>
                </c:pt>
                <c:pt idx="7">
                  <c:v>1300</c:v>
                </c:pt>
                <c:pt idx="8">
                  <c:v>1250</c:v>
                </c:pt>
                <c:pt idx="9">
                  <c:v>1250</c:v>
                </c:pt>
                <c:pt idx="10">
                  <c:v>1250</c:v>
                </c:pt>
                <c:pt idx="11">
                  <c:v>1250</c:v>
                </c:pt>
                <c:pt idx="12">
                  <c:v>1250</c:v>
                </c:pt>
                <c:pt idx="13">
                  <c:v>1250</c:v>
                </c:pt>
                <c:pt idx="14">
                  <c:v>1250</c:v>
                </c:pt>
                <c:pt idx="15">
                  <c:v>1250</c:v>
                </c:pt>
                <c:pt idx="16">
                  <c:v>1250</c:v>
                </c:pt>
                <c:pt idx="17">
                  <c:v>1250</c:v>
                </c:pt>
                <c:pt idx="18">
                  <c:v>1250</c:v>
                </c:pt>
                <c:pt idx="19">
                  <c:v>1250</c:v>
                </c:pt>
                <c:pt idx="20">
                  <c:v>1250</c:v>
                </c:pt>
                <c:pt idx="21">
                  <c:v>1250</c:v>
                </c:pt>
                <c:pt idx="22">
                  <c:v>1250</c:v>
                </c:pt>
                <c:pt idx="23">
                  <c:v>1250</c:v>
                </c:pt>
                <c:pt idx="24">
                  <c:v>1250</c:v>
                </c:pt>
                <c:pt idx="25">
                  <c:v>1280</c:v>
                </c:pt>
                <c:pt idx="26">
                  <c:v>1280</c:v>
                </c:pt>
                <c:pt idx="27">
                  <c:v>1280</c:v>
                </c:pt>
                <c:pt idx="28">
                  <c:v>1280</c:v>
                </c:pt>
                <c:pt idx="29">
                  <c:v>1280</c:v>
                </c:pt>
                <c:pt idx="30">
                  <c:v>1280</c:v>
                </c:pt>
                <c:pt idx="31">
                  <c:v>1280</c:v>
                </c:pt>
                <c:pt idx="32">
                  <c:v>1280</c:v>
                </c:pt>
                <c:pt idx="33">
                  <c:v>1280</c:v>
                </c:pt>
                <c:pt idx="34">
                  <c:v>1280</c:v>
                </c:pt>
                <c:pt idx="35">
                  <c:v>1280</c:v>
                </c:pt>
                <c:pt idx="36">
                  <c:v>1280</c:v>
                </c:pt>
                <c:pt idx="37">
                  <c:v>1280</c:v>
                </c:pt>
                <c:pt idx="38">
                  <c:v>1280</c:v>
                </c:pt>
                <c:pt idx="39">
                  <c:v>1280</c:v>
                </c:pt>
                <c:pt idx="40">
                  <c:v>1280</c:v>
                </c:pt>
                <c:pt idx="41">
                  <c:v>1280</c:v>
                </c:pt>
                <c:pt idx="42">
                  <c:v>1280</c:v>
                </c:pt>
                <c:pt idx="43">
                  <c:v>1280</c:v>
                </c:pt>
                <c:pt idx="44">
                  <c:v>1280</c:v>
                </c:pt>
                <c:pt idx="45">
                  <c:v>1280</c:v>
                </c:pt>
                <c:pt idx="46">
                  <c:v>1280</c:v>
                </c:pt>
                <c:pt idx="47">
                  <c:v>1280</c:v>
                </c:pt>
                <c:pt idx="48">
                  <c:v>1280</c:v>
                </c:pt>
                <c:pt idx="49">
                  <c:v>1280</c:v>
                </c:pt>
                <c:pt idx="50">
                  <c:v>1280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51-6EAD-431A-BDD4-033E20348306}"/>
            </c:ext>
          </c:extLst>
        </c:ser>
        <c:ser>
          <c:idx val="10"/>
          <c:order val="1"/>
          <c:tx>
            <c:strRef>
              <c:f>'Ma trận PET'!$BZ$11</c:f>
              <c:strCache>
                <c:ptCount val="1"/>
                <c:pt idx="0">
                  <c:v>ICIS</c:v>
                </c:pt>
              </c:strCache>
            </c:strRef>
          </c:tx>
          <c:spPr>
            <a:ln w="539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2.4139324663497892E-2"/>
                  <c:y val="-2.823500640567812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F375-4C9F-B19F-D89D1329A9BB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212-409F-AE7A-38E108CB0922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6A2-4C78-B686-AE0DB5235549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F375-4C9F-B19F-D89D1329A9BB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540-436E-9013-39C77CB23993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A6C8-4AD8-B60C-98A295D590B7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A57E-4BCF-A59E-460C4F2F7879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D5D-49B1-9278-C3021B5DD973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6C8-4AD8-B60C-98A295D590B7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325-4F74-8347-112235FB4391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2CC-419E-B562-83EEE74276B3}"/>
                </c:ext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325-4F74-8347-112235FB4391}"/>
                </c:ext>
              </c:extLst>
            </c:dLbl>
            <c:dLbl>
              <c:idx val="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325-4F74-8347-112235FB4391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2CC-419E-B562-83EEE74276B3}"/>
                </c:ext>
              </c:extLst>
            </c:dLbl>
            <c:dLbl>
              <c:idx val="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5832-4DE7-9E30-2FAF9CDB335A}"/>
                </c:ext>
              </c:extLst>
            </c:dLbl>
            <c:dLbl>
              <c:idx val="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832-4DE7-9E30-2FAF9CDB335A}"/>
                </c:ext>
              </c:extLst>
            </c:dLbl>
            <c:dLbl>
              <c:idx val="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2CC-419E-B562-83EEE74276B3}"/>
                </c:ext>
              </c:extLst>
            </c:dLbl>
            <c:dLbl>
              <c:idx val="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832-4DE7-9E30-2FAF9CDB335A}"/>
                </c:ext>
              </c:extLst>
            </c:dLbl>
            <c:dLbl>
              <c:idx val="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8B6E-4646-BEFC-935A5189FEE4}"/>
                </c:ext>
              </c:extLst>
            </c:dLbl>
            <c:dLbl>
              <c:idx val="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2CC-419E-B562-83EEE74276B3}"/>
                </c:ext>
              </c:extLst>
            </c:dLbl>
            <c:dLbl>
              <c:idx val="2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9870-4621-8A96-EBED49CF6C5C}"/>
                </c:ext>
              </c:extLst>
            </c:dLbl>
            <c:dLbl>
              <c:idx val="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52BC-4120-B985-286E95C55897}"/>
                </c:ext>
              </c:extLst>
            </c:dLbl>
            <c:dLbl>
              <c:idx val="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E8B-491E-894C-8B17AFAF6967}"/>
                </c:ext>
              </c:extLst>
            </c:dLbl>
            <c:dLbl>
              <c:idx val="3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FF3-4E7E-A541-C5524FAAB4AA}"/>
                </c:ext>
              </c:extLst>
            </c:dLbl>
            <c:dLbl>
              <c:idx val="3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0E7-40B7-81A7-3AE7922953A2}"/>
                </c:ext>
              </c:extLst>
            </c:dLbl>
            <c:dLbl>
              <c:idx val="33"/>
              <c:layout>
                <c:manualLayout>
                  <c:x val="-1.8033954955188069E-2"/>
                  <c:y val="-3.305848666664813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0E7-40B7-81A7-3AE7922953A2}"/>
                </c:ext>
              </c:extLst>
            </c:dLbl>
            <c:dLbl>
              <c:idx val="3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D221-4911-BAA8-3FC7053CC879}"/>
                </c:ext>
              </c:extLst>
            </c:dLbl>
            <c:dLbl>
              <c:idx val="35"/>
              <c:layout>
                <c:manualLayout>
                  <c:x val="-1.4471692247990425E-2"/>
                  <c:y val="-3.305848666664813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D221-4911-BAA8-3FC7053CC879}"/>
                </c:ext>
              </c:extLst>
            </c:dLbl>
            <c:dLbl>
              <c:idx val="3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4374-47B8-B804-538CDDF8A553}"/>
                </c:ext>
              </c:extLst>
            </c:dLbl>
            <c:dLbl>
              <c:idx val="3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DE81-4D38-8623-A379E868D2F4}"/>
                </c:ext>
              </c:extLst>
            </c:dLbl>
            <c:dLbl>
              <c:idx val="4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E81-4D38-8623-A379E868D2F4}"/>
                </c:ext>
              </c:extLst>
            </c:dLbl>
            <c:dLbl>
              <c:idx val="4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2937-4AFB-8307-047C30F33244}"/>
                </c:ext>
              </c:extLst>
            </c:dLbl>
            <c:dLbl>
              <c:idx val="4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D89D-4CDB-B758-DEE5F8952F01}"/>
                </c:ext>
              </c:extLst>
            </c:dLbl>
            <c:dLbl>
              <c:idx val="4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1BD-4C90-8ABD-441A17A8AF5F}"/>
                </c:ext>
              </c:extLst>
            </c:dLbl>
            <c:dLbl>
              <c:idx val="4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2CC-419E-B562-83EEE74276B3}"/>
                </c:ext>
              </c:extLst>
            </c:dLbl>
            <c:dLbl>
              <c:idx val="4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0212-409F-AE7A-38E108CB0922}"/>
                </c:ext>
              </c:extLst>
            </c:dLbl>
            <c:dLbl>
              <c:idx val="4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72E-46C3-9D47-B1328D2A4ABB}"/>
                </c:ext>
              </c:extLst>
            </c:dLbl>
            <c:dLbl>
              <c:idx val="50"/>
              <c:layout>
                <c:manualLayout>
                  <c:x val="-7.3471668335952688E-3"/>
                  <c:y val="2.341152614470802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7364-498E-ABD8-697E3C258E6C}"/>
                </c:ext>
              </c:extLst>
            </c:dLbl>
            <c:dLbl>
              <c:idx val="5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663-47F9-B3D2-A6BDA1421A4F}"/>
                </c:ext>
              </c:extLst>
            </c:dLbl>
            <c:dLbl>
              <c:idx val="5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2AB-410A-B4C9-FD059D6748F3}"/>
                </c:ext>
              </c:extLst>
            </c:dLbl>
            <c:dLbl>
              <c:idx val="5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D7B4-41E4-879A-D82BA321E415}"/>
                </c:ext>
              </c:extLst>
            </c:dLbl>
            <c:dLbl>
              <c:idx val="5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4D42-432A-A3F7-9E1215926D25}"/>
                </c:ext>
              </c:extLst>
            </c:dLbl>
            <c:dLbl>
              <c:idx val="5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DA33-40D2-B237-94C83C6E1D3B}"/>
                </c:ext>
              </c:extLst>
            </c:dLbl>
            <c:dLbl>
              <c:idx val="58"/>
              <c:layout>
                <c:manualLayout>
                  <c:x val="-1.2501319212608136E-2"/>
                  <c:y val="-3.323407969823904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DA33-40D2-B237-94C83C6E1D3B}"/>
                </c:ext>
              </c:extLst>
            </c:dLbl>
            <c:dLbl>
              <c:idx val="5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B0F-4EB2-A5C8-E42A4D1CF9DB}"/>
                </c:ext>
              </c:extLst>
            </c:dLbl>
            <c:dLbl>
              <c:idx val="6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EC2-48B7-BEDC-3AE2B23EF644}"/>
                </c:ext>
              </c:extLst>
            </c:dLbl>
            <c:dLbl>
              <c:idx val="6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66F-4684-B8EB-8DDA87FAAD14}"/>
                </c:ext>
              </c:extLst>
            </c:dLbl>
            <c:dLbl>
              <c:idx val="62"/>
              <c:layout>
                <c:manualLayout>
                  <c:x val="-2.0537881563570511E-2"/>
                  <c:y val="-2.136476552029648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4E43-42EF-B1D6-F217064A33E2}"/>
                </c:ext>
              </c:extLst>
            </c:dLbl>
            <c:dLbl>
              <c:idx val="6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909-4A10-82DD-6510788A9499}"/>
                </c:ext>
              </c:extLst>
            </c:dLbl>
            <c:dLbl>
              <c:idx val="6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9EE-4832-85F2-9B60663C2D4B}"/>
                </c:ext>
              </c:extLst>
            </c:dLbl>
            <c:dLbl>
              <c:idx val="6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0040-435D-A11C-6A58A05490EE}"/>
                </c:ext>
              </c:extLst>
            </c:dLbl>
            <c:dLbl>
              <c:idx val="6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040-435D-A11C-6A58A05490EE}"/>
                </c:ext>
              </c:extLst>
            </c:dLbl>
            <c:dLbl>
              <c:idx val="6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095-46D2-B6B2-F8EEC7396893}"/>
                </c:ext>
              </c:extLst>
            </c:dLbl>
            <c:dLbl>
              <c:idx val="6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A22-470F-8110-4991449EDC01}"/>
                </c:ext>
              </c:extLst>
            </c:dLbl>
            <c:dLbl>
              <c:idx val="6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D0F3-41CB-9243-CD5E3271357B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rgbClr val="7030A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'Ma trận PET'!$CX$5:$JV$5</c:f>
              <c:strCache>
                <c:ptCount val="51"/>
                <c:pt idx="0">
                  <c:v> 01 </c:v>
                </c:pt>
                <c:pt idx="1">
                  <c:v> 02 </c:v>
                </c:pt>
                <c:pt idx="2">
                  <c:v> 03 </c:v>
                </c:pt>
                <c:pt idx="3">
                  <c:v> 04 </c:v>
                </c:pt>
                <c:pt idx="4">
                  <c:v> 06 </c:v>
                </c:pt>
                <c:pt idx="5">
                  <c:v> 07 </c:v>
                </c:pt>
                <c:pt idx="6">
                  <c:v> 08 </c:v>
                </c:pt>
                <c:pt idx="7">
                  <c:v> 09 </c:v>
                </c:pt>
                <c:pt idx="8">
                  <c:v> 10 </c:v>
                </c:pt>
                <c:pt idx="9">
                  <c:v> 11 </c:v>
                </c:pt>
                <c:pt idx="10">
                  <c:v> 12 </c:v>
                </c:pt>
                <c:pt idx="11">
                  <c:v> 13 </c:v>
                </c:pt>
                <c:pt idx="12">
                  <c:v> 14 </c:v>
                </c:pt>
                <c:pt idx="13">
                  <c:v> 15 </c:v>
                </c:pt>
                <c:pt idx="14">
                  <c:v> 16 </c:v>
                </c:pt>
                <c:pt idx="15">
                  <c:v> 17 </c:v>
                </c:pt>
                <c:pt idx="16">
                  <c:v> 18 </c:v>
                </c:pt>
                <c:pt idx="17">
                  <c:v> 19 </c:v>
                </c:pt>
                <c:pt idx="18">
                  <c:v> 20 </c:v>
                </c:pt>
                <c:pt idx="19">
                  <c:v> 21 </c:v>
                </c:pt>
                <c:pt idx="20">
                  <c:v> 22 </c:v>
                </c:pt>
                <c:pt idx="21">
                  <c:v> 23 </c:v>
                </c:pt>
                <c:pt idx="22">
                  <c:v> 24 </c:v>
                </c:pt>
                <c:pt idx="23">
                  <c:v> 25 </c:v>
                </c:pt>
                <c:pt idx="24">
                  <c:v> 26 </c:v>
                </c:pt>
                <c:pt idx="25">
                  <c:v> 27 </c:v>
                </c:pt>
                <c:pt idx="26">
                  <c:v> 28 </c:v>
                </c:pt>
                <c:pt idx="27">
                  <c:v> 29 </c:v>
                </c:pt>
                <c:pt idx="28">
                  <c:v> 30 </c:v>
                </c:pt>
                <c:pt idx="29">
                  <c:v> 31 </c:v>
                </c:pt>
                <c:pt idx="30">
                  <c:v> 32 </c:v>
                </c:pt>
                <c:pt idx="31">
                  <c:v> 33 </c:v>
                </c:pt>
                <c:pt idx="32">
                  <c:v> 34 </c:v>
                </c:pt>
                <c:pt idx="33">
                  <c:v> 35 </c:v>
                </c:pt>
                <c:pt idx="34">
                  <c:v> 36 </c:v>
                </c:pt>
                <c:pt idx="35">
                  <c:v> 37 </c:v>
                </c:pt>
                <c:pt idx="36">
                  <c:v> 38 </c:v>
                </c:pt>
                <c:pt idx="37">
                  <c:v> 39 </c:v>
                </c:pt>
                <c:pt idx="38">
                  <c:v> 40 </c:v>
                </c:pt>
                <c:pt idx="39">
                  <c:v> 41 </c:v>
                </c:pt>
                <c:pt idx="40">
                  <c:v> 42 </c:v>
                </c:pt>
                <c:pt idx="41">
                  <c:v> 43 </c:v>
                </c:pt>
                <c:pt idx="42">
                  <c:v> 44 </c:v>
                </c:pt>
                <c:pt idx="43">
                  <c:v> 45 </c:v>
                </c:pt>
                <c:pt idx="44">
                  <c:v> 46 </c:v>
                </c:pt>
                <c:pt idx="45">
                  <c:v> 47 </c:v>
                </c:pt>
                <c:pt idx="46">
                  <c:v> 48 </c:v>
                </c:pt>
                <c:pt idx="47">
                  <c:v> 49 </c:v>
                </c:pt>
                <c:pt idx="48">
                  <c:v> 50 </c:v>
                </c:pt>
                <c:pt idx="49">
                  <c:v> 51 </c:v>
                </c:pt>
                <c:pt idx="50">
                  <c:v> 52 </c:v>
                </c:pt>
              </c:strCache>
            </c:strRef>
          </c:cat>
          <c:val>
            <c:numRef>
              <c:f>'Ma trận PET'!$CA$11:$JV$11</c:f>
              <c:numCache>
                <c:formatCode>"$"#,##0_);\("$"#,##0\)</c:formatCode>
                <c:ptCount val="51"/>
                <c:pt idx="0">
                  <c:v>1400</c:v>
                </c:pt>
                <c:pt idx="1">
                  <c:v>1375</c:v>
                </c:pt>
                <c:pt idx="2">
                  <c:v>1350</c:v>
                </c:pt>
                <c:pt idx="3">
                  <c:v>1350</c:v>
                </c:pt>
                <c:pt idx="4">
                  <c:v>1350</c:v>
                </c:pt>
                <c:pt idx="5">
                  <c:v>1350</c:v>
                </c:pt>
                <c:pt idx="6">
                  <c:v>1350</c:v>
                </c:pt>
                <c:pt idx="7">
                  <c:v>1350</c:v>
                </c:pt>
                <c:pt idx="8">
                  <c:v>1360</c:v>
                </c:pt>
                <c:pt idx="9">
                  <c:v>1360</c:v>
                </c:pt>
                <c:pt idx="10">
                  <c:v>1360</c:v>
                </c:pt>
                <c:pt idx="11">
                  <c:v>1360</c:v>
                </c:pt>
                <c:pt idx="12">
                  <c:v>1360</c:v>
                </c:pt>
                <c:pt idx="13">
                  <c:v>1360</c:v>
                </c:pt>
                <c:pt idx="14">
                  <c:v>1360</c:v>
                </c:pt>
                <c:pt idx="15">
                  <c:v>1360</c:v>
                </c:pt>
                <c:pt idx="16">
                  <c:v>1360</c:v>
                </c:pt>
                <c:pt idx="17">
                  <c:v>1360</c:v>
                </c:pt>
                <c:pt idx="18">
                  <c:v>1360</c:v>
                </c:pt>
                <c:pt idx="19">
                  <c:v>1360</c:v>
                </c:pt>
                <c:pt idx="20">
                  <c:v>1360</c:v>
                </c:pt>
                <c:pt idx="21">
                  <c:v>1360</c:v>
                </c:pt>
                <c:pt idx="22">
                  <c:v>1360</c:v>
                </c:pt>
                <c:pt idx="23">
                  <c:v>1360</c:v>
                </c:pt>
                <c:pt idx="24">
                  <c:v>1360</c:v>
                </c:pt>
                <c:pt idx="25">
                  <c:v>1360</c:v>
                </c:pt>
                <c:pt idx="26">
                  <c:v>1360</c:v>
                </c:pt>
                <c:pt idx="27">
                  <c:v>1300</c:v>
                </c:pt>
                <c:pt idx="28">
                  <c:v>1300</c:v>
                </c:pt>
                <c:pt idx="29">
                  <c:v>1300</c:v>
                </c:pt>
                <c:pt idx="30">
                  <c:v>1300</c:v>
                </c:pt>
                <c:pt idx="31">
                  <c:v>1300</c:v>
                </c:pt>
                <c:pt idx="32">
                  <c:v>1290</c:v>
                </c:pt>
                <c:pt idx="33">
                  <c:v>1290</c:v>
                </c:pt>
                <c:pt idx="34">
                  <c:v>1290</c:v>
                </c:pt>
                <c:pt idx="35">
                  <c:v>1290</c:v>
                </c:pt>
                <c:pt idx="36">
                  <c:v>1260</c:v>
                </c:pt>
                <c:pt idx="37">
                  <c:v>1260</c:v>
                </c:pt>
                <c:pt idx="38">
                  <c:v>1240</c:v>
                </c:pt>
                <c:pt idx="39">
                  <c:v>1250</c:v>
                </c:pt>
                <c:pt idx="40">
                  <c:v>1250</c:v>
                </c:pt>
                <c:pt idx="41">
                  <c:v>1250</c:v>
                </c:pt>
                <c:pt idx="42">
                  <c:v>1250</c:v>
                </c:pt>
                <c:pt idx="43">
                  <c:v>1250</c:v>
                </c:pt>
                <c:pt idx="44">
                  <c:v>1250</c:v>
                </c:pt>
                <c:pt idx="45">
                  <c:v>1250</c:v>
                </c:pt>
                <c:pt idx="46">
                  <c:v>1225</c:v>
                </c:pt>
                <c:pt idx="47">
                  <c:v>1225</c:v>
                </c:pt>
                <c:pt idx="48">
                  <c:v>1200</c:v>
                </c:pt>
                <c:pt idx="49">
                  <c:v>1200</c:v>
                </c:pt>
                <c:pt idx="50">
                  <c:v>1150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7-6EAD-431A-BDD4-033E20348306}"/>
            </c:ext>
          </c:extLst>
        </c:ser>
        <c:ser>
          <c:idx val="17"/>
          <c:order val="2"/>
          <c:tx>
            <c:strRef>
              <c:f>'Ma trận PET'!$BZ$6</c:f>
              <c:strCache>
                <c:ptCount val="1"/>
                <c:pt idx="0">
                  <c:v>DTR</c:v>
                </c:pt>
              </c:strCache>
            </c:strRef>
          </c:tx>
          <c:spPr>
            <a:ln w="5080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9.7962224447935269E-3"/>
                  <c:y val="-2.588208920520495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C120-459F-BE41-95966B174581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FD4-466D-9E0C-507FB11B10AA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FFB7-4A27-B42A-12F9480615F3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3398-4A11-BD67-0D1ECAF8D18A}"/>
                </c:ext>
              </c:extLst>
            </c:dLbl>
            <c:dLbl>
              <c:idx val="4"/>
              <c:layout>
                <c:manualLayout>
                  <c:x val="-2.8784830030876004E-2"/>
                  <c:y val="-3.34128270629471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50E-4C4F-83E2-8493CD6DCC69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E10D-4C25-936D-992EB68C20DB}"/>
                </c:ext>
              </c:extLst>
            </c:dLbl>
            <c:dLbl>
              <c:idx val="6"/>
              <c:layout>
                <c:manualLayout>
                  <c:x val="-1.8074195600782609E-2"/>
                  <c:y val="-3.101764232725201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1F70-479E-BC16-46AE90370C02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A949-4E88-BEB2-685967F26F05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0511-413E-B174-A81DDA757EA5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3398-4A11-BD67-0D1ECAF8D18A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9A6B-498D-B805-5B9F78952BF8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7068-4E00-975B-81518F235BD6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1F70-479E-BC16-46AE90370C02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6EAD-431A-BDD4-033E20348306}"/>
                </c:ext>
              </c:extLst>
            </c:dLbl>
            <c:dLbl>
              <c:idx val="14"/>
              <c:layout>
                <c:manualLayout>
                  <c:x val="-2.3377349015984664E-2"/>
                  <c:y val="2.364681786475543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98E-425A-B869-19C7A186ECFD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98E-425A-B869-19C7A186ECFD}"/>
                </c:ext>
              </c:extLst>
            </c:dLbl>
            <c:dLbl>
              <c:idx val="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598E-425A-B869-19C7A186ECFD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AE0B-4060-9590-E027824995F1}"/>
                </c:ext>
              </c:extLst>
            </c:dLbl>
            <c:dLbl>
              <c:idx val="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6325-4F74-8347-112235FB4391}"/>
                </c:ext>
              </c:extLst>
            </c:dLbl>
            <c:dLbl>
              <c:idx val="19"/>
              <c:layout>
                <c:manualLayout>
                  <c:x val="-1.0018863863993371E-2"/>
                  <c:y val="2.364681786475543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BA2-4149-8BE9-D5ABA644AC6E}"/>
                </c:ext>
              </c:extLst>
            </c:dLbl>
            <c:dLbl>
              <c:idx val="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832-4DE7-9E30-2FAF9CDB335A}"/>
                </c:ext>
              </c:extLst>
            </c:dLbl>
            <c:dLbl>
              <c:idx val="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DFF3-4E7E-A541-C5524FAAB4AA}"/>
                </c:ext>
              </c:extLst>
            </c:dLbl>
            <c:dLbl>
              <c:idx val="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5832-4DE7-9E30-2FAF9CDB335A}"/>
                </c:ext>
              </c:extLst>
            </c:dLbl>
            <c:dLbl>
              <c:idx val="23"/>
              <c:layout>
                <c:manualLayout>
                  <c:x val="-2.4267914692783943E-2"/>
                  <c:y val="1.658806626333581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DFF3-4E7E-A541-C5524FAAB4AA}"/>
                </c:ext>
              </c:extLst>
            </c:dLbl>
            <c:dLbl>
              <c:idx val="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870-4621-8A96-EBED49CF6C5C}"/>
                </c:ext>
              </c:extLst>
            </c:dLbl>
            <c:dLbl>
              <c:idx val="25"/>
              <c:layout>
                <c:manualLayout>
                  <c:x val="-2.2486783339185121E-2"/>
                  <c:y val="-3.047027774612768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DFF3-4E7E-A541-C5524FAAB4AA}"/>
                </c:ext>
              </c:extLst>
            </c:dLbl>
            <c:dLbl>
              <c:idx val="2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870-4621-8A96-EBED49CF6C5C}"/>
                </c:ext>
              </c:extLst>
            </c:dLbl>
            <c:dLbl>
              <c:idx val="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DFF3-4E7E-A541-C5524FAAB4AA}"/>
                </c:ext>
              </c:extLst>
            </c:dLbl>
            <c:dLbl>
              <c:idx val="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E8B-491E-894C-8B17AFAF6967}"/>
                </c:ext>
              </c:extLst>
            </c:dLbl>
            <c:dLbl>
              <c:idx val="29"/>
              <c:layout>
                <c:manualLayout>
                  <c:x val="-2.8720743076780995E-2"/>
                  <c:y val="-2.576444334518129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DFF3-4E7E-A541-C5524FAAB4AA}"/>
                </c:ext>
              </c:extLst>
            </c:dLbl>
            <c:dLbl>
              <c:idx val="30"/>
              <c:layout>
                <c:manualLayout>
                  <c:x val="-1.8924520631987608E-2"/>
                  <c:y val="-2.811736054565446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DFF3-4E7E-A541-C5524FAAB4AA}"/>
                </c:ext>
              </c:extLst>
            </c:dLbl>
            <c:dLbl>
              <c:idx val="31"/>
              <c:layout>
                <c:manualLayout>
                  <c:x val="-5.5660354799964475E-3"/>
                  <c:y val="7.1763974614431902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DFF3-4E7E-A541-C5524FAAB4AA}"/>
                </c:ext>
              </c:extLst>
            </c:dLbl>
            <c:dLbl>
              <c:idx val="3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30E7-40B7-81A7-3AE7922953A2}"/>
                </c:ext>
              </c:extLst>
            </c:dLbl>
            <c:dLbl>
              <c:idx val="33"/>
              <c:layout>
                <c:manualLayout>
                  <c:x val="-1.6252823601589247E-2"/>
                  <c:y val="1.894098346380898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680-4983-AE94-2320E8F7A2B7}"/>
                </c:ext>
              </c:extLst>
            </c:dLbl>
            <c:dLbl>
              <c:idx val="3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D221-4911-BAA8-3FC7053CC879}"/>
                </c:ext>
              </c:extLst>
            </c:dLbl>
            <c:dLbl>
              <c:idx val="3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374-47B8-B804-538CDDF8A553}"/>
                </c:ext>
              </c:extLst>
            </c:dLbl>
            <c:dLbl>
              <c:idx val="3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4374-47B8-B804-538CDDF8A553}"/>
                </c:ext>
              </c:extLst>
            </c:dLbl>
            <c:dLbl>
              <c:idx val="3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4374-47B8-B804-538CDDF8A553}"/>
                </c:ext>
              </c:extLst>
            </c:dLbl>
            <c:dLbl>
              <c:idx val="3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680-4983-AE94-2320E8F7A2B7}"/>
                </c:ext>
              </c:extLst>
            </c:dLbl>
            <c:dLbl>
              <c:idx val="4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E81-4D38-8623-A379E868D2F4}"/>
                </c:ext>
              </c:extLst>
            </c:dLbl>
            <c:dLbl>
              <c:idx val="4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937-4AFB-8307-047C30F33244}"/>
                </c:ext>
              </c:extLst>
            </c:dLbl>
            <c:dLbl>
              <c:idx val="4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D89D-4CDB-B758-DEE5F8952F01}"/>
                </c:ext>
              </c:extLst>
            </c:dLbl>
            <c:dLbl>
              <c:idx val="4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1BD-4C90-8ABD-441A17A8AF5F}"/>
                </c:ext>
              </c:extLst>
            </c:dLbl>
            <c:dLbl>
              <c:idx val="4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62CC-419E-B562-83EEE74276B3}"/>
                </c:ext>
              </c:extLst>
            </c:dLbl>
            <c:dLbl>
              <c:idx val="4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0212-409F-AE7A-38E108CB0922}"/>
                </c:ext>
              </c:extLst>
            </c:dLbl>
            <c:dLbl>
              <c:idx val="4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0212-409F-AE7A-38E108CB0922}"/>
                </c:ext>
              </c:extLst>
            </c:dLbl>
            <c:dLbl>
              <c:idx val="4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364-498E-ABD8-697E3C258E6C}"/>
                </c:ext>
              </c:extLst>
            </c:dLbl>
            <c:dLbl>
              <c:idx val="5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72E-46C3-9D47-B1328D2A4ABB}"/>
                </c:ext>
              </c:extLst>
            </c:dLbl>
            <c:dLbl>
              <c:idx val="5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D7B4-41E4-879A-D82BA321E415}"/>
                </c:ext>
              </c:extLst>
            </c:dLbl>
            <c:dLbl>
              <c:idx val="5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2AB-410A-B4C9-FD059D6748F3}"/>
                </c:ext>
              </c:extLst>
            </c:dLbl>
            <c:dLbl>
              <c:idx val="5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4D42-432A-A3F7-9E1215926D25}"/>
                </c:ext>
              </c:extLst>
            </c:dLbl>
            <c:dLbl>
              <c:idx val="5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BEF7-4306-9A87-A786D223EE15}"/>
                </c:ext>
              </c:extLst>
            </c:dLbl>
            <c:dLbl>
              <c:idx val="5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BEF7-4306-9A87-A786D223EE15}"/>
                </c:ext>
              </c:extLst>
            </c:dLbl>
            <c:dLbl>
              <c:idx val="5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BEF7-4306-9A87-A786D223EE15}"/>
                </c:ext>
              </c:extLst>
            </c:dLbl>
            <c:dLbl>
              <c:idx val="5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BEF7-4306-9A87-A786D223EE15}"/>
                </c:ext>
              </c:extLst>
            </c:dLbl>
            <c:dLbl>
              <c:idx val="6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BEF7-4306-9A87-A786D223EE15}"/>
                </c:ext>
              </c:extLst>
            </c:dLbl>
            <c:dLbl>
              <c:idx val="6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BEF7-4306-9A87-A786D223EE15}"/>
                </c:ext>
              </c:extLst>
            </c:dLbl>
            <c:dLbl>
              <c:idx val="6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BEF7-4306-9A87-A786D223EE15}"/>
                </c:ext>
              </c:extLst>
            </c:dLbl>
            <c:dLbl>
              <c:idx val="6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BEF7-4306-9A87-A786D223EE15}"/>
                </c:ext>
              </c:extLst>
            </c:dLbl>
            <c:dLbl>
              <c:idx val="6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BEF7-4306-9A87-A786D223EE15}"/>
                </c:ext>
              </c:extLst>
            </c:dLbl>
            <c:dLbl>
              <c:idx val="6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BEF7-4306-9A87-A786D223EE15}"/>
                </c:ext>
              </c:extLst>
            </c:dLbl>
            <c:dLbl>
              <c:idx val="6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EF7-4306-9A87-A786D223EE15}"/>
                </c:ext>
              </c:extLst>
            </c:dLbl>
            <c:dLbl>
              <c:idx val="6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095-46D2-B6B2-F8EEC7396893}"/>
                </c:ext>
              </c:extLst>
            </c:dLbl>
            <c:dLbl>
              <c:idx val="68"/>
              <c:layout>
                <c:manualLayout>
                  <c:x val="-5.5809460770572033E-3"/>
                  <c:y val="2.14834586620759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A22-470F-8110-4991449EDC01}"/>
                </c:ext>
              </c:extLst>
            </c:dLbl>
            <c:dLbl>
              <c:idx val="6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0F3-41CB-9243-CD5E3271357B}"/>
                </c:ext>
              </c:extLst>
            </c:dLbl>
            <c:dLbl>
              <c:idx val="7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EDD-4DBE-960B-F6FFA3CC4088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accent6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'Ma trận PET'!$CX$5:$JV$5</c:f>
              <c:strCache>
                <c:ptCount val="51"/>
                <c:pt idx="0">
                  <c:v> 01 </c:v>
                </c:pt>
                <c:pt idx="1">
                  <c:v> 02 </c:v>
                </c:pt>
                <c:pt idx="2">
                  <c:v> 03 </c:v>
                </c:pt>
                <c:pt idx="3">
                  <c:v> 04 </c:v>
                </c:pt>
                <c:pt idx="4">
                  <c:v> 06 </c:v>
                </c:pt>
                <c:pt idx="5">
                  <c:v> 07 </c:v>
                </c:pt>
                <c:pt idx="6">
                  <c:v> 08 </c:v>
                </c:pt>
                <c:pt idx="7">
                  <c:v> 09 </c:v>
                </c:pt>
                <c:pt idx="8">
                  <c:v> 10 </c:v>
                </c:pt>
                <c:pt idx="9">
                  <c:v> 11 </c:v>
                </c:pt>
                <c:pt idx="10">
                  <c:v> 12 </c:v>
                </c:pt>
                <c:pt idx="11">
                  <c:v> 13 </c:v>
                </c:pt>
                <c:pt idx="12">
                  <c:v> 14 </c:v>
                </c:pt>
                <c:pt idx="13">
                  <c:v> 15 </c:v>
                </c:pt>
                <c:pt idx="14">
                  <c:v> 16 </c:v>
                </c:pt>
                <c:pt idx="15">
                  <c:v> 17 </c:v>
                </c:pt>
                <c:pt idx="16">
                  <c:v> 18 </c:v>
                </c:pt>
                <c:pt idx="17">
                  <c:v> 19 </c:v>
                </c:pt>
                <c:pt idx="18">
                  <c:v> 20 </c:v>
                </c:pt>
                <c:pt idx="19">
                  <c:v> 21 </c:v>
                </c:pt>
                <c:pt idx="20">
                  <c:v> 22 </c:v>
                </c:pt>
                <c:pt idx="21">
                  <c:v> 23 </c:v>
                </c:pt>
                <c:pt idx="22">
                  <c:v> 24 </c:v>
                </c:pt>
                <c:pt idx="23">
                  <c:v> 25 </c:v>
                </c:pt>
                <c:pt idx="24">
                  <c:v> 26 </c:v>
                </c:pt>
                <c:pt idx="25">
                  <c:v> 27 </c:v>
                </c:pt>
                <c:pt idx="26">
                  <c:v> 28 </c:v>
                </c:pt>
                <c:pt idx="27">
                  <c:v> 29 </c:v>
                </c:pt>
                <c:pt idx="28">
                  <c:v> 30 </c:v>
                </c:pt>
                <c:pt idx="29">
                  <c:v> 31 </c:v>
                </c:pt>
                <c:pt idx="30">
                  <c:v> 32 </c:v>
                </c:pt>
                <c:pt idx="31">
                  <c:v> 33 </c:v>
                </c:pt>
                <c:pt idx="32">
                  <c:v> 34 </c:v>
                </c:pt>
                <c:pt idx="33">
                  <c:v> 35 </c:v>
                </c:pt>
                <c:pt idx="34">
                  <c:v> 36 </c:v>
                </c:pt>
                <c:pt idx="35">
                  <c:v> 37 </c:v>
                </c:pt>
                <c:pt idx="36">
                  <c:v> 38 </c:v>
                </c:pt>
                <c:pt idx="37">
                  <c:v> 39 </c:v>
                </c:pt>
                <c:pt idx="38">
                  <c:v> 40 </c:v>
                </c:pt>
                <c:pt idx="39">
                  <c:v> 41 </c:v>
                </c:pt>
                <c:pt idx="40">
                  <c:v> 42 </c:v>
                </c:pt>
                <c:pt idx="41">
                  <c:v> 43 </c:v>
                </c:pt>
                <c:pt idx="42">
                  <c:v> 44 </c:v>
                </c:pt>
                <c:pt idx="43">
                  <c:v> 45 </c:v>
                </c:pt>
                <c:pt idx="44">
                  <c:v> 46 </c:v>
                </c:pt>
                <c:pt idx="45">
                  <c:v> 47 </c:v>
                </c:pt>
                <c:pt idx="46">
                  <c:v> 48 </c:v>
                </c:pt>
                <c:pt idx="47">
                  <c:v> 49 </c:v>
                </c:pt>
                <c:pt idx="48">
                  <c:v> 50 </c:v>
                </c:pt>
                <c:pt idx="49">
                  <c:v> 51 </c:v>
                </c:pt>
                <c:pt idx="50">
                  <c:v> 52 </c:v>
                </c:pt>
              </c:strCache>
            </c:strRef>
          </c:cat>
          <c:val>
            <c:numRef>
              <c:f>'Ma trận PET'!$EA$6:$JV$6</c:f>
              <c:numCache>
                <c:formatCode>"$"#,##0_);\("$"#,##0\)</c:formatCode>
                <c:ptCount val="51"/>
                <c:pt idx="0">
                  <c:v>1230</c:v>
                </c:pt>
                <c:pt idx="1">
                  <c:v>1230</c:v>
                </c:pt>
                <c:pt idx="2">
                  <c:v>1230</c:v>
                </c:pt>
                <c:pt idx="3">
                  <c:v>1230</c:v>
                </c:pt>
                <c:pt idx="4">
                  <c:v>1230</c:v>
                </c:pt>
                <c:pt idx="5">
                  <c:v>1230</c:v>
                </c:pt>
                <c:pt idx="6">
                  <c:v>1230</c:v>
                </c:pt>
                <c:pt idx="7">
                  <c:v>1230</c:v>
                </c:pt>
                <c:pt idx="8">
                  <c:v>1230</c:v>
                </c:pt>
                <c:pt idx="9">
                  <c:v>1230</c:v>
                </c:pt>
                <c:pt idx="10">
                  <c:v>1230</c:v>
                </c:pt>
                <c:pt idx="11">
                  <c:v>1230</c:v>
                </c:pt>
                <c:pt idx="12">
                  <c:v>1250</c:v>
                </c:pt>
                <c:pt idx="13">
                  <c:v>1250</c:v>
                </c:pt>
                <c:pt idx="14">
                  <c:v>1250</c:v>
                </c:pt>
                <c:pt idx="15">
                  <c:v>1250</c:v>
                </c:pt>
                <c:pt idx="16">
                  <c:v>1250</c:v>
                </c:pt>
                <c:pt idx="17">
                  <c:v>1250</c:v>
                </c:pt>
                <c:pt idx="18">
                  <c:v>1250</c:v>
                </c:pt>
                <c:pt idx="19">
                  <c:v>1250</c:v>
                </c:pt>
                <c:pt idx="20">
                  <c:v>1250</c:v>
                </c:pt>
                <c:pt idx="21">
                  <c:v>1223.0834518238944</c:v>
                </c:pt>
                <c:pt idx="22">
                  <c:v>1225.2286130144778</c:v>
                </c:pt>
                <c:pt idx="23">
                  <c:v>1219.8594659765122</c:v>
                </c:pt>
                <c:pt idx="24">
                  <c:v>1219.0530532801668</c:v>
                </c:pt>
                <c:pt idx="25">
                  <c:v>1215.2889161210533</c:v>
                </c:pt>
                <c:pt idx="26">
                  <c:v>1228.3131376081585</c:v>
                </c:pt>
                <c:pt idx="27">
                  <c:v>1216.0902473013</c:v>
                </c:pt>
                <c:pt idx="28">
                  <c:v>1220.5681658529486</c:v>
                </c:pt>
                <c:pt idx="29">
                  <c:v>1216.9073448021679</c:v>
                </c:pt>
                <c:pt idx="30">
                  <c:v>1204.4734152440301</c:v>
                </c:pt>
                <c:pt idx="31">
                  <c:v>1187.6813772398909</c:v>
                </c:pt>
                <c:pt idx="32">
                  <c:v>1220</c:v>
                </c:pt>
                <c:pt idx="33">
                  <c:v>1220</c:v>
                </c:pt>
                <c:pt idx="34">
                  <c:v>1220</c:v>
                </c:pt>
                <c:pt idx="35">
                  <c:v>1220</c:v>
                </c:pt>
                <c:pt idx="36">
                  <c:v>1220</c:v>
                </c:pt>
                <c:pt idx="37">
                  <c:v>1220</c:v>
                </c:pt>
                <c:pt idx="38">
                  <c:v>1210</c:v>
                </c:pt>
                <c:pt idx="39">
                  <c:v>1210</c:v>
                </c:pt>
                <c:pt idx="40">
                  <c:v>1210</c:v>
                </c:pt>
                <c:pt idx="41">
                  <c:v>1210</c:v>
                </c:pt>
                <c:pt idx="42">
                  <c:v>1210</c:v>
                </c:pt>
                <c:pt idx="43">
                  <c:v>1200</c:v>
                </c:pt>
                <c:pt idx="44">
                  <c:v>1200</c:v>
                </c:pt>
                <c:pt idx="45">
                  <c:v>1200</c:v>
                </c:pt>
                <c:pt idx="46">
                  <c:v>1200</c:v>
                </c:pt>
                <c:pt idx="47">
                  <c:v>1200</c:v>
                </c:pt>
                <c:pt idx="48">
                  <c:v>1200</c:v>
                </c:pt>
                <c:pt idx="49">
                  <c:v>1200</c:v>
                </c:pt>
                <c:pt idx="50">
                  <c:v>1200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20-6EAD-431A-BDD4-033E20348306}"/>
            </c:ext>
          </c:extLst>
        </c:ser>
        <c:ser>
          <c:idx val="15"/>
          <c:order val="3"/>
          <c:tx>
            <c:strRef>
              <c:f>'Ma trận PET'!$BZ$7</c:f>
              <c:strCache>
                <c:ptCount val="1"/>
                <c:pt idx="0">
                  <c:v>DTR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accent6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'Ma trận PET'!$CX$5:$JV$5</c:f>
              <c:strCache>
                <c:ptCount val="51"/>
                <c:pt idx="0">
                  <c:v> 01 </c:v>
                </c:pt>
                <c:pt idx="1">
                  <c:v> 02 </c:v>
                </c:pt>
                <c:pt idx="2">
                  <c:v> 03 </c:v>
                </c:pt>
                <c:pt idx="3">
                  <c:v> 04 </c:v>
                </c:pt>
                <c:pt idx="4">
                  <c:v> 06 </c:v>
                </c:pt>
                <c:pt idx="5">
                  <c:v> 07 </c:v>
                </c:pt>
                <c:pt idx="6">
                  <c:v> 08 </c:v>
                </c:pt>
                <c:pt idx="7">
                  <c:v> 09 </c:v>
                </c:pt>
                <c:pt idx="8">
                  <c:v> 10 </c:v>
                </c:pt>
                <c:pt idx="9">
                  <c:v> 11 </c:v>
                </c:pt>
                <c:pt idx="10">
                  <c:v> 12 </c:v>
                </c:pt>
                <c:pt idx="11">
                  <c:v> 13 </c:v>
                </c:pt>
                <c:pt idx="12">
                  <c:v> 14 </c:v>
                </c:pt>
                <c:pt idx="13">
                  <c:v> 15 </c:v>
                </c:pt>
                <c:pt idx="14">
                  <c:v> 16 </c:v>
                </c:pt>
                <c:pt idx="15">
                  <c:v> 17 </c:v>
                </c:pt>
                <c:pt idx="16">
                  <c:v> 18 </c:v>
                </c:pt>
                <c:pt idx="17">
                  <c:v> 19 </c:v>
                </c:pt>
                <c:pt idx="18">
                  <c:v> 20 </c:v>
                </c:pt>
                <c:pt idx="19">
                  <c:v> 21 </c:v>
                </c:pt>
                <c:pt idx="20">
                  <c:v> 22 </c:v>
                </c:pt>
                <c:pt idx="21">
                  <c:v> 23 </c:v>
                </c:pt>
                <c:pt idx="22">
                  <c:v> 24 </c:v>
                </c:pt>
                <c:pt idx="23">
                  <c:v> 25 </c:v>
                </c:pt>
                <c:pt idx="24">
                  <c:v> 26 </c:v>
                </c:pt>
                <c:pt idx="25">
                  <c:v> 27 </c:v>
                </c:pt>
                <c:pt idx="26">
                  <c:v> 28 </c:v>
                </c:pt>
                <c:pt idx="27">
                  <c:v> 29 </c:v>
                </c:pt>
                <c:pt idx="28">
                  <c:v> 30 </c:v>
                </c:pt>
                <c:pt idx="29">
                  <c:v> 31 </c:v>
                </c:pt>
                <c:pt idx="30">
                  <c:v> 32 </c:v>
                </c:pt>
                <c:pt idx="31">
                  <c:v> 33 </c:v>
                </c:pt>
                <c:pt idx="32">
                  <c:v> 34 </c:v>
                </c:pt>
                <c:pt idx="33">
                  <c:v> 35 </c:v>
                </c:pt>
                <c:pt idx="34">
                  <c:v> 36 </c:v>
                </c:pt>
                <c:pt idx="35">
                  <c:v> 37 </c:v>
                </c:pt>
                <c:pt idx="36">
                  <c:v> 38 </c:v>
                </c:pt>
                <c:pt idx="37">
                  <c:v> 39 </c:v>
                </c:pt>
                <c:pt idx="38">
                  <c:v> 40 </c:v>
                </c:pt>
                <c:pt idx="39">
                  <c:v> 41 </c:v>
                </c:pt>
                <c:pt idx="40">
                  <c:v> 42 </c:v>
                </c:pt>
                <c:pt idx="41">
                  <c:v> 43 </c:v>
                </c:pt>
                <c:pt idx="42">
                  <c:v> 44 </c:v>
                </c:pt>
                <c:pt idx="43">
                  <c:v> 45 </c:v>
                </c:pt>
                <c:pt idx="44">
                  <c:v> 46 </c:v>
                </c:pt>
                <c:pt idx="45">
                  <c:v> 47 </c:v>
                </c:pt>
                <c:pt idx="46">
                  <c:v> 48 </c:v>
                </c:pt>
                <c:pt idx="47">
                  <c:v> 49 </c:v>
                </c:pt>
                <c:pt idx="48">
                  <c:v> 50 </c:v>
                </c:pt>
                <c:pt idx="49">
                  <c:v> 51 </c:v>
                </c:pt>
                <c:pt idx="50">
                  <c:v> 52 </c:v>
                </c:pt>
              </c:strCache>
            </c:strRef>
          </c:cat>
          <c:val>
            <c:numRef>
              <c:f>'Ma trận PET'!$CA$7:$GN$7</c:f>
            </c:numRef>
          </c:val>
          <c:smooth val="0"/>
          <c:extLst>
            <c:ext xmlns:c16="http://schemas.microsoft.com/office/drawing/2014/chart" uri="{C3380CC4-5D6E-409C-BE32-E72D297353CC}">
              <c16:uniqueId val="{00000032-6EAD-431A-BDD4-033E20348306}"/>
            </c:ext>
          </c:extLst>
        </c:ser>
        <c:ser>
          <c:idx val="12"/>
          <c:order val="4"/>
          <c:tx>
            <c:strRef>
              <c:f>'Ma trận PET'!$BZ$22</c:f>
              <c:strCache>
                <c:ptCount val="1"/>
                <c:pt idx="0">
                  <c:v>Điểm hòa vốn có 25% rewash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rgbClr val="FF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'Ma trận PET'!$CX$5:$JV$5</c:f>
              <c:strCache>
                <c:ptCount val="51"/>
                <c:pt idx="0">
                  <c:v> 01 </c:v>
                </c:pt>
                <c:pt idx="1">
                  <c:v> 02 </c:v>
                </c:pt>
                <c:pt idx="2">
                  <c:v> 03 </c:v>
                </c:pt>
                <c:pt idx="3">
                  <c:v> 04 </c:v>
                </c:pt>
                <c:pt idx="4">
                  <c:v> 06 </c:v>
                </c:pt>
                <c:pt idx="5">
                  <c:v> 07 </c:v>
                </c:pt>
                <c:pt idx="6">
                  <c:v> 08 </c:v>
                </c:pt>
                <c:pt idx="7">
                  <c:v> 09 </c:v>
                </c:pt>
                <c:pt idx="8">
                  <c:v> 10 </c:v>
                </c:pt>
                <c:pt idx="9">
                  <c:v> 11 </c:v>
                </c:pt>
                <c:pt idx="10">
                  <c:v> 12 </c:v>
                </c:pt>
                <c:pt idx="11">
                  <c:v> 13 </c:v>
                </c:pt>
                <c:pt idx="12">
                  <c:v> 14 </c:v>
                </c:pt>
                <c:pt idx="13">
                  <c:v> 15 </c:v>
                </c:pt>
                <c:pt idx="14">
                  <c:v> 16 </c:v>
                </c:pt>
                <c:pt idx="15">
                  <c:v> 17 </c:v>
                </c:pt>
                <c:pt idx="16">
                  <c:v> 18 </c:v>
                </c:pt>
                <c:pt idx="17">
                  <c:v> 19 </c:v>
                </c:pt>
                <c:pt idx="18">
                  <c:v> 20 </c:v>
                </c:pt>
                <c:pt idx="19">
                  <c:v> 21 </c:v>
                </c:pt>
                <c:pt idx="20">
                  <c:v> 22 </c:v>
                </c:pt>
                <c:pt idx="21">
                  <c:v> 23 </c:v>
                </c:pt>
                <c:pt idx="22">
                  <c:v> 24 </c:v>
                </c:pt>
                <c:pt idx="23">
                  <c:v> 25 </c:v>
                </c:pt>
                <c:pt idx="24">
                  <c:v> 26 </c:v>
                </c:pt>
                <c:pt idx="25">
                  <c:v> 27 </c:v>
                </c:pt>
                <c:pt idx="26">
                  <c:v> 28 </c:v>
                </c:pt>
                <c:pt idx="27">
                  <c:v> 29 </c:v>
                </c:pt>
                <c:pt idx="28">
                  <c:v> 30 </c:v>
                </c:pt>
                <c:pt idx="29">
                  <c:v> 31 </c:v>
                </c:pt>
                <c:pt idx="30">
                  <c:v> 32 </c:v>
                </c:pt>
                <c:pt idx="31">
                  <c:v> 33 </c:v>
                </c:pt>
                <c:pt idx="32">
                  <c:v> 34 </c:v>
                </c:pt>
                <c:pt idx="33">
                  <c:v> 35 </c:v>
                </c:pt>
                <c:pt idx="34">
                  <c:v> 36 </c:v>
                </c:pt>
                <c:pt idx="35">
                  <c:v> 37 </c:v>
                </c:pt>
                <c:pt idx="36">
                  <c:v> 38 </c:v>
                </c:pt>
                <c:pt idx="37">
                  <c:v> 39 </c:v>
                </c:pt>
                <c:pt idx="38">
                  <c:v> 40 </c:v>
                </c:pt>
                <c:pt idx="39">
                  <c:v> 41 </c:v>
                </c:pt>
                <c:pt idx="40">
                  <c:v> 42 </c:v>
                </c:pt>
                <c:pt idx="41">
                  <c:v> 43 </c:v>
                </c:pt>
                <c:pt idx="42">
                  <c:v> 44 </c:v>
                </c:pt>
                <c:pt idx="43">
                  <c:v> 45 </c:v>
                </c:pt>
                <c:pt idx="44">
                  <c:v> 46 </c:v>
                </c:pt>
                <c:pt idx="45">
                  <c:v> 47 </c:v>
                </c:pt>
                <c:pt idx="46">
                  <c:v> 48 </c:v>
                </c:pt>
                <c:pt idx="47">
                  <c:v> 49 </c:v>
                </c:pt>
                <c:pt idx="48">
                  <c:v> 50 </c:v>
                </c:pt>
                <c:pt idx="49">
                  <c:v> 51 </c:v>
                </c:pt>
                <c:pt idx="50">
                  <c:v> 52 </c:v>
                </c:pt>
              </c:strCache>
            </c:strRef>
          </c:cat>
          <c:val>
            <c:numRef>
              <c:f>'Ma trận PET'!$EA$22:$GC$22</c:f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50-6EAD-431A-BDD4-033E20348306}"/>
            </c:ext>
          </c:extLst>
        </c:ser>
        <c:ser>
          <c:idx val="14"/>
          <c:order val="5"/>
          <c:tx>
            <c:strRef>
              <c:f>'Ma trận PET'!$BZ$21</c:f>
              <c:strCache>
                <c:ptCount val="1"/>
                <c:pt idx="0">
                  <c:v>Điểm hòa vốn</c:v>
                </c:pt>
              </c:strCache>
              <c:extLst xmlns:c15="http://schemas.microsoft.com/office/drawing/2012/chart"/>
            </c:strRef>
          </c:tx>
          <c:spPr>
            <a:ln w="539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8B6E-4646-BEFC-935A5189FEE4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0212-409F-AE7A-38E108CB0922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B6E-4646-BEFC-935A5189FEE4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8B6E-4646-BEFC-935A5189FEE4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0212-409F-AE7A-38E108CB0922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8B6E-4646-BEFC-935A5189FEE4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8B6E-4646-BEFC-935A5189FEE4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0212-409F-AE7A-38E108CB0922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8B6E-4646-BEFC-935A5189FEE4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8B6E-4646-BEFC-935A5189FEE4}"/>
                </c:ext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0212-409F-AE7A-38E108CB0922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8B6E-4646-BEFC-935A5189FEE4}"/>
                </c:ext>
              </c:extLst>
            </c:dLbl>
            <c:dLbl>
              <c:idx val="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0212-409F-AE7A-38E108CB0922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8B6E-4646-BEFC-935A5189FEE4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8B6E-4646-BEFC-935A5189FEE4}"/>
                </c:ext>
              </c:extLst>
            </c:dLbl>
            <c:dLbl>
              <c:idx val="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0212-409F-AE7A-38E108CB0922}"/>
                </c:ext>
              </c:extLst>
            </c:dLbl>
            <c:dLbl>
              <c:idx val="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8B6E-4646-BEFC-935A5189FEE4}"/>
                </c:ext>
              </c:extLst>
            </c:dLbl>
            <c:dLbl>
              <c:idx val="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0212-409F-AE7A-38E108CB0922}"/>
                </c:ext>
              </c:extLst>
            </c:dLbl>
            <c:dLbl>
              <c:idx val="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8B6E-4646-BEFC-935A5189FEE4}"/>
                </c:ext>
              </c:extLst>
            </c:dLbl>
            <c:dLbl>
              <c:idx val="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0212-409F-AE7A-38E108CB0922}"/>
                </c:ext>
              </c:extLst>
            </c:dLbl>
            <c:dLbl>
              <c:idx val="2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870-4621-8A96-EBED49CF6C5C}"/>
                </c:ext>
              </c:extLst>
            </c:dLbl>
            <c:dLbl>
              <c:idx val="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DFF3-4E7E-A541-C5524FAAB4AA}"/>
                </c:ext>
              </c:extLst>
            </c:dLbl>
            <c:dLbl>
              <c:idx val="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0212-409F-AE7A-38E108CB0922}"/>
                </c:ext>
              </c:extLst>
            </c:dLbl>
            <c:dLbl>
              <c:idx val="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30E7-40B7-81A7-3AE7922953A2}"/>
                </c:ext>
              </c:extLst>
            </c:dLbl>
            <c:dLbl>
              <c:idx val="3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30E7-40B7-81A7-3AE7922953A2}"/>
                </c:ext>
              </c:extLst>
            </c:dLbl>
            <c:dLbl>
              <c:idx val="3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D221-4911-BAA8-3FC7053CC879}"/>
                </c:ext>
              </c:extLst>
            </c:dLbl>
            <c:dLbl>
              <c:idx val="3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4374-47B8-B804-538CDDF8A553}"/>
                </c:ext>
              </c:extLst>
            </c:dLbl>
            <c:dLbl>
              <c:idx val="3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0212-409F-AE7A-38E108CB0922}"/>
                </c:ext>
              </c:extLst>
            </c:dLbl>
            <c:dLbl>
              <c:idx val="3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680-4983-AE94-2320E8F7A2B7}"/>
                </c:ext>
              </c:extLst>
            </c:dLbl>
            <c:dLbl>
              <c:idx val="4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DE81-4D38-8623-A379E868D2F4}"/>
                </c:ext>
              </c:extLst>
            </c:dLbl>
            <c:dLbl>
              <c:idx val="4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0212-409F-AE7A-38E108CB0922}"/>
                </c:ext>
              </c:extLst>
            </c:dLbl>
            <c:dLbl>
              <c:idx val="4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937-4AFB-8307-047C30F33244}"/>
                </c:ext>
              </c:extLst>
            </c:dLbl>
            <c:dLbl>
              <c:idx val="4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89D-4CDB-B758-DEE5F8952F01}"/>
                </c:ext>
              </c:extLst>
            </c:dLbl>
            <c:dLbl>
              <c:idx val="4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1BD-4C90-8ABD-441A17A8AF5F}"/>
                </c:ext>
              </c:extLst>
            </c:dLbl>
            <c:dLbl>
              <c:idx val="4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62CC-419E-B562-83EEE74276B3}"/>
                </c:ext>
              </c:extLst>
            </c:dLbl>
            <c:dLbl>
              <c:idx val="4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0212-409F-AE7A-38E108CB0922}"/>
                </c:ext>
              </c:extLst>
            </c:dLbl>
            <c:dLbl>
              <c:idx val="4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0212-409F-AE7A-38E108CB0922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rgbClr val="FF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'Ma trận PET'!$CX$5:$JV$5</c:f>
              <c:strCache>
                <c:ptCount val="51"/>
                <c:pt idx="0">
                  <c:v> 01 </c:v>
                </c:pt>
                <c:pt idx="1">
                  <c:v> 02 </c:v>
                </c:pt>
                <c:pt idx="2">
                  <c:v> 03 </c:v>
                </c:pt>
                <c:pt idx="3">
                  <c:v> 04 </c:v>
                </c:pt>
                <c:pt idx="4">
                  <c:v> 06 </c:v>
                </c:pt>
                <c:pt idx="5">
                  <c:v> 07 </c:v>
                </c:pt>
                <c:pt idx="6">
                  <c:v> 08 </c:v>
                </c:pt>
                <c:pt idx="7">
                  <c:v> 09 </c:v>
                </c:pt>
                <c:pt idx="8">
                  <c:v> 10 </c:v>
                </c:pt>
                <c:pt idx="9">
                  <c:v> 11 </c:v>
                </c:pt>
                <c:pt idx="10">
                  <c:v> 12 </c:v>
                </c:pt>
                <c:pt idx="11">
                  <c:v> 13 </c:v>
                </c:pt>
                <c:pt idx="12">
                  <c:v> 14 </c:v>
                </c:pt>
                <c:pt idx="13">
                  <c:v> 15 </c:v>
                </c:pt>
                <c:pt idx="14">
                  <c:v> 16 </c:v>
                </c:pt>
                <c:pt idx="15">
                  <c:v> 17 </c:v>
                </c:pt>
                <c:pt idx="16">
                  <c:v> 18 </c:v>
                </c:pt>
                <c:pt idx="17">
                  <c:v> 19 </c:v>
                </c:pt>
                <c:pt idx="18">
                  <c:v> 20 </c:v>
                </c:pt>
                <c:pt idx="19">
                  <c:v> 21 </c:v>
                </c:pt>
                <c:pt idx="20">
                  <c:v> 22 </c:v>
                </c:pt>
                <c:pt idx="21">
                  <c:v> 23 </c:v>
                </c:pt>
                <c:pt idx="22">
                  <c:v> 24 </c:v>
                </c:pt>
                <c:pt idx="23">
                  <c:v> 25 </c:v>
                </c:pt>
                <c:pt idx="24">
                  <c:v> 26 </c:v>
                </c:pt>
                <c:pt idx="25">
                  <c:v> 27 </c:v>
                </c:pt>
                <c:pt idx="26">
                  <c:v> 28 </c:v>
                </c:pt>
                <c:pt idx="27">
                  <c:v> 29 </c:v>
                </c:pt>
                <c:pt idx="28">
                  <c:v> 30 </c:v>
                </c:pt>
                <c:pt idx="29">
                  <c:v> 31 </c:v>
                </c:pt>
                <c:pt idx="30">
                  <c:v> 32 </c:v>
                </c:pt>
                <c:pt idx="31">
                  <c:v> 33 </c:v>
                </c:pt>
                <c:pt idx="32">
                  <c:v> 34 </c:v>
                </c:pt>
                <c:pt idx="33">
                  <c:v> 35 </c:v>
                </c:pt>
                <c:pt idx="34">
                  <c:v> 36 </c:v>
                </c:pt>
                <c:pt idx="35">
                  <c:v> 37 </c:v>
                </c:pt>
                <c:pt idx="36">
                  <c:v> 38 </c:v>
                </c:pt>
                <c:pt idx="37">
                  <c:v> 39 </c:v>
                </c:pt>
                <c:pt idx="38">
                  <c:v> 40 </c:v>
                </c:pt>
                <c:pt idx="39">
                  <c:v> 41 </c:v>
                </c:pt>
                <c:pt idx="40">
                  <c:v> 42 </c:v>
                </c:pt>
                <c:pt idx="41">
                  <c:v> 43 </c:v>
                </c:pt>
                <c:pt idx="42">
                  <c:v> 44 </c:v>
                </c:pt>
                <c:pt idx="43">
                  <c:v> 45 </c:v>
                </c:pt>
                <c:pt idx="44">
                  <c:v> 46 </c:v>
                </c:pt>
                <c:pt idx="45">
                  <c:v> 47 </c:v>
                </c:pt>
                <c:pt idx="46">
                  <c:v> 48 </c:v>
                </c:pt>
                <c:pt idx="47">
                  <c:v> 49 </c:v>
                </c:pt>
                <c:pt idx="48">
                  <c:v> 50 </c:v>
                </c:pt>
                <c:pt idx="49">
                  <c:v> 51 </c:v>
                </c:pt>
                <c:pt idx="50">
                  <c:v> 52 </c:v>
                </c:pt>
              </c:strCache>
            </c:strRef>
          </c:cat>
          <c:val>
            <c:numRef>
              <c:f>'Ma trận PET'!$EA$21:$JV$21</c:f>
              <c:numCache>
                <c:formatCode>"$"#,##0_);\("$"#,##0\)</c:formatCode>
                <c:ptCount val="51"/>
                <c:pt idx="0">
                  <c:v>1181</c:v>
                </c:pt>
                <c:pt idx="1">
                  <c:v>1181</c:v>
                </c:pt>
                <c:pt idx="2">
                  <c:v>1181</c:v>
                </c:pt>
                <c:pt idx="3">
                  <c:v>1181</c:v>
                </c:pt>
                <c:pt idx="4">
                  <c:v>1185.2425317608468</c:v>
                </c:pt>
                <c:pt idx="5">
                  <c:v>1185.2425317608468</c:v>
                </c:pt>
                <c:pt idx="6">
                  <c:v>1185.2425317608468</c:v>
                </c:pt>
                <c:pt idx="7">
                  <c:v>1185.2425317608468</c:v>
                </c:pt>
                <c:pt idx="8">
                  <c:v>1190.7839269244525</c:v>
                </c:pt>
                <c:pt idx="9">
                  <c:v>1190.7839269244525</c:v>
                </c:pt>
                <c:pt idx="10">
                  <c:v>1190.7839269244525</c:v>
                </c:pt>
                <c:pt idx="11">
                  <c:v>1190.7839269244525</c:v>
                </c:pt>
                <c:pt idx="12">
                  <c:v>1188.8989547033088</c:v>
                </c:pt>
                <c:pt idx="13">
                  <c:v>1188.8989547033088</c:v>
                </c:pt>
                <c:pt idx="14">
                  <c:v>1188.8989547033088</c:v>
                </c:pt>
                <c:pt idx="15">
                  <c:v>1188.8989547033088</c:v>
                </c:pt>
                <c:pt idx="16">
                  <c:v>1208.4563999076058</c:v>
                </c:pt>
                <c:pt idx="17">
                  <c:v>1208.4563999076058</c:v>
                </c:pt>
                <c:pt idx="18">
                  <c:v>1208.4563999076058</c:v>
                </c:pt>
                <c:pt idx="19">
                  <c:v>1208.4563999076058</c:v>
                </c:pt>
                <c:pt idx="20">
                  <c:v>1208.4563999076058</c:v>
                </c:pt>
                <c:pt idx="21">
                  <c:v>1167.8121893749728</c:v>
                </c:pt>
                <c:pt idx="22">
                  <c:v>1167.8121893749728</c:v>
                </c:pt>
                <c:pt idx="23">
                  <c:v>1167.8121893749728</c:v>
                </c:pt>
                <c:pt idx="24">
                  <c:v>1167.8121893749728</c:v>
                </c:pt>
                <c:pt idx="25">
                  <c:v>1185.3194123375963</c:v>
                </c:pt>
                <c:pt idx="26">
                  <c:v>1185.3194123375963</c:v>
                </c:pt>
                <c:pt idx="27">
                  <c:v>1185.3194123375963</c:v>
                </c:pt>
                <c:pt idx="28">
                  <c:v>1185.3194123375963</c:v>
                </c:pt>
                <c:pt idx="29">
                  <c:v>1185.3194123375963</c:v>
                </c:pt>
                <c:pt idx="30">
                  <c:v>1163.1486661843744</c:v>
                </c:pt>
                <c:pt idx="31">
                  <c:v>1163.1486661843744</c:v>
                </c:pt>
                <c:pt idx="32">
                  <c:v>1163.1486661843744</c:v>
                </c:pt>
                <c:pt idx="33">
                  <c:v>1163.1486661843744</c:v>
                </c:pt>
                <c:pt idx="34">
                  <c:v>1186.2627781335511</c:v>
                </c:pt>
                <c:pt idx="35">
                  <c:v>1186.2627781335511</c:v>
                </c:pt>
                <c:pt idx="36">
                  <c:v>1186.2627781335511</c:v>
                </c:pt>
                <c:pt idx="37">
                  <c:v>1186.2627781335511</c:v>
                </c:pt>
                <c:pt idx="38">
                  <c:v>1149.7077016074772</c:v>
                </c:pt>
                <c:pt idx="39">
                  <c:v>1149.7077016074772</c:v>
                </c:pt>
                <c:pt idx="40">
                  <c:v>1149.7077016074772</c:v>
                </c:pt>
                <c:pt idx="41">
                  <c:v>1149.7077016074772</c:v>
                </c:pt>
                <c:pt idx="42">
                  <c:v>1149.7077016074772</c:v>
                </c:pt>
                <c:pt idx="43">
                  <c:v>1070.511623054196</c:v>
                </c:pt>
                <c:pt idx="44">
                  <c:v>1070.511623054196</c:v>
                </c:pt>
                <c:pt idx="45">
                  <c:v>1070.511623054196</c:v>
                </c:pt>
                <c:pt idx="46">
                  <c:v>1070.511623054196</c:v>
                </c:pt>
                <c:pt idx="47">
                  <c:v>1092.8990526695691</c:v>
                </c:pt>
                <c:pt idx="48">
                  <c:v>1092.8990526695691</c:v>
                </c:pt>
                <c:pt idx="49">
                  <c:v>1092.8990526695691</c:v>
                </c:pt>
                <c:pt idx="50">
                  <c:v>1092.8990526695691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F-6EAD-431A-BDD4-033E20348306}"/>
            </c:ext>
          </c:extLst>
        </c:ser>
        <c:ser>
          <c:idx val="16"/>
          <c:order val="8"/>
          <c:tx>
            <c:strRef>
              <c:f>'Ma trận PET'!$BZ$14</c:f>
              <c:strCache>
                <c:ptCount val="1"/>
                <c:pt idx="0">
                  <c:v>RESIN</c:v>
                </c:pt>
              </c:strCache>
            </c:strRef>
          </c:tx>
          <c:spPr>
            <a:ln w="53975" cap="rnd">
              <a:solidFill>
                <a:srgbClr val="FF3399"/>
              </a:solidFill>
              <a:round/>
            </a:ln>
            <a:effectLst/>
          </c:spPr>
          <c:marker>
            <c:symbol val="none"/>
          </c:marke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6325-4F74-8347-112235FB4391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0212-409F-AE7A-38E108CB0922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2937-4AFB-8307-047C30F33244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6325-4F74-8347-112235FB4391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6325-4F74-8347-112235FB4391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2937-4AFB-8307-047C30F33244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870-4621-8A96-EBED49CF6C5C}"/>
                </c:ext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6325-4F74-8347-112235FB4391}"/>
                </c:ext>
              </c:extLst>
            </c:dLbl>
            <c:dLbl>
              <c:idx val="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6325-4F74-8347-112235FB4391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0212-409F-AE7A-38E108CB0922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9870-4621-8A96-EBED49CF6C5C}"/>
                </c:ext>
              </c:extLst>
            </c:dLbl>
            <c:dLbl>
              <c:idx val="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2937-4AFB-8307-047C30F33244}"/>
                </c:ext>
              </c:extLst>
            </c:dLbl>
            <c:dLbl>
              <c:idx val="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62CC-419E-B562-83EEE74276B3}"/>
                </c:ext>
              </c:extLst>
            </c:dLbl>
            <c:dLbl>
              <c:idx val="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9870-4621-8A96-EBED49CF6C5C}"/>
                </c:ext>
              </c:extLst>
            </c:dLbl>
            <c:dLbl>
              <c:idx val="2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9870-4621-8A96-EBED49CF6C5C}"/>
                </c:ext>
              </c:extLst>
            </c:dLbl>
            <c:dLbl>
              <c:idx val="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DFF3-4E7E-A541-C5524FAAB4AA}"/>
                </c:ext>
              </c:extLst>
            </c:dLbl>
            <c:dLbl>
              <c:idx val="3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62CC-419E-B562-83EEE74276B3}"/>
                </c:ext>
              </c:extLst>
            </c:dLbl>
            <c:dLbl>
              <c:idx val="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B680-4983-AE94-2320E8F7A2B7}"/>
                </c:ext>
              </c:extLst>
            </c:dLbl>
            <c:dLbl>
              <c:idx val="3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62CC-419E-B562-83EEE74276B3}"/>
                </c:ext>
              </c:extLst>
            </c:dLbl>
            <c:dLbl>
              <c:idx val="3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B680-4983-AE94-2320E8F7A2B7}"/>
                </c:ext>
              </c:extLst>
            </c:dLbl>
            <c:dLbl>
              <c:idx val="3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B680-4983-AE94-2320E8F7A2B7}"/>
                </c:ext>
              </c:extLst>
            </c:dLbl>
            <c:dLbl>
              <c:idx val="3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B680-4983-AE94-2320E8F7A2B7}"/>
                </c:ext>
              </c:extLst>
            </c:dLbl>
            <c:dLbl>
              <c:idx val="4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2937-4AFB-8307-047C30F33244}"/>
                </c:ext>
              </c:extLst>
            </c:dLbl>
            <c:dLbl>
              <c:idx val="4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2937-4AFB-8307-047C30F33244}"/>
                </c:ext>
              </c:extLst>
            </c:dLbl>
            <c:dLbl>
              <c:idx val="4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1BD-4C90-8ABD-441A17A8AF5F}"/>
                </c:ext>
              </c:extLst>
            </c:dLbl>
            <c:dLbl>
              <c:idx val="4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62CC-419E-B562-83EEE74276B3}"/>
                </c:ext>
              </c:extLst>
            </c:dLbl>
            <c:dLbl>
              <c:idx val="4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0212-409F-AE7A-38E108CB0922}"/>
                </c:ext>
              </c:extLst>
            </c:dLbl>
            <c:dLbl>
              <c:idx val="4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0212-409F-AE7A-38E108CB0922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rgbClr val="FF3399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'Ma trận PET'!$CX$5:$JV$5</c:f>
              <c:strCache>
                <c:ptCount val="51"/>
                <c:pt idx="0">
                  <c:v> 01 </c:v>
                </c:pt>
                <c:pt idx="1">
                  <c:v> 02 </c:v>
                </c:pt>
                <c:pt idx="2">
                  <c:v> 03 </c:v>
                </c:pt>
                <c:pt idx="3">
                  <c:v> 04 </c:v>
                </c:pt>
                <c:pt idx="4">
                  <c:v> 06 </c:v>
                </c:pt>
                <c:pt idx="5">
                  <c:v> 07 </c:v>
                </c:pt>
                <c:pt idx="6">
                  <c:v> 08 </c:v>
                </c:pt>
                <c:pt idx="7">
                  <c:v> 09 </c:v>
                </c:pt>
                <c:pt idx="8">
                  <c:v> 10 </c:v>
                </c:pt>
                <c:pt idx="9">
                  <c:v> 11 </c:v>
                </c:pt>
                <c:pt idx="10">
                  <c:v> 12 </c:v>
                </c:pt>
                <c:pt idx="11">
                  <c:v> 13 </c:v>
                </c:pt>
                <c:pt idx="12">
                  <c:v> 14 </c:v>
                </c:pt>
                <c:pt idx="13">
                  <c:v> 15 </c:v>
                </c:pt>
                <c:pt idx="14">
                  <c:v> 16 </c:v>
                </c:pt>
                <c:pt idx="15">
                  <c:v> 17 </c:v>
                </c:pt>
                <c:pt idx="16">
                  <c:v> 18 </c:v>
                </c:pt>
                <c:pt idx="17">
                  <c:v> 19 </c:v>
                </c:pt>
                <c:pt idx="18">
                  <c:v> 20 </c:v>
                </c:pt>
                <c:pt idx="19">
                  <c:v> 21 </c:v>
                </c:pt>
                <c:pt idx="20">
                  <c:v> 22 </c:v>
                </c:pt>
                <c:pt idx="21">
                  <c:v> 23 </c:v>
                </c:pt>
                <c:pt idx="22">
                  <c:v> 24 </c:v>
                </c:pt>
                <c:pt idx="23">
                  <c:v> 25 </c:v>
                </c:pt>
                <c:pt idx="24">
                  <c:v> 26 </c:v>
                </c:pt>
                <c:pt idx="25">
                  <c:v> 27 </c:v>
                </c:pt>
                <c:pt idx="26">
                  <c:v> 28 </c:v>
                </c:pt>
                <c:pt idx="27">
                  <c:v> 29 </c:v>
                </c:pt>
                <c:pt idx="28">
                  <c:v> 30 </c:v>
                </c:pt>
                <c:pt idx="29">
                  <c:v> 31 </c:v>
                </c:pt>
                <c:pt idx="30">
                  <c:v> 32 </c:v>
                </c:pt>
                <c:pt idx="31">
                  <c:v> 33 </c:v>
                </c:pt>
                <c:pt idx="32">
                  <c:v> 34 </c:v>
                </c:pt>
                <c:pt idx="33">
                  <c:v> 35 </c:v>
                </c:pt>
                <c:pt idx="34">
                  <c:v> 36 </c:v>
                </c:pt>
                <c:pt idx="35">
                  <c:v> 37 </c:v>
                </c:pt>
                <c:pt idx="36">
                  <c:v> 38 </c:v>
                </c:pt>
                <c:pt idx="37">
                  <c:v> 39 </c:v>
                </c:pt>
                <c:pt idx="38">
                  <c:v> 40 </c:v>
                </c:pt>
                <c:pt idx="39">
                  <c:v> 41 </c:v>
                </c:pt>
                <c:pt idx="40">
                  <c:v> 42 </c:v>
                </c:pt>
                <c:pt idx="41">
                  <c:v> 43 </c:v>
                </c:pt>
                <c:pt idx="42">
                  <c:v> 44 </c:v>
                </c:pt>
                <c:pt idx="43">
                  <c:v> 45 </c:v>
                </c:pt>
                <c:pt idx="44">
                  <c:v> 46 </c:v>
                </c:pt>
                <c:pt idx="45">
                  <c:v> 47 </c:v>
                </c:pt>
                <c:pt idx="46">
                  <c:v> 48 </c:v>
                </c:pt>
                <c:pt idx="47">
                  <c:v> 49 </c:v>
                </c:pt>
                <c:pt idx="48">
                  <c:v> 50 </c:v>
                </c:pt>
                <c:pt idx="49">
                  <c:v> 51 </c:v>
                </c:pt>
                <c:pt idx="50">
                  <c:v> 52 </c:v>
                </c:pt>
              </c:strCache>
            </c:strRef>
          </c:cat>
          <c:val>
            <c:numRef>
              <c:f>'Ma trận PET'!$CA$14:$JV$14</c:f>
              <c:numCache>
                <c:formatCode>"$"#,##0_);\("$"#,##0\)</c:formatCode>
                <c:ptCount val="51"/>
                <c:pt idx="0">
                  <c:v>820</c:v>
                </c:pt>
                <c:pt idx="1">
                  <c:v>820</c:v>
                </c:pt>
                <c:pt idx="2">
                  <c:v>820</c:v>
                </c:pt>
                <c:pt idx="3">
                  <c:v>850</c:v>
                </c:pt>
                <c:pt idx="4">
                  <c:v>840</c:v>
                </c:pt>
                <c:pt idx="5">
                  <c:v>840</c:v>
                </c:pt>
                <c:pt idx="6">
                  <c:v>840</c:v>
                </c:pt>
                <c:pt idx="7">
                  <c:v>840</c:v>
                </c:pt>
                <c:pt idx="8">
                  <c:v>840</c:v>
                </c:pt>
                <c:pt idx="9">
                  <c:v>830</c:v>
                </c:pt>
                <c:pt idx="10">
                  <c:v>810</c:v>
                </c:pt>
                <c:pt idx="11">
                  <c:v>810</c:v>
                </c:pt>
                <c:pt idx="12">
                  <c:v>800</c:v>
                </c:pt>
                <c:pt idx="13">
                  <c:v>750</c:v>
                </c:pt>
                <c:pt idx="14">
                  <c:v>750</c:v>
                </c:pt>
                <c:pt idx="15">
                  <c:v>760</c:v>
                </c:pt>
                <c:pt idx="16">
                  <c:v>760</c:v>
                </c:pt>
                <c:pt idx="17">
                  <c:v>760</c:v>
                </c:pt>
                <c:pt idx="18">
                  <c:v>800</c:v>
                </c:pt>
                <c:pt idx="19">
                  <c:v>800</c:v>
                </c:pt>
                <c:pt idx="20">
                  <c:v>790</c:v>
                </c:pt>
                <c:pt idx="21">
                  <c:v>800</c:v>
                </c:pt>
                <c:pt idx="22">
                  <c:v>790</c:v>
                </c:pt>
                <c:pt idx="23">
                  <c:v>820</c:v>
                </c:pt>
                <c:pt idx="24">
                  <c:v>820</c:v>
                </c:pt>
                <c:pt idx="25">
                  <c:v>820</c:v>
                </c:pt>
                <c:pt idx="26">
                  <c:v>820</c:v>
                </c:pt>
                <c:pt idx="27">
                  <c:v>790</c:v>
                </c:pt>
                <c:pt idx="28">
                  <c:v>790</c:v>
                </c:pt>
                <c:pt idx="29">
                  <c:v>790</c:v>
                </c:pt>
                <c:pt idx="30">
                  <c:v>800</c:v>
                </c:pt>
                <c:pt idx="31">
                  <c:v>790</c:v>
                </c:pt>
                <c:pt idx="32">
                  <c:v>790</c:v>
                </c:pt>
                <c:pt idx="33">
                  <c:v>800</c:v>
                </c:pt>
                <c:pt idx="34">
                  <c:v>790</c:v>
                </c:pt>
                <c:pt idx="35">
                  <c:v>780</c:v>
                </c:pt>
                <c:pt idx="36">
                  <c:v>780</c:v>
                </c:pt>
                <c:pt idx="37">
                  <c:v>780</c:v>
                </c:pt>
                <c:pt idx="38">
                  <c:v>780</c:v>
                </c:pt>
                <c:pt idx="39">
                  <c:v>780</c:v>
                </c:pt>
                <c:pt idx="40">
                  <c:v>770</c:v>
                </c:pt>
                <c:pt idx="41">
                  <c:v>760</c:v>
                </c:pt>
                <c:pt idx="42">
                  <c:v>770</c:v>
                </c:pt>
                <c:pt idx="43">
                  <c:v>770</c:v>
                </c:pt>
                <c:pt idx="44">
                  <c:v>770</c:v>
                </c:pt>
                <c:pt idx="45">
                  <c:v>770</c:v>
                </c:pt>
                <c:pt idx="46">
                  <c:v>770</c:v>
                </c:pt>
                <c:pt idx="47">
                  <c:v>770</c:v>
                </c:pt>
                <c:pt idx="48">
                  <c:v>770</c:v>
                </c:pt>
                <c:pt idx="49">
                  <c:v>770</c:v>
                </c:pt>
                <c:pt idx="50">
                  <c:v>780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F-6EAD-431A-BDD4-033E203483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bg2"/>
              </a:solidFill>
              <a:round/>
            </a:ln>
            <a:effectLst/>
          </c:spPr>
        </c:dropLines>
        <c:marker val="1"/>
        <c:smooth val="0"/>
        <c:axId val="1917916735"/>
        <c:axId val="1917910079"/>
        <c:extLst/>
      </c:lineChart>
      <c:lineChart>
        <c:grouping val="standard"/>
        <c:varyColors val="0"/>
        <c:ser>
          <c:idx val="7"/>
          <c:order val="10"/>
          <c:tx>
            <c:strRef>
              <c:f>'Ma trận PET'!$BZ$19</c:f>
              <c:strCache>
                <c:ptCount val="1"/>
                <c:pt idx="0">
                  <c:v>%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multiLvlStrRef>
              <c:f>'Ma trận PET'!$EA$5:$FP$5</c:f>
            </c:multiLvlStrRef>
          </c:cat>
          <c:val>
            <c:numRef>
              <c:f>'Ma trận PET'!$DN$19:$GC$19</c:f>
            </c:numRef>
          </c:val>
          <c:smooth val="0"/>
          <c:extLst>
            <c:ext xmlns:c16="http://schemas.microsoft.com/office/drawing/2014/chart" uri="{C3380CC4-5D6E-409C-BE32-E72D297353CC}">
              <c16:uniqueId val="{0000005D-6EAD-431A-BDD4-033E20348306}"/>
            </c:ext>
          </c:extLst>
        </c:ser>
        <c:ser>
          <c:idx val="1"/>
          <c:order val="12"/>
          <c:tx>
            <c:strRef>
              <c:f>'Ma trận PET'!$BZ$24</c:f>
              <c:strCache>
                <c:ptCount val="1"/>
                <c:pt idx="0">
                  <c:v>Giá bán đối thủ Intco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41"/>
              <c:showLegendKey val="0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865-4CF6-9C98-1F7017A5EFF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rgbClr val="FFC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'Ma trận PET'!$EA$24:$FP$24</c:f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C865-4CF6-9C98-1F7017A5EF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66645199"/>
        <c:axId val="1466660175"/>
        <c:extLst/>
      </c:lineChart>
      <c:catAx>
        <c:axId val="19179167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917910079"/>
        <c:crosses val="autoZero"/>
        <c:auto val="1"/>
        <c:lblAlgn val="ctr"/>
        <c:lblOffset val="100"/>
        <c:noMultiLvlLbl val="0"/>
      </c:catAx>
      <c:valAx>
        <c:axId val="1917910079"/>
        <c:scaling>
          <c:orientation val="minMax"/>
          <c:min val="700"/>
        </c:scaling>
        <c:delete val="0"/>
        <c:axPos val="l"/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917916735"/>
        <c:crosses val="autoZero"/>
        <c:crossBetween val="between"/>
        <c:majorUnit val="200"/>
      </c:valAx>
      <c:valAx>
        <c:axId val="1466660175"/>
        <c:scaling>
          <c:orientation val="minMax"/>
        </c:scaling>
        <c:delete val="1"/>
        <c:axPos val="r"/>
        <c:numFmt formatCode="0%" sourceLinked="1"/>
        <c:majorTickMark val="out"/>
        <c:minorTickMark val="none"/>
        <c:tickLblPos val="nextTo"/>
        <c:crossAx val="1466645199"/>
        <c:crosses val="max"/>
        <c:crossBetween val="between"/>
      </c:valAx>
      <c:catAx>
        <c:axId val="1466645199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466660175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  <a:effectLst/>
      </c:spPr>
    </c:plotArea>
    <c:legend>
      <c:legendPos val="r"/>
      <c:legendEntry>
        <c:idx val="0"/>
        <c:delete val="1"/>
      </c:legendEntry>
      <c:legendEntry>
        <c:idx val="1"/>
        <c:delete val="1"/>
      </c:legendEntry>
      <c:legendEntry>
        <c:idx val="2"/>
        <c:txPr>
          <a:bodyPr rot="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rgbClr val="2CD8D4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legendEntry>
      <c:legendEntry>
        <c:idx val="3"/>
        <c:txPr>
          <a:bodyPr rot="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rgbClr val="7030A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legendEntry>
      <c:legendEntry>
        <c:idx val="4"/>
        <c:txPr>
          <a:bodyPr rot="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accent6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legendEntry>
      <c:legendEntry>
        <c:idx val="5"/>
        <c:txPr>
          <a:bodyPr rot="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rgbClr val="FF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legendEntry>
      <c:legendEntry>
        <c:idx val="6"/>
        <c:txPr>
          <a:bodyPr rot="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rgbClr val="FF3399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legendEntry>
      <c:layout>
        <c:manualLayout>
          <c:xMode val="edge"/>
          <c:yMode val="edge"/>
          <c:x val="0.90619466128286275"/>
          <c:y val="0.36834565344694431"/>
          <c:w val="9.3805338717137268E-2"/>
          <c:h val="0.4328189344068287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landscape"/>
  </c:printSettings>
  <c:userShapes r:id="rId3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0" baseline="0">
                <a:solidFill>
                  <a:srgbClr val="0000FF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2400" b="1" baseline="0">
                <a:solidFill>
                  <a:srgbClr val="0000FF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GIÁ HẠT NHỰA </a:t>
            </a:r>
            <a:r>
              <a:rPr lang="en-US" sz="24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rPET -</a:t>
            </a:r>
            <a:r>
              <a:rPr lang="en-US" sz="2400" b="1" baseline="0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FIBER </a:t>
            </a:r>
            <a:r>
              <a:rPr lang="en-US" sz="2400" b="1" baseline="0">
                <a:solidFill>
                  <a:srgbClr val="0000FF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NĂM 2024 &amp;2025 (USD/tấn)</a:t>
            </a:r>
            <a:endParaRPr lang="en-US" sz="2400" b="1">
              <a:solidFill>
                <a:srgbClr val="0000FF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layout>
        <c:manualLayout>
          <c:xMode val="edge"/>
          <c:yMode val="edge"/>
          <c:x val="0.184932756217568"/>
          <c:y val="1.703915500549495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0" baseline="0">
              <a:solidFill>
                <a:srgbClr val="0000FF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5036512302036513E-2"/>
          <c:y val="0.12702304327693809"/>
          <c:w val="0.79419486344881862"/>
          <c:h val="0.78739317269635756"/>
        </c:manualLayout>
      </c:layout>
      <c:areaChart>
        <c:grouping val="stacked"/>
        <c:varyColors val="0"/>
        <c:ser>
          <c:idx val="1"/>
          <c:order val="5"/>
          <c:tx>
            <c:strRef>
              <c:f>'Ma trận PET- Fiber'!$H$10</c:f>
              <c:strCache>
                <c:ptCount val="1"/>
                <c:pt idx="0">
                  <c:v>TTCP</c:v>
                </c:pt>
              </c:strCache>
            </c:strRef>
          </c:tx>
          <c:spPr>
            <a:noFill/>
            <a:ln w="25400">
              <a:noFill/>
            </a:ln>
            <a:effectLst/>
          </c:spPr>
          <c:val>
            <c:numRef>
              <c:f>'Ma trận PET- Fiber'!$J$10:$AK$10</c:f>
              <c:numCache>
                <c:formatCode>_(* #,##0_);_(* \(#,##0\);_(* "-"??_);_(@_)</c:formatCode>
                <c:ptCount val="25"/>
                <c:pt idx="0">
                  <c:v>930</c:v>
                </c:pt>
                <c:pt idx="1">
                  <c:v>943.33333333333337</c:v>
                </c:pt>
                <c:pt idx="2">
                  <c:v>940</c:v>
                </c:pt>
                <c:pt idx="3">
                  <c:v>940</c:v>
                </c:pt>
                <c:pt idx="4">
                  <c:v>942</c:v>
                </c:pt>
                <c:pt idx="5">
                  <c:v>950</c:v>
                </c:pt>
                <c:pt idx="6">
                  <c:v>947.5</c:v>
                </c:pt>
                <c:pt idx="7">
                  <c:v>930</c:v>
                </c:pt>
                <c:pt idx="8">
                  <c:v>880</c:v>
                </c:pt>
                <c:pt idx="9">
                  <c:v>860</c:v>
                </c:pt>
                <c:pt idx="10">
                  <c:v>852</c:v>
                </c:pt>
                <c:pt idx="11">
                  <c:v>830</c:v>
                </c:pt>
                <c:pt idx="12">
                  <c:v>827.5</c:v>
                </c:pt>
                <c:pt idx="13">
                  <c:v>840</c:v>
                </c:pt>
                <c:pt idx="14">
                  <c:v>822.5</c:v>
                </c:pt>
                <c:pt idx="15">
                  <c:v>765</c:v>
                </c:pt>
                <c:pt idx="16">
                  <c:v>782</c:v>
                </c:pt>
                <c:pt idx="17">
                  <c:v>807.5</c:v>
                </c:pt>
                <c:pt idx="18">
                  <c:v>802</c:v>
                </c:pt>
                <c:pt idx="19">
                  <c:v>795</c:v>
                </c:pt>
                <c:pt idx="20">
                  <c:v>782.5</c:v>
                </c:pt>
                <c:pt idx="21">
                  <c:v>772</c:v>
                </c:pt>
                <c:pt idx="22">
                  <c:v>770</c:v>
                </c:pt>
                <c:pt idx="23">
                  <c:v>772.5</c:v>
                </c:pt>
                <c:pt idx="24">
                  <c:v>795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26-4E38-9EAF-31A3F79AB53B}"/>
            </c:ext>
          </c:extLst>
        </c:ser>
        <c:ser>
          <c:idx val="2"/>
          <c:order val="6"/>
          <c:tx>
            <c:strRef>
              <c:f>'Ma trận PET- Fiber'!$H$11</c:f>
              <c:strCache>
                <c:ptCount val="1"/>
                <c:pt idx="0">
                  <c:v>CL</c:v>
                </c:pt>
              </c:strCache>
            </c:strRef>
          </c:tx>
          <c:spPr>
            <a:solidFill>
              <a:schemeClr val="accent4">
                <a:lumMod val="20000"/>
                <a:lumOff val="80000"/>
              </a:schemeClr>
            </a:solidFill>
            <a:ln w="25400">
              <a:noFill/>
            </a:ln>
            <a:effectLst/>
          </c:spPr>
          <c:val>
            <c:numRef>
              <c:f>'Ma trận PET- Fiber'!$J$11:$AK$11</c:f>
              <c:numCache>
                <c:formatCode>"$"#,##0_);\("$"#,##0\)</c:formatCode>
                <c:ptCount val="25"/>
                <c:pt idx="0">
                  <c:v>120</c:v>
                </c:pt>
                <c:pt idx="1">
                  <c:v>106.66666666666663</c:v>
                </c:pt>
                <c:pt idx="2">
                  <c:v>110</c:v>
                </c:pt>
                <c:pt idx="3">
                  <c:v>110</c:v>
                </c:pt>
                <c:pt idx="4">
                  <c:v>158</c:v>
                </c:pt>
                <c:pt idx="5">
                  <c:v>150</c:v>
                </c:pt>
                <c:pt idx="6">
                  <c:v>152.5</c:v>
                </c:pt>
                <c:pt idx="7">
                  <c:v>170</c:v>
                </c:pt>
                <c:pt idx="8">
                  <c:v>220</c:v>
                </c:pt>
                <c:pt idx="9">
                  <c:v>240</c:v>
                </c:pt>
                <c:pt idx="10">
                  <c:v>248</c:v>
                </c:pt>
                <c:pt idx="11">
                  <c:v>270</c:v>
                </c:pt>
                <c:pt idx="12">
                  <c:v>272.5</c:v>
                </c:pt>
                <c:pt idx="13">
                  <c:v>260</c:v>
                </c:pt>
                <c:pt idx="14">
                  <c:v>277.5</c:v>
                </c:pt>
                <c:pt idx="15">
                  <c:v>355</c:v>
                </c:pt>
                <c:pt idx="16">
                  <c:v>338</c:v>
                </c:pt>
                <c:pt idx="17">
                  <c:v>312.5</c:v>
                </c:pt>
                <c:pt idx="18">
                  <c:v>318</c:v>
                </c:pt>
                <c:pt idx="19">
                  <c:v>295</c:v>
                </c:pt>
                <c:pt idx="20">
                  <c:v>307.5</c:v>
                </c:pt>
                <c:pt idx="21">
                  <c:v>308</c:v>
                </c:pt>
                <c:pt idx="22">
                  <c:v>300</c:v>
                </c:pt>
                <c:pt idx="23">
                  <c:v>297.5</c:v>
                </c:pt>
                <c:pt idx="24">
                  <c:v>235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726-4E38-9EAF-31A3F79AB5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tx1">
                  <a:lumMod val="35000"/>
                  <a:lumOff val="65000"/>
                </a:schemeClr>
              </a:solidFill>
              <a:round/>
            </a:ln>
            <a:effectLst/>
          </c:spPr>
        </c:dropLines>
        <c:axId val="1917916735"/>
        <c:axId val="1917910079"/>
      </c:areaChart>
      <c:lineChart>
        <c:grouping val="standard"/>
        <c:varyColors val="0"/>
        <c:ser>
          <c:idx val="9"/>
          <c:order val="0"/>
          <c:tx>
            <c:strRef>
              <c:f>'Ma trận PET- Fiber'!$H$6</c:f>
              <c:strCache>
                <c:ptCount val="1"/>
                <c:pt idx="0">
                  <c:v>DTR-Food grade</c:v>
                </c:pt>
              </c:strCache>
            </c:strRef>
          </c:tx>
          <c:spPr>
            <a:ln w="5080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rgbClr val="00B05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'Ma trận PET- Fiber'!$J$5:$AK$5</c:f>
              <c:strCache>
                <c:ptCount val="25"/>
                <c:pt idx="0">
                  <c:v> T1.24 </c:v>
                </c:pt>
                <c:pt idx="1">
                  <c:v> 2 </c:v>
                </c:pt>
                <c:pt idx="2">
                  <c:v> 3 </c:v>
                </c:pt>
                <c:pt idx="3">
                  <c:v> 4 </c:v>
                </c:pt>
                <c:pt idx="4">
                  <c:v> 5 </c:v>
                </c:pt>
                <c:pt idx="5">
                  <c:v> 6 </c:v>
                </c:pt>
                <c:pt idx="6">
                  <c:v> 7 </c:v>
                </c:pt>
                <c:pt idx="7">
                  <c:v> 8 </c:v>
                </c:pt>
                <c:pt idx="8">
                  <c:v> 9 </c:v>
                </c:pt>
                <c:pt idx="9">
                  <c:v> 10 </c:v>
                </c:pt>
                <c:pt idx="10">
                  <c:v> 11 </c:v>
                </c:pt>
                <c:pt idx="11">
                  <c:v> 12 </c:v>
                </c:pt>
                <c:pt idx="12">
                  <c:v> T1.25 </c:v>
                </c:pt>
                <c:pt idx="13">
                  <c:v> 2 </c:v>
                </c:pt>
                <c:pt idx="14">
                  <c:v> 3 </c:v>
                </c:pt>
                <c:pt idx="15">
                  <c:v> 4 </c:v>
                </c:pt>
                <c:pt idx="16">
                  <c:v> 5 </c:v>
                </c:pt>
                <c:pt idx="17">
                  <c:v> 6 </c:v>
                </c:pt>
                <c:pt idx="18">
                  <c:v> 7 </c:v>
                </c:pt>
                <c:pt idx="19">
                  <c:v> 8 </c:v>
                </c:pt>
                <c:pt idx="20">
                  <c:v> 9 </c:v>
                </c:pt>
                <c:pt idx="21">
                  <c:v> 10 </c:v>
                </c:pt>
                <c:pt idx="22">
                  <c:v> 11 </c:v>
                </c:pt>
                <c:pt idx="23">
                  <c:v> 12 </c:v>
                </c:pt>
                <c:pt idx="24">
                  <c:v> T1.26 </c:v>
                </c:pt>
              </c:strCache>
            </c:strRef>
          </c:cat>
          <c:val>
            <c:numRef>
              <c:f>'Ma trận PET- Fiber'!$J$6:$AK$6</c:f>
              <c:numCache>
                <c:formatCode>_(* #,##0_);_(* \(#,##0\);_(* "-"??_);_(@_)</c:formatCode>
                <c:ptCount val="25"/>
                <c:pt idx="0">
                  <c:v>1250</c:v>
                </c:pt>
                <c:pt idx="1">
                  <c:v>1250</c:v>
                </c:pt>
                <c:pt idx="2">
                  <c:v>1250</c:v>
                </c:pt>
                <c:pt idx="3">
                  <c:v>1250</c:v>
                </c:pt>
                <c:pt idx="4">
                  <c:v>1300</c:v>
                </c:pt>
                <c:pt idx="5">
                  <c:v>1300</c:v>
                </c:pt>
                <c:pt idx="6">
                  <c:v>1300</c:v>
                </c:pt>
                <c:pt idx="7">
                  <c:v>1300</c:v>
                </c:pt>
                <c:pt idx="8">
                  <c:v>1310</c:v>
                </c:pt>
                <c:pt idx="9">
                  <c:v>1325</c:v>
                </c:pt>
                <c:pt idx="10">
                  <c:v>1325</c:v>
                </c:pt>
                <c:pt idx="11">
                  <c:v>1275</c:v>
                </c:pt>
                <c:pt idx="12">
                  <c:v>1230</c:v>
                </c:pt>
                <c:pt idx="13">
                  <c:v>1230</c:v>
                </c:pt>
                <c:pt idx="14">
                  <c:v>1230</c:v>
                </c:pt>
                <c:pt idx="15">
                  <c:v>1250</c:v>
                </c:pt>
                <c:pt idx="16">
                  <c:v>1250</c:v>
                </c:pt>
                <c:pt idx="17">
                  <c:v>1250</c:v>
                </c:pt>
                <c:pt idx="18">
                  <c:v>1250</c:v>
                </c:pt>
                <c:pt idx="19">
                  <c:v>1220</c:v>
                </c:pt>
                <c:pt idx="20">
                  <c:v>1220</c:v>
                </c:pt>
                <c:pt idx="21">
                  <c:v>1210</c:v>
                </c:pt>
                <c:pt idx="22">
                  <c:v>1200</c:v>
                </c:pt>
                <c:pt idx="23">
                  <c:v>1200</c:v>
                </c:pt>
                <c:pt idx="24">
                  <c:v>1160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7-3726-4E38-9EAF-31A3F79AB5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bg2"/>
              </a:solidFill>
              <a:round/>
            </a:ln>
            <a:effectLst/>
          </c:spPr>
        </c:dropLines>
        <c:marker val="1"/>
        <c:smooth val="0"/>
        <c:axId val="1917916735"/>
        <c:axId val="1917910079"/>
      </c:lineChart>
      <c:lineChart>
        <c:grouping val="standard"/>
        <c:varyColors val="0"/>
        <c:ser>
          <c:idx val="3"/>
          <c:order val="1"/>
          <c:tx>
            <c:strRef>
              <c:f>'Ma trận PET- Fiber'!$H$14</c:f>
              <c:strCache>
                <c:ptCount val="1"/>
                <c:pt idx="0">
                  <c:v>Giá bán đối thủ CHORI</c:v>
                </c:pt>
              </c:strCache>
            </c:strRef>
          </c:tx>
          <c:spPr>
            <a:ln w="508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1EA-4713-967E-9DA6FA5FF798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1EA-4713-967E-9DA6FA5FF798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91EA-4713-967E-9DA6FA5FF798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accent2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'Ma trận PET- Fiber'!$J$5:$AK$5</c:f>
              <c:strCache>
                <c:ptCount val="25"/>
                <c:pt idx="0">
                  <c:v> T1.24 </c:v>
                </c:pt>
                <c:pt idx="1">
                  <c:v> 2 </c:v>
                </c:pt>
                <c:pt idx="2">
                  <c:v> 3 </c:v>
                </c:pt>
                <c:pt idx="3">
                  <c:v> 4 </c:v>
                </c:pt>
                <c:pt idx="4">
                  <c:v> 5 </c:v>
                </c:pt>
                <c:pt idx="5">
                  <c:v> 6 </c:v>
                </c:pt>
                <c:pt idx="6">
                  <c:v> 7 </c:v>
                </c:pt>
                <c:pt idx="7">
                  <c:v> 8 </c:v>
                </c:pt>
                <c:pt idx="8">
                  <c:v> 9 </c:v>
                </c:pt>
                <c:pt idx="9">
                  <c:v> 10 </c:v>
                </c:pt>
                <c:pt idx="10">
                  <c:v> 11 </c:v>
                </c:pt>
                <c:pt idx="11">
                  <c:v> 12 </c:v>
                </c:pt>
                <c:pt idx="12">
                  <c:v> T1.25 </c:v>
                </c:pt>
                <c:pt idx="13">
                  <c:v> 2 </c:v>
                </c:pt>
                <c:pt idx="14">
                  <c:v> 3 </c:v>
                </c:pt>
                <c:pt idx="15">
                  <c:v> 4 </c:v>
                </c:pt>
                <c:pt idx="16">
                  <c:v> 5 </c:v>
                </c:pt>
                <c:pt idx="17">
                  <c:v> 6 </c:v>
                </c:pt>
                <c:pt idx="18">
                  <c:v> 7 </c:v>
                </c:pt>
                <c:pt idx="19">
                  <c:v> 8 </c:v>
                </c:pt>
                <c:pt idx="20">
                  <c:v> 9 </c:v>
                </c:pt>
                <c:pt idx="21">
                  <c:v> 10 </c:v>
                </c:pt>
                <c:pt idx="22">
                  <c:v> 11 </c:v>
                </c:pt>
                <c:pt idx="23">
                  <c:v> 12 </c:v>
                </c:pt>
                <c:pt idx="24">
                  <c:v> T1.26 </c:v>
                </c:pt>
              </c:strCache>
            </c:strRef>
          </c:cat>
          <c:val>
            <c:numRef>
              <c:f>'Ma trận PET- Fiber'!$J$14:$T$14</c:f>
              <c:numCache>
                <c:formatCode>_(* #,##0_);_(* \(#,##0\);_(* "-"??_);_(@_)</c:formatCode>
                <c:ptCount val="8"/>
                <c:pt idx="0">
                  <c:v>1140</c:v>
                </c:pt>
                <c:pt idx="1">
                  <c:v>1140</c:v>
                </c:pt>
                <c:pt idx="2">
                  <c:v>1140</c:v>
                </c:pt>
                <c:pt idx="3">
                  <c:v>1140</c:v>
                </c:pt>
                <c:pt idx="4">
                  <c:v>1140</c:v>
                </c:pt>
                <c:pt idx="5">
                  <c:v>1140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3726-4E38-9EAF-31A3F79AB53B}"/>
            </c:ext>
          </c:extLst>
        </c:ser>
        <c:ser>
          <c:idx val="4"/>
          <c:order val="2"/>
          <c:tx>
            <c:strRef>
              <c:f>'Ma trận PET- Fiber'!$H$15</c:f>
              <c:strCache>
                <c:ptCount val="1"/>
                <c:pt idx="0">
                  <c:v>Giá bán đối thủ Hyosung</c:v>
                </c:pt>
              </c:strCache>
            </c:strRef>
          </c:tx>
          <c:spPr>
            <a:ln w="50800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1EA-4713-967E-9DA6FA5FF798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1EA-4713-967E-9DA6FA5FF798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1EA-4713-967E-9DA6FA5FF798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1EA-4713-967E-9DA6FA5FF798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rgbClr val="00B0F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'Ma trận PET- Fiber'!$J$5:$AK$5</c:f>
              <c:strCache>
                <c:ptCount val="25"/>
                <c:pt idx="0">
                  <c:v> T1.24 </c:v>
                </c:pt>
                <c:pt idx="1">
                  <c:v> 2 </c:v>
                </c:pt>
                <c:pt idx="2">
                  <c:v> 3 </c:v>
                </c:pt>
                <c:pt idx="3">
                  <c:v> 4 </c:v>
                </c:pt>
                <c:pt idx="4">
                  <c:v> 5 </c:v>
                </c:pt>
                <c:pt idx="5">
                  <c:v> 6 </c:v>
                </c:pt>
                <c:pt idx="6">
                  <c:v> 7 </c:v>
                </c:pt>
                <c:pt idx="7">
                  <c:v> 8 </c:v>
                </c:pt>
                <c:pt idx="8">
                  <c:v> 9 </c:v>
                </c:pt>
                <c:pt idx="9">
                  <c:v> 10 </c:v>
                </c:pt>
                <c:pt idx="10">
                  <c:v> 11 </c:v>
                </c:pt>
                <c:pt idx="11">
                  <c:v> 12 </c:v>
                </c:pt>
                <c:pt idx="12">
                  <c:v> T1.25 </c:v>
                </c:pt>
                <c:pt idx="13">
                  <c:v> 2 </c:v>
                </c:pt>
                <c:pt idx="14">
                  <c:v> 3 </c:v>
                </c:pt>
                <c:pt idx="15">
                  <c:v> 4 </c:v>
                </c:pt>
                <c:pt idx="16">
                  <c:v> 5 </c:v>
                </c:pt>
                <c:pt idx="17">
                  <c:v> 6 </c:v>
                </c:pt>
                <c:pt idx="18">
                  <c:v> 7 </c:v>
                </c:pt>
                <c:pt idx="19">
                  <c:v> 8 </c:v>
                </c:pt>
                <c:pt idx="20">
                  <c:v> 9 </c:v>
                </c:pt>
                <c:pt idx="21">
                  <c:v> 10 </c:v>
                </c:pt>
                <c:pt idx="22">
                  <c:v> 11 </c:v>
                </c:pt>
                <c:pt idx="23">
                  <c:v> 12 </c:v>
                </c:pt>
                <c:pt idx="24">
                  <c:v> T1.26 </c:v>
                </c:pt>
              </c:strCache>
            </c:strRef>
          </c:cat>
          <c:val>
            <c:numRef>
              <c:f>'Ma trận PET- Fiber'!$J$15:$R$15</c:f>
              <c:numCache>
                <c:formatCode>_(* #,##0_);_(* \(#,##0\);_(* "-"??_);_(@_)</c:formatCode>
                <c:ptCount val="6"/>
                <c:pt idx="0">
                  <c:v>1090</c:v>
                </c:pt>
                <c:pt idx="1">
                  <c:v>1090</c:v>
                </c:pt>
                <c:pt idx="2">
                  <c:v>1090</c:v>
                </c:pt>
                <c:pt idx="3">
                  <c:v>1090</c:v>
                </c:pt>
                <c:pt idx="4">
                  <c:v>1090</c:v>
                </c:pt>
                <c:pt idx="5">
                  <c:v>1090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0-3726-4E38-9EAF-31A3F79AB53B}"/>
            </c:ext>
          </c:extLst>
        </c:ser>
        <c:ser>
          <c:idx val="6"/>
          <c:order val="3"/>
          <c:tx>
            <c:strRef>
              <c:f>'Ma trận PET- Fiber'!$H$7</c:f>
              <c:strCache>
                <c:ptCount val="1"/>
                <c:pt idx="0">
                  <c:v>DTR</c:v>
                </c:pt>
              </c:strCache>
            </c:strRef>
          </c:tx>
          <c:spPr>
            <a:ln w="5080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783-445D-A892-0DFE44C01E0C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783-445D-A892-0DFE44C01E0C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accent6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'Ma trận PET- Fiber'!$J$5:$AK$5</c:f>
              <c:strCache>
                <c:ptCount val="25"/>
                <c:pt idx="0">
                  <c:v> T1.24 </c:v>
                </c:pt>
                <c:pt idx="1">
                  <c:v> 2 </c:v>
                </c:pt>
                <c:pt idx="2">
                  <c:v> 3 </c:v>
                </c:pt>
                <c:pt idx="3">
                  <c:v> 4 </c:v>
                </c:pt>
                <c:pt idx="4">
                  <c:v> 5 </c:v>
                </c:pt>
                <c:pt idx="5">
                  <c:v> 6 </c:v>
                </c:pt>
                <c:pt idx="6">
                  <c:v> 7 </c:v>
                </c:pt>
                <c:pt idx="7">
                  <c:v> 8 </c:v>
                </c:pt>
                <c:pt idx="8">
                  <c:v> 9 </c:v>
                </c:pt>
                <c:pt idx="9">
                  <c:v> 10 </c:v>
                </c:pt>
                <c:pt idx="10">
                  <c:v> 11 </c:v>
                </c:pt>
                <c:pt idx="11">
                  <c:v> 12 </c:v>
                </c:pt>
                <c:pt idx="12">
                  <c:v> T1.25 </c:v>
                </c:pt>
                <c:pt idx="13">
                  <c:v> 2 </c:v>
                </c:pt>
                <c:pt idx="14">
                  <c:v> 3 </c:v>
                </c:pt>
                <c:pt idx="15">
                  <c:v> 4 </c:v>
                </c:pt>
                <c:pt idx="16">
                  <c:v> 5 </c:v>
                </c:pt>
                <c:pt idx="17">
                  <c:v> 6 </c:v>
                </c:pt>
                <c:pt idx="18">
                  <c:v> 7 </c:v>
                </c:pt>
                <c:pt idx="19">
                  <c:v> 8 </c:v>
                </c:pt>
                <c:pt idx="20">
                  <c:v> 9 </c:v>
                </c:pt>
                <c:pt idx="21">
                  <c:v> 10 </c:v>
                </c:pt>
                <c:pt idx="22">
                  <c:v> 11 </c:v>
                </c:pt>
                <c:pt idx="23">
                  <c:v> 12 </c:v>
                </c:pt>
                <c:pt idx="24">
                  <c:v> T1.26 </c:v>
                </c:pt>
              </c:strCache>
            </c:strRef>
          </c:cat>
          <c:val>
            <c:numRef>
              <c:f>'Ma trận PET- Fiber'!$J$7:$AK$7</c:f>
              <c:numCache>
                <c:formatCode>_(* #,##0_);_(* \(#,##0\);_(* "-"??_);_(@_)</c:formatCode>
                <c:ptCount val="25"/>
                <c:pt idx="0">
                  <c:v>1050</c:v>
                </c:pt>
                <c:pt idx="1">
                  <c:v>1050</c:v>
                </c:pt>
                <c:pt idx="2">
                  <c:v>1050</c:v>
                </c:pt>
                <c:pt idx="3">
                  <c:v>1050</c:v>
                </c:pt>
                <c:pt idx="4">
                  <c:v>1100</c:v>
                </c:pt>
                <c:pt idx="5">
                  <c:v>1100</c:v>
                </c:pt>
                <c:pt idx="6">
                  <c:v>1100</c:v>
                </c:pt>
                <c:pt idx="7">
                  <c:v>1100</c:v>
                </c:pt>
                <c:pt idx="8">
                  <c:v>1100</c:v>
                </c:pt>
                <c:pt idx="9">
                  <c:v>1100</c:v>
                </c:pt>
                <c:pt idx="10">
                  <c:v>1100</c:v>
                </c:pt>
                <c:pt idx="11">
                  <c:v>1100</c:v>
                </c:pt>
                <c:pt idx="12">
                  <c:v>1100</c:v>
                </c:pt>
                <c:pt idx="13">
                  <c:v>1100</c:v>
                </c:pt>
                <c:pt idx="14">
                  <c:v>1100</c:v>
                </c:pt>
                <c:pt idx="15">
                  <c:v>1120</c:v>
                </c:pt>
                <c:pt idx="16">
                  <c:v>1120</c:v>
                </c:pt>
                <c:pt idx="17">
                  <c:v>1120</c:v>
                </c:pt>
                <c:pt idx="18">
                  <c:v>1120</c:v>
                </c:pt>
                <c:pt idx="19">
                  <c:v>1090</c:v>
                </c:pt>
                <c:pt idx="20">
                  <c:v>1090</c:v>
                </c:pt>
                <c:pt idx="21">
                  <c:v>1080</c:v>
                </c:pt>
                <c:pt idx="22">
                  <c:v>1070</c:v>
                </c:pt>
                <c:pt idx="23">
                  <c:v>1070</c:v>
                </c:pt>
                <c:pt idx="24">
                  <c:v>1030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5-3726-4E38-9EAF-31A3F79AB53B}"/>
            </c:ext>
          </c:extLst>
        </c:ser>
        <c:ser>
          <c:idx val="0"/>
          <c:order val="4"/>
          <c:tx>
            <c:strRef>
              <c:f>'Ma trận PET- Fiber'!$H$9</c:f>
              <c:strCache>
                <c:ptCount val="1"/>
                <c:pt idx="0">
                  <c:v>RESIN</c:v>
                </c:pt>
              </c:strCache>
            </c:strRef>
          </c:tx>
          <c:spPr>
            <a:ln w="50800" cap="rnd">
              <a:solidFill>
                <a:srgbClr val="FF3399"/>
              </a:solidFill>
              <a:round/>
            </a:ln>
            <a:effectLst/>
          </c:spPr>
          <c:marker>
            <c:symbol val="none"/>
          </c:marker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rgbClr val="FF3399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'Ma trận PET- Fiber'!$J$5:$AK$5</c:f>
              <c:strCache>
                <c:ptCount val="25"/>
                <c:pt idx="0">
                  <c:v> T1.24 </c:v>
                </c:pt>
                <c:pt idx="1">
                  <c:v> 2 </c:v>
                </c:pt>
                <c:pt idx="2">
                  <c:v> 3 </c:v>
                </c:pt>
                <c:pt idx="3">
                  <c:v> 4 </c:v>
                </c:pt>
                <c:pt idx="4">
                  <c:v> 5 </c:v>
                </c:pt>
                <c:pt idx="5">
                  <c:v> 6 </c:v>
                </c:pt>
                <c:pt idx="6">
                  <c:v> 7 </c:v>
                </c:pt>
                <c:pt idx="7">
                  <c:v> 8 </c:v>
                </c:pt>
                <c:pt idx="8">
                  <c:v> 9 </c:v>
                </c:pt>
                <c:pt idx="9">
                  <c:v> 10 </c:v>
                </c:pt>
                <c:pt idx="10">
                  <c:v> 11 </c:v>
                </c:pt>
                <c:pt idx="11">
                  <c:v> 12 </c:v>
                </c:pt>
                <c:pt idx="12">
                  <c:v> T1.25 </c:v>
                </c:pt>
                <c:pt idx="13">
                  <c:v> 2 </c:v>
                </c:pt>
                <c:pt idx="14">
                  <c:v> 3 </c:v>
                </c:pt>
                <c:pt idx="15">
                  <c:v> 4 </c:v>
                </c:pt>
                <c:pt idx="16">
                  <c:v> 5 </c:v>
                </c:pt>
                <c:pt idx="17">
                  <c:v> 6 </c:v>
                </c:pt>
                <c:pt idx="18">
                  <c:v> 7 </c:v>
                </c:pt>
                <c:pt idx="19">
                  <c:v> 8 </c:v>
                </c:pt>
                <c:pt idx="20">
                  <c:v> 9 </c:v>
                </c:pt>
                <c:pt idx="21">
                  <c:v> 10 </c:v>
                </c:pt>
                <c:pt idx="22">
                  <c:v> 11 </c:v>
                </c:pt>
                <c:pt idx="23">
                  <c:v> 12 </c:v>
                </c:pt>
                <c:pt idx="24">
                  <c:v> T1.26 </c:v>
                </c:pt>
              </c:strCache>
            </c:strRef>
          </c:cat>
          <c:val>
            <c:numRef>
              <c:f>'Ma trận PET- Fiber'!$J$9:$AK$9</c:f>
              <c:numCache>
                <c:formatCode>_(* #,##0_);_(* \(#,##0\);_(* "-"??_);_(@_)</c:formatCode>
                <c:ptCount val="25"/>
                <c:pt idx="0">
                  <c:v>930</c:v>
                </c:pt>
                <c:pt idx="1">
                  <c:v>943.33333333333337</c:v>
                </c:pt>
                <c:pt idx="2">
                  <c:v>940</c:v>
                </c:pt>
                <c:pt idx="3">
                  <c:v>940</c:v>
                </c:pt>
                <c:pt idx="4">
                  <c:v>942</c:v>
                </c:pt>
                <c:pt idx="5">
                  <c:v>950</c:v>
                </c:pt>
                <c:pt idx="6">
                  <c:v>947.5</c:v>
                </c:pt>
                <c:pt idx="7">
                  <c:v>930</c:v>
                </c:pt>
                <c:pt idx="8">
                  <c:v>880</c:v>
                </c:pt>
                <c:pt idx="9">
                  <c:v>860</c:v>
                </c:pt>
                <c:pt idx="10">
                  <c:v>852</c:v>
                </c:pt>
                <c:pt idx="11">
                  <c:v>830</c:v>
                </c:pt>
                <c:pt idx="12">
                  <c:v>827.5</c:v>
                </c:pt>
                <c:pt idx="13">
                  <c:v>840</c:v>
                </c:pt>
                <c:pt idx="14">
                  <c:v>822.5</c:v>
                </c:pt>
                <c:pt idx="15">
                  <c:v>765</c:v>
                </c:pt>
                <c:pt idx="16">
                  <c:v>782</c:v>
                </c:pt>
                <c:pt idx="17">
                  <c:v>807.5</c:v>
                </c:pt>
                <c:pt idx="18">
                  <c:v>802</c:v>
                </c:pt>
                <c:pt idx="19">
                  <c:v>795</c:v>
                </c:pt>
                <c:pt idx="20">
                  <c:v>782.5</c:v>
                </c:pt>
                <c:pt idx="21">
                  <c:v>772</c:v>
                </c:pt>
                <c:pt idx="22">
                  <c:v>770</c:v>
                </c:pt>
                <c:pt idx="23">
                  <c:v>772.5</c:v>
                </c:pt>
                <c:pt idx="24">
                  <c:v>795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3-3726-4E38-9EAF-31A3F79AB53B}"/>
            </c:ext>
          </c:extLst>
        </c:ser>
        <c:ser>
          <c:idx val="5"/>
          <c:order val="7"/>
          <c:tx>
            <c:strRef>
              <c:f>'Ma trận PET- Fiber'!$H$13</c:f>
              <c:strCache>
                <c:ptCount val="1"/>
                <c:pt idx="0">
                  <c:v>Điểm hòa vốn</c:v>
                </c:pt>
              </c:strCache>
            </c:strRef>
          </c:tx>
          <c:spPr>
            <a:ln w="5080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3A7-4829-B17F-85A2A960433D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3A7-4829-B17F-85A2A960433D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3A7-4829-B17F-85A2A960433D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rgbClr val="FF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'Ma trận PET- Fiber'!$J$5:$AK$5</c:f>
              <c:strCache>
                <c:ptCount val="25"/>
                <c:pt idx="0">
                  <c:v> T1.24 </c:v>
                </c:pt>
                <c:pt idx="1">
                  <c:v> 2 </c:v>
                </c:pt>
                <c:pt idx="2">
                  <c:v> 3 </c:v>
                </c:pt>
                <c:pt idx="3">
                  <c:v> 4 </c:v>
                </c:pt>
                <c:pt idx="4">
                  <c:v> 5 </c:v>
                </c:pt>
                <c:pt idx="5">
                  <c:v> 6 </c:v>
                </c:pt>
                <c:pt idx="6">
                  <c:v> 7 </c:v>
                </c:pt>
                <c:pt idx="7">
                  <c:v> 8 </c:v>
                </c:pt>
                <c:pt idx="8">
                  <c:v> 9 </c:v>
                </c:pt>
                <c:pt idx="9">
                  <c:v> 10 </c:v>
                </c:pt>
                <c:pt idx="10">
                  <c:v> 11 </c:v>
                </c:pt>
                <c:pt idx="11">
                  <c:v> 12 </c:v>
                </c:pt>
                <c:pt idx="12">
                  <c:v> T1.25 </c:v>
                </c:pt>
                <c:pt idx="13">
                  <c:v> 2 </c:v>
                </c:pt>
                <c:pt idx="14">
                  <c:v> 3 </c:v>
                </c:pt>
                <c:pt idx="15">
                  <c:v> 4 </c:v>
                </c:pt>
                <c:pt idx="16">
                  <c:v> 5 </c:v>
                </c:pt>
                <c:pt idx="17">
                  <c:v> 6 </c:v>
                </c:pt>
                <c:pt idx="18">
                  <c:v> 7 </c:v>
                </c:pt>
                <c:pt idx="19">
                  <c:v> 8 </c:v>
                </c:pt>
                <c:pt idx="20">
                  <c:v> 9 </c:v>
                </c:pt>
                <c:pt idx="21">
                  <c:v> 10 </c:v>
                </c:pt>
                <c:pt idx="22">
                  <c:v> 11 </c:v>
                </c:pt>
                <c:pt idx="23">
                  <c:v> 12 </c:v>
                </c:pt>
                <c:pt idx="24">
                  <c:v> T1.26 </c:v>
                </c:pt>
              </c:strCache>
            </c:strRef>
          </c:cat>
          <c:val>
            <c:numRef>
              <c:f>'Ma trận PET- Fiber'!$J$13:$AK$13</c:f>
              <c:numCache>
                <c:formatCode>_(* #,##0_);_(* \(#,##0\);_(* "-"??_);_(@_)</c:formatCode>
                <c:ptCount val="25"/>
                <c:pt idx="0">
                  <c:v>729</c:v>
                </c:pt>
                <c:pt idx="1">
                  <c:v>729</c:v>
                </c:pt>
                <c:pt idx="2">
                  <c:v>729</c:v>
                </c:pt>
                <c:pt idx="3">
                  <c:v>729</c:v>
                </c:pt>
                <c:pt idx="4">
                  <c:v>729</c:v>
                </c:pt>
                <c:pt idx="5">
                  <c:v>729</c:v>
                </c:pt>
                <c:pt idx="6">
                  <c:v>679</c:v>
                </c:pt>
                <c:pt idx="7">
                  <c:v>729</c:v>
                </c:pt>
                <c:pt idx="8">
                  <c:v>729</c:v>
                </c:pt>
                <c:pt idx="9">
                  <c:v>736.19206717841803</c:v>
                </c:pt>
                <c:pt idx="10">
                  <c:v>736.19206717841803</c:v>
                </c:pt>
                <c:pt idx="11">
                  <c:v>679.74611518704489</c:v>
                </c:pt>
                <c:pt idx="12">
                  <c:v>668.04613132777956</c:v>
                </c:pt>
                <c:pt idx="13">
                  <c:v>694.46136145567061</c:v>
                </c:pt>
                <c:pt idx="14">
                  <c:v>704.64253339668858</c:v>
                </c:pt>
                <c:pt idx="15">
                  <c:v>693.32467456021789</c:v>
                </c:pt>
                <c:pt idx="16">
                  <c:v>701.49240475275428</c:v>
                </c:pt>
                <c:pt idx="17">
                  <c:v>711.95211896874696</c:v>
                </c:pt>
                <c:pt idx="18">
                  <c:v>716.07583093115807</c:v>
                </c:pt>
                <c:pt idx="19">
                  <c:v>711.5515229380502</c:v>
                </c:pt>
                <c:pt idx="20">
                  <c:v>657.6425700422576</c:v>
                </c:pt>
                <c:pt idx="21">
                  <c:v>655.42324121217587</c:v>
                </c:pt>
                <c:pt idx="22">
                  <c:v>687.77689086730652</c:v>
                </c:pt>
                <c:pt idx="23">
                  <c:v>599.05685394273485</c:v>
                </c:pt>
                <c:pt idx="24">
                  <c:v>646.08292221736849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9-3726-4E38-9EAF-31A3F79AB5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bg2"/>
              </a:solidFill>
              <a:round/>
            </a:ln>
            <a:effectLst/>
          </c:spPr>
        </c:dropLines>
        <c:marker val="1"/>
        <c:smooth val="0"/>
        <c:axId val="1917916735"/>
        <c:axId val="1917910079"/>
      </c:lineChart>
      <c:catAx>
        <c:axId val="1917916735"/>
        <c:scaling>
          <c:orientation val="minMax"/>
        </c:scaling>
        <c:delete val="0"/>
        <c:axPos val="b"/>
        <c:numFmt formatCode="#,##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917910079"/>
        <c:crosses val="autoZero"/>
        <c:auto val="1"/>
        <c:lblAlgn val="ctr"/>
        <c:lblOffset val="100"/>
        <c:noMultiLvlLbl val="0"/>
      </c:catAx>
      <c:valAx>
        <c:axId val="1917910079"/>
        <c:scaling>
          <c:orientation val="minMax"/>
          <c:max val="1500"/>
          <c:min val="500"/>
        </c:scaling>
        <c:delete val="0"/>
        <c:axPos val="l"/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917916735"/>
        <c:crosses val="autoZero"/>
        <c:crossBetween val="between"/>
        <c:majorUnit val="200"/>
      </c:valAx>
      <c:spPr>
        <a:noFill/>
        <a:ln w="25400">
          <a:noFill/>
        </a:ln>
        <a:effectLst/>
      </c:spPr>
    </c:plotArea>
    <c:legend>
      <c:legendPos val="r"/>
      <c:legendEntry>
        <c:idx val="0"/>
        <c:delete val="1"/>
      </c:legendEntry>
      <c:legendEntry>
        <c:idx val="1"/>
        <c:delete val="1"/>
      </c:legendEntry>
      <c:legendEntry>
        <c:idx val="2"/>
        <c:txPr>
          <a:bodyPr rot="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rgbClr val="00B05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legendEntry>
      <c:legendEntry>
        <c:idx val="3"/>
        <c:txPr>
          <a:bodyPr rot="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accent2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legendEntry>
      <c:legendEntry>
        <c:idx val="4"/>
        <c:txPr>
          <a:bodyPr rot="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rgbClr val="2CD8D4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legendEntry>
      <c:legendEntry>
        <c:idx val="5"/>
        <c:txPr>
          <a:bodyPr rot="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rgbClr val="639D69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legendEntry>
      <c:legendEntry>
        <c:idx val="6"/>
        <c:txPr>
          <a:bodyPr rot="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rgbClr val="FF3399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legendEntry>
      <c:legendEntry>
        <c:idx val="7"/>
        <c:txPr>
          <a:bodyPr rot="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rgbClr val="FF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legendEntry>
      <c:layout>
        <c:manualLayout>
          <c:xMode val="edge"/>
          <c:yMode val="edge"/>
          <c:x val="0.88645849854370962"/>
          <c:y val="0.14633757961783439"/>
          <c:w val="0.10726097886770733"/>
          <c:h val="0.7531297853924854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landscape"/>
  </c:printSettings>
  <c:userShapes r:id="rId3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0" baseline="0">
                <a:solidFill>
                  <a:srgbClr val="0000FF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2400" b="1" baseline="0">
                <a:solidFill>
                  <a:srgbClr val="0000FF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GIÁ HẠT NHỰA </a:t>
            </a:r>
            <a:r>
              <a:rPr lang="en-US" sz="24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rPET -</a:t>
            </a:r>
            <a:r>
              <a:rPr lang="en-US" sz="2400" b="1" baseline="0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FIBER </a:t>
            </a:r>
            <a:r>
              <a:rPr lang="en-US" sz="2400" b="1" baseline="0">
                <a:solidFill>
                  <a:srgbClr val="0000FF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NĂM 2025 (USD/tấn)</a:t>
            </a:r>
            <a:endParaRPr lang="en-US" sz="2400" b="1">
              <a:solidFill>
                <a:srgbClr val="0000FF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layout>
        <c:manualLayout>
          <c:xMode val="edge"/>
          <c:yMode val="edge"/>
          <c:x val="0.184932756217568"/>
          <c:y val="1.703915500549495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0" baseline="0">
              <a:solidFill>
                <a:srgbClr val="0000FF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198159249990064E-2"/>
          <c:y val="0.1294110015080347"/>
          <c:w val="0.79419486344881862"/>
          <c:h val="0.78739317269635756"/>
        </c:manualLayout>
      </c:layout>
      <c:areaChart>
        <c:grouping val="stacked"/>
        <c:varyColors val="0"/>
        <c:ser>
          <c:idx val="1"/>
          <c:order val="5"/>
          <c:tx>
            <c:strRef>
              <c:f>'Ma trận PET- Fiber'!$AO$10</c:f>
              <c:strCache>
                <c:ptCount val="1"/>
                <c:pt idx="0">
                  <c:v>TTCP</c:v>
                </c:pt>
              </c:strCache>
            </c:strRef>
          </c:tx>
          <c:spPr>
            <a:noFill/>
            <a:ln>
              <a:noFill/>
            </a:ln>
            <a:effectLst/>
          </c:spPr>
          <c:val>
            <c:numRef>
              <c:f>'Ma trận PET- Fiber'!$AP$10:$FC$10</c:f>
              <c:numCache>
                <c:formatCode>"$"#,##0_);\("$"#,##0\)</c:formatCode>
                <c:ptCount val="51"/>
                <c:pt idx="0">
                  <c:v>820</c:v>
                </c:pt>
                <c:pt idx="1">
                  <c:v>820</c:v>
                </c:pt>
                <c:pt idx="2">
                  <c:v>820</c:v>
                </c:pt>
                <c:pt idx="3">
                  <c:v>850</c:v>
                </c:pt>
                <c:pt idx="4">
                  <c:v>840</c:v>
                </c:pt>
                <c:pt idx="5">
                  <c:v>840</c:v>
                </c:pt>
                <c:pt idx="6">
                  <c:v>840</c:v>
                </c:pt>
                <c:pt idx="7">
                  <c:v>840</c:v>
                </c:pt>
                <c:pt idx="8">
                  <c:v>840</c:v>
                </c:pt>
                <c:pt idx="9">
                  <c:v>830</c:v>
                </c:pt>
                <c:pt idx="10">
                  <c:v>810</c:v>
                </c:pt>
                <c:pt idx="11">
                  <c:v>810</c:v>
                </c:pt>
                <c:pt idx="12">
                  <c:v>800</c:v>
                </c:pt>
                <c:pt idx="13">
                  <c:v>750</c:v>
                </c:pt>
                <c:pt idx="14">
                  <c:v>750</c:v>
                </c:pt>
                <c:pt idx="15">
                  <c:v>760</c:v>
                </c:pt>
                <c:pt idx="16">
                  <c:v>760</c:v>
                </c:pt>
                <c:pt idx="17">
                  <c:v>760</c:v>
                </c:pt>
                <c:pt idx="18">
                  <c:v>800</c:v>
                </c:pt>
                <c:pt idx="19">
                  <c:v>800</c:v>
                </c:pt>
                <c:pt idx="20">
                  <c:v>790</c:v>
                </c:pt>
                <c:pt idx="21">
                  <c:v>800</c:v>
                </c:pt>
                <c:pt idx="22">
                  <c:v>790</c:v>
                </c:pt>
                <c:pt idx="23">
                  <c:v>820</c:v>
                </c:pt>
                <c:pt idx="24">
                  <c:v>820</c:v>
                </c:pt>
                <c:pt idx="25">
                  <c:v>820</c:v>
                </c:pt>
                <c:pt idx="26">
                  <c:v>820</c:v>
                </c:pt>
                <c:pt idx="27">
                  <c:v>790</c:v>
                </c:pt>
                <c:pt idx="28">
                  <c:v>790</c:v>
                </c:pt>
                <c:pt idx="29">
                  <c:v>790</c:v>
                </c:pt>
                <c:pt idx="30">
                  <c:v>800</c:v>
                </c:pt>
                <c:pt idx="31">
                  <c:v>790</c:v>
                </c:pt>
                <c:pt idx="32">
                  <c:v>790</c:v>
                </c:pt>
                <c:pt idx="33">
                  <c:v>800</c:v>
                </c:pt>
                <c:pt idx="34">
                  <c:v>790</c:v>
                </c:pt>
                <c:pt idx="35">
                  <c:v>780</c:v>
                </c:pt>
                <c:pt idx="36">
                  <c:v>780</c:v>
                </c:pt>
                <c:pt idx="37">
                  <c:v>780</c:v>
                </c:pt>
                <c:pt idx="38">
                  <c:v>780</c:v>
                </c:pt>
                <c:pt idx="39">
                  <c:v>780</c:v>
                </c:pt>
                <c:pt idx="40">
                  <c:v>770</c:v>
                </c:pt>
                <c:pt idx="41">
                  <c:v>760</c:v>
                </c:pt>
                <c:pt idx="42">
                  <c:v>770</c:v>
                </c:pt>
                <c:pt idx="43">
                  <c:v>770</c:v>
                </c:pt>
                <c:pt idx="44">
                  <c:v>770</c:v>
                </c:pt>
                <c:pt idx="45">
                  <c:v>770</c:v>
                </c:pt>
                <c:pt idx="46">
                  <c:v>770</c:v>
                </c:pt>
                <c:pt idx="47">
                  <c:v>770</c:v>
                </c:pt>
                <c:pt idx="48">
                  <c:v>770</c:v>
                </c:pt>
                <c:pt idx="49">
                  <c:v>770</c:v>
                </c:pt>
                <c:pt idx="50">
                  <c:v>780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F-4CCB-4527-97D7-47C7E1671784}"/>
            </c:ext>
          </c:extLst>
        </c:ser>
        <c:ser>
          <c:idx val="2"/>
          <c:order val="6"/>
          <c:tx>
            <c:strRef>
              <c:f>'Ma trận PET- Fiber'!$DK$4</c:f>
              <c:strCache>
                <c:ptCount val="1"/>
              </c:strCache>
            </c:strRef>
          </c:tx>
          <c:spPr>
            <a:solidFill>
              <a:schemeClr val="accent4">
                <a:lumMod val="20000"/>
                <a:lumOff val="80000"/>
              </a:schemeClr>
            </a:solidFill>
            <a:ln>
              <a:noFill/>
            </a:ln>
            <a:effectLst/>
          </c:spPr>
          <c:val>
            <c:numRef>
              <c:f>'Ma trận PET- Fiber'!$AP$11:$FC$11</c:f>
              <c:numCache>
                <c:formatCode>"$"#,##0_);\("$"#,##0\)</c:formatCode>
                <c:ptCount val="51"/>
                <c:pt idx="0">
                  <c:v>280</c:v>
                </c:pt>
                <c:pt idx="1">
                  <c:v>280</c:v>
                </c:pt>
                <c:pt idx="2">
                  <c:v>280</c:v>
                </c:pt>
                <c:pt idx="3">
                  <c:v>250</c:v>
                </c:pt>
                <c:pt idx="4">
                  <c:v>260</c:v>
                </c:pt>
                <c:pt idx="5">
                  <c:v>260</c:v>
                </c:pt>
                <c:pt idx="6">
                  <c:v>260</c:v>
                </c:pt>
                <c:pt idx="7">
                  <c:v>260</c:v>
                </c:pt>
                <c:pt idx="8">
                  <c:v>260</c:v>
                </c:pt>
                <c:pt idx="9">
                  <c:v>270</c:v>
                </c:pt>
                <c:pt idx="10">
                  <c:v>290</c:v>
                </c:pt>
                <c:pt idx="11">
                  <c:v>290</c:v>
                </c:pt>
                <c:pt idx="12">
                  <c:v>320</c:v>
                </c:pt>
                <c:pt idx="13">
                  <c:v>370</c:v>
                </c:pt>
                <c:pt idx="14">
                  <c:v>370</c:v>
                </c:pt>
                <c:pt idx="15">
                  <c:v>360</c:v>
                </c:pt>
                <c:pt idx="16">
                  <c:v>360</c:v>
                </c:pt>
                <c:pt idx="17">
                  <c:v>360</c:v>
                </c:pt>
                <c:pt idx="18">
                  <c:v>320</c:v>
                </c:pt>
                <c:pt idx="19">
                  <c:v>320</c:v>
                </c:pt>
                <c:pt idx="20">
                  <c:v>330</c:v>
                </c:pt>
                <c:pt idx="21">
                  <c:v>320</c:v>
                </c:pt>
                <c:pt idx="22">
                  <c:v>330</c:v>
                </c:pt>
                <c:pt idx="23">
                  <c:v>300</c:v>
                </c:pt>
                <c:pt idx="24">
                  <c:v>300</c:v>
                </c:pt>
                <c:pt idx="25">
                  <c:v>300</c:v>
                </c:pt>
                <c:pt idx="26">
                  <c:v>300</c:v>
                </c:pt>
                <c:pt idx="27">
                  <c:v>330</c:v>
                </c:pt>
                <c:pt idx="28">
                  <c:v>330</c:v>
                </c:pt>
                <c:pt idx="29">
                  <c:v>330</c:v>
                </c:pt>
                <c:pt idx="30">
                  <c:v>290</c:v>
                </c:pt>
                <c:pt idx="31">
                  <c:v>300</c:v>
                </c:pt>
                <c:pt idx="32">
                  <c:v>300</c:v>
                </c:pt>
                <c:pt idx="33">
                  <c:v>290</c:v>
                </c:pt>
                <c:pt idx="34">
                  <c:v>300</c:v>
                </c:pt>
                <c:pt idx="35">
                  <c:v>310</c:v>
                </c:pt>
                <c:pt idx="36">
                  <c:v>310</c:v>
                </c:pt>
                <c:pt idx="37">
                  <c:v>310</c:v>
                </c:pt>
                <c:pt idx="38">
                  <c:v>300</c:v>
                </c:pt>
                <c:pt idx="39">
                  <c:v>300</c:v>
                </c:pt>
                <c:pt idx="40">
                  <c:v>310</c:v>
                </c:pt>
                <c:pt idx="41">
                  <c:v>320</c:v>
                </c:pt>
                <c:pt idx="42">
                  <c:v>310</c:v>
                </c:pt>
                <c:pt idx="43">
                  <c:v>300</c:v>
                </c:pt>
                <c:pt idx="44">
                  <c:v>300</c:v>
                </c:pt>
                <c:pt idx="45">
                  <c:v>300</c:v>
                </c:pt>
                <c:pt idx="46">
                  <c:v>300</c:v>
                </c:pt>
                <c:pt idx="47">
                  <c:v>300</c:v>
                </c:pt>
                <c:pt idx="48">
                  <c:v>300</c:v>
                </c:pt>
                <c:pt idx="49">
                  <c:v>300</c:v>
                </c:pt>
                <c:pt idx="50">
                  <c:v>290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0-4CCB-4527-97D7-47C7E16717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tx1">
                  <a:lumMod val="35000"/>
                  <a:lumOff val="65000"/>
                </a:schemeClr>
              </a:solidFill>
              <a:round/>
            </a:ln>
            <a:effectLst/>
          </c:spPr>
        </c:dropLines>
        <c:axId val="1917916735"/>
        <c:axId val="1917910079"/>
      </c:areaChart>
      <c:lineChart>
        <c:grouping val="standard"/>
        <c:varyColors val="0"/>
        <c:ser>
          <c:idx val="9"/>
          <c:order val="0"/>
          <c:tx>
            <c:strRef>
              <c:f>'Ma trận PET- Fiber'!$AO$6</c:f>
              <c:strCache>
                <c:ptCount val="1"/>
                <c:pt idx="0">
                  <c:v>DTR-Food grade</c:v>
                </c:pt>
              </c:strCache>
            </c:strRef>
          </c:tx>
          <c:spPr>
            <a:ln w="5080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1.5228826341369343E-2"/>
                  <c:y val="-3.290857579346592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5389-4D14-B2E7-6C76254DC755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353-48C8-A48A-63FF7EFF27E8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D5D-4907-9919-D88900D84E4D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4FE4-492A-944B-B12BB6F56EE0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353-48C8-A48A-63FF7EFF27E8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E7C-4A81-BE14-FE96E33068A6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FE4-492A-944B-B12BB6F56EE0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0D5D-4907-9919-D88900D84E4D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4BA-4433-8EE9-0D3F648B4854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E7C-4A81-BE14-FE96E33068A6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23E-4B38-9BCC-C738321AFA04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FB5-48B9-A2AD-9BC11969615F}"/>
                </c:ext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FB5-48B9-A2AD-9BC11969615F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02F5-4BEF-9063-5443E9860FD6}"/>
                </c:ext>
              </c:extLst>
            </c:dLbl>
            <c:dLbl>
              <c:idx val="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FB5-48B9-A2AD-9BC11969615F}"/>
                </c:ext>
              </c:extLst>
            </c:dLbl>
            <c:dLbl>
              <c:idx val="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A20D-4F89-9C39-FF83B9940699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2F5-4BEF-9063-5443E9860FD6}"/>
                </c:ext>
              </c:extLst>
            </c:dLbl>
            <c:dLbl>
              <c:idx val="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C79-4714-BC8D-2103830E54D1}"/>
                </c:ext>
              </c:extLst>
            </c:dLbl>
            <c:dLbl>
              <c:idx val="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23A2-4AAD-917E-21ADB4CF7201}"/>
                </c:ext>
              </c:extLst>
            </c:dLbl>
            <c:dLbl>
              <c:idx val="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0B7C-4861-A8AC-91C529D2B6D5}"/>
                </c:ext>
              </c:extLst>
            </c:dLbl>
            <c:dLbl>
              <c:idx val="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A86-4769-81E6-06C035B976E1}"/>
                </c:ext>
              </c:extLst>
            </c:dLbl>
            <c:dLbl>
              <c:idx val="2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80C-4A5C-A045-25E88BF372A7}"/>
                </c:ext>
              </c:extLst>
            </c:dLbl>
            <c:dLbl>
              <c:idx val="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A24F-45E6-8BF8-0A50AAC79846}"/>
                </c:ext>
              </c:extLst>
            </c:dLbl>
            <c:dLbl>
              <c:idx val="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BE6-43D6-A2B1-854D31F379FB}"/>
                </c:ext>
              </c:extLst>
            </c:dLbl>
            <c:dLbl>
              <c:idx val="3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B28-4AC0-A7F1-61F3D5924D22}"/>
                </c:ext>
              </c:extLst>
            </c:dLbl>
            <c:dLbl>
              <c:idx val="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7CF-4EC5-A3FD-2476ADBF79BE}"/>
                </c:ext>
              </c:extLst>
            </c:dLbl>
            <c:dLbl>
              <c:idx val="3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7CF-4EC5-A3FD-2476ADBF79BE}"/>
                </c:ext>
              </c:extLst>
            </c:dLbl>
            <c:dLbl>
              <c:idx val="3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673-41F3-9C95-C699DF9874D4}"/>
                </c:ext>
              </c:extLst>
            </c:dLbl>
            <c:dLbl>
              <c:idx val="3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8A5E-4FB7-8FE3-A4A57129A2C0}"/>
                </c:ext>
              </c:extLst>
            </c:dLbl>
            <c:dLbl>
              <c:idx val="3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2F5-4BEF-9063-5443E9860FD6}"/>
                </c:ext>
              </c:extLst>
            </c:dLbl>
            <c:dLbl>
              <c:idx val="3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DD6C-4610-A21F-2AA4850EACEF}"/>
                </c:ext>
              </c:extLst>
            </c:dLbl>
            <c:dLbl>
              <c:idx val="4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491-40D9-90C0-6E937C547508}"/>
                </c:ext>
              </c:extLst>
            </c:dLbl>
            <c:dLbl>
              <c:idx val="4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23E-4B38-9BCC-C738321AFA04}"/>
                </c:ext>
              </c:extLst>
            </c:dLbl>
            <c:dLbl>
              <c:idx val="4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5A3-4E0A-A2A6-D1F21F6E7E13}"/>
                </c:ext>
              </c:extLst>
            </c:dLbl>
            <c:dLbl>
              <c:idx val="4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5D4-44C4-91C5-D56F81B30945}"/>
                </c:ext>
              </c:extLst>
            </c:dLbl>
            <c:dLbl>
              <c:idx val="4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4517-4E42-8187-47F567C8BA52}"/>
                </c:ext>
              </c:extLst>
            </c:dLbl>
            <c:dLbl>
              <c:idx val="4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02F5-4BEF-9063-5443E9860FD6}"/>
                </c:ext>
              </c:extLst>
            </c:dLbl>
            <c:dLbl>
              <c:idx val="4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23E-4B38-9BCC-C738321AFA04}"/>
                </c:ext>
              </c:extLst>
            </c:dLbl>
            <c:dLbl>
              <c:idx val="4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56F-436A-991B-3F14A1753EA3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rgbClr val="00B05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'Ma trận PET- Fiber'!$AE$5:$FC$5</c:f>
              <c:strCache>
                <c:ptCount val="61"/>
                <c:pt idx="0">
                  <c:v> 7 </c:v>
                </c:pt>
                <c:pt idx="1">
                  <c:v> 8 </c:v>
                </c:pt>
                <c:pt idx="2">
                  <c:v> 9 </c:v>
                </c:pt>
                <c:pt idx="3">
                  <c:v> 10 </c:v>
                </c:pt>
                <c:pt idx="4">
                  <c:v> 11 </c:v>
                </c:pt>
                <c:pt idx="5">
                  <c:v> 12 </c:v>
                </c:pt>
                <c:pt idx="6">
                  <c:v> T1.26 </c:v>
                </c:pt>
                <c:pt idx="8">
                  <c:v>Mã SP</c:v>
                </c:pt>
                <c:pt idx="9">
                  <c:v>Diễn giải</c:v>
                </c:pt>
                <c:pt idx="10">
                  <c:v> 01 </c:v>
                </c:pt>
                <c:pt idx="11">
                  <c:v> 02 </c:v>
                </c:pt>
                <c:pt idx="12">
                  <c:v> 03 </c:v>
                </c:pt>
                <c:pt idx="13">
                  <c:v> 04 </c:v>
                </c:pt>
                <c:pt idx="14">
                  <c:v> 06 </c:v>
                </c:pt>
                <c:pt idx="15">
                  <c:v> 07 </c:v>
                </c:pt>
                <c:pt idx="16">
                  <c:v> 08 </c:v>
                </c:pt>
                <c:pt idx="17">
                  <c:v> 09 </c:v>
                </c:pt>
                <c:pt idx="18">
                  <c:v> 10 </c:v>
                </c:pt>
                <c:pt idx="19">
                  <c:v> 11 </c:v>
                </c:pt>
                <c:pt idx="20">
                  <c:v> 12 </c:v>
                </c:pt>
                <c:pt idx="21">
                  <c:v> 13 </c:v>
                </c:pt>
                <c:pt idx="22">
                  <c:v> 14 </c:v>
                </c:pt>
                <c:pt idx="23">
                  <c:v> 15 </c:v>
                </c:pt>
                <c:pt idx="24">
                  <c:v> 16 </c:v>
                </c:pt>
                <c:pt idx="25">
                  <c:v> 17 </c:v>
                </c:pt>
                <c:pt idx="26">
                  <c:v> 18 </c:v>
                </c:pt>
                <c:pt idx="27">
                  <c:v> 19 </c:v>
                </c:pt>
                <c:pt idx="28">
                  <c:v> 20 </c:v>
                </c:pt>
                <c:pt idx="29">
                  <c:v> 21 </c:v>
                </c:pt>
                <c:pt idx="30">
                  <c:v> 22 </c:v>
                </c:pt>
                <c:pt idx="31">
                  <c:v> 23 </c:v>
                </c:pt>
                <c:pt idx="32">
                  <c:v> 24 </c:v>
                </c:pt>
                <c:pt idx="33">
                  <c:v> 25 </c:v>
                </c:pt>
                <c:pt idx="34">
                  <c:v> 26 </c:v>
                </c:pt>
                <c:pt idx="35">
                  <c:v> 27 </c:v>
                </c:pt>
                <c:pt idx="36">
                  <c:v> 28 </c:v>
                </c:pt>
                <c:pt idx="37">
                  <c:v> 29 </c:v>
                </c:pt>
                <c:pt idx="38">
                  <c:v> 30 </c:v>
                </c:pt>
                <c:pt idx="39">
                  <c:v> 31 </c:v>
                </c:pt>
                <c:pt idx="40">
                  <c:v> 32 </c:v>
                </c:pt>
                <c:pt idx="41">
                  <c:v> 33 </c:v>
                </c:pt>
                <c:pt idx="42">
                  <c:v> 34 </c:v>
                </c:pt>
                <c:pt idx="43">
                  <c:v> 35 </c:v>
                </c:pt>
                <c:pt idx="44">
                  <c:v> 36 </c:v>
                </c:pt>
                <c:pt idx="45">
                  <c:v> 37 </c:v>
                </c:pt>
                <c:pt idx="46">
                  <c:v> 38 </c:v>
                </c:pt>
                <c:pt idx="47">
                  <c:v> 39 </c:v>
                </c:pt>
                <c:pt idx="48">
                  <c:v> 40 </c:v>
                </c:pt>
                <c:pt idx="49">
                  <c:v> 41 </c:v>
                </c:pt>
                <c:pt idx="50">
                  <c:v> 42 </c:v>
                </c:pt>
                <c:pt idx="51">
                  <c:v> 43 </c:v>
                </c:pt>
                <c:pt idx="52">
                  <c:v> 44 </c:v>
                </c:pt>
                <c:pt idx="53">
                  <c:v> 45 </c:v>
                </c:pt>
                <c:pt idx="54">
                  <c:v> 46 </c:v>
                </c:pt>
                <c:pt idx="55">
                  <c:v> 47 </c:v>
                </c:pt>
                <c:pt idx="56">
                  <c:v> 48 </c:v>
                </c:pt>
                <c:pt idx="57">
                  <c:v> 49 </c:v>
                </c:pt>
                <c:pt idx="58">
                  <c:v> 50 </c:v>
                </c:pt>
                <c:pt idx="59">
                  <c:v> 51 </c:v>
                </c:pt>
                <c:pt idx="60">
                  <c:v> 52 </c:v>
                </c:pt>
              </c:strCache>
            </c:strRef>
          </c:cat>
          <c:val>
            <c:numRef>
              <c:f>'Ma trận PET- Fiber'!$BG$6:$FC$6</c:f>
              <c:numCache>
                <c:formatCode>"$"#,##0_);\("$"#,##0\)</c:formatCode>
                <c:ptCount val="51"/>
                <c:pt idx="0">
                  <c:v>1230</c:v>
                </c:pt>
                <c:pt idx="1">
                  <c:v>1230</c:v>
                </c:pt>
                <c:pt idx="2">
                  <c:v>1230</c:v>
                </c:pt>
                <c:pt idx="3">
                  <c:v>1230</c:v>
                </c:pt>
                <c:pt idx="4">
                  <c:v>1230</c:v>
                </c:pt>
                <c:pt idx="5">
                  <c:v>1230</c:v>
                </c:pt>
                <c:pt idx="6">
                  <c:v>1230</c:v>
                </c:pt>
                <c:pt idx="7">
                  <c:v>1230</c:v>
                </c:pt>
                <c:pt idx="8">
                  <c:v>1230</c:v>
                </c:pt>
                <c:pt idx="9">
                  <c:v>1230</c:v>
                </c:pt>
                <c:pt idx="10">
                  <c:v>1230</c:v>
                </c:pt>
                <c:pt idx="11">
                  <c:v>1230</c:v>
                </c:pt>
                <c:pt idx="12">
                  <c:v>1250</c:v>
                </c:pt>
                <c:pt idx="13">
                  <c:v>1250</c:v>
                </c:pt>
                <c:pt idx="14">
                  <c:v>1250</c:v>
                </c:pt>
                <c:pt idx="15">
                  <c:v>1250</c:v>
                </c:pt>
                <c:pt idx="16">
                  <c:v>1250</c:v>
                </c:pt>
                <c:pt idx="17">
                  <c:v>1250</c:v>
                </c:pt>
                <c:pt idx="18">
                  <c:v>1250</c:v>
                </c:pt>
                <c:pt idx="19">
                  <c:v>1250</c:v>
                </c:pt>
                <c:pt idx="20">
                  <c:v>1250</c:v>
                </c:pt>
                <c:pt idx="21">
                  <c:v>1250</c:v>
                </c:pt>
                <c:pt idx="22">
                  <c:v>1250</c:v>
                </c:pt>
                <c:pt idx="23">
                  <c:v>1250</c:v>
                </c:pt>
                <c:pt idx="24">
                  <c:v>1250</c:v>
                </c:pt>
                <c:pt idx="25">
                  <c:v>1250</c:v>
                </c:pt>
                <c:pt idx="26">
                  <c:v>1250</c:v>
                </c:pt>
                <c:pt idx="27">
                  <c:v>1250</c:v>
                </c:pt>
                <c:pt idx="28">
                  <c:v>1250</c:v>
                </c:pt>
                <c:pt idx="29">
                  <c:v>1250</c:v>
                </c:pt>
                <c:pt idx="30">
                  <c:v>1220</c:v>
                </c:pt>
                <c:pt idx="31">
                  <c:v>1220</c:v>
                </c:pt>
                <c:pt idx="32">
                  <c:v>1220</c:v>
                </c:pt>
                <c:pt idx="33">
                  <c:v>1220</c:v>
                </c:pt>
                <c:pt idx="34">
                  <c:v>1220</c:v>
                </c:pt>
                <c:pt idx="35">
                  <c:v>1220</c:v>
                </c:pt>
                <c:pt idx="36">
                  <c:v>1220</c:v>
                </c:pt>
                <c:pt idx="37">
                  <c:v>1220</c:v>
                </c:pt>
                <c:pt idx="38">
                  <c:v>1210</c:v>
                </c:pt>
                <c:pt idx="39">
                  <c:v>1210</c:v>
                </c:pt>
                <c:pt idx="40">
                  <c:v>1210</c:v>
                </c:pt>
                <c:pt idx="41">
                  <c:v>1210</c:v>
                </c:pt>
                <c:pt idx="42">
                  <c:v>1210</c:v>
                </c:pt>
                <c:pt idx="43">
                  <c:v>1200</c:v>
                </c:pt>
                <c:pt idx="44">
                  <c:v>1200</c:v>
                </c:pt>
                <c:pt idx="45">
                  <c:v>1200</c:v>
                </c:pt>
                <c:pt idx="46">
                  <c:v>1200</c:v>
                </c:pt>
                <c:pt idx="47">
                  <c:v>1200</c:v>
                </c:pt>
                <c:pt idx="48">
                  <c:v>1200</c:v>
                </c:pt>
                <c:pt idx="49">
                  <c:v>1200</c:v>
                </c:pt>
                <c:pt idx="50">
                  <c:v>1200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E804-4658-BA44-4C763EAE1A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bg2"/>
              </a:solidFill>
              <a:round/>
            </a:ln>
            <a:effectLst/>
          </c:spPr>
        </c:dropLines>
        <c:marker val="1"/>
        <c:smooth val="0"/>
        <c:axId val="1917916735"/>
        <c:axId val="1917910079"/>
      </c:lineChart>
      <c:lineChart>
        <c:grouping val="standard"/>
        <c:varyColors val="0"/>
        <c:ser>
          <c:idx val="3"/>
          <c:order val="1"/>
          <c:tx>
            <c:strRef>
              <c:f>'Ma trận PET- Fiber'!$AO$14</c:f>
              <c:strCache>
                <c:ptCount val="1"/>
                <c:pt idx="0">
                  <c:v>Đối thủ CHORI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numFmt formatCode="[$$-C09]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accent2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'Ma trận PET- Fiber'!$BG$5:$BXO$5</c:f>
              <c:strCache>
                <c:ptCount val="56"/>
                <c:pt idx="0">
                  <c:v> 01 </c:v>
                </c:pt>
                <c:pt idx="1">
                  <c:v> 02 </c:v>
                </c:pt>
                <c:pt idx="2">
                  <c:v> 03 </c:v>
                </c:pt>
                <c:pt idx="3">
                  <c:v> 04 </c:v>
                </c:pt>
                <c:pt idx="4">
                  <c:v> 06 </c:v>
                </c:pt>
                <c:pt idx="5">
                  <c:v> 07 </c:v>
                </c:pt>
                <c:pt idx="6">
                  <c:v> 08 </c:v>
                </c:pt>
                <c:pt idx="7">
                  <c:v> 09 </c:v>
                </c:pt>
                <c:pt idx="8">
                  <c:v> 10 </c:v>
                </c:pt>
                <c:pt idx="9">
                  <c:v> 11 </c:v>
                </c:pt>
                <c:pt idx="10">
                  <c:v> 12 </c:v>
                </c:pt>
                <c:pt idx="11">
                  <c:v> 13 </c:v>
                </c:pt>
                <c:pt idx="12">
                  <c:v> 14 </c:v>
                </c:pt>
                <c:pt idx="13">
                  <c:v> 15 </c:v>
                </c:pt>
                <c:pt idx="14">
                  <c:v> 16 </c:v>
                </c:pt>
                <c:pt idx="15">
                  <c:v> 17 </c:v>
                </c:pt>
                <c:pt idx="16">
                  <c:v> 18 </c:v>
                </c:pt>
                <c:pt idx="17">
                  <c:v> 19 </c:v>
                </c:pt>
                <c:pt idx="18">
                  <c:v> 20 </c:v>
                </c:pt>
                <c:pt idx="19">
                  <c:v> 21 </c:v>
                </c:pt>
                <c:pt idx="20">
                  <c:v> 22 </c:v>
                </c:pt>
                <c:pt idx="21">
                  <c:v> 23 </c:v>
                </c:pt>
                <c:pt idx="22">
                  <c:v> 24 </c:v>
                </c:pt>
                <c:pt idx="23">
                  <c:v> 25 </c:v>
                </c:pt>
                <c:pt idx="24">
                  <c:v> 26 </c:v>
                </c:pt>
                <c:pt idx="25">
                  <c:v> 27 </c:v>
                </c:pt>
                <c:pt idx="26">
                  <c:v> 28 </c:v>
                </c:pt>
                <c:pt idx="27">
                  <c:v> 29 </c:v>
                </c:pt>
                <c:pt idx="28">
                  <c:v> 30 </c:v>
                </c:pt>
                <c:pt idx="29">
                  <c:v> 31 </c:v>
                </c:pt>
                <c:pt idx="30">
                  <c:v> 32 </c:v>
                </c:pt>
                <c:pt idx="31">
                  <c:v> 33 </c:v>
                </c:pt>
                <c:pt idx="32">
                  <c:v> 34 </c:v>
                </c:pt>
                <c:pt idx="33">
                  <c:v> 35 </c:v>
                </c:pt>
                <c:pt idx="34">
                  <c:v> 36 </c:v>
                </c:pt>
                <c:pt idx="35">
                  <c:v> 37 </c:v>
                </c:pt>
                <c:pt idx="36">
                  <c:v> 38 </c:v>
                </c:pt>
                <c:pt idx="37">
                  <c:v> 39 </c:v>
                </c:pt>
                <c:pt idx="38">
                  <c:v> 40 </c:v>
                </c:pt>
                <c:pt idx="39">
                  <c:v> 41 </c:v>
                </c:pt>
                <c:pt idx="40">
                  <c:v> 42 </c:v>
                </c:pt>
                <c:pt idx="41">
                  <c:v> 43 </c:v>
                </c:pt>
                <c:pt idx="42">
                  <c:v> 44 </c:v>
                </c:pt>
                <c:pt idx="43">
                  <c:v> 45 </c:v>
                </c:pt>
                <c:pt idx="44">
                  <c:v> 46 </c:v>
                </c:pt>
                <c:pt idx="45">
                  <c:v> 47 </c:v>
                </c:pt>
                <c:pt idx="46">
                  <c:v> 48 </c:v>
                </c:pt>
                <c:pt idx="47">
                  <c:v> 49 </c:v>
                </c:pt>
                <c:pt idx="48">
                  <c:v> 50 </c:v>
                </c:pt>
                <c:pt idx="49">
                  <c:v> 51 </c:v>
                </c:pt>
                <c:pt idx="50">
                  <c:v> 52 </c:v>
                </c:pt>
                <c:pt idx="51">
                  <c:v> 01 </c:v>
                </c:pt>
                <c:pt idx="52">
                  <c:v> 02 </c:v>
                </c:pt>
                <c:pt idx="53">
                  <c:v> 03 </c:v>
                </c:pt>
                <c:pt idx="54">
                  <c:v> 04 </c:v>
                </c:pt>
                <c:pt idx="55">
                  <c:v> 05 </c:v>
                </c:pt>
              </c:strCache>
            </c:strRef>
          </c:cat>
          <c:val>
            <c:numRef>
              <c:f>'Ma trận PET- Fiber'!$AP$14:$CG$14</c:f>
            </c:numRef>
          </c:val>
          <c:smooth val="0"/>
          <c:extLst>
            <c:ext xmlns:c16="http://schemas.microsoft.com/office/drawing/2014/chart" uri="{C3380CC4-5D6E-409C-BE32-E72D297353CC}">
              <c16:uniqueId val="{00000051-4CCB-4527-97D7-47C7E1671784}"/>
            </c:ext>
          </c:extLst>
        </c:ser>
        <c:ser>
          <c:idx val="4"/>
          <c:order val="2"/>
          <c:tx>
            <c:strRef>
              <c:f>'Ma trận PET- Fiber'!$AO$15</c:f>
              <c:strCache>
                <c:ptCount val="1"/>
                <c:pt idx="0">
                  <c:v>Đối thủ Hyosung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dLbls>
            <c:numFmt formatCode="[$$-C09]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rgbClr val="2CD8D4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'Ma trận PET- Fiber'!$BG$5:$BXO$5</c:f>
              <c:strCache>
                <c:ptCount val="56"/>
                <c:pt idx="0">
                  <c:v> 01 </c:v>
                </c:pt>
                <c:pt idx="1">
                  <c:v> 02 </c:v>
                </c:pt>
                <c:pt idx="2">
                  <c:v> 03 </c:v>
                </c:pt>
                <c:pt idx="3">
                  <c:v> 04 </c:v>
                </c:pt>
                <c:pt idx="4">
                  <c:v> 06 </c:v>
                </c:pt>
                <c:pt idx="5">
                  <c:v> 07 </c:v>
                </c:pt>
                <c:pt idx="6">
                  <c:v> 08 </c:v>
                </c:pt>
                <c:pt idx="7">
                  <c:v> 09 </c:v>
                </c:pt>
                <c:pt idx="8">
                  <c:v> 10 </c:v>
                </c:pt>
                <c:pt idx="9">
                  <c:v> 11 </c:v>
                </c:pt>
                <c:pt idx="10">
                  <c:v> 12 </c:v>
                </c:pt>
                <c:pt idx="11">
                  <c:v> 13 </c:v>
                </c:pt>
                <c:pt idx="12">
                  <c:v> 14 </c:v>
                </c:pt>
                <c:pt idx="13">
                  <c:v> 15 </c:v>
                </c:pt>
                <c:pt idx="14">
                  <c:v> 16 </c:v>
                </c:pt>
                <c:pt idx="15">
                  <c:v> 17 </c:v>
                </c:pt>
                <c:pt idx="16">
                  <c:v> 18 </c:v>
                </c:pt>
                <c:pt idx="17">
                  <c:v> 19 </c:v>
                </c:pt>
                <c:pt idx="18">
                  <c:v> 20 </c:v>
                </c:pt>
                <c:pt idx="19">
                  <c:v> 21 </c:v>
                </c:pt>
                <c:pt idx="20">
                  <c:v> 22 </c:v>
                </c:pt>
                <c:pt idx="21">
                  <c:v> 23 </c:v>
                </c:pt>
                <c:pt idx="22">
                  <c:v> 24 </c:v>
                </c:pt>
                <c:pt idx="23">
                  <c:v> 25 </c:v>
                </c:pt>
                <c:pt idx="24">
                  <c:v> 26 </c:v>
                </c:pt>
                <c:pt idx="25">
                  <c:v> 27 </c:v>
                </c:pt>
                <c:pt idx="26">
                  <c:v> 28 </c:v>
                </c:pt>
                <c:pt idx="27">
                  <c:v> 29 </c:v>
                </c:pt>
                <c:pt idx="28">
                  <c:v> 30 </c:v>
                </c:pt>
                <c:pt idx="29">
                  <c:v> 31 </c:v>
                </c:pt>
                <c:pt idx="30">
                  <c:v> 32 </c:v>
                </c:pt>
                <c:pt idx="31">
                  <c:v> 33 </c:v>
                </c:pt>
                <c:pt idx="32">
                  <c:v> 34 </c:v>
                </c:pt>
                <c:pt idx="33">
                  <c:v> 35 </c:v>
                </c:pt>
                <c:pt idx="34">
                  <c:v> 36 </c:v>
                </c:pt>
                <c:pt idx="35">
                  <c:v> 37 </c:v>
                </c:pt>
                <c:pt idx="36">
                  <c:v> 38 </c:v>
                </c:pt>
                <c:pt idx="37">
                  <c:v> 39 </c:v>
                </c:pt>
                <c:pt idx="38">
                  <c:v> 40 </c:v>
                </c:pt>
                <c:pt idx="39">
                  <c:v> 41 </c:v>
                </c:pt>
                <c:pt idx="40">
                  <c:v> 42 </c:v>
                </c:pt>
                <c:pt idx="41">
                  <c:v> 43 </c:v>
                </c:pt>
                <c:pt idx="42">
                  <c:v> 44 </c:v>
                </c:pt>
                <c:pt idx="43">
                  <c:v> 45 </c:v>
                </c:pt>
                <c:pt idx="44">
                  <c:v> 46 </c:v>
                </c:pt>
                <c:pt idx="45">
                  <c:v> 47 </c:v>
                </c:pt>
                <c:pt idx="46">
                  <c:v> 48 </c:v>
                </c:pt>
                <c:pt idx="47">
                  <c:v> 49 </c:v>
                </c:pt>
                <c:pt idx="48">
                  <c:v> 50 </c:v>
                </c:pt>
                <c:pt idx="49">
                  <c:v> 51 </c:v>
                </c:pt>
                <c:pt idx="50">
                  <c:v> 52 </c:v>
                </c:pt>
                <c:pt idx="51">
                  <c:v> 01 </c:v>
                </c:pt>
                <c:pt idx="52">
                  <c:v> 02 </c:v>
                </c:pt>
                <c:pt idx="53">
                  <c:v> 03 </c:v>
                </c:pt>
                <c:pt idx="54">
                  <c:v> 04 </c:v>
                </c:pt>
                <c:pt idx="55">
                  <c:v> 05 </c:v>
                </c:pt>
              </c:strCache>
            </c:strRef>
          </c:cat>
          <c:val>
            <c:numRef>
              <c:f>'Ma trận PET- Fiber'!$AP$15:$CG$15</c:f>
            </c:numRef>
          </c:val>
          <c:smooth val="0"/>
          <c:extLst>
            <c:ext xmlns:c16="http://schemas.microsoft.com/office/drawing/2014/chart" uri="{C3380CC4-5D6E-409C-BE32-E72D297353CC}">
              <c16:uniqueId val="{00000052-4CCB-4527-97D7-47C7E1671784}"/>
            </c:ext>
          </c:extLst>
        </c:ser>
        <c:ser>
          <c:idx val="6"/>
          <c:order val="3"/>
          <c:tx>
            <c:strRef>
              <c:f>'Ma trận PET- Fiber'!$AO$7</c:f>
              <c:strCache>
                <c:ptCount val="1"/>
                <c:pt idx="0">
                  <c:v>DTR</c:v>
                </c:pt>
              </c:strCache>
            </c:strRef>
          </c:tx>
          <c:spPr>
            <a:ln w="5080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2.5082772797549516E-2"/>
                  <c:y val="-3.996041346349438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A124-418E-B6B2-D019668313D6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217-4743-91BE-7A8411ECAFFE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6-4CCB-4527-97D7-47C7E1671784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7-4CCB-4527-97D7-47C7E1671784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8-4CCB-4527-97D7-47C7E1671784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D2BC-42B8-974A-EC24D106FE1C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9-4CCB-4527-97D7-47C7E1671784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0D5D-4907-9919-D88900D84E4D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A-4CCB-4527-97D7-47C7E1671784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D2BC-42B8-974A-EC24D106FE1C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FB5-48B9-A2AD-9BC11969615F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02F5-4BEF-9063-5443E9860FD6}"/>
                </c:ext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BFB5-48B9-A2AD-9BC11969615F}"/>
                </c:ext>
              </c:extLst>
            </c:dLbl>
            <c:dLbl>
              <c:idx val="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BFB5-48B9-A2AD-9BC11969615F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02F5-4BEF-9063-5443E9860FD6}"/>
                </c:ext>
              </c:extLst>
            </c:dLbl>
            <c:dLbl>
              <c:idx val="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20D-4F89-9C39-FF83B9940699}"/>
                </c:ext>
              </c:extLst>
            </c:dLbl>
            <c:dLbl>
              <c:idx val="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7C79-4714-BC8D-2103830E54D1}"/>
                </c:ext>
              </c:extLst>
            </c:dLbl>
            <c:dLbl>
              <c:idx val="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02F5-4BEF-9063-5443E9860FD6}"/>
                </c:ext>
              </c:extLst>
            </c:dLbl>
            <c:dLbl>
              <c:idx val="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3A2-4AAD-917E-21ADB4CF7201}"/>
                </c:ext>
              </c:extLst>
            </c:dLbl>
            <c:dLbl>
              <c:idx val="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0B7C-4861-A8AC-91C529D2B6D5}"/>
                </c:ext>
              </c:extLst>
            </c:dLbl>
            <c:dLbl>
              <c:idx val="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A86-4769-81E6-06C035B976E1}"/>
                </c:ext>
              </c:extLst>
            </c:dLbl>
            <c:dLbl>
              <c:idx val="2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80C-4A5C-A045-25E88BF372A7}"/>
                </c:ext>
              </c:extLst>
            </c:dLbl>
            <c:dLbl>
              <c:idx val="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24F-45E6-8BF8-0A50AAC79846}"/>
                </c:ext>
              </c:extLst>
            </c:dLbl>
            <c:dLbl>
              <c:idx val="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BE6-43D6-A2B1-854D31F379FB}"/>
                </c:ext>
              </c:extLst>
            </c:dLbl>
            <c:dLbl>
              <c:idx val="3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B28-4AC0-A7F1-61F3D5924D22}"/>
                </c:ext>
              </c:extLst>
            </c:dLbl>
            <c:dLbl>
              <c:idx val="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7CF-4EC5-A3FD-2476ADBF79BE}"/>
                </c:ext>
              </c:extLst>
            </c:dLbl>
            <c:dLbl>
              <c:idx val="3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7CF-4EC5-A3FD-2476ADBF79BE}"/>
                </c:ext>
              </c:extLst>
            </c:dLbl>
            <c:dLbl>
              <c:idx val="3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673-41F3-9C95-C699DF9874D4}"/>
                </c:ext>
              </c:extLst>
            </c:dLbl>
            <c:dLbl>
              <c:idx val="3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A5E-4FB7-8FE3-A4A57129A2C0}"/>
                </c:ext>
              </c:extLst>
            </c:dLbl>
            <c:dLbl>
              <c:idx val="3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02F5-4BEF-9063-5443E9860FD6}"/>
                </c:ext>
              </c:extLst>
            </c:dLbl>
            <c:dLbl>
              <c:idx val="3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D6C-4610-A21F-2AA4850EACEF}"/>
                </c:ext>
              </c:extLst>
            </c:dLbl>
            <c:dLbl>
              <c:idx val="4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491-40D9-90C0-6E937C547508}"/>
                </c:ext>
              </c:extLst>
            </c:dLbl>
            <c:dLbl>
              <c:idx val="4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56F-436A-991B-3F14A1753EA3}"/>
                </c:ext>
              </c:extLst>
            </c:dLbl>
            <c:dLbl>
              <c:idx val="4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5A3-4E0A-A2A6-D1F21F6E7E13}"/>
                </c:ext>
              </c:extLst>
            </c:dLbl>
            <c:dLbl>
              <c:idx val="4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5D4-44C4-91C5-D56F81B30945}"/>
                </c:ext>
              </c:extLst>
            </c:dLbl>
            <c:dLbl>
              <c:idx val="4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517-4E42-8187-47F567C8BA52}"/>
                </c:ext>
              </c:extLst>
            </c:dLbl>
            <c:dLbl>
              <c:idx val="4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02F5-4BEF-9063-5443E9860FD6}"/>
                </c:ext>
              </c:extLst>
            </c:dLbl>
            <c:dLbl>
              <c:idx val="4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23E-4B38-9BCC-C738321AFA04}"/>
                </c:ext>
              </c:extLst>
            </c:dLbl>
            <c:dLbl>
              <c:idx val="4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56F-436A-991B-3F14A1753EA3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rgbClr val="639D69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'Ma trận PET- Fiber'!$BG$5:$BXO$5</c:f>
              <c:strCache>
                <c:ptCount val="56"/>
                <c:pt idx="0">
                  <c:v> 01 </c:v>
                </c:pt>
                <c:pt idx="1">
                  <c:v> 02 </c:v>
                </c:pt>
                <c:pt idx="2">
                  <c:v> 03 </c:v>
                </c:pt>
                <c:pt idx="3">
                  <c:v> 04 </c:v>
                </c:pt>
                <c:pt idx="4">
                  <c:v> 06 </c:v>
                </c:pt>
                <c:pt idx="5">
                  <c:v> 07 </c:v>
                </c:pt>
                <c:pt idx="6">
                  <c:v> 08 </c:v>
                </c:pt>
                <c:pt idx="7">
                  <c:v> 09 </c:v>
                </c:pt>
                <c:pt idx="8">
                  <c:v> 10 </c:v>
                </c:pt>
                <c:pt idx="9">
                  <c:v> 11 </c:v>
                </c:pt>
                <c:pt idx="10">
                  <c:v> 12 </c:v>
                </c:pt>
                <c:pt idx="11">
                  <c:v> 13 </c:v>
                </c:pt>
                <c:pt idx="12">
                  <c:v> 14 </c:v>
                </c:pt>
                <c:pt idx="13">
                  <c:v> 15 </c:v>
                </c:pt>
                <c:pt idx="14">
                  <c:v> 16 </c:v>
                </c:pt>
                <c:pt idx="15">
                  <c:v> 17 </c:v>
                </c:pt>
                <c:pt idx="16">
                  <c:v> 18 </c:v>
                </c:pt>
                <c:pt idx="17">
                  <c:v> 19 </c:v>
                </c:pt>
                <c:pt idx="18">
                  <c:v> 20 </c:v>
                </c:pt>
                <c:pt idx="19">
                  <c:v> 21 </c:v>
                </c:pt>
                <c:pt idx="20">
                  <c:v> 22 </c:v>
                </c:pt>
                <c:pt idx="21">
                  <c:v> 23 </c:v>
                </c:pt>
                <c:pt idx="22">
                  <c:v> 24 </c:v>
                </c:pt>
                <c:pt idx="23">
                  <c:v> 25 </c:v>
                </c:pt>
                <c:pt idx="24">
                  <c:v> 26 </c:v>
                </c:pt>
                <c:pt idx="25">
                  <c:v> 27 </c:v>
                </c:pt>
                <c:pt idx="26">
                  <c:v> 28 </c:v>
                </c:pt>
                <c:pt idx="27">
                  <c:v> 29 </c:v>
                </c:pt>
                <c:pt idx="28">
                  <c:v> 30 </c:v>
                </c:pt>
                <c:pt idx="29">
                  <c:v> 31 </c:v>
                </c:pt>
                <c:pt idx="30">
                  <c:v> 32 </c:v>
                </c:pt>
                <c:pt idx="31">
                  <c:v> 33 </c:v>
                </c:pt>
                <c:pt idx="32">
                  <c:v> 34 </c:v>
                </c:pt>
                <c:pt idx="33">
                  <c:v> 35 </c:v>
                </c:pt>
                <c:pt idx="34">
                  <c:v> 36 </c:v>
                </c:pt>
                <c:pt idx="35">
                  <c:v> 37 </c:v>
                </c:pt>
                <c:pt idx="36">
                  <c:v> 38 </c:v>
                </c:pt>
                <c:pt idx="37">
                  <c:v> 39 </c:v>
                </c:pt>
                <c:pt idx="38">
                  <c:v> 40 </c:v>
                </c:pt>
                <c:pt idx="39">
                  <c:v> 41 </c:v>
                </c:pt>
                <c:pt idx="40">
                  <c:v> 42 </c:v>
                </c:pt>
                <c:pt idx="41">
                  <c:v> 43 </c:v>
                </c:pt>
                <c:pt idx="42">
                  <c:v> 44 </c:v>
                </c:pt>
                <c:pt idx="43">
                  <c:v> 45 </c:v>
                </c:pt>
                <c:pt idx="44">
                  <c:v> 46 </c:v>
                </c:pt>
                <c:pt idx="45">
                  <c:v> 47 </c:v>
                </c:pt>
                <c:pt idx="46">
                  <c:v> 48 </c:v>
                </c:pt>
                <c:pt idx="47">
                  <c:v> 49 </c:v>
                </c:pt>
                <c:pt idx="48">
                  <c:v> 50 </c:v>
                </c:pt>
                <c:pt idx="49">
                  <c:v> 51 </c:v>
                </c:pt>
                <c:pt idx="50">
                  <c:v> 52 </c:v>
                </c:pt>
                <c:pt idx="51">
                  <c:v> 01 </c:v>
                </c:pt>
                <c:pt idx="52">
                  <c:v> 02 </c:v>
                </c:pt>
                <c:pt idx="53">
                  <c:v> 03 </c:v>
                </c:pt>
                <c:pt idx="54">
                  <c:v> 04 </c:v>
                </c:pt>
                <c:pt idx="55">
                  <c:v> 05 </c:v>
                </c:pt>
              </c:strCache>
            </c:strRef>
          </c:cat>
          <c:val>
            <c:numRef>
              <c:f>'Ma trận PET- Fiber'!$AP$7:$FC$7</c:f>
              <c:numCache>
                <c:formatCode>"$"#,##0_);\("$"#,##0\)</c:formatCode>
                <c:ptCount val="51"/>
                <c:pt idx="0">
                  <c:v>1100</c:v>
                </c:pt>
                <c:pt idx="1">
                  <c:v>1100</c:v>
                </c:pt>
                <c:pt idx="2">
                  <c:v>1100</c:v>
                </c:pt>
                <c:pt idx="3">
                  <c:v>1100</c:v>
                </c:pt>
                <c:pt idx="4">
                  <c:v>1100</c:v>
                </c:pt>
                <c:pt idx="5">
                  <c:v>1100</c:v>
                </c:pt>
                <c:pt idx="6">
                  <c:v>1100</c:v>
                </c:pt>
                <c:pt idx="7">
                  <c:v>1100</c:v>
                </c:pt>
                <c:pt idx="8">
                  <c:v>1100</c:v>
                </c:pt>
                <c:pt idx="9">
                  <c:v>1100</c:v>
                </c:pt>
                <c:pt idx="10">
                  <c:v>1100</c:v>
                </c:pt>
                <c:pt idx="11">
                  <c:v>1100</c:v>
                </c:pt>
                <c:pt idx="12">
                  <c:v>1120</c:v>
                </c:pt>
                <c:pt idx="13">
                  <c:v>1120</c:v>
                </c:pt>
                <c:pt idx="14">
                  <c:v>1120</c:v>
                </c:pt>
                <c:pt idx="15">
                  <c:v>1120</c:v>
                </c:pt>
                <c:pt idx="16">
                  <c:v>1120</c:v>
                </c:pt>
                <c:pt idx="17">
                  <c:v>1120</c:v>
                </c:pt>
                <c:pt idx="18">
                  <c:v>1120</c:v>
                </c:pt>
                <c:pt idx="19">
                  <c:v>1120</c:v>
                </c:pt>
                <c:pt idx="20">
                  <c:v>1120</c:v>
                </c:pt>
                <c:pt idx="21">
                  <c:v>1120</c:v>
                </c:pt>
                <c:pt idx="22">
                  <c:v>1120</c:v>
                </c:pt>
                <c:pt idx="23">
                  <c:v>1120</c:v>
                </c:pt>
                <c:pt idx="24">
                  <c:v>1120</c:v>
                </c:pt>
                <c:pt idx="25">
                  <c:v>1120</c:v>
                </c:pt>
                <c:pt idx="26">
                  <c:v>1120</c:v>
                </c:pt>
                <c:pt idx="27">
                  <c:v>1120</c:v>
                </c:pt>
                <c:pt idx="28">
                  <c:v>1120</c:v>
                </c:pt>
                <c:pt idx="29">
                  <c:v>1120</c:v>
                </c:pt>
                <c:pt idx="30">
                  <c:v>1090</c:v>
                </c:pt>
                <c:pt idx="31">
                  <c:v>1090</c:v>
                </c:pt>
                <c:pt idx="32">
                  <c:v>1090</c:v>
                </c:pt>
                <c:pt idx="33">
                  <c:v>1090</c:v>
                </c:pt>
                <c:pt idx="34">
                  <c:v>1090</c:v>
                </c:pt>
                <c:pt idx="35">
                  <c:v>1090</c:v>
                </c:pt>
                <c:pt idx="36">
                  <c:v>1090</c:v>
                </c:pt>
                <c:pt idx="37">
                  <c:v>1090</c:v>
                </c:pt>
                <c:pt idx="38">
                  <c:v>1080</c:v>
                </c:pt>
                <c:pt idx="39">
                  <c:v>1080</c:v>
                </c:pt>
                <c:pt idx="40">
                  <c:v>1080</c:v>
                </c:pt>
                <c:pt idx="41">
                  <c:v>1080</c:v>
                </c:pt>
                <c:pt idx="42">
                  <c:v>1080</c:v>
                </c:pt>
                <c:pt idx="43">
                  <c:v>1070</c:v>
                </c:pt>
                <c:pt idx="44">
                  <c:v>1070</c:v>
                </c:pt>
                <c:pt idx="45">
                  <c:v>1070</c:v>
                </c:pt>
                <c:pt idx="46">
                  <c:v>1070</c:v>
                </c:pt>
                <c:pt idx="47">
                  <c:v>1070</c:v>
                </c:pt>
                <c:pt idx="48">
                  <c:v>1070</c:v>
                </c:pt>
                <c:pt idx="49">
                  <c:v>1070</c:v>
                </c:pt>
                <c:pt idx="50">
                  <c:v>1070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4-4CCB-4527-97D7-47C7E1671784}"/>
            </c:ext>
          </c:extLst>
        </c:ser>
        <c:ser>
          <c:idx val="0"/>
          <c:order val="4"/>
          <c:tx>
            <c:strRef>
              <c:f>'Ma trận PET- Fiber'!$AO$9</c:f>
              <c:strCache>
                <c:ptCount val="1"/>
                <c:pt idx="0">
                  <c:v>RESIN</c:v>
                </c:pt>
              </c:strCache>
            </c:strRef>
          </c:tx>
          <c:spPr>
            <a:ln w="50800" cap="rnd">
              <a:solidFill>
                <a:srgbClr val="FF3399"/>
              </a:solidFill>
              <a:round/>
            </a:ln>
            <a:effectLst/>
          </c:spPr>
          <c:marker>
            <c:symbol val="none"/>
          </c:marke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D4BA-4433-8EE9-0D3F648B4854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389-4D14-B2E7-6C76254DC755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67CF-4EC5-A3FD-2476ADBF79BE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4FE4-492A-944B-B12BB6F56EE0}"/>
                </c:ext>
              </c:extLst>
            </c:dLbl>
            <c:dLbl>
              <c:idx val="6"/>
              <c:layout>
                <c:manualLayout>
                  <c:x val="-2.6807691541835585E-2"/>
                  <c:y val="-3.760980090681820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D2BC-42B8-974A-EC24D106FE1C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389-4D14-B2E7-6C76254DC755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7CF-4EC5-A3FD-2476ADBF79BE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4FE4-492A-944B-B12BB6F56EE0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02F5-4BEF-9063-5443E9860FD6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0B7C-4861-A8AC-91C529D2B6D5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80C-4A5C-A045-25E88BF372A7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80C-4A5C-A045-25E88BF372A7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80C-4A5C-A045-25E88BF372A7}"/>
                </c:ext>
              </c:extLst>
            </c:dLbl>
            <c:dLbl>
              <c:idx val="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02F5-4BEF-9063-5443E9860FD6}"/>
                </c:ext>
              </c:extLst>
            </c:dLbl>
            <c:dLbl>
              <c:idx val="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A86-4769-81E6-06C035B976E1}"/>
                </c:ext>
              </c:extLst>
            </c:dLbl>
            <c:dLbl>
              <c:idx val="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3A86-4769-81E6-06C035B976E1}"/>
                </c:ext>
              </c:extLst>
            </c:dLbl>
            <c:dLbl>
              <c:idx val="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02F5-4BEF-9063-5443E9860FD6}"/>
                </c:ext>
              </c:extLst>
            </c:dLbl>
            <c:dLbl>
              <c:idx val="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BE6-43D6-A2B1-854D31F379FB}"/>
                </c:ext>
              </c:extLst>
            </c:dLbl>
            <c:dLbl>
              <c:idx val="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67CF-4EC5-A3FD-2476ADBF79BE}"/>
                </c:ext>
              </c:extLst>
            </c:dLbl>
            <c:dLbl>
              <c:idx val="3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8A5E-4FB7-8FE3-A4A57129A2C0}"/>
                </c:ext>
              </c:extLst>
            </c:dLbl>
            <c:dLbl>
              <c:idx val="3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02F5-4BEF-9063-5443E9860FD6}"/>
                </c:ext>
              </c:extLst>
            </c:dLbl>
            <c:dLbl>
              <c:idx val="3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A5E-4FB7-8FE3-A4A57129A2C0}"/>
                </c:ext>
              </c:extLst>
            </c:dLbl>
            <c:dLbl>
              <c:idx val="3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DD6C-4610-A21F-2AA4850EACEF}"/>
                </c:ext>
              </c:extLst>
            </c:dLbl>
            <c:dLbl>
              <c:idx val="3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D6C-4610-A21F-2AA4850EACEF}"/>
                </c:ext>
              </c:extLst>
            </c:dLbl>
            <c:dLbl>
              <c:idx val="41"/>
              <c:layout>
                <c:manualLayout>
                  <c:x val="-7.1350554332711051E-3"/>
                  <c:y val="-3.563599915503510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3491-40D9-90C0-6E937C547508}"/>
                </c:ext>
              </c:extLst>
            </c:dLbl>
            <c:dLbl>
              <c:idx val="4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5A3-4E0A-A2A6-D1F21F6E7E13}"/>
                </c:ext>
              </c:extLst>
            </c:dLbl>
            <c:dLbl>
              <c:idx val="4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5D4-44C4-91C5-D56F81B30945}"/>
                </c:ext>
              </c:extLst>
            </c:dLbl>
            <c:dLbl>
              <c:idx val="4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4517-4E42-8187-47F567C8BA52}"/>
                </c:ext>
              </c:extLst>
            </c:dLbl>
            <c:dLbl>
              <c:idx val="4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02F5-4BEF-9063-5443E9860FD6}"/>
                </c:ext>
              </c:extLst>
            </c:dLbl>
            <c:dLbl>
              <c:idx val="4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23E-4B38-9BCC-C738321AFA04}"/>
                </c:ext>
              </c:extLst>
            </c:dLbl>
            <c:dLbl>
              <c:idx val="4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56F-436A-991B-3F14A1753EA3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rgbClr val="FF3399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'Ma trận PET- Fiber'!$BG$5:$BXO$5</c:f>
              <c:strCache>
                <c:ptCount val="56"/>
                <c:pt idx="0">
                  <c:v> 01 </c:v>
                </c:pt>
                <c:pt idx="1">
                  <c:v> 02 </c:v>
                </c:pt>
                <c:pt idx="2">
                  <c:v> 03 </c:v>
                </c:pt>
                <c:pt idx="3">
                  <c:v> 04 </c:v>
                </c:pt>
                <c:pt idx="4">
                  <c:v> 06 </c:v>
                </c:pt>
                <c:pt idx="5">
                  <c:v> 07 </c:v>
                </c:pt>
                <c:pt idx="6">
                  <c:v> 08 </c:v>
                </c:pt>
                <c:pt idx="7">
                  <c:v> 09 </c:v>
                </c:pt>
                <c:pt idx="8">
                  <c:v> 10 </c:v>
                </c:pt>
                <c:pt idx="9">
                  <c:v> 11 </c:v>
                </c:pt>
                <c:pt idx="10">
                  <c:v> 12 </c:v>
                </c:pt>
                <c:pt idx="11">
                  <c:v> 13 </c:v>
                </c:pt>
                <c:pt idx="12">
                  <c:v> 14 </c:v>
                </c:pt>
                <c:pt idx="13">
                  <c:v> 15 </c:v>
                </c:pt>
                <c:pt idx="14">
                  <c:v> 16 </c:v>
                </c:pt>
                <c:pt idx="15">
                  <c:v> 17 </c:v>
                </c:pt>
                <c:pt idx="16">
                  <c:v> 18 </c:v>
                </c:pt>
                <c:pt idx="17">
                  <c:v> 19 </c:v>
                </c:pt>
                <c:pt idx="18">
                  <c:v> 20 </c:v>
                </c:pt>
                <c:pt idx="19">
                  <c:v> 21 </c:v>
                </c:pt>
                <c:pt idx="20">
                  <c:v> 22 </c:v>
                </c:pt>
                <c:pt idx="21">
                  <c:v> 23 </c:v>
                </c:pt>
                <c:pt idx="22">
                  <c:v> 24 </c:v>
                </c:pt>
                <c:pt idx="23">
                  <c:v> 25 </c:v>
                </c:pt>
                <c:pt idx="24">
                  <c:v> 26 </c:v>
                </c:pt>
                <c:pt idx="25">
                  <c:v> 27 </c:v>
                </c:pt>
                <c:pt idx="26">
                  <c:v> 28 </c:v>
                </c:pt>
                <c:pt idx="27">
                  <c:v> 29 </c:v>
                </c:pt>
                <c:pt idx="28">
                  <c:v> 30 </c:v>
                </c:pt>
                <c:pt idx="29">
                  <c:v> 31 </c:v>
                </c:pt>
                <c:pt idx="30">
                  <c:v> 32 </c:v>
                </c:pt>
                <c:pt idx="31">
                  <c:v> 33 </c:v>
                </c:pt>
                <c:pt idx="32">
                  <c:v> 34 </c:v>
                </c:pt>
                <c:pt idx="33">
                  <c:v> 35 </c:v>
                </c:pt>
                <c:pt idx="34">
                  <c:v> 36 </c:v>
                </c:pt>
                <c:pt idx="35">
                  <c:v> 37 </c:v>
                </c:pt>
                <c:pt idx="36">
                  <c:v> 38 </c:v>
                </c:pt>
                <c:pt idx="37">
                  <c:v> 39 </c:v>
                </c:pt>
                <c:pt idx="38">
                  <c:v> 40 </c:v>
                </c:pt>
                <c:pt idx="39">
                  <c:v> 41 </c:v>
                </c:pt>
                <c:pt idx="40">
                  <c:v> 42 </c:v>
                </c:pt>
                <c:pt idx="41">
                  <c:v> 43 </c:v>
                </c:pt>
                <c:pt idx="42">
                  <c:v> 44 </c:v>
                </c:pt>
                <c:pt idx="43">
                  <c:v> 45 </c:v>
                </c:pt>
                <c:pt idx="44">
                  <c:v> 46 </c:v>
                </c:pt>
                <c:pt idx="45">
                  <c:v> 47 </c:v>
                </c:pt>
                <c:pt idx="46">
                  <c:v> 48 </c:v>
                </c:pt>
                <c:pt idx="47">
                  <c:v> 49 </c:v>
                </c:pt>
                <c:pt idx="48">
                  <c:v> 50 </c:v>
                </c:pt>
                <c:pt idx="49">
                  <c:v> 51 </c:v>
                </c:pt>
                <c:pt idx="50">
                  <c:v> 52 </c:v>
                </c:pt>
                <c:pt idx="51">
                  <c:v> 01 </c:v>
                </c:pt>
                <c:pt idx="52">
                  <c:v> 02 </c:v>
                </c:pt>
                <c:pt idx="53">
                  <c:v> 03 </c:v>
                </c:pt>
                <c:pt idx="54">
                  <c:v> 04 </c:v>
                </c:pt>
                <c:pt idx="55">
                  <c:v> 05 </c:v>
                </c:pt>
              </c:strCache>
            </c:strRef>
          </c:cat>
          <c:val>
            <c:numRef>
              <c:f>'Ma trận PET- Fiber'!$AP$9:$FC$9</c:f>
              <c:numCache>
                <c:formatCode>"$"#,##0_);\("$"#,##0\)</c:formatCode>
                <c:ptCount val="51"/>
                <c:pt idx="0">
                  <c:v>820</c:v>
                </c:pt>
                <c:pt idx="1">
                  <c:v>820</c:v>
                </c:pt>
                <c:pt idx="2">
                  <c:v>820</c:v>
                </c:pt>
                <c:pt idx="3">
                  <c:v>850</c:v>
                </c:pt>
                <c:pt idx="4">
                  <c:v>840</c:v>
                </c:pt>
                <c:pt idx="5">
                  <c:v>840</c:v>
                </c:pt>
                <c:pt idx="6">
                  <c:v>840</c:v>
                </c:pt>
                <c:pt idx="7">
                  <c:v>840</c:v>
                </c:pt>
                <c:pt idx="8">
                  <c:v>840</c:v>
                </c:pt>
                <c:pt idx="9">
                  <c:v>830</c:v>
                </c:pt>
                <c:pt idx="10">
                  <c:v>810</c:v>
                </c:pt>
                <c:pt idx="11">
                  <c:v>810</c:v>
                </c:pt>
                <c:pt idx="12">
                  <c:v>800</c:v>
                </c:pt>
                <c:pt idx="13">
                  <c:v>750</c:v>
                </c:pt>
                <c:pt idx="14">
                  <c:v>750</c:v>
                </c:pt>
                <c:pt idx="15">
                  <c:v>760</c:v>
                </c:pt>
                <c:pt idx="16">
                  <c:v>760</c:v>
                </c:pt>
                <c:pt idx="17">
                  <c:v>760</c:v>
                </c:pt>
                <c:pt idx="18">
                  <c:v>800</c:v>
                </c:pt>
                <c:pt idx="19">
                  <c:v>800</c:v>
                </c:pt>
                <c:pt idx="20">
                  <c:v>790</c:v>
                </c:pt>
                <c:pt idx="21">
                  <c:v>800</c:v>
                </c:pt>
                <c:pt idx="22">
                  <c:v>790</c:v>
                </c:pt>
                <c:pt idx="23">
                  <c:v>820</c:v>
                </c:pt>
                <c:pt idx="24">
                  <c:v>820</c:v>
                </c:pt>
                <c:pt idx="25">
                  <c:v>820</c:v>
                </c:pt>
                <c:pt idx="26">
                  <c:v>820</c:v>
                </c:pt>
                <c:pt idx="27">
                  <c:v>790</c:v>
                </c:pt>
                <c:pt idx="28">
                  <c:v>790</c:v>
                </c:pt>
                <c:pt idx="29">
                  <c:v>790</c:v>
                </c:pt>
                <c:pt idx="30">
                  <c:v>800</c:v>
                </c:pt>
                <c:pt idx="31">
                  <c:v>790</c:v>
                </c:pt>
                <c:pt idx="32">
                  <c:v>790</c:v>
                </c:pt>
                <c:pt idx="33">
                  <c:v>800</c:v>
                </c:pt>
                <c:pt idx="34">
                  <c:v>790</c:v>
                </c:pt>
                <c:pt idx="35">
                  <c:v>780</c:v>
                </c:pt>
                <c:pt idx="36">
                  <c:v>780</c:v>
                </c:pt>
                <c:pt idx="37">
                  <c:v>780</c:v>
                </c:pt>
                <c:pt idx="38">
                  <c:v>780</c:v>
                </c:pt>
                <c:pt idx="39">
                  <c:v>780</c:v>
                </c:pt>
                <c:pt idx="40">
                  <c:v>770</c:v>
                </c:pt>
                <c:pt idx="41">
                  <c:v>760</c:v>
                </c:pt>
                <c:pt idx="42">
                  <c:v>770</c:v>
                </c:pt>
                <c:pt idx="43">
                  <c:v>770</c:v>
                </c:pt>
                <c:pt idx="44">
                  <c:v>770</c:v>
                </c:pt>
                <c:pt idx="45">
                  <c:v>770</c:v>
                </c:pt>
                <c:pt idx="46">
                  <c:v>770</c:v>
                </c:pt>
                <c:pt idx="47">
                  <c:v>770</c:v>
                </c:pt>
                <c:pt idx="48">
                  <c:v>770</c:v>
                </c:pt>
                <c:pt idx="49">
                  <c:v>770</c:v>
                </c:pt>
                <c:pt idx="50">
                  <c:v>780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DE67-4D54-A958-B92AD9232860}"/>
            </c:ext>
          </c:extLst>
        </c:ser>
        <c:ser>
          <c:idx val="5"/>
          <c:order val="7"/>
          <c:tx>
            <c:strRef>
              <c:f>'Ma trận PET- Fiber'!$AO$13</c:f>
              <c:strCache>
                <c:ptCount val="1"/>
                <c:pt idx="0">
                  <c:v>Điểm hòa vốn</c:v>
                </c:pt>
              </c:strCache>
            </c:strRef>
          </c:tx>
          <c:spPr>
            <a:ln w="5080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389-4D14-B2E7-6C76254DC755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2344-43C9-833A-816AA56157B6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4FE4-492A-944B-B12BB6F56EE0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D4BA-4433-8EE9-0D3F648B4854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CE7C-4A81-BE14-FE96E33068A6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6-2344-43C9-833A-816AA56157B6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8-2344-43C9-833A-816AA56157B6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923E-4B38-9BCC-C738321AFA04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B7C-4861-A8AC-91C529D2B6D5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0B7C-4861-A8AC-91C529D2B6D5}"/>
                </c:ext>
              </c:extLst>
            </c:dLbl>
            <c:dLbl>
              <c:idx val="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923E-4B38-9BCC-C738321AFA04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B7C-4861-A8AC-91C529D2B6D5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0B7C-4861-A8AC-91C529D2B6D5}"/>
                </c:ext>
              </c:extLst>
            </c:dLbl>
            <c:dLbl>
              <c:idx val="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923E-4B38-9BCC-C738321AFA04}"/>
                </c:ext>
              </c:extLst>
            </c:dLbl>
            <c:dLbl>
              <c:idx val="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3A86-4769-81E6-06C035B976E1}"/>
                </c:ext>
              </c:extLst>
            </c:dLbl>
            <c:dLbl>
              <c:idx val="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3A86-4769-81E6-06C035B976E1}"/>
                </c:ext>
              </c:extLst>
            </c:dLbl>
            <c:dLbl>
              <c:idx val="2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80C-4A5C-A045-25E88BF372A7}"/>
                </c:ext>
              </c:extLst>
            </c:dLbl>
            <c:dLbl>
              <c:idx val="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A24F-45E6-8BF8-0A50AAC79846}"/>
                </c:ext>
              </c:extLst>
            </c:dLbl>
            <c:dLbl>
              <c:idx val="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B28-4AC0-A7F1-61F3D5924D22}"/>
                </c:ext>
              </c:extLst>
            </c:dLbl>
            <c:dLbl>
              <c:idx val="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67CF-4EC5-A3FD-2476ADBF79BE}"/>
                </c:ext>
              </c:extLst>
            </c:dLbl>
            <c:dLbl>
              <c:idx val="3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67CF-4EC5-A3FD-2476ADBF79BE}"/>
                </c:ext>
              </c:extLst>
            </c:dLbl>
            <c:dLbl>
              <c:idx val="3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673-41F3-9C95-C699DF9874D4}"/>
                </c:ext>
              </c:extLst>
            </c:dLbl>
            <c:dLbl>
              <c:idx val="3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8A5E-4FB7-8FE3-A4A57129A2C0}"/>
                </c:ext>
              </c:extLst>
            </c:dLbl>
            <c:dLbl>
              <c:idx val="3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DD6C-4610-A21F-2AA4850EACEF}"/>
                </c:ext>
              </c:extLst>
            </c:dLbl>
            <c:dLbl>
              <c:idx val="4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491-40D9-90C0-6E937C547508}"/>
                </c:ext>
              </c:extLst>
            </c:dLbl>
            <c:dLbl>
              <c:idx val="4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5A3-4E0A-A2A6-D1F21F6E7E13}"/>
                </c:ext>
              </c:extLst>
            </c:dLbl>
            <c:dLbl>
              <c:idx val="4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5D4-44C4-91C5-D56F81B30945}"/>
                </c:ext>
              </c:extLst>
            </c:dLbl>
            <c:dLbl>
              <c:idx val="4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517-4E42-8187-47F567C8BA52}"/>
                </c:ext>
              </c:extLst>
            </c:dLbl>
            <c:dLbl>
              <c:idx val="47"/>
              <c:delete val="1"/>
              <c:extLst>
                <c:ext xmlns:c15="http://schemas.microsoft.com/office/drawing/2012/chart" uri="{CE6537A1-D6FC-4f65-9D91-7224C49458BB}">
                  <c15:layout>
                    <c:manualLayout>
                      <c:w val="2.4080812087289537E-2"/>
                      <c:h val="4.7593593555894181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F-02F5-4BEF-9063-5443E9860FD6}"/>
                </c:ext>
              </c:extLst>
            </c:dLbl>
            <c:dLbl>
              <c:idx val="4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23E-4B38-9BCC-C738321AFA04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rgbClr val="FF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'Ma trận PET- Fiber'!$BG$5:$BXO$5</c:f>
              <c:strCache>
                <c:ptCount val="56"/>
                <c:pt idx="0">
                  <c:v> 01 </c:v>
                </c:pt>
                <c:pt idx="1">
                  <c:v> 02 </c:v>
                </c:pt>
                <c:pt idx="2">
                  <c:v> 03 </c:v>
                </c:pt>
                <c:pt idx="3">
                  <c:v> 04 </c:v>
                </c:pt>
                <c:pt idx="4">
                  <c:v> 06 </c:v>
                </c:pt>
                <c:pt idx="5">
                  <c:v> 07 </c:v>
                </c:pt>
                <c:pt idx="6">
                  <c:v> 08 </c:v>
                </c:pt>
                <c:pt idx="7">
                  <c:v> 09 </c:v>
                </c:pt>
                <c:pt idx="8">
                  <c:v> 10 </c:v>
                </c:pt>
                <c:pt idx="9">
                  <c:v> 11 </c:v>
                </c:pt>
                <c:pt idx="10">
                  <c:v> 12 </c:v>
                </c:pt>
                <c:pt idx="11">
                  <c:v> 13 </c:v>
                </c:pt>
                <c:pt idx="12">
                  <c:v> 14 </c:v>
                </c:pt>
                <c:pt idx="13">
                  <c:v> 15 </c:v>
                </c:pt>
                <c:pt idx="14">
                  <c:v> 16 </c:v>
                </c:pt>
                <c:pt idx="15">
                  <c:v> 17 </c:v>
                </c:pt>
                <c:pt idx="16">
                  <c:v> 18 </c:v>
                </c:pt>
                <c:pt idx="17">
                  <c:v> 19 </c:v>
                </c:pt>
                <c:pt idx="18">
                  <c:v> 20 </c:v>
                </c:pt>
                <c:pt idx="19">
                  <c:v> 21 </c:v>
                </c:pt>
                <c:pt idx="20">
                  <c:v> 22 </c:v>
                </c:pt>
                <c:pt idx="21">
                  <c:v> 23 </c:v>
                </c:pt>
                <c:pt idx="22">
                  <c:v> 24 </c:v>
                </c:pt>
                <c:pt idx="23">
                  <c:v> 25 </c:v>
                </c:pt>
                <c:pt idx="24">
                  <c:v> 26 </c:v>
                </c:pt>
                <c:pt idx="25">
                  <c:v> 27 </c:v>
                </c:pt>
                <c:pt idx="26">
                  <c:v> 28 </c:v>
                </c:pt>
                <c:pt idx="27">
                  <c:v> 29 </c:v>
                </c:pt>
                <c:pt idx="28">
                  <c:v> 30 </c:v>
                </c:pt>
                <c:pt idx="29">
                  <c:v> 31 </c:v>
                </c:pt>
                <c:pt idx="30">
                  <c:v> 32 </c:v>
                </c:pt>
                <c:pt idx="31">
                  <c:v> 33 </c:v>
                </c:pt>
                <c:pt idx="32">
                  <c:v> 34 </c:v>
                </c:pt>
                <c:pt idx="33">
                  <c:v> 35 </c:v>
                </c:pt>
                <c:pt idx="34">
                  <c:v> 36 </c:v>
                </c:pt>
                <c:pt idx="35">
                  <c:v> 37 </c:v>
                </c:pt>
                <c:pt idx="36">
                  <c:v> 38 </c:v>
                </c:pt>
                <c:pt idx="37">
                  <c:v> 39 </c:v>
                </c:pt>
                <c:pt idx="38">
                  <c:v> 40 </c:v>
                </c:pt>
                <c:pt idx="39">
                  <c:v> 41 </c:v>
                </c:pt>
                <c:pt idx="40">
                  <c:v> 42 </c:v>
                </c:pt>
                <c:pt idx="41">
                  <c:v> 43 </c:v>
                </c:pt>
                <c:pt idx="42">
                  <c:v> 44 </c:v>
                </c:pt>
                <c:pt idx="43">
                  <c:v> 45 </c:v>
                </c:pt>
                <c:pt idx="44">
                  <c:v> 46 </c:v>
                </c:pt>
                <c:pt idx="45">
                  <c:v> 47 </c:v>
                </c:pt>
                <c:pt idx="46">
                  <c:v> 48 </c:v>
                </c:pt>
                <c:pt idx="47">
                  <c:v> 49 </c:v>
                </c:pt>
                <c:pt idx="48">
                  <c:v> 50 </c:v>
                </c:pt>
                <c:pt idx="49">
                  <c:v> 51 </c:v>
                </c:pt>
                <c:pt idx="50">
                  <c:v> 52 </c:v>
                </c:pt>
                <c:pt idx="51">
                  <c:v> 01 </c:v>
                </c:pt>
                <c:pt idx="52">
                  <c:v> 02 </c:v>
                </c:pt>
                <c:pt idx="53">
                  <c:v> 03 </c:v>
                </c:pt>
                <c:pt idx="54">
                  <c:v> 04 </c:v>
                </c:pt>
                <c:pt idx="55">
                  <c:v> 05 </c:v>
                </c:pt>
              </c:strCache>
            </c:strRef>
          </c:cat>
          <c:val>
            <c:numRef>
              <c:f>'Ma trận PET- Fiber'!$AP$13:$FC$13</c:f>
              <c:numCache>
                <c:formatCode>_(* #,##0_);_(* \(#,##0\);_(* "-"??_);_(@_)</c:formatCode>
                <c:ptCount val="51"/>
                <c:pt idx="0">
                  <c:v>668.04613132777956</c:v>
                </c:pt>
                <c:pt idx="1">
                  <c:v>668.04613132777956</c:v>
                </c:pt>
                <c:pt idx="2">
                  <c:v>668.04613132777956</c:v>
                </c:pt>
                <c:pt idx="3">
                  <c:v>668.04613132777956</c:v>
                </c:pt>
                <c:pt idx="4">
                  <c:v>694.46136145567061</c:v>
                </c:pt>
                <c:pt idx="5">
                  <c:v>694.46136145567061</c:v>
                </c:pt>
                <c:pt idx="6">
                  <c:v>694.46136145567061</c:v>
                </c:pt>
                <c:pt idx="7">
                  <c:v>694.46136145567061</c:v>
                </c:pt>
                <c:pt idx="8">
                  <c:v>704.64253339668858</c:v>
                </c:pt>
                <c:pt idx="9">
                  <c:v>704.64253339668858</c:v>
                </c:pt>
                <c:pt idx="10">
                  <c:v>704.64253339668858</c:v>
                </c:pt>
                <c:pt idx="11">
                  <c:v>704.64253339668858</c:v>
                </c:pt>
                <c:pt idx="12">
                  <c:v>693.32467456021789</c:v>
                </c:pt>
                <c:pt idx="13">
                  <c:v>693.32467456021789</c:v>
                </c:pt>
                <c:pt idx="14">
                  <c:v>693.32467456021789</c:v>
                </c:pt>
                <c:pt idx="15">
                  <c:v>693.32467456021789</c:v>
                </c:pt>
                <c:pt idx="16">
                  <c:v>701.49240475275428</c:v>
                </c:pt>
                <c:pt idx="17">
                  <c:v>701.49240475275428</c:v>
                </c:pt>
                <c:pt idx="18">
                  <c:v>701.49240475275428</c:v>
                </c:pt>
                <c:pt idx="19">
                  <c:v>701.49240475275428</c:v>
                </c:pt>
                <c:pt idx="20">
                  <c:v>701.49240475275428</c:v>
                </c:pt>
                <c:pt idx="21">
                  <c:v>711.95211896874696</c:v>
                </c:pt>
                <c:pt idx="22">
                  <c:v>711.95211896874696</c:v>
                </c:pt>
                <c:pt idx="23">
                  <c:v>711.95211896874696</c:v>
                </c:pt>
                <c:pt idx="24">
                  <c:v>711.95211896874696</c:v>
                </c:pt>
                <c:pt idx="25">
                  <c:v>716.07583093115807</c:v>
                </c:pt>
                <c:pt idx="26">
                  <c:v>716.07583093115807</c:v>
                </c:pt>
                <c:pt idx="27">
                  <c:v>716.07583093115807</c:v>
                </c:pt>
                <c:pt idx="28">
                  <c:v>716.07583093115807</c:v>
                </c:pt>
                <c:pt idx="29">
                  <c:v>716.07583093115807</c:v>
                </c:pt>
                <c:pt idx="30">
                  <c:v>711.5515229380502</c:v>
                </c:pt>
                <c:pt idx="31">
                  <c:v>711.5515229380502</c:v>
                </c:pt>
                <c:pt idx="32">
                  <c:v>711.5515229380502</c:v>
                </c:pt>
                <c:pt idx="33">
                  <c:v>711.5515229380502</c:v>
                </c:pt>
                <c:pt idx="34">
                  <c:v>657.6425700422576</c:v>
                </c:pt>
                <c:pt idx="35">
                  <c:v>657.6425700422576</c:v>
                </c:pt>
                <c:pt idx="36">
                  <c:v>657.6425700422576</c:v>
                </c:pt>
                <c:pt idx="37">
                  <c:v>657.6425700422576</c:v>
                </c:pt>
                <c:pt idx="38">
                  <c:v>655.42324121217587</c:v>
                </c:pt>
                <c:pt idx="39">
                  <c:v>655.42324121217587</c:v>
                </c:pt>
                <c:pt idx="40">
                  <c:v>655.42324121217587</c:v>
                </c:pt>
                <c:pt idx="41">
                  <c:v>655.42324121217587</c:v>
                </c:pt>
                <c:pt idx="42">
                  <c:v>655.42324121217587</c:v>
                </c:pt>
                <c:pt idx="43">
                  <c:v>687.77689086730652</c:v>
                </c:pt>
                <c:pt idx="44">
                  <c:v>687.77689086730652</c:v>
                </c:pt>
                <c:pt idx="45">
                  <c:v>687.77689086730652</c:v>
                </c:pt>
                <c:pt idx="46">
                  <c:v>687.77689086730652</c:v>
                </c:pt>
                <c:pt idx="47">
                  <c:v>599.05685394273485</c:v>
                </c:pt>
                <c:pt idx="48">
                  <c:v>599.05685394273485</c:v>
                </c:pt>
                <c:pt idx="49">
                  <c:v>599.05685394273485</c:v>
                </c:pt>
                <c:pt idx="50">
                  <c:v>599.05685394273485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3-4CCB-4527-97D7-47C7E16717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bg2"/>
              </a:solidFill>
              <a:round/>
            </a:ln>
            <a:effectLst/>
          </c:spPr>
        </c:dropLines>
        <c:marker val="1"/>
        <c:smooth val="0"/>
        <c:axId val="1917916735"/>
        <c:axId val="1917910079"/>
      </c:lineChart>
      <c:catAx>
        <c:axId val="1917916735"/>
        <c:scaling>
          <c:orientation val="minMax"/>
        </c:scaling>
        <c:delete val="0"/>
        <c:axPos val="b"/>
        <c:numFmt formatCode="#,##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917910079"/>
        <c:crosses val="autoZero"/>
        <c:auto val="1"/>
        <c:lblAlgn val="ctr"/>
        <c:lblOffset val="100"/>
        <c:noMultiLvlLbl val="0"/>
      </c:catAx>
      <c:valAx>
        <c:axId val="1917910079"/>
        <c:scaling>
          <c:orientation val="minMax"/>
          <c:min val="500"/>
        </c:scaling>
        <c:delete val="0"/>
        <c:axPos val="l"/>
        <c:numFmt formatCode="#,##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917916735"/>
        <c:crosses val="autoZero"/>
        <c:crossBetween val="between"/>
        <c:majorUnit val="200"/>
      </c:valAx>
      <c:spPr>
        <a:noFill/>
        <a:ln w="25400">
          <a:noFill/>
        </a:ln>
        <a:effectLst/>
      </c:spPr>
    </c:plotArea>
    <c:legend>
      <c:legendPos val="r"/>
      <c:legendEntry>
        <c:idx val="0"/>
        <c:delete val="1"/>
      </c:legendEntry>
      <c:legendEntry>
        <c:idx val="1"/>
        <c:delete val="1"/>
      </c:legendEntry>
      <c:legendEntry>
        <c:idx val="2"/>
        <c:txPr>
          <a:bodyPr rot="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rgbClr val="00B05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legendEntry>
      <c:legendEntry>
        <c:idx val="3"/>
        <c:txPr>
          <a:bodyPr rot="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rgbClr val="639D69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legendEntry>
      <c:legendEntry>
        <c:idx val="4"/>
        <c:txPr>
          <a:bodyPr rot="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rgbClr val="FF3399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legendEntry>
      <c:legendEntry>
        <c:idx val="5"/>
        <c:txPr>
          <a:bodyPr rot="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rgbClr val="FF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legendEntry>
      <c:layout>
        <c:manualLayout>
          <c:xMode val="edge"/>
          <c:yMode val="edge"/>
          <c:x val="0.88645849854370962"/>
          <c:y val="0.14633757961783439"/>
          <c:w val="0.10726097886770733"/>
          <c:h val="0.7531297853924854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landscape"/>
  </c:printSettings>
  <c:userShapes r:id="rId3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200" b="1" i="0" u="none" strike="noStrike" kern="1200" spc="0" baseline="0">
                <a:solidFill>
                  <a:srgbClr val="0000FF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2200" b="1" baseline="0">
                <a:solidFill>
                  <a:srgbClr val="0000FF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GIÁ HẠT NHỰA </a:t>
            </a:r>
            <a:r>
              <a:rPr lang="en-US" sz="22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rHDPE THỔI</a:t>
            </a:r>
            <a:r>
              <a:rPr lang="en-US" sz="2200" b="1" baseline="0">
                <a:solidFill>
                  <a:srgbClr val="0000FF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NĂM 2024 &amp;2025 (USD/tấn)</a:t>
            </a:r>
            <a:endParaRPr lang="en-US" sz="2200" b="1">
              <a:solidFill>
                <a:srgbClr val="0000FF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200" b="1" i="0" u="none" strike="noStrike" kern="1200" spc="0" baseline="0">
              <a:solidFill>
                <a:srgbClr val="0000FF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1211187348356736E-2"/>
          <c:y val="0.12548660011418883"/>
          <c:w val="0.80562467161494256"/>
          <c:h val="0.77557344530558303"/>
        </c:manualLayout>
      </c:layout>
      <c:areaChart>
        <c:grouping val="stacked"/>
        <c:varyColors val="0"/>
        <c:ser>
          <c:idx val="16"/>
          <c:order val="13"/>
          <c:tx>
            <c:strRef>
              <c:f>'Ma trận HDPE thổi'!$H$23</c:f>
              <c:strCache>
                <c:ptCount val="1"/>
                <c:pt idx="0">
                  <c:v> TTCP </c:v>
                </c:pt>
              </c:strCache>
            </c:strRef>
          </c:tx>
          <c:spPr>
            <a:solidFill>
              <a:schemeClr val="bg1"/>
            </a:solidFill>
            <a:ln w="25400">
              <a:noFill/>
            </a:ln>
            <a:effectLst/>
          </c:spPr>
          <c:val>
            <c:numRef>
              <c:f>'Ma trận HDPE thổi'!$U$23:$BV$23</c:f>
              <c:numCache>
                <c:formatCode>"$"#,##0_);\("$"#,##0\)</c:formatCode>
                <c:ptCount val="25"/>
                <c:pt idx="0">
                  <c:v>940</c:v>
                </c:pt>
                <c:pt idx="1">
                  <c:v>993.33333333333337</c:v>
                </c:pt>
                <c:pt idx="2">
                  <c:v>985</c:v>
                </c:pt>
                <c:pt idx="3">
                  <c:v>962.5</c:v>
                </c:pt>
                <c:pt idx="4">
                  <c:v>982</c:v>
                </c:pt>
                <c:pt idx="5">
                  <c:v>1000</c:v>
                </c:pt>
                <c:pt idx="6">
                  <c:v>1000</c:v>
                </c:pt>
                <c:pt idx="7">
                  <c:v>984</c:v>
                </c:pt>
                <c:pt idx="8">
                  <c:v>967.5</c:v>
                </c:pt>
                <c:pt idx="9">
                  <c:v>965</c:v>
                </c:pt>
                <c:pt idx="10">
                  <c:v>974</c:v>
                </c:pt>
                <c:pt idx="11">
                  <c:v>956</c:v>
                </c:pt>
                <c:pt idx="12">
                  <c:v>940</c:v>
                </c:pt>
                <c:pt idx="13">
                  <c:v>918</c:v>
                </c:pt>
                <c:pt idx="14">
                  <c:v>896</c:v>
                </c:pt>
                <c:pt idx="15">
                  <c:v>891.5</c:v>
                </c:pt>
                <c:pt idx="16">
                  <c:v>864</c:v>
                </c:pt>
                <c:pt idx="17">
                  <c:v>833</c:v>
                </c:pt>
                <c:pt idx="18">
                  <c:v>833</c:v>
                </c:pt>
                <c:pt idx="19">
                  <c:v>815</c:v>
                </c:pt>
                <c:pt idx="20">
                  <c:v>812.5</c:v>
                </c:pt>
                <c:pt idx="21">
                  <c:v>805</c:v>
                </c:pt>
                <c:pt idx="22">
                  <c:v>805</c:v>
                </c:pt>
                <c:pt idx="23">
                  <c:v>802.5</c:v>
                </c:pt>
                <c:pt idx="24">
                  <c:v>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9C-433E-B398-94E83FF47F3E}"/>
            </c:ext>
          </c:extLst>
        </c:ser>
        <c:ser>
          <c:idx val="17"/>
          <c:order val="18"/>
          <c:tx>
            <c:strRef>
              <c:f>'Ma trận HDPE thổi'!$H$24</c:f>
              <c:strCache>
                <c:ptCount val="1"/>
                <c:pt idx="0">
                  <c:v>CL</c:v>
                </c:pt>
              </c:strCache>
            </c:strRef>
          </c:tx>
          <c:spPr>
            <a:solidFill>
              <a:schemeClr val="accent4">
                <a:lumMod val="20000"/>
                <a:lumOff val="80000"/>
              </a:schemeClr>
            </a:solidFill>
            <a:ln>
              <a:noFill/>
            </a:ln>
            <a:effectLst/>
          </c:spPr>
          <c:val>
            <c:numRef>
              <c:f>'Ma trận HDPE thổi'!$U$24:$BV$24</c:f>
              <c:numCache>
                <c:formatCode>"$"#,##0_);\("$"#,##0\)</c:formatCode>
                <c:ptCount val="25"/>
                <c:pt idx="0">
                  <c:v>460</c:v>
                </c:pt>
                <c:pt idx="1">
                  <c:v>406.66666666666663</c:v>
                </c:pt>
                <c:pt idx="2">
                  <c:v>415</c:v>
                </c:pt>
                <c:pt idx="3">
                  <c:v>437.5</c:v>
                </c:pt>
                <c:pt idx="4">
                  <c:v>418</c:v>
                </c:pt>
                <c:pt idx="5">
                  <c:v>400</c:v>
                </c:pt>
                <c:pt idx="6">
                  <c:v>400</c:v>
                </c:pt>
                <c:pt idx="7">
                  <c:v>416</c:v>
                </c:pt>
                <c:pt idx="8">
                  <c:v>432.5</c:v>
                </c:pt>
                <c:pt idx="9">
                  <c:v>435</c:v>
                </c:pt>
                <c:pt idx="10">
                  <c:v>426</c:v>
                </c:pt>
                <c:pt idx="11">
                  <c:v>444</c:v>
                </c:pt>
                <c:pt idx="12">
                  <c:v>460</c:v>
                </c:pt>
                <c:pt idx="13">
                  <c:v>482</c:v>
                </c:pt>
                <c:pt idx="14">
                  <c:v>454</c:v>
                </c:pt>
                <c:pt idx="15">
                  <c:v>458.5</c:v>
                </c:pt>
                <c:pt idx="16">
                  <c:v>486</c:v>
                </c:pt>
                <c:pt idx="17">
                  <c:v>517</c:v>
                </c:pt>
                <c:pt idx="18">
                  <c:v>517</c:v>
                </c:pt>
                <c:pt idx="19">
                  <c:v>515</c:v>
                </c:pt>
                <c:pt idx="20">
                  <c:v>497.5</c:v>
                </c:pt>
                <c:pt idx="21">
                  <c:v>505</c:v>
                </c:pt>
                <c:pt idx="22">
                  <c:v>495</c:v>
                </c:pt>
                <c:pt idx="23">
                  <c:v>497.5</c:v>
                </c:pt>
                <c:pt idx="24">
                  <c:v>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69C-433E-B398-94E83FF47F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tx1">
                  <a:lumMod val="35000"/>
                  <a:lumOff val="65000"/>
                </a:schemeClr>
              </a:solidFill>
              <a:round/>
            </a:ln>
            <a:effectLst/>
          </c:spPr>
        </c:dropLines>
        <c:axId val="1917916735"/>
        <c:axId val="1917910079"/>
      </c:areaChart>
      <c:lineChart>
        <c:grouping val="standard"/>
        <c:varyColors val="0"/>
        <c:ser>
          <c:idx val="7"/>
          <c:order val="10"/>
          <c:tx>
            <c:strRef>
              <c:f>'Ma trận HDPE thổi'!$H$14</c:f>
              <c:strCache>
                <c:ptCount val="1"/>
                <c:pt idx="0">
                  <c:v>DTR-Giá FOB rHD xuất xưởng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500" b="0" i="0" u="none" strike="noStrike" kern="1200" baseline="0">
                    <a:solidFill>
                      <a:schemeClr val="accent5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'Ma trận HDPE thổi'!$I$5:$AW$5</c:f>
            </c:multiLvlStrRef>
          </c:cat>
          <c:val>
            <c:numRef>
              <c:f>'Ma trận HDPE thổi'!$I$14:$AM$14</c:f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24-DAC2-4624-A7B2-21F9AB8BB5CB}"/>
            </c:ext>
          </c:extLst>
        </c:ser>
        <c:ser>
          <c:idx val="9"/>
          <c:order val="14"/>
          <c:tx>
            <c:strRef>
              <c:f>'Ma trận HDPE thổi'!$H$15</c:f>
              <c:strCache>
                <c:ptCount val="1"/>
                <c:pt idx="0">
                  <c:v>Giá Dafon CIF_ĐNÁ rHD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300" b="0" i="0" u="none" strike="noStrike" kern="1200" baseline="0">
                    <a:solidFill>
                      <a:srgbClr val="FF3399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'Ma trận HDPE thổi'!$I$5:$AW$5</c:f>
            </c:multiLvlStrRef>
          </c:cat>
          <c:val>
            <c:numRef>
              <c:f>'Ma trận HDPE thổi'!$I$15:$AM$15</c:f>
            </c:numRef>
          </c:val>
          <c:smooth val="0"/>
          <c:extLst>
            <c:ext xmlns:c16="http://schemas.microsoft.com/office/drawing/2014/chart" uri="{C3380CC4-5D6E-409C-BE32-E72D297353CC}">
              <c16:uniqueId val="{00000029-DAC2-4624-A7B2-21F9AB8BB5C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917916735"/>
        <c:axId val="1917910079"/>
        <c:extLst/>
      </c:lineChart>
      <c:lineChart>
        <c:grouping val="standard"/>
        <c:varyColors val="0"/>
        <c:ser>
          <c:idx val="3"/>
          <c:order val="0"/>
          <c:tx>
            <c:strRef>
              <c:f>'Ma trận HDPE thổi'!$H$22</c:f>
              <c:strCache>
                <c:ptCount val="1"/>
                <c:pt idx="0">
                  <c:v> Giá bán Unilever </c:v>
                </c:pt>
              </c:strCache>
            </c:strRef>
          </c:tx>
          <c:spPr>
            <a:ln w="50800" cap="rnd">
              <a:solidFill>
                <a:srgbClr val="2CD8D4"/>
              </a:solidFill>
              <a:round/>
            </a:ln>
            <a:effectLst/>
          </c:spPr>
          <c:marker>
            <c:symbol val="none"/>
          </c:marke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304-4D92-806B-5DCC37E49E16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764F-49CC-9BAB-6C937F0E08BB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D119-469A-B341-2BB860111904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4A0-4D65-AEB4-8DBFF26E000C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304-4D92-806B-5DCC37E49E16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4A0-4D65-AEB4-8DBFF26E000C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AB65-4A03-A9B2-3B05DF08B69F}"/>
                </c:ext>
              </c:extLst>
            </c:dLbl>
            <c:dLbl>
              <c:idx val="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23A-4675-98C7-EA11D3618218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F91-42B3-8850-610701559C3E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rgbClr val="00B0F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'Ma trận HDPE thổi'!$I$5:$BV$5</c:f>
              <c:strCache>
                <c:ptCount val="25"/>
                <c:pt idx="0">
                  <c:v>T1.24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T1.25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  <c:pt idx="16">
                  <c:v>5</c:v>
                </c:pt>
                <c:pt idx="17">
                  <c:v>6</c:v>
                </c:pt>
                <c:pt idx="18">
                  <c:v>7</c:v>
                </c:pt>
                <c:pt idx="19">
                  <c:v>8</c:v>
                </c:pt>
                <c:pt idx="20">
                  <c:v>9</c:v>
                </c:pt>
                <c:pt idx="21">
                  <c:v>10</c:v>
                </c:pt>
                <c:pt idx="22">
                  <c:v>11</c:v>
                </c:pt>
                <c:pt idx="23">
                  <c:v>12</c:v>
                </c:pt>
                <c:pt idx="24">
                  <c:v>T1.26</c:v>
                </c:pt>
              </c:strCache>
            </c:strRef>
          </c:cat>
          <c:val>
            <c:numRef>
              <c:f>'Ma trận HDPE thổi'!$U$22:$BV$22</c:f>
              <c:numCache>
                <c:formatCode>_(* #,##0_);_(* \(#,##0\);_(* "-"??_);_(@_)</c:formatCode>
                <c:ptCount val="25"/>
                <c:pt idx="0">
                  <c:v>1500</c:v>
                </c:pt>
                <c:pt idx="1">
                  <c:v>1500</c:v>
                </c:pt>
                <c:pt idx="2">
                  <c:v>1500</c:v>
                </c:pt>
                <c:pt idx="3">
                  <c:v>1430</c:v>
                </c:pt>
                <c:pt idx="4">
                  <c:v>1430</c:v>
                </c:pt>
                <c:pt idx="5">
                  <c:v>1430</c:v>
                </c:pt>
                <c:pt idx="6">
                  <c:v>1430</c:v>
                </c:pt>
                <c:pt idx="7">
                  <c:v>1430</c:v>
                </c:pt>
                <c:pt idx="8">
                  <c:v>1430</c:v>
                </c:pt>
                <c:pt idx="9">
                  <c:v>1430</c:v>
                </c:pt>
                <c:pt idx="10">
                  <c:v>1430</c:v>
                </c:pt>
                <c:pt idx="11">
                  <c:v>1430</c:v>
                </c:pt>
                <c:pt idx="12">
                  <c:v>1430</c:v>
                </c:pt>
                <c:pt idx="13">
                  <c:v>1430</c:v>
                </c:pt>
                <c:pt idx="14">
                  <c:v>1350</c:v>
                </c:pt>
                <c:pt idx="15">
                  <c:v>1350</c:v>
                </c:pt>
                <c:pt idx="16">
                  <c:v>1350</c:v>
                </c:pt>
                <c:pt idx="17">
                  <c:v>1350</c:v>
                </c:pt>
                <c:pt idx="18">
                  <c:v>1380</c:v>
                </c:pt>
                <c:pt idx="19">
                  <c:v>1380</c:v>
                </c:pt>
                <c:pt idx="20">
                  <c:v>1380</c:v>
                </c:pt>
                <c:pt idx="21">
                  <c:v>1380</c:v>
                </c:pt>
                <c:pt idx="22">
                  <c:v>1380</c:v>
                </c:pt>
                <c:pt idx="23">
                  <c:v>1380</c:v>
                </c:pt>
                <c:pt idx="24">
                  <c:v>1330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3A9-45A6-BB67-BE61B66CA177}"/>
            </c:ext>
          </c:extLst>
        </c:ser>
        <c:ser>
          <c:idx val="5"/>
          <c:order val="1"/>
          <c:tx>
            <c:strRef>
              <c:f>'Ma trận HDPE thổi'!$H$9</c:f>
              <c:strCache>
                <c:ptCount val="1"/>
                <c:pt idx="0">
                  <c:v>DTR (personal care)</c:v>
                </c:pt>
              </c:strCache>
            </c:strRef>
          </c:tx>
          <c:spPr>
            <a:ln w="5080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4.0915976756865716E-2"/>
                  <c:y val="1.062628477639954E-4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0082-424B-A58D-0C5D6CD0F254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7826-4E74-BA7E-A2E754F0EABD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7826-4E74-BA7E-A2E754F0EABD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6F7-4985-BE94-C688CEE8534C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06F7-4985-BE94-C688CEE8534C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F95-477E-AEE3-5BC118CE4382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568A-42D7-B4BB-1620A3ABA0B3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60B-4F80-889D-2C5DBB258810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2CD5-45E2-A197-908ECDF60A25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06F7-4985-BE94-C688CEE8534C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568A-42D7-B4BB-1620A3ABA0B3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0F95-477E-AEE3-5BC118CE4382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498C-4C1A-AA94-70C8DA044A93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498C-4C1A-AA94-70C8DA044A93}"/>
                </c:ext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B41-4816-AD57-0491C71FDD69}"/>
                </c:ext>
              </c:extLst>
            </c:dLbl>
            <c:dLbl>
              <c:idx val="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498C-4C1A-AA94-70C8DA044A93}"/>
                </c:ext>
              </c:extLst>
            </c:dLbl>
            <c:dLbl>
              <c:idx val="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98C-4C1A-AA94-70C8DA044A93}"/>
                </c:ext>
              </c:extLst>
            </c:dLbl>
            <c:dLbl>
              <c:idx val="19"/>
              <c:layout>
                <c:manualLayout>
                  <c:x val="-2.3789090619865148E-2"/>
                  <c:y val="-2.114630670503508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FF91-42B3-8850-610701559C3E}"/>
                </c:ext>
              </c:extLst>
            </c:dLbl>
            <c:dLbl>
              <c:idx val="20"/>
              <c:layout>
                <c:manualLayout>
                  <c:x val="-1.5641050110050587E-2"/>
                  <c:y val="-2.330444863199826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B65-4A03-A9B2-3B05DF08B69F}"/>
                </c:ext>
              </c:extLst>
            </c:dLbl>
            <c:dLbl>
              <c:idx val="21"/>
              <c:layout>
                <c:manualLayout>
                  <c:x val="-4.2645722047241459E-3"/>
                  <c:y val="-2.766381430451245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ABEB-49C8-9CC3-FE6C5130F363}"/>
                </c:ext>
              </c:extLst>
            </c:dLbl>
            <c:dLbl>
              <c:idx val="22"/>
              <c:layout>
                <c:manualLayout>
                  <c:x val="5.4830214060737487E-3"/>
                  <c:y val="-2.980001618130870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4E80-4B95-AC11-A253553242FE}"/>
                </c:ext>
              </c:extLst>
            </c:dLbl>
            <c:dLbl>
              <c:idx val="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73D1-41E1-8D64-FC4A362FA825}"/>
                </c:ext>
              </c:extLst>
            </c:dLbl>
            <c:dLbl>
              <c:idx val="24"/>
              <c:layout>
                <c:manualLayout>
                  <c:x val="-6.7014706074234702E-3"/>
                  <c:y val="-1.698280492053076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498C-4C1A-AA94-70C8DA044A93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accent6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'Ma trận HDPE thổi'!$I$5:$BV$5</c:f>
              <c:strCache>
                <c:ptCount val="25"/>
                <c:pt idx="0">
                  <c:v>T1.24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T1.25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  <c:pt idx="16">
                  <c:v>5</c:v>
                </c:pt>
                <c:pt idx="17">
                  <c:v>6</c:v>
                </c:pt>
                <c:pt idx="18">
                  <c:v>7</c:v>
                </c:pt>
                <c:pt idx="19">
                  <c:v>8</c:v>
                </c:pt>
                <c:pt idx="20">
                  <c:v>9</c:v>
                </c:pt>
                <c:pt idx="21">
                  <c:v>10</c:v>
                </c:pt>
                <c:pt idx="22">
                  <c:v>11</c:v>
                </c:pt>
                <c:pt idx="23">
                  <c:v>12</c:v>
                </c:pt>
                <c:pt idx="24">
                  <c:v>T1.26</c:v>
                </c:pt>
              </c:strCache>
            </c:strRef>
          </c:cat>
          <c:val>
            <c:numRef>
              <c:f>'Ma trận HDPE thổi'!$I$9:$BV$9</c:f>
              <c:numCache>
                <c:formatCode>"$"#,##0_);\("$"#,##0\)</c:formatCode>
                <c:ptCount val="25"/>
                <c:pt idx="0">
                  <c:v>1400</c:v>
                </c:pt>
                <c:pt idx="1">
                  <c:v>1400</c:v>
                </c:pt>
                <c:pt idx="2">
                  <c:v>1400</c:v>
                </c:pt>
                <c:pt idx="3">
                  <c:v>1400</c:v>
                </c:pt>
                <c:pt idx="4">
                  <c:v>1400</c:v>
                </c:pt>
                <c:pt idx="5">
                  <c:v>1400</c:v>
                </c:pt>
                <c:pt idx="6">
                  <c:v>1400</c:v>
                </c:pt>
                <c:pt idx="7">
                  <c:v>1400</c:v>
                </c:pt>
                <c:pt idx="8">
                  <c:v>1400</c:v>
                </c:pt>
                <c:pt idx="9">
                  <c:v>1400</c:v>
                </c:pt>
                <c:pt idx="10">
                  <c:v>1400</c:v>
                </c:pt>
                <c:pt idx="11">
                  <c:v>1400</c:v>
                </c:pt>
                <c:pt idx="12">
                  <c:v>1400</c:v>
                </c:pt>
                <c:pt idx="13">
                  <c:v>1400</c:v>
                </c:pt>
                <c:pt idx="14">
                  <c:v>1350</c:v>
                </c:pt>
                <c:pt idx="15">
                  <c:v>1350</c:v>
                </c:pt>
                <c:pt idx="16">
                  <c:v>1350</c:v>
                </c:pt>
                <c:pt idx="17">
                  <c:v>1350</c:v>
                </c:pt>
                <c:pt idx="18">
                  <c:v>1350</c:v>
                </c:pt>
                <c:pt idx="19">
                  <c:v>1330</c:v>
                </c:pt>
                <c:pt idx="20">
                  <c:v>1310</c:v>
                </c:pt>
                <c:pt idx="21">
                  <c:v>1310</c:v>
                </c:pt>
                <c:pt idx="22">
                  <c:v>1300</c:v>
                </c:pt>
                <c:pt idx="23">
                  <c:v>1300</c:v>
                </c:pt>
                <c:pt idx="24">
                  <c:v>1300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7-DAC2-4624-A7B2-21F9AB8BB5CB}"/>
            </c:ext>
          </c:extLst>
        </c:ser>
        <c:ser>
          <c:idx val="8"/>
          <c:order val="2"/>
          <c:tx>
            <c:strRef>
              <c:f>'Ma trận HDPE thổi'!$F$18</c:f>
              <c:strCache>
                <c:ptCount val="1"/>
                <c:pt idx="0">
                  <c:v>Dafon FOB (personal care)</c:v>
                </c:pt>
              </c:strCache>
            </c:strRef>
          </c:tx>
          <c:spPr>
            <a:ln w="5080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dLbls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304-4D92-806B-5DCC37E49E16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E7A6-4C70-9D9E-FF307235307B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7A6-4C70-9D9E-FF307235307B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D119-469A-B341-2BB860111904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65A-478A-930D-92C2131C09EB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65A-478A-930D-92C2131C09EB}"/>
                </c:ext>
              </c:extLst>
            </c:dLbl>
            <c:dLbl>
              <c:idx val="9"/>
              <c:layout>
                <c:manualLayout>
                  <c:x val="-1.7302776240465601E-2"/>
                  <c:y val="-2.560934631112296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65A-478A-930D-92C2131C09EB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304-4D92-806B-5DCC37E49E16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304-4D92-806B-5DCC37E49E16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F6A-4972-9498-DD3F550954BD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E5F-4DE1-8B93-FE6F331DCED1}"/>
                </c:ext>
              </c:extLst>
            </c:dLbl>
            <c:dLbl>
              <c:idx val="14"/>
              <c:layout>
                <c:manualLayout>
                  <c:x val="-1.7398065610446822E-2"/>
                  <c:y val="-2.773460326640284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B41-4816-AD57-0491C71FDD69}"/>
                </c:ext>
              </c:extLst>
            </c:dLbl>
            <c:dLbl>
              <c:idx val="18"/>
              <c:layout>
                <c:manualLayout>
                  <c:x val="-1.8909277159379893E-2"/>
                  <c:y val="-2.135883240056311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23A-4675-98C7-EA11D3618218}"/>
                </c:ext>
              </c:extLst>
            </c:dLbl>
            <c:dLbl>
              <c:idx val="19"/>
              <c:layout>
                <c:manualLayout>
                  <c:x val="-9.1496502384097456E-3"/>
                  <c:y val="-2.348408935584298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F91-42B3-8850-610701559C3E}"/>
                </c:ext>
              </c:extLst>
            </c:dLbl>
            <c:dLbl>
              <c:idx val="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AB65-4A03-A9B2-3B05DF08B69F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accent5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'Ma trận HDPE thổi'!$I$5:$BV$5</c:f>
              <c:strCache>
                <c:ptCount val="25"/>
                <c:pt idx="0">
                  <c:v>T1.24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T1.25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  <c:pt idx="16">
                  <c:v>5</c:v>
                </c:pt>
                <c:pt idx="17">
                  <c:v>6</c:v>
                </c:pt>
                <c:pt idx="18">
                  <c:v>7</c:v>
                </c:pt>
                <c:pt idx="19">
                  <c:v>8</c:v>
                </c:pt>
                <c:pt idx="20">
                  <c:v>9</c:v>
                </c:pt>
                <c:pt idx="21">
                  <c:v>10</c:v>
                </c:pt>
                <c:pt idx="22">
                  <c:v>11</c:v>
                </c:pt>
                <c:pt idx="23">
                  <c:v>12</c:v>
                </c:pt>
                <c:pt idx="24">
                  <c:v>T1.26</c:v>
                </c:pt>
              </c:strCache>
            </c:strRef>
          </c:cat>
          <c:val>
            <c:numRef>
              <c:f>'Ma trận HDPE thổi'!$U$18:$BV$18</c:f>
              <c:numCache>
                <c:formatCode>"$"#,##0_);\("$"#,##0\)</c:formatCode>
                <c:ptCount val="25"/>
                <c:pt idx="0">
                  <c:v>1422</c:v>
                </c:pt>
                <c:pt idx="1">
                  <c:v>1404.6666666666667</c:v>
                </c:pt>
                <c:pt idx="2">
                  <c:v>1396</c:v>
                </c:pt>
                <c:pt idx="3">
                  <c:v>1406</c:v>
                </c:pt>
                <c:pt idx="4">
                  <c:v>1406</c:v>
                </c:pt>
                <c:pt idx="5">
                  <c:v>1398.5</c:v>
                </c:pt>
                <c:pt idx="6">
                  <c:v>1396</c:v>
                </c:pt>
                <c:pt idx="7">
                  <c:v>1416</c:v>
                </c:pt>
                <c:pt idx="8">
                  <c:v>1437</c:v>
                </c:pt>
                <c:pt idx="9">
                  <c:v>1437</c:v>
                </c:pt>
                <c:pt idx="10">
                  <c:v>1435.2</c:v>
                </c:pt>
                <c:pt idx="11">
                  <c:v>1434</c:v>
                </c:pt>
                <c:pt idx="12">
                  <c:v>1424.25</c:v>
                </c:pt>
                <c:pt idx="13">
                  <c:v>1414.5</c:v>
                </c:pt>
                <c:pt idx="14">
                  <c:v>1405.5</c:v>
                </c:pt>
                <c:pt idx="15">
                  <c:v>1398</c:v>
                </c:pt>
                <c:pt idx="16">
                  <c:v>1398</c:v>
                </c:pt>
                <c:pt idx="17">
                  <c:v>1398</c:v>
                </c:pt>
                <c:pt idx="18">
                  <c:v>1398</c:v>
                </c:pt>
                <c:pt idx="19">
                  <c:v>1279</c:v>
                </c:pt>
                <c:pt idx="20">
                  <c:v>1160</c:v>
                </c:pt>
                <c:pt idx="21">
                  <c:v>1160</c:v>
                </c:pt>
                <c:pt idx="22">
                  <c:v>1160</c:v>
                </c:pt>
                <c:pt idx="23">
                  <c:v>1170</c:v>
                </c:pt>
                <c:pt idx="24">
                  <c:v>1170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28-DAC2-4624-A7B2-21F9AB8BB5CB}"/>
            </c:ext>
          </c:extLst>
        </c:ser>
        <c:ser>
          <c:idx val="12"/>
          <c:order val="3"/>
          <c:tx>
            <c:strRef>
              <c:f>'Ma trận HDPE thổi'!$F$19</c:f>
              <c:strCache>
                <c:ptCount val="1"/>
                <c:pt idx="0">
                  <c:v>Dafon FOB (Home care)</c:v>
                </c:pt>
              </c:strCache>
            </c:strRef>
          </c:tx>
          <c:spPr>
            <a:ln w="508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6304-4D92-806B-5DCC37E49E16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826-4E74-BA7E-A2E754F0EABD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D-DAC2-4624-A7B2-21F9AB8BB5CB}"/>
                </c:ext>
              </c:extLst>
            </c:dLbl>
            <c:dLbl>
              <c:idx val="4"/>
              <c:layout>
                <c:manualLayout>
                  <c:x val="-1.0773907494407643E-2"/>
                  <c:y val="-2.36365865760829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06F7-4985-BE94-C688CEE8534C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D204-4EAA-B467-28F0DAB2E755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6F7-4985-BE94-C688CEE8534C}"/>
                </c:ext>
              </c:extLst>
            </c:dLbl>
            <c:dLbl>
              <c:idx val="7"/>
              <c:layout>
                <c:manualLayout>
                  <c:x val="-1.8092033339665466E-2"/>
                  <c:y val="1.914456559782281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6304-4D92-806B-5DCC37E49E16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6304-4D92-806B-5DCC37E49E16}"/>
                </c:ext>
              </c:extLst>
            </c:dLbl>
            <c:dLbl>
              <c:idx val="9"/>
              <c:layout>
                <c:manualLayout>
                  <c:x val="-2.2188266002479418E-2"/>
                  <c:y val="2.752207757087480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764F-49CC-9BAB-6C937F0E08BB}"/>
                </c:ext>
              </c:extLst>
            </c:dLbl>
            <c:dLbl>
              <c:idx val="10"/>
              <c:layout>
                <c:manualLayout>
                  <c:x val="-1.8117024534134572E-2"/>
                  <c:y val="2.539682061559490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D204-4EAA-B467-28F0DAB2E755}"/>
                </c:ext>
              </c:extLst>
            </c:dLbl>
            <c:dLbl>
              <c:idx val="11"/>
              <c:layout>
                <c:manualLayout>
                  <c:x val="-1.8117024534134572E-2"/>
                  <c:y val="2.327156366031499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06F7-4985-BE94-C688CEE8534C}"/>
                </c:ext>
              </c:extLst>
            </c:dLbl>
            <c:dLbl>
              <c:idx val="12"/>
              <c:layout>
                <c:manualLayout>
                  <c:x val="-1.6488527946796633E-2"/>
                  <c:y val="2.539682061559490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C81-4FA0-A1EC-DFB76975C11B}"/>
                </c:ext>
              </c:extLst>
            </c:dLbl>
            <c:dLbl>
              <c:idx val="13"/>
              <c:layout>
                <c:manualLayout>
                  <c:x val="-1.9745521121472511E-2"/>
                  <c:y val="2.752207757087473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E5F-4DE1-8B93-FE6F331DCED1}"/>
                </c:ext>
              </c:extLst>
            </c:dLbl>
            <c:dLbl>
              <c:idx val="14"/>
              <c:layout>
                <c:manualLayout>
                  <c:x val="-1.8117024534134572E-2"/>
                  <c:y val="2.964733452615463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B41-4816-AD57-0491C71FDD69}"/>
                </c:ext>
              </c:extLst>
            </c:dLbl>
            <c:dLbl>
              <c:idx val="15"/>
              <c:layout>
                <c:manualLayout>
                  <c:x val="-2.1499057104720245E-2"/>
                  <c:y val="3.389784843671453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9EC-4E35-8078-8884AEAEAA97}"/>
                </c:ext>
              </c:extLst>
            </c:dLbl>
            <c:dLbl>
              <c:idx val="16"/>
              <c:layout>
                <c:manualLayout>
                  <c:x val="-1.9722579402794083E-2"/>
                  <c:y val="2.752207757087480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42D-4F83-B3EC-26668C561C6E}"/>
                </c:ext>
              </c:extLst>
            </c:dLbl>
            <c:dLbl>
              <c:idx val="17"/>
              <c:layout>
                <c:manualLayout>
                  <c:x val="-2.1349183889622463E-2"/>
                  <c:y val="2.539682061559490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62F-4166-9ACD-FDAB34C9701D}"/>
                </c:ext>
              </c:extLst>
            </c:dLbl>
            <c:dLbl>
              <c:idx val="18"/>
              <c:layout>
                <c:manualLayout>
                  <c:x val="-2.7042299593521786E-2"/>
                  <c:y val="3.177259148143462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23A-4675-98C7-EA11D3618218}"/>
                </c:ext>
              </c:extLst>
            </c:dLbl>
            <c:dLbl>
              <c:idx val="19"/>
              <c:layout>
                <c:manualLayout>
                  <c:x val="-2.4602392863279338E-2"/>
                  <c:y val="-5.9613457595601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F91-42B3-8850-610701559C3E}"/>
                </c:ext>
              </c:extLst>
            </c:dLbl>
            <c:dLbl>
              <c:idx val="20"/>
              <c:layout>
                <c:manualLayout>
                  <c:x val="-1.8909277159379893E-2"/>
                  <c:y val="2.539682061559482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B65-4A03-A9B2-3B05DF08B69F}"/>
                </c:ext>
              </c:extLst>
            </c:dLbl>
            <c:dLbl>
              <c:idx val="21"/>
              <c:layout>
                <c:manualLayout>
                  <c:x val="-1.5636764750654765E-2"/>
                  <c:y val="2.980001618130862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BEB-49C8-9CC3-FE6C5130F363}"/>
                </c:ext>
              </c:extLst>
            </c:dLbl>
            <c:dLbl>
              <c:idx val="22"/>
              <c:layout>
                <c:manualLayout>
                  <c:x val="-1.4824465283088402E-2"/>
                  <c:y val="2.339141055091965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E80-4B95-AC11-A253553242FE}"/>
                </c:ext>
              </c:extLst>
            </c:dLbl>
            <c:dLbl>
              <c:idx val="23"/>
              <c:layout>
                <c:manualLayout>
                  <c:x val="-1.1575267412822478E-2"/>
                  <c:y val="2.980001618130862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73D1-41E1-8D64-FC4A362FA825}"/>
                </c:ext>
              </c:extLst>
            </c:dLbl>
            <c:dLbl>
              <c:idx val="24"/>
              <c:layout>
                <c:manualLayout>
                  <c:x val="-1.6449064218221246E-2"/>
                  <c:y val="2.339141055091973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498C-4C1A-AA94-70C8DA044A93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accent2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'Ma trận HDPE thổi'!$I$5:$BV$5</c:f>
              <c:strCache>
                <c:ptCount val="25"/>
                <c:pt idx="0">
                  <c:v>T1.24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T1.25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  <c:pt idx="16">
                  <c:v>5</c:v>
                </c:pt>
                <c:pt idx="17">
                  <c:v>6</c:v>
                </c:pt>
                <c:pt idx="18">
                  <c:v>7</c:v>
                </c:pt>
                <c:pt idx="19">
                  <c:v>8</c:v>
                </c:pt>
                <c:pt idx="20">
                  <c:v>9</c:v>
                </c:pt>
                <c:pt idx="21">
                  <c:v>10</c:v>
                </c:pt>
                <c:pt idx="22">
                  <c:v>11</c:v>
                </c:pt>
                <c:pt idx="23">
                  <c:v>12</c:v>
                </c:pt>
                <c:pt idx="24">
                  <c:v>T1.26</c:v>
                </c:pt>
              </c:strCache>
            </c:strRef>
          </c:cat>
          <c:val>
            <c:numRef>
              <c:f>'Ma trận HDPE thổi'!$I$19:$BV$19</c:f>
              <c:numCache>
                <c:formatCode>"$"#,##0_);\("$"#,##0\)</c:formatCode>
                <c:ptCount val="25"/>
                <c:pt idx="0">
                  <c:v>1322</c:v>
                </c:pt>
                <c:pt idx="1">
                  <c:v>1304.6666666666667</c:v>
                </c:pt>
                <c:pt idx="2">
                  <c:v>1296</c:v>
                </c:pt>
                <c:pt idx="3">
                  <c:v>1306</c:v>
                </c:pt>
                <c:pt idx="4">
                  <c:v>1306</c:v>
                </c:pt>
                <c:pt idx="5">
                  <c:v>1298.5</c:v>
                </c:pt>
                <c:pt idx="6">
                  <c:v>1296</c:v>
                </c:pt>
                <c:pt idx="7">
                  <c:v>1316</c:v>
                </c:pt>
                <c:pt idx="8">
                  <c:v>1337</c:v>
                </c:pt>
                <c:pt idx="9">
                  <c:v>1337</c:v>
                </c:pt>
                <c:pt idx="10">
                  <c:v>1335.2</c:v>
                </c:pt>
                <c:pt idx="11">
                  <c:v>1334</c:v>
                </c:pt>
                <c:pt idx="12">
                  <c:v>1324.25</c:v>
                </c:pt>
                <c:pt idx="13">
                  <c:v>1314.5</c:v>
                </c:pt>
                <c:pt idx="14">
                  <c:v>1305.5</c:v>
                </c:pt>
                <c:pt idx="15">
                  <c:v>1298</c:v>
                </c:pt>
                <c:pt idx="16">
                  <c:v>1298</c:v>
                </c:pt>
                <c:pt idx="17">
                  <c:v>1298</c:v>
                </c:pt>
                <c:pt idx="18">
                  <c:v>1298</c:v>
                </c:pt>
                <c:pt idx="19">
                  <c:v>1179</c:v>
                </c:pt>
                <c:pt idx="20">
                  <c:v>1060</c:v>
                </c:pt>
                <c:pt idx="21">
                  <c:v>1060</c:v>
                </c:pt>
                <c:pt idx="22">
                  <c:v>1060</c:v>
                </c:pt>
                <c:pt idx="23">
                  <c:v>1070</c:v>
                </c:pt>
                <c:pt idx="24">
                  <c:v>1070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DAC2-4624-A7B2-21F9AB8BB5CB}"/>
            </c:ext>
          </c:extLst>
        </c:ser>
        <c:ser>
          <c:idx val="2"/>
          <c:order val="4"/>
          <c:tx>
            <c:strRef>
              <c:f>'Ma trận HDPE thổi'!$H$10</c:f>
              <c:strCache>
                <c:ptCount val="1"/>
                <c:pt idx="0">
                  <c:v>DTR (Home care)</c:v>
                </c:pt>
              </c:strCache>
            </c:strRef>
          </c:tx>
          <c:spPr>
            <a:ln w="5080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4.061497337832406E-3"/>
                  <c:y val="-2.777062439835223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498C-4C1A-AA94-70C8DA044A93}"/>
                </c:ext>
              </c:extLst>
            </c:dLbl>
            <c:dLbl>
              <c:idx val="20"/>
              <c:layout>
                <c:manualLayout>
                  <c:x val="-1.8682887754029071E-2"/>
                  <c:y val="2.136201876796322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AB65-4A03-A9B2-3B05DF08B69F}"/>
                </c:ext>
              </c:extLst>
            </c:dLbl>
            <c:dLbl>
              <c:idx val="21"/>
              <c:layout>
                <c:manualLayout>
                  <c:x val="-1.6245989351329745E-2"/>
                  <c:y val="2.777062439835219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BEB-49C8-9CC3-FE6C5130F363}"/>
                </c:ext>
              </c:extLst>
            </c:dLbl>
            <c:dLbl>
              <c:idx val="22"/>
              <c:layout>
                <c:manualLayout>
                  <c:x val="-1.3809090948630181E-2"/>
                  <c:y val="2.136201876796315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E80-4B95-AC11-A253553242FE}"/>
                </c:ext>
              </c:extLst>
            </c:dLbl>
            <c:dLbl>
              <c:idx val="2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98C-4C1A-AA94-70C8DA044A93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rgbClr val="00B05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'Ma trận HDPE thổi'!$I$5:$BV$5</c:f>
              <c:strCache>
                <c:ptCount val="25"/>
                <c:pt idx="0">
                  <c:v>T1.24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T1.25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  <c:pt idx="16">
                  <c:v>5</c:v>
                </c:pt>
                <c:pt idx="17">
                  <c:v>6</c:v>
                </c:pt>
                <c:pt idx="18">
                  <c:v>7</c:v>
                </c:pt>
                <c:pt idx="19">
                  <c:v>8</c:v>
                </c:pt>
                <c:pt idx="20">
                  <c:v>9</c:v>
                </c:pt>
                <c:pt idx="21">
                  <c:v>10</c:v>
                </c:pt>
                <c:pt idx="22">
                  <c:v>11</c:v>
                </c:pt>
                <c:pt idx="23">
                  <c:v>12</c:v>
                </c:pt>
                <c:pt idx="24">
                  <c:v>T1.26</c:v>
                </c:pt>
              </c:strCache>
            </c:strRef>
          </c:cat>
          <c:val>
            <c:numRef>
              <c:f>'Ma trận HDPE thổi'!$I$10:$BV$10</c:f>
              <c:numCache>
                <c:formatCode>"$"#,##0_);\("$"#,##0\)</c:formatCode>
                <c:ptCount val="25"/>
                <c:pt idx="0">
                  <c:v>1350</c:v>
                </c:pt>
                <c:pt idx="1">
                  <c:v>1350</c:v>
                </c:pt>
                <c:pt idx="2">
                  <c:v>1350</c:v>
                </c:pt>
                <c:pt idx="3">
                  <c:v>1350</c:v>
                </c:pt>
                <c:pt idx="4">
                  <c:v>1350</c:v>
                </c:pt>
                <c:pt idx="5">
                  <c:v>1350</c:v>
                </c:pt>
                <c:pt idx="6">
                  <c:v>1350</c:v>
                </c:pt>
                <c:pt idx="7">
                  <c:v>1350</c:v>
                </c:pt>
                <c:pt idx="8">
                  <c:v>1350</c:v>
                </c:pt>
                <c:pt idx="9">
                  <c:v>1350</c:v>
                </c:pt>
                <c:pt idx="10">
                  <c:v>1350</c:v>
                </c:pt>
                <c:pt idx="11">
                  <c:v>1350</c:v>
                </c:pt>
                <c:pt idx="12">
                  <c:v>1350</c:v>
                </c:pt>
                <c:pt idx="13">
                  <c:v>1350</c:v>
                </c:pt>
                <c:pt idx="14">
                  <c:v>1300</c:v>
                </c:pt>
                <c:pt idx="15">
                  <c:v>1300</c:v>
                </c:pt>
                <c:pt idx="16">
                  <c:v>1300</c:v>
                </c:pt>
                <c:pt idx="17">
                  <c:v>1300</c:v>
                </c:pt>
                <c:pt idx="18">
                  <c:v>1300</c:v>
                </c:pt>
                <c:pt idx="19">
                  <c:v>1280</c:v>
                </c:pt>
                <c:pt idx="20">
                  <c:v>1260</c:v>
                </c:pt>
                <c:pt idx="21">
                  <c:v>1260</c:v>
                </c:pt>
                <c:pt idx="22">
                  <c:v>1250</c:v>
                </c:pt>
                <c:pt idx="23">
                  <c:v>1250</c:v>
                </c:pt>
                <c:pt idx="24">
                  <c:v>1250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1-DAC2-4624-A7B2-21F9AB8BB5CB}"/>
            </c:ext>
          </c:extLst>
        </c:ser>
        <c:ser>
          <c:idx val="6"/>
          <c:order val="5"/>
          <c:tx>
            <c:strRef>
              <c:f>'Ma trận HDPE thổi'!$H$29</c:f>
              <c:strCache>
                <c:ptCount val="1"/>
                <c:pt idx="0">
                  <c:v>Giá bán Dafong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'Ma trận HDPE thổi'!$I$5:$BV$5</c:f>
              <c:strCache>
                <c:ptCount val="25"/>
                <c:pt idx="0">
                  <c:v>T1.24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T1.25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  <c:pt idx="16">
                  <c:v>5</c:v>
                </c:pt>
                <c:pt idx="17">
                  <c:v>6</c:v>
                </c:pt>
                <c:pt idx="18">
                  <c:v>7</c:v>
                </c:pt>
                <c:pt idx="19">
                  <c:v>8</c:v>
                </c:pt>
                <c:pt idx="20">
                  <c:v>9</c:v>
                </c:pt>
                <c:pt idx="21">
                  <c:v>10</c:v>
                </c:pt>
                <c:pt idx="22">
                  <c:v>11</c:v>
                </c:pt>
                <c:pt idx="23">
                  <c:v>12</c:v>
                </c:pt>
                <c:pt idx="24">
                  <c:v>T1.26</c:v>
                </c:pt>
              </c:strCache>
            </c:strRef>
          </c:cat>
          <c:val>
            <c:numRef>
              <c:f>'Ma trận HDPE thổi'!$I$29:$BB$29</c:f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9-DAC2-4624-A7B2-21F9AB8BB5CB}"/>
            </c:ext>
          </c:extLst>
        </c:ser>
        <c:ser>
          <c:idx val="4"/>
          <c:order val="6"/>
          <c:tx>
            <c:strRef>
              <c:f>'Ma trận HDPE thổi'!$H$8</c:f>
              <c:strCache>
                <c:ptCount val="1"/>
                <c:pt idx="0">
                  <c:v>ICIS - Giá vảy HDPE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dLbls>
            <c:numFmt formatCode="#,##0" sourceLinked="0"/>
            <c:spPr>
              <a:noFill/>
              <a:ln>
                <a:solidFill>
                  <a:schemeClr val="accent6">
                    <a:lumMod val="40000"/>
                    <a:lumOff val="60000"/>
                  </a:schemeClr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500" b="0" i="0" u="none" strike="noStrike" kern="1200" baseline="0">
                    <a:solidFill>
                      <a:srgbClr val="60943C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'Ma trận HDPE thổi'!$I$5:$BV$5</c:f>
              <c:strCache>
                <c:ptCount val="25"/>
                <c:pt idx="0">
                  <c:v>T1.24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T1.25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  <c:pt idx="16">
                  <c:v>5</c:v>
                </c:pt>
                <c:pt idx="17">
                  <c:v>6</c:v>
                </c:pt>
                <c:pt idx="18">
                  <c:v>7</c:v>
                </c:pt>
                <c:pt idx="19">
                  <c:v>8</c:v>
                </c:pt>
                <c:pt idx="20">
                  <c:v>9</c:v>
                </c:pt>
                <c:pt idx="21">
                  <c:v>10</c:v>
                </c:pt>
                <c:pt idx="22">
                  <c:v>11</c:v>
                </c:pt>
                <c:pt idx="23">
                  <c:v>12</c:v>
                </c:pt>
                <c:pt idx="24">
                  <c:v>T1.26</c:v>
                </c:pt>
              </c:strCache>
            </c:strRef>
          </c:cat>
          <c:val>
            <c:numRef>
              <c:f>'Ma trận HDPE thổi'!$I$8:$AM$8</c:f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5-DAC2-4624-A7B2-21F9AB8BB5CB}"/>
            </c:ext>
          </c:extLst>
        </c:ser>
        <c:ser>
          <c:idx val="0"/>
          <c:order val="7"/>
          <c:tx>
            <c:strRef>
              <c:f>'Ma trận HDPE thổi'!$H$11</c:f>
              <c:strCache>
                <c:ptCount val="1"/>
                <c:pt idx="0">
                  <c:v>DTR-Giá EXW rHD xuất xưởng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'Ma trận HDPE thổi'!$I$5:$BV$5</c:f>
              <c:strCache>
                <c:ptCount val="25"/>
                <c:pt idx="0">
                  <c:v>T1.24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T1.25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  <c:pt idx="16">
                  <c:v>5</c:v>
                </c:pt>
                <c:pt idx="17">
                  <c:v>6</c:v>
                </c:pt>
                <c:pt idx="18">
                  <c:v>7</c:v>
                </c:pt>
                <c:pt idx="19">
                  <c:v>8</c:v>
                </c:pt>
                <c:pt idx="20">
                  <c:v>9</c:v>
                </c:pt>
                <c:pt idx="21">
                  <c:v>10</c:v>
                </c:pt>
                <c:pt idx="22">
                  <c:v>11</c:v>
                </c:pt>
                <c:pt idx="23">
                  <c:v>12</c:v>
                </c:pt>
                <c:pt idx="24">
                  <c:v>T1.26</c:v>
                </c:pt>
              </c:strCache>
            </c:strRef>
          </c:cat>
          <c:val>
            <c:numRef>
              <c:f>'Ma trận HDPE thổi'!$I$11:$AM$11</c:f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25-DAC2-4624-A7B2-21F9AB8BB5CB}"/>
            </c:ext>
          </c:extLst>
        </c:ser>
        <c:ser>
          <c:idx val="1"/>
          <c:order val="8"/>
          <c:tx>
            <c:strRef>
              <c:f>'Ma trận HDPE thổi'!$H$12</c:f>
              <c:strCache>
                <c:ptCount val="1"/>
                <c:pt idx="0">
                  <c:v>Tỷ lệ % lãi gộp Vảy /Giá EXW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'Ma trận HDPE thổi'!$I$5:$BV$5</c:f>
              <c:strCache>
                <c:ptCount val="25"/>
                <c:pt idx="0">
                  <c:v>T1.24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T1.25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  <c:pt idx="16">
                  <c:v>5</c:v>
                </c:pt>
                <c:pt idx="17">
                  <c:v>6</c:v>
                </c:pt>
                <c:pt idx="18">
                  <c:v>7</c:v>
                </c:pt>
                <c:pt idx="19">
                  <c:v>8</c:v>
                </c:pt>
                <c:pt idx="20">
                  <c:v>9</c:v>
                </c:pt>
                <c:pt idx="21">
                  <c:v>10</c:v>
                </c:pt>
                <c:pt idx="22">
                  <c:v>11</c:v>
                </c:pt>
                <c:pt idx="23">
                  <c:v>12</c:v>
                </c:pt>
                <c:pt idx="24">
                  <c:v>T1.26</c:v>
                </c:pt>
              </c:strCache>
            </c:strRef>
          </c:cat>
          <c:val>
            <c:numRef>
              <c:f>'Ma trận HDPE thổi'!$I$12:$AM$12</c:f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26-DAC2-4624-A7B2-21F9AB8BB5CB}"/>
            </c:ext>
          </c:extLst>
        </c:ser>
        <c:ser>
          <c:idx val="18"/>
          <c:order val="9"/>
          <c:tx>
            <c:strRef>
              <c:f>'Ma trận HDPE thổi'!$H$26</c:f>
              <c:strCache>
                <c:ptCount val="1"/>
                <c:pt idx="0">
                  <c:v>Điểm hòa vốn</c:v>
                </c:pt>
              </c:strCache>
            </c:strRef>
          </c:tx>
          <c:spPr>
            <a:ln w="539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1.707562697226853E-2"/>
                  <c:y val="3.422492173912449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4C8-4478-979C-FBF3B01BD2B6}"/>
                </c:ext>
              </c:extLst>
            </c:dLbl>
            <c:dLbl>
              <c:idx val="3"/>
              <c:layout>
                <c:manualLayout>
                  <c:x val="-1.2196876408763236E-2"/>
                  <c:y val="3.42249217391244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165A-478A-930D-92C2131C09EB}"/>
                </c:ext>
              </c:extLst>
            </c:dLbl>
            <c:dLbl>
              <c:idx val="4"/>
              <c:layout>
                <c:manualLayout>
                  <c:x val="-1.544937678443355E-2"/>
                  <c:y val="2.566869130434350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6304-4D92-806B-5DCC37E49E16}"/>
                </c:ext>
              </c:extLst>
            </c:dLbl>
            <c:dLbl>
              <c:idx val="6"/>
              <c:layout>
                <c:manualLayout>
                  <c:x val="-1.0570626220928137E-2"/>
                  <c:y val="2.566869130434327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165A-478A-930D-92C2131C09EB}"/>
                </c:ext>
              </c:extLst>
            </c:dLbl>
            <c:dLbl>
              <c:idx val="7"/>
              <c:layout>
                <c:manualLayout>
                  <c:x val="-8.1312509391756084E-3"/>
                  <c:y val="2.352963369564814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165A-478A-930D-92C2131C09EB}"/>
                </c:ext>
              </c:extLst>
            </c:dLbl>
            <c:dLbl>
              <c:idx val="8"/>
              <c:layout>
                <c:manualLayout>
                  <c:x val="-8.1424829366896941E-3"/>
                  <c:y val="2.33778265080789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6304-4D92-806B-5DCC37E49E16}"/>
                </c:ext>
              </c:extLst>
            </c:dLbl>
            <c:dLbl>
              <c:idx val="10"/>
              <c:layout>
                <c:manualLayout>
                  <c:x val="-2.3613200516400114E-2"/>
                  <c:y val="3.400411128447845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165A-478A-930D-92C2131C09EB}"/>
                </c:ext>
              </c:extLst>
            </c:dLbl>
            <c:dLbl>
              <c:idx val="11"/>
              <c:layout>
                <c:manualLayout>
                  <c:x val="-2.1170455635393205E-2"/>
                  <c:y val="2.975359737391863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165A-478A-930D-92C2131C09EB}"/>
                </c:ext>
              </c:extLst>
            </c:dLbl>
            <c:dLbl>
              <c:idx val="12"/>
              <c:layout>
                <c:manualLayout>
                  <c:x val="-2.1170455635393326E-2"/>
                  <c:y val="2.550308346335889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245-414F-8656-6DF1B1F5F4C2}"/>
                </c:ext>
              </c:extLst>
            </c:dLbl>
            <c:dLbl>
              <c:idx val="14"/>
              <c:layout>
                <c:manualLayout>
                  <c:x val="-2.2113315879140699E-2"/>
                  <c:y val="2.975359737391863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ABD-4983-B55C-8930685ECD2A}"/>
                </c:ext>
              </c:extLst>
            </c:dLbl>
            <c:dLbl>
              <c:idx val="15"/>
              <c:layout>
                <c:manualLayout>
                  <c:x val="-2.457035097682312E-2"/>
                  <c:y val="2.337782650807898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55C1-46D9-A92D-FBED5D0AFE1B}"/>
                </c:ext>
              </c:extLst>
            </c:dLbl>
            <c:dLbl>
              <c:idx val="16"/>
              <c:layout>
                <c:manualLayout>
                  <c:x val="-1.6266044868283782E-2"/>
                  <c:y val="3.187885432919861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42D-4F83-B3EC-26668C561C6E}"/>
                </c:ext>
              </c:extLst>
            </c:dLbl>
            <c:dLbl>
              <c:idx val="17"/>
              <c:layout>
                <c:manualLayout>
                  <c:x val="-1.3826138138041214E-2"/>
                  <c:y val="2.550308346335881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62F-4166-9ACD-FDAB34C9701D}"/>
                </c:ext>
              </c:extLst>
            </c:dLbl>
            <c:dLbl>
              <c:idx val="19"/>
              <c:layout>
                <c:manualLayout>
                  <c:x val="-4.6358227874608776E-2"/>
                  <c:y val="3.187885432919861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F91-42B3-8850-610701559C3E}"/>
                </c:ext>
              </c:extLst>
            </c:dLbl>
            <c:dLbl>
              <c:idx val="20"/>
              <c:layout>
                <c:manualLayout>
                  <c:x val="-8.122994675664812E-3"/>
                  <c:y val="2.990682627514851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AB65-4A03-A9B2-3B05DF08B69F}"/>
                </c:ext>
              </c:extLst>
            </c:dLbl>
            <c:dLbl>
              <c:idx val="21"/>
              <c:layout>
                <c:manualLayout>
                  <c:x val="-3.249197870265925E-3"/>
                  <c:y val="1.708961501437058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ABEB-49C8-9CC3-FE6C5130F363}"/>
                </c:ext>
              </c:extLst>
            </c:dLbl>
            <c:dLbl>
              <c:idx val="22"/>
              <c:layout>
                <c:manualLayout>
                  <c:x val="-4.061497337832406E-3"/>
                  <c:y val="-8.5448075071852918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4E80-4B95-AC11-A253553242FE}"/>
                </c:ext>
              </c:extLst>
            </c:dLbl>
            <c:dLbl>
              <c:idx val="23"/>
              <c:layout>
                <c:manualLayout>
                  <c:x val="-1.2184492013497339E-2"/>
                  <c:y val="-2.563442252155587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52FE-49B6-B564-519B2953BA49}"/>
                </c:ext>
              </c:extLst>
            </c:dLbl>
            <c:dLbl>
              <c:idx val="2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498C-4C1A-AA94-70C8DA044A93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rgbClr val="FF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'Ma trận HDPE thổi'!$I$5:$BV$5</c:f>
              <c:strCache>
                <c:ptCount val="25"/>
                <c:pt idx="0">
                  <c:v>T1.24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T1.25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  <c:pt idx="16">
                  <c:v>5</c:v>
                </c:pt>
                <c:pt idx="17">
                  <c:v>6</c:v>
                </c:pt>
                <c:pt idx="18">
                  <c:v>7</c:v>
                </c:pt>
                <c:pt idx="19">
                  <c:v>8</c:v>
                </c:pt>
                <c:pt idx="20">
                  <c:v>9</c:v>
                </c:pt>
                <c:pt idx="21">
                  <c:v>10</c:v>
                </c:pt>
                <c:pt idx="22">
                  <c:v>11</c:v>
                </c:pt>
                <c:pt idx="23">
                  <c:v>12</c:v>
                </c:pt>
                <c:pt idx="24">
                  <c:v>T1.26</c:v>
                </c:pt>
              </c:strCache>
            </c:strRef>
          </c:cat>
          <c:val>
            <c:numRef>
              <c:f>'Ma trận HDPE thổi'!$U$26:$BV$26</c:f>
              <c:numCache>
                <c:formatCode>"$"#,##0_);\("$"#,##0\)</c:formatCode>
                <c:ptCount val="25"/>
                <c:pt idx="0">
                  <c:v>1323</c:v>
                </c:pt>
                <c:pt idx="1">
                  <c:v>1323</c:v>
                </c:pt>
                <c:pt idx="2">
                  <c:v>1306</c:v>
                </c:pt>
                <c:pt idx="3">
                  <c:v>1291</c:v>
                </c:pt>
                <c:pt idx="4">
                  <c:v>1282</c:v>
                </c:pt>
                <c:pt idx="5">
                  <c:v>1285</c:v>
                </c:pt>
                <c:pt idx="6">
                  <c:v>1219</c:v>
                </c:pt>
                <c:pt idx="7">
                  <c:v>1251</c:v>
                </c:pt>
                <c:pt idx="8">
                  <c:v>1251</c:v>
                </c:pt>
                <c:pt idx="9">
                  <c:v>1260.3186476770372</c:v>
                </c:pt>
                <c:pt idx="10">
                  <c:v>1260.9721935296795</c:v>
                </c:pt>
                <c:pt idx="11">
                  <c:v>1214.0815770933086</c:v>
                </c:pt>
                <c:pt idx="12">
                  <c:v>1224.4122855454673</c:v>
                </c:pt>
                <c:pt idx="13">
                  <c:v>1224.8943631432089</c:v>
                </c:pt>
                <c:pt idx="14">
                  <c:v>1220.8389764175517</c:v>
                </c:pt>
                <c:pt idx="15">
                  <c:v>1201.5512157788862</c:v>
                </c:pt>
                <c:pt idx="16">
                  <c:v>1215.0616168681211</c:v>
                </c:pt>
                <c:pt idx="17">
                  <c:v>1218.0838169008853</c:v>
                </c:pt>
                <c:pt idx="18">
                  <c:v>1217.9396141401003</c:v>
                </c:pt>
                <c:pt idx="19">
                  <c:v>1221.1766254679269</c:v>
                </c:pt>
                <c:pt idx="20">
                  <c:v>1118.5151926825677</c:v>
                </c:pt>
                <c:pt idx="21">
                  <c:v>1095.5642423065681</c:v>
                </c:pt>
                <c:pt idx="22">
                  <c:v>1120.145512661127</c:v>
                </c:pt>
                <c:pt idx="23">
                  <c:v>1076.7141229774484</c:v>
                </c:pt>
                <c:pt idx="24">
                  <c:v>1111.3107354114027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A-4E96-AAC7-DDD734B894C1}"/>
            </c:ext>
          </c:extLst>
        </c:ser>
        <c:ser>
          <c:idx val="10"/>
          <c:order val="11"/>
          <c:tx>
            <c:strRef>
              <c:f>'Ma trận HDPE thổi'!$H$16</c:f>
              <c:strCache>
                <c:ptCount val="1"/>
                <c:pt idx="0">
                  <c:v>ICIS</c:v>
                </c:pt>
              </c:strCache>
            </c:strRef>
          </c:tx>
          <c:spPr>
            <a:ln w="4762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rgbClr val="7030A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'Ma trận HDPE thổi'!$I$5:$BV$5</c:f>
              <c:strCache>
                <c:ptCount val="25"/>
                <c:pt idx="0">
                  <c:v>T1.24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T1.25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  <c:pt idx="16">
                  <c:v>5</c:v>
                </c:pt>
                <c:pt idx="17">
                  <c:v>6</c:v>
                </c:pt>
                <c:pt idx="18">
                  <c:v>7</c:v>
                </c:pt>
                <c:pt idx="19">
                  <c:v>8</c:v>
                </c:pt>
                <c:pt idx="20">
                  <c:v>9</c:v>
                </c:pt>
                <c:pt idx="21">
                  <c:v>10</c:v>
                </c:pt>
                <c:pt idx="22">
                  <c:v>11</c:v>
                </c:pt>
                <c:pt idx="23">
                  <c:v>12</c:v>
                </c:pt>
                <c:pt idx="24">
                  <c:v>T1.26</c:v>
                </c:pt>
              </c:strCache>
            </c:strRef>
          </c:cat>
          <c:val>
            <c:numRef>
              <c:f>'Ma trận HDPE thổi'!$I$16:$BD$16</c:f>
              <c:numCache>
                <c:formatCode>"$"#,##0_);\("$"#,##0\)</c:formatCode>
                <c:ptCount val="7"/>
                <c:pt idx="0">
                  <c:v>1113.3333333333333</c:v>
                </c:pt>
                <c:pt idx="1">
                  <c:v>1153</c:v>
                </c:pt>
                <c:pt idx="2">
                  <c:v>1209.625</c:v>
                </c:pt>
                <c:pt idx="3">
                  <c:v>1201.125</c:v>
                </c:pt>
                <c:pt idx="4">
                  <c:v>1188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DAC2-4624-A7B2-21F9AB8BB5CB}"/>
            </c:ext>
          </c:extLst>
        </c:ser>
        <c:ser>
          <c:idx val="13"/>
          <c:order val="12"/>
          <c:tx>
            <c:strRef>
              <c:f>'Ma trận HDPE thổi'!$H$20</c:f>
              <c:strCache>
                <c:ptCount val="1"/>
                <c:pt idx="0">
                  <c:v>RESIN</c:v>
                </c:pt>
              </c:strCache>
            </c:strRef>
          </c:tx>
          <c:spPr>
            <a:ln w="50800" cap="rnd">
              <a:solidFill>
                <a:srgbClr val="FF3399"/>
              </a:solidFill>
              <a:round/>
            </a:ln>
            <a:effectLst/>
          </c:spPr>
          <c:marker>
            <c:symbol val="none"/>
          </c:marker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rgbClr val="FF3399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'Ma trận HDPE thổi'!$I$5:$BV$5</c:f>
              <c:strCache>
                <c:ptCount val="25"/>
                <c:pt idx="0">
                  <c:v>T1.24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T1.25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  <c:pt idx="16">
                  <c:v>5</c:v>
                </c:pt>
                <c:pt idx="17">
                  <c:v>6</c:v>
                </c:pt>
                <c:pt idx="18">
                  <c:v>7</c:v>
                </c:pt>
                <c:pt idx="19">
                  <c:v>8</c:v>
                </c:pt>
                <c:pt idx="20">
                  <c:v>9</c:v>
                </c:pt>
                <c:pt idx="21">
                  <c:v>10</c:v>
                </c:pt>
                <c:pt idx="22">
                  <c:v>11</c:v>
                </c:pt>
                <c:pt idx="23">
                  <c:v>12</c:v>
                </c:pt>
                <c:pt idx="24">
                  <c:v>T1.26</c:v>
                </c:pt>
              </c:strCache>
            </c:strRef>
          </c:cat>
          <c:val>
            <c:numRef>
              <c:f>'Ma trận HDPE thổi'!$I$20:$BV$20</c:f>
              <c:numCache>
                <c:formatCode>"$"#,##0_);\("$"#,##0\)</c:formatCode>
                <c:ptCount val="25"/>
                <c:pt idx="0">
                  <c:v>940</c:v>
                </c:pt>
                <c:pt idx="1">
                  <c:v>993.33333333333337</c:v>
                </c:pt>
                <c:pt idx="2">
                  <c:v>985</c:v>
                </c:pt>
                <c:pt idx="3">
                  <c:v>962.5</c:v>
                </c:pt>
                <c:pt idx="4">
                  <c:v>982</c:v>
                </c:pt>
                <c:pt idx="5">
                  <c:v>1000</c:v>
                </c:pt>
                <c:pt idx="6">
                  <c:v>1000</c:v>
                </c:pt>
                <c:pt idx="7">
                  <c:v>984</c:v>
                </c:pt>
                <c:pt idx="8">
                  <c:v>967.5</c:v>
                </c:pt>
                <c:pt idx="9">
                  <c:v>965</c:v>
                </c:pt>
                <c:pt idx="10">
                  <c:v>974</c:v>
                </c:pt>
                <c:pt idx="11">
                  <c:v>956</c:v>
                </c:pt>
                <c:pt idx="12">
                  <c:v>940</c:v>
                </c:pt>
                <c:pt idx="13">
                  <c:v>918</c:v>
                </c:pt>
                <c:pt idx="14">
                  <c:v>896</c:v>
                </c:pt>
                <c:pt idx="15">
                  <c:v>891.5</c:v>
                </c:pt>
                <c:pt idx="16">
                  <c:v>864</c:v>
                </c:pt>
                <c:pt idx="17">
                  <c:v>833</c:v>
                </c:pt>
                <c:pt idx="18">
                  <c:v>833</c:v>
                </c:pt>
                <c:pt idx="19">
                  <c:v>815</c:v>
                </c:pt>
                <c:pt idx="20">
                  <c:v>812.5</c:v>
                </c:pt>
                <c:pt idx="21">
                  <c:v>805</c:v>
                </c:pt>
                <c:pt idx="22">
                  <c:v>805</c:v>
                </c:pt>
                <c:pt idx="23">
                  <c:v>802.5</c:v>
                </c:pt>
                <c:pt idx="24">
                  <c:v>800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D-DAC2-4624-A7B2-21F9AB8BB5CB}"/>
            </c:ext>
          </c:extLst>
        </c:ser>
        <c:ser>
          <c:idx val="11"/>
          <c:order val="15"/>
          <c:tx>
            <c:strRef>
              <c:f>'Ma trận HDPE thổi'!$H$17</c:f>
              <c:strCache>
                <c:ptCount val="1"/>
                <c:pt idx="0">
                  <c:v>ICIS FOB ĐNA - Giá Cao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'Ma trận HDPE thổi'!$I$5:$BV$5</c:f>
              <c:strCache>
                <c:ptCount val="25"/>
                <c:pt idx="0">
                  <c:v>T1.24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T1.25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  <c:pt idx="16">
                  <c:v>5</c:v>
                </c:pt>
                <c:pt idx="17">
                  <c:v>6</c:v>
                </c:pt>
                <c:pt idx="18">
                  <c:v>7</c:v>
                </c:pt>
                <c:pt idx="19">
                  <c:v>8</c:v>
                </c:pt>
                <c:pt idx="20">
                  <c:v>9</c:v>
                </c:pt>
                <c:pt idx="21">
                  <c:v>10</c:v>
                </c:pt>
                <c:pt idx="22">
                  <c:v>11</c:v>
                </c:pt>
                <c:pt idx="23">
                  <c:v>12</c:v>
                </c:pt>
                <c:pt idx="24">
                  <c:v>T1.26</c:v>
                </c:pt>
              </c:strCache>
            </c:strRef>
          </c:cat>
          <c:val>
            <c:numRef>
              <c:f>'Ma trận HDPE thổi'!$I$17:$AM$17</c:f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2B-DAC2-4624-A7B2-21F9AB8BB5CB}"/>
            </c:ext>
          </c:extLst>
        </c:ser>
        <c:ser>
          <c:idx val="14"/>
          <c:order val="16"/>
          <c:tx>
            <c:strRef>
              <c:f>'Ma trận HDPE thổi'!$H$21</c:f>
              <c:strCache>
                <c:ptCount val="1"/>
                <c:pt idx="0">
                  <c:v>Giá dự báo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'Ma trận HDPE thổi'!$I$5:$BV$5</c:f>
              <c:strCache>
                <c:ptCount val="25"/>
                <c:pt idx="0">
                  <c:v>T1.24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T1.25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  <c:pt idx="16">
                  <c:v>5</c:v>
                </c:pt>
                <c:pt idx="17">
                  <c:v>6</c:v>
                </c:pt>
                <c:pt idx="18">
                  <c:v>7</c:v>
                </c:pt>
                <c:pt idx="19">
                  <c:v>8</c:v>
                </c:pt>
                <c:pt idx="20">
                  <c:v>9</c:v>
                </c:pt>
                <c:pt idx="21">
                  <c:v>10</c:v>
                </c:pt>
                <c:pt idx="22">
                  <c:v>11</c:v>
                </c:pt>
                <c:pt idx="23">
                  <c:v>12</c:v>
                </c:pt>
                <c:pt idx="24">
                  <c:v>T1.26</c:v>
                </c:pt>
              </c:strCache>
            </c:strRef>
          </c:cat>
          <c:val>
            <c:numRef>
              <c:f>'Ma trận HDPE thổi'!$U$21:$AU$21</c:f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4-9499-4F46-9185-4209C8324EC3}"/>
            </c:ext>
          </c:extLst>
        </c:ser>
        <c:ser>
          <c:idx val="15"/>
          <c:order val="17"/>
          <c:tx>
            <c:strRef>
              <c:f>'Ma trận HDPE thổi'!$H$18</c:f>
              <c:strCache>
                <c:ptCount val="1"/>
                <c:pt idx="0">
                  <c:v>Dafon FOB (personal care)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'Ma trận HDPE thổi'!$I$5:$BV$5</c:f>
              <c:strCache>
                <c:ptCount val="25"/>
                <c:pt idx="0">
                  <c:v>T1.24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T1.25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  <c:pt idx="16">
                  <c:v>5</c:v>
                </c:pt>
                <c:pt idx="17">
                  <c:v>6</c:v>
                </c:pt>
                <c:pt idx="18">
                  <c:v>7</c:v>
                </c:pt>
                <c:pt idx="19">
                  <c:v>8</c:v>
                </c:pt>
                <c:pt idx="20">
                  <c:v>9</c:v>
                </c:pt>
                <c:pt idx="21">
                  <c:v>10</c:v>
                </c:pt>
                <c:pt idx="22">
                  <c:v>11</c:v>
                </c:pt>
                <c:pt idx="23">
                  <c:v>12</c:v>
                </c:pt>
                <c:pt idx="24">
                  <c:v>T1.26</c:v>
                </c:pt>
              </c:strCache>
            </c:strRef>
          </c:cat>
          <c:val>
            <c:numRef>
              <c:f>'Ma trận HDPE thổi'!$U$18:$AQ$18</c:f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9-7826-4E74-BA7E-A2E754F0EA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bg2"/>
              </a:solidFill>
              <a:round/>
            </a:ln>
            <a:effectLst/>
          </c:spPr>
        </c:dropLines>
        <c:marker val="1"/>
        <c:smooth val="0"/>
        <c:axId val="1917916735"/>
        <c:axId val="1917910079"/>
        <c:extLst/>
      </c:lineChart>
      <c:catAx>
        <c:axId val="19179167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917910079"/>
        <c:crosses val="autoZero"/>
        <c:auto val="1"/>
        <c:lblAlgn val="ctr"/>
        <c:lblOffset val="100"/>
        <c:noMultiLvlLbl val="0"/>
      </c:catAx>
      <c:valAx>
        <c:axId val="1917910079"/>
        <c:scaling>
          <c:orientation val="minMax"/>
          <c:min val="800"/>
        </c:scaling>
        <c:delete val="0"/>
        <c:axPos val="l"/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917916735"/>
        <c:crosses val="autoZero"/>
        <c:crossBetween val="between"/>
        <c:majorUnit val="100"/>
      </c:valAx>
      <c:spPr>
        <a:noFill/>
        <a:ln>
          <a:solidFill>
            <a:schemeClr val="bg1"/>
          </a:solidFill>
        </a:ln>
        <a:effectLst/>
      </c:spPr>
    </c:plotArea>
    <c:legend>
      <c:legendPos val="r"/>
      <c:legendEntry>
        <c:idx val="0"/>
        <c:delete val="1"/>
      </c:legendEntry>
      <c:legendEntry>
        <c:idx val="1"/>
        <c:delete val="1"/>
      </c:legendEntry>
      <c:legendEntry>
        <c:idx val="2"/>
        <c:txPr>
          <a:bodyPr rot="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rgbClr val="2CD8D4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legendEntry>
      <c:legendEntry>
        <c:idx val="3"/>
        <c:txPr>
          <a:bodyPr rot="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rgbClr val="639D69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legendEntry>
      <c:legendEntry>
        <c:idx val="4"/>
        <c:txPr>
          <a:bodyPr rot="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rgbClr val="0070C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legendEntry>
      <c:legendEntry>
        <c:idx val="5"/>
        <c:txPr>
          <a:bodyPr rot="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accent2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legendEntry>
      <c:legendEntry>
        <c:idx val="6"/>
        <c:txPr>
          <a:bodyPr rot="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rgbClr val="00B05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legendEntry>
      <c:legendEntry>
        <c:idx val="7"/>
        <c:txPr>
          <a:bodyPr rot="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rgbClr val="FF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legendEntry>
      <c:legendEntry>
        <c:idx val="8"/>
        <c:txPr>
          <a:bodyPr rot="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rgbClr val="7030A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legendEntry>
      <c:legendEntry>
        <c:idx val="9"/>
        <c:txPr>
          <a:bodyPr rot="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rgbClr val="FF3399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legendEntry>
      <c:layout>
        <c:manualLayout>
          <c:xMode val="edge"/>
          <c:yMode val="edge"/>
          <c:x val="0.86734460268722147"/>
          <c:y val="0.19997261875299488"/>
          <c:w val="0.13265540858338237"/>
          <c:h val="0.7186541333402948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1" i="0" u="none" strike="noStrike" kern="1200" spc="0" baseline="0">
                <a:solidFill>
                  <a:srgbClr val="0000FF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GIÁ HẠT NHỰA </a:t>
            </a:r>
            <a:r>
              <a:rPr lang="en-US" sz="2400" b="1" i="0" u="none" strike="noStrike" kern="1200" spc="0" baseline="0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rHDPE THỔI</a:t>
            </a:r>
            <a:r>
              <a:rPr lang="en-US" sz="2400" b="1" i="0" u="none" strike="noStrike" kern="1200" spc="0" baseline="0">
                <a:solidFill>
                  <a:srgbClr val="0000FF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NĂM 2025 (USD/tấn)</a:t>
            </a:r>
          </a:p>
        </c:rich>
      </c:tx>
      <c:layout>
        <c:manualLayout>
          <c:xMode val="edge"/>
          <c:yMode val="edge"/>
          <c:x val="0.21527326307595129"/>
          <c:y val="1.623327415827095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9455299365984168E-2"/>
          <c:y val="9.5490080132714303E-2"/>
          <c:w val="0.7834136320987064"/>
          <c:h val="0.84440050527253308"/>
        </c:manualLayout>
      </c:layout>
      <c:areaChart>
        <c:grouping val="stacked"/>
        <c:varyColors val="0"/>
        <c:ser>
          <c:idx val="16"/>
          <c:order val="7"/>
          <c:tx>
            <c:strRef>
              <c:f>'Ma trận HDPE thổi'!$BZ$22</c:f>
              <c:strCache>
                <c:ptCount val="1"/>
                <c:pt idx="0">
                  <c:v> TTCP </c:v>
                </c:pt>
              </c:strCache>
            </c:strRef>
          </c:tx>
          <c:spPr>
            <a:noFill/>
            <a:ln w="25400">
              <a:noFill/>
            </a:ln>
            <a:effectLst/>
          </c:spPr>
          <c:cat>
            <c:multiLvlStrRef>
              <c:f>'Ma trận HDPE thổi'!$DD$5:$ED$5</c:f>
            </c:multiLvlStrRef>
          </c:cat>
          <c:val>
            <c:numRef>
              <c:f>'Ma trận HDPE thổi'!$CA$22:$IY$22</c:f>
              <c:numCache>
                <c:formatCode>"$"#,##0_);\("$"#,##0\)</c:formatCode>
                <c:ptCount val="51"/>
                <c:pt idx="0">
                  <c:v>940</c:v>
                </c:pt>
                <c:pt idx="1">
                  <c:v>940</c:v>
                </c:pt>
                <c:pt idx="2">
                  <c:v>940</c:v>
                </c:pt>
                <c:pt idx="3">
                  <c:v>940</c:v>
                </c:pt>
                <c:pt idx="4">
                  <c:v>940</c:v>
                </c:pt>
                <c:pt idx="5">
                  <c:v>940</c:v>
                </c:pt>
                <c:pt idx="6">
                  <c:v>896</c:v>
                </c:pt>
                <c:pt idx="7">
                  <c:v>896</c:v>
                </c:pt>
                <c:pt idx="8">
                  <c:v>896</c:v>
                </c:pt>
                <c:pt idx="9">
                  <c:v>896</c:v>
                </c:pt>
                <c:pt idx="10">
                  <c:v>896</c:v>
                </c:pt>
                <c:pt idx="11">
                  <c:v>896</c:v>
                </c:pt>
                <c:pt idx="12">
                  <c:v>896</c:v>
                </c:pt>
                <c:pt idx="13">
                  <c:v>900</c:v>
                </c:pt>
                <c:pt idx="14">
                  <c:v>890</c:v>
                </c:pt>
                <c:pt idx="15">
                  <c:v>880</c:v>
                </c:pt>
                <c:pt idx="16">
                  <c:v>870</c:v>
                </c:pt>
                <c:pt idx="17">
                  <c:v>870</c:v>
                </c:pt>
                <c:pt idx="18">
                  <c:v>860</c:v>
                </c:pt>
                <c:pt idx="19">
                  <c:v>860</c:v>
                </c:pt>
                <c:pt idx="20">
                  <c:v>860</c:v>
                </c:pt>
                <c:pt idx="21">
                  <c:v>833</c:v>
                </c:pt>
                <c:pt idx="22">
                  <c:v>833</c:v>
                </c:pt>
                <c:pt idx="23">
                  <c:v>833</c:v>
                </c:pt>
                <c:pt idx="24">
                  <c:v>833</c:v>
                </c:pt>
                <c:pt idx="25">
                  <c:v>833</c:v>
                </c:pt>
                <c:pt idx="26">
                  <c:v>833</c:v>
                </c:pt>
                <c:pt idx="27">
                  <c:v>833</c:v>
                </c:pt>
                <c:pt idx="28">
                  <c:v>833</c:v>
                </c:pt>
                <c:pt idx="29">
                  <c:v>833</c:v>
                </c:pt>
                <c:pt idx="30">
                  <c:v>815</c:v>
                </c:pt>
                <c:pt idx="31">
                  <c:v>815</c:v>
                </c:pt>
                <c:pt idx="32">
                  <c:v>815</c:v>
                </c:pt>
                <c:pt idx="33">
                  <c:v>815</c:v>
                </c:pt>
                <c:pt idx="34">
                  <c:v>815</c:v>
                </c:pt>
                <c:pt idx="35">
                  <c:v>815</c:v>
                </c:pt>
                <c:pt idx="36">
                  <c:v>815</c:v>
                </c:pt>
                <c:pt idx="37">
                  <c:v>805</c:v>
                </c:pt>
                <c:pt idx="38">
                  <c:v>805</c:v>
                </c:pt>
                <c:pt idx="39">
                  <c:v>805</c:v>
                </c:pt>
                <c:pt idx="40">
                  <c:v>805</c:v>
                </c:pt>
                <c:pt idx="41">
                  <c:v>805</c:v>
                </c:pt>
                <c:pt idx="42">
                  <c:v>805</c:v>
                </c:pt>
                <c:pt idx="43">
                  <c:v>805</c:v>
                </c:pt>
                <c:pt idx="44">
                  <c:v>805</c:v>
                </c:pt>
                <c:pt idx="45">
                  <c:v>805</c:v>
                </c:pt>
                <c:pt idx="46">
                  <c:v>805</c:v>
                </c:pt>
                <c:pt idx="47">
                  <c:v>805</c:v>
                </c:pt>
                <c:pt idx="48">
                  <c:v>805</c:v>
                </c:pt>
                <c:pt idx="49">
                  <c:v>800</c:v>
                </c:pt>
                <c:pt idx="50">
                  <c:v>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7-CAAF-44C9-843C-6D3132449A8D}"/>
            </c:ext>
          </c:extLst>
        </c:ser>
        <c:ser>
          <c:idx val="17"/>
          <c:order val="13"/>
          <c:tx>
            <c:strRef>
              <c:f>'Ma trận HDPE thổi'!$BZ$23</c:f>
              <c:strCache>
                <c:ptCount val="1"/>
                <c:pt idx="0">
                  <c:v>CL</c:v>
                </c:pt>
              </c:strCache>
            </c:strRef>
          </c:tx>
          <c:spPr>
            <a:solidFill>
              <a:schemeClr val="accent4">
                <a:lumMod val="20000"/>
                <a:lumOff val="80000"/>
              </a:schemeClr>
            </a:solidFill>
            <a:ln>
              <a:noFill/>
            </a:ln>
            <a:effectLst/>
          </c:spPr>
          <c:cat>
            <c:multiLvlStrRef>
              <c:f>'Ma trận HDPE thổi'!$DD$5:$ED$5</c:f>
            </c:multiLvlStrRef>
          </c:cat>
          <c:val>
            <c:numRef>
              <c:f>'Ma trận HDPE thổi'!$CA$23:$IY$23</c:f>
              <c:numCache>
                <c:formatCode>"$"#,##0_);\("$"#,##0\)</c:formatCode>
                <c:ptCount val="51"/>
                <c:pt idx="0">
                  <c:v>460</c:v>
                </c:pt>
                <c:pt idx="1">
                  <c:v>460</c:v>
                </c:pt>
                <c:pt idx="2">
                  <c:v>460</c:v>
                </c:pt>
                <c:pt idx="3">
                  <c:v>460</c:v>
                </c:pt>
                <c:pt idx="4">
                  <c:v>460</c:v>
                </c:pt>
                <c:pt idx="5">
                  <c:v>460</c:v>
                </c:pt>
                <c:pt idx="6">
                  <c:v>504</c:v>
                </c:pt>
                <c:pt idx="7">
                  <c:v>504</c:v>
                </c:pt>
                <c:pt idx="8">
                  <c:v>454</c:v>
                </c:pt>
                <c:pt idx="9">
                  <c:v>454</c:v>
                </c:pt>
                <c:pt idx="10">
                  <c:v>454</c:v>
                </c:pt>
                <c:pt idx="11">
                  <c:v>454</c:v>
                </c:pt>
                <c:pt idx="12">
                  <c:v>454</c:v>
                </c:pt>
                <c:pt idx="13">
                  <c:v>450</c:v>
                </c:pt>
                <c:pt idx="14">
                  <c:v>460</c:v>
                </c:pt>
                <c:pt idx="15">
                  <c:v>470</c:v>
                </c:pt>
                <c:pt idx="16">
                  <c:v>480</c:v>
                </c:pt>
                <c:pt idx="17">
                  <c:v>480</c:v>
                </c:pt>
                <c:pt idx="18">
                  <c:v>490</c:v>
                </c:pt>
                <c:pt idx="19">
                  <c:v>490</c:v>
                </c:pt>
                <c:pt idx="20">
                  <c:v>490</c:v>
                </c:pt>
                <c:pt idx="21">
                  <c:v>517</c:v>
                </c:pt>
                <c:pt idx="22">
                  <c:v>517</c:v>
                </c:pt>
                <c:pt idx="23">
                  <c:v>517</c:v>
                </c:pt>
                <c:pt idx="24">
                  <c:v>517</c:v>
                </c:pt>
                <c:pt idx="25">
                  <c:v>517</c:v>
                </c:pt>
                <c:pt idx="26">
                  <c:v>517</c:v>
                </c:pt>
                <c:pt idx="27">
                  <c:v>517</c:v>
                </c:pt>
                <c:pt idx="28">
                  <c:v>517</c:v>
                </c:pt>
                <c:pt idx="29">
                  <c:v>517</c:v>
                </c:pt>
                <c:pt idx="30">
                  <c:v>515</c:v>
                </c:pt>
                <c:pt idx="31">
                  <c:v>515</c:v>
                </c:pt>
                <c:pt idx="32">
                  <c:v>515</c:v>
                </c:pt>
                <c:pt idx="33">
                  <c:v>515</c:v>
                </c:pt>
                <c:pt idx="34">
                  <c:v>495</c:v>
                </c:pt>
                <c:pt idx="35">
                  <c:v>495</c:v>
                </c:pt>
                <c:pt idx="36">
                  <c:v>495</c:v>
                </c:pt>
                <c:pt idx="37">
                  <c:v>505</c:v>
                </c:pt>
                <c:pt idx="38">
                  <c:v>505</c:v>
                </c:pt>
                <c:pt idx="39">
                  <c:v>505</c:v>
                </c:pt>
                <c:pt idx="40">
                  <c:v>505</c:v>
                </c:pt>
                <c:pt idx="41">
                  <c:v>505</c:v>
                </c:pt>
                <c:pt idx="42">
                  <c:v>505</c:v>
                </c:pt>
                <c:pt idx="43">
                  <c:v>495</c:v>
                </c:pt>
                <c:pt idx="44">
                  <c:v>495</c:v>
                </c:pt>
                <c:pt idx="45">
                  <c:v>495</c:v>
                </c:pt>
                <c:pt idx="46">
                  <c:v>495</c:v>
                </c:pt>
                <c:pt idx="47">
                  <c:v>495</c:v>
                </c:pt>
                <c:pt idx="48">
                  <c:v>495</c:v>
                </c:pt>
                <c:pt idx="49">
                  <c:v>500</c:v>
                </c:pt>
                <c:pt idx="50">
                  <c:v>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8-CAAF-44C9-843C-6D3132449A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tx1">
                  <a:lumMod val="35000"/>
                  <a:lumOff val="65000"/>
                </a:schemeClr>
              </a:solidFill>
              <a:round/>
            </a:ln>
            <a:effectLst/>
          </c:spPr>
        </c:dropLines>
        <c:axId val="818818447"/>
        <c:axId val="818831887"/>
      </c:areaChart>
      <c:lineChart>
        <c:grouping val="standard"/>
        <c:varyColors val="0"/>
        <c:ser>
          <c:idx val="21"/>
          <c:order val="0"/>
          <c:tx>
            <c:strRef>
              <c:f>'Ma trận HDPE thổi'!$BZ$27</c:f>
              <c:strCache>
                <c:ptCount val="1"/>
                <c:pt idx="0">
                  <c:v>Giá bán Unilever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'Ma trận HDPE thổi'!$DD$5:$IY$5</c:f>
              <c:strCache>
                <c:ptCount val="51"/>
                <c:pt idx="0">
                  <c:v>01</c:v>
                </c:pt>
                <c:pt idx="1">
                  <c:v>02</c:v>
                </c:pt>
                <c:pt idx="2">
                  <c:v>03</c:v>
                </c:pt>
                <c:pt idx="3">
                  <c:v>04</c:v>
                </c:pt>
                <c:pt idx="4">
                  <c:v>06</c:v>
                </c:pt>
                <c:pt idx="5">
                  <c:v>07</c:v>
                </c:pt>
                <c:pt idx="6">
                  <c:v>08</c:v>
                </c:pt>
                <c:pt idx="7">
                  <c:v>09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14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18</c:v>
                </c:pt>
                <c:pt idx="17">
                  <c:v>19</c:v>
                </c:pt>
                <c:pt idx="18">
                  <c:v>20</c:v>
                </c:pt>
                <c:pt idx="19">
                  <c:v>21</c:v>
                </c:pt>
                <c:pt idx="20">
                  <c:v>22</c:v>
                </c:pt>
                <c:pt idx="21">
                  <c:v>23</c:v>
                </c:pt>
                <c:pt idx="22">
                  <c:v>24</c:v>
                </c:pt>
                <c:pt idx="23">
                  <c:v>25</c:v>
                </c:pt>
                <c:pt idx="24">
                  <c:v>26</c:v>
                </c:pt>
                <c:pt idx="25">
                  <c:v>27</c:v>
                </c:pt>
                <c:pt idx="26">
                  <c:v>28</c:v>
                </c:pt>
                <c:pt idx="27">
                  <c:v>29</c:v>
                </c:pt>
                <c:pt idx="28">
                  <c:v>30</c:v>
                </c:pt>
                <c:pt idx="29">
                  <c:v>31</c:v>
                </c:pt>
                <c:pt idx="30">
                  <c:v>32</c:v>
                </c:pt>
                <c:pt idx="31">
                  <c:v>33</c:v>
                </c:pt>
                <c:pt idx="32">
                  <c:v>34</c:v>
                </c:pt>
                <c:pt idx="33">
                  <c:v>35</c:v>
                </c:pt>
                <c:pt idx="34">
                  <c:v>36</c:v>
                </c:pt>
                <c:pt idx="35">
                  <c:v>37</c:v>
                </c:pt>
                <c:pt idx="36">
                  <c:v>38</c:v>
                </c:pt>
                <c:pt idx="37">
                  <c:v>39</c:v>
                </c:pt>
                <c:pt idx="38">
                  <c:v>40</c:v>
                </c:pt>
                <c:pt idx="39">
                  <c:v>41</c:v>
                </c:pt>
                <c:pt idx="40">
                  <c:v>42</c:v>
                </c:pt>
                <c:pt idx="41">
                  <c:v>43</c:v>
                </c:pt>
                <c:pt idx="42">
                  <c:v>44</c:v>
                </c:pt>
                <c:pt idx="43">
                  <c:v>45</c:v>
                </c:pt>
                <c:pt idx="44">
                  <c:v>46</c:v>
                </c:pt>
                <c:pt idx="45">
                  <c:v>47</c:v>
                </c:pt>
                <c:pt idx="46">
                  <c:v>48</c:v>
                </c:pt>
                <c:pt idx="47">
                  <c:v>49</c:v>
                </c:pt>
                <c:pt idx="48">
                  <c:v>50</c:v>
                </c:pt>
                <c:pt idx="49">
                  <c:v>51</c:v>
                </c:pt>
                <c:pt idx="50">
                  <c:v>52</c:v>
                </c:pt>
              </c:strCache>
            </c:strRef>
          </c:cat>
          <c:val>
            <c:numRef>
              <c:f>'Ma trận HDPE thổi'!$CA$27:$FT$27</c:f>
            </c:numRef>
          </c:val>
          <c:smooth val="0"/>
          <c:extLst>
            <c:ext xmlns:c16="http://schemas.microsoft.com/office/drawing/2014/chart" uri="{C3380CC4-5D6E-409C-BE32-E72D297353CC}">
              <c16:uniqueId val="{0000002C-CAAF-44C9-843C-6D3132449A8D}"/>
            </c:ext>
          </c:extLst>
        </c:ser>
        <c:ser>
          <c:idx val="12"/>
          <c:order val="1"/>
          <c:tx>
            <c:strRef>
              <c:f>'Ma trận HDPE thổi'!$BZ$18</c:f>
              <c:strCache>
                <c:ptCount val="1"/>
                <c:pt idx="0">
                  <c:v>Dafon FOB (personal care)</c:v>
                </c:pt>
              </c:strCache>
            </c:strRef>
          </c:tx>
          <c:spPr>
            <a:ln w="571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8324-446E-8F6F-46D90E6F141D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8324-446E-8F6F-46D90E6F141D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8324-446E-8F6F-46D90E6F141D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8324-446E-8F6F-46D90E6F141D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8324-446E-8F6F-46D90E6F141D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8324-446E-8F6F-46D90E6F141D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8324-446E-8F6F-46D90E6F141D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2FC-4966-8AC9-2BB9AB1BA38F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B7F5-4571-817E-37D8B9936030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72FC-4966-8AC9-2BB9AB1BA38F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72FC-4966-8AC9-2BB9AB1BA38F}"/>
                </c:ext>
              </c:extLst>
            </c:dLbl>
            <c:dLbl>
              <c:idx val="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ED9E-47AB-A70A-65A5BA416AA5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72FC-4966-8AC9-2BB9AB1BA38F}"/>
                </c:ext>
              </c:extLst>
            </c:dLbl>
            <c:dLbl>
              <c:idx val="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FB4-4C35-8E1F-522AE122EAE7}"/>
                </c:ext>
              </c:extLst>
            </c:dLbl>
            <c:dLbl>
              <c:idx val="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811C-41F5-A42B-4C56ADBEA658}"/>
                </c:ext>
              </c:extLst>
            </c:dLbl>
            <c:dLbl>
              <c:idx val="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D9E-47AB-A70A-65A5BA416AA5}"/>
                </c:ext>
              </c:extLst>
            </c:dLbl>
            <c:dLbl>
              <c:idx val="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A747-4867-9189-E04864FAF5EF}"/>
                </c:ext>
              </c:extLst>
            </c:dLbl>
            <c:dLbl>
              <c:idx val="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566-4B2E-9236-E05D73D806AC}"/>
                </c:ext>
              </c:extLst>
            </c:dLbl>
            <c:dLbl>
              <c:idx val="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CB4-4F0F-9C2A-E2FE2AC65AE7}"/>
                </c:ext>
              </c:extLst>
            </c:dLbl>
            <c:dLbl>
              <c:idx val="2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5744-478F-94EC-731279276B48}"/>
                </c:ext>
              </c:extLst>
            </c:dLbl>
            <c:dLbl>
              <c:idx val="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091F-464C-A343-54BE07CC6FD9}"/>
                </c:ext>
              </c:extLst>
            </c:dLbl>
            <c:dLbl>
              <c:idx val="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D86-4191-A9A4-9DE167CEF802}"/>
                </c:ext>
              </c:extLst>
            </c:dLbl>
            <c:dLbl>
              <c:idx val="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7A27-49F5-B9EC-314144962248}"/>
                </c:ext>
              </c:extLst>
            </c:dLbl>
            <c:dLbl>
              <c:idx val="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B7F5-4571-817E-37D8B9936030}"/>
                </c:ext>
              </c:extLst>
            </c:dLbl>
            <c:dLbl>
              <c:idx val="3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B7F5-4571-817E-37D8B9936030}"/>
                </c:ext>
              </c:extLst>
            </c:dLbl>
            <c:dLbl>
              <c:idx val="3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2C17-4929-9743-7FDE70B7E178}"/>
                </c:ext>
              </c:extLst>
            </c:dLbl>
            <c:dLbl>
              <c:idx val="3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A42-4AD3-A08A-FB5A25242C2F}"/>
                </c:ext>
              </c:extLst>
            </c:dLbl>
            <c:dLbl>
              <c:idx val="3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0C7B-43F0-A26D-39A4BDAA1322}"/>
                </c:ext>
              </c:extLst>
            </c:dLbl>
            <c:dLbl>
              <c:idx val="3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C17-4929-9743-7FDE70B7E178}"/>
                </c:ext>
              </c:extLst>
            </c:dLbl>
            <c:dLbl>
              <c:idx val="3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A6B-4B21-B55B-019A92872734}"/>
                </c:ext>
              </c:extLst>
            </c:dLbl>
            <c:dLbl>
              <c:idx val="4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565-49AA-A916-110CBF6C80B1}"/>
                </c:ext>
              </c:extLst>
            </c:dLbl>
            <c:dLbl>
              <c:idx val="4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C17-4929-9743-7FDE70B7E178}"/>
                </c:ext>
              </c:extLst>
            </c:dLbl>
            <c:dLbl>
              <c:idx val="4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612-4853-A3BA-B0A87B852EA2}"/>
                </c:ext>
              </c:extLst>
            </c:dLbl>
            <c:dLbl>
              <c:idx val="4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FBE-4DBA-9427-D8B1C2677365}"/>
                </c:ext>
              </c:extLst>
            </c:dLbl>
            <c:dLbl>
              <c:idx val="4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FB0-412F-8EC6-C64B71CD089D}"/>
                </c:ext>
              </c:extLst>
            </c:dLbl>
            <c:dLbl>
              <c:idx val="4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C17-4929-9743-7FDE70B7E178}"/>
                </c:ext>
              </c:extLst>
            </c:dLbl>
            <c:dLbl>
              <c:idx val="4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D9E-47AB-A70A-65A5BA416AA5}"/>
                </c:ext>
              </c:extLst>
            </c:dLbl>
            <c:dLbl>
              <c:idx val="4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CC4-4498-86B2-960CBDE6A13A}"/>
                </c:ext>
              </c:extLst>
            </c:dLbl>
            <c:dLbl>
              <c:idx val="4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D9E-47AB-A70A-65A5BA416AA5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rgbClr val="0070C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'Ma trận HDPE thổi'!$DD$5:$IY$5</c:f>
              <c:strCache>
                <c:ptCount val="51"/>
                <c:pt idx="0">
                  <c:v>01</c:v>
                </c:pt>
                <c:pt idx="1">
                  <c:v>02</c:v>
                </c:pt>
                <c:pt idx="2">
                  <c:v>03</c:v>
                </c:pt>
                <c:pt idx="3">
                  <c:v>04</c:v>
                </c:pt>
                <c:pt idx="4">
                  <c:v>06</c:v>
                </c:pt>
                <c:pt idx="5">
                  <c:v>07</c:v>
                </c:pt>
                <c:pt idx="6">
                  <c:v>08</c:v>
                </c:pt>
                <c:pt idx="7">
                  <c:v>09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14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18</c:v>
                </c:pt>
                <c:pt idx="17">
                  <c:v>19</c:v>
                </c:pt>
                <c:pt idx="18">
                  <c:v>20</c:v>
                </c:pt>
                <c:pt idx="19">
                  <c:v>21</c:v>
                </c:pt>
                <c:pt idx="20">
                  <c:v>22</c:v>
                </c:pt>
                <c:pt idx="21">
                  <c:v>23</c:v>
                </c:pt>
                <c:pt idx="22">
                  <c:v>24</c:v>
                </c:pt>
                <c:pt idx="23">
                  <c:v>25</c:v>
                </c:pt>
                <c:pt idx="24">
                  <c:v>26</c:v>
                </c:pt>
                <c:pt idx="25">
                  <c:v>27</c:v>
                </c:pt>
                <c:pt idx="26">
                  <c:v>28</c:v>
                </c:pt>
                <c:pt idx="27">
                  <c:v>29</c:v>
                </c:pt>
                <c:pt idx="28">
                  <c:v>30</c:v>
                </c:pt>
                <c:pt idx="29">
                  <c:v>31</c:v>
                </c:pt>
                <c:pt idx="30">
                  <c:v>32</c:v>
                </c:pt>
                <c:pt idx="31">
                  <c:v>33</c:v>
                </c:pt>
                <c:pt idx="32">
                  <c:v>34</c:v>
                </c:pt>
                <c:pt idx="33">
                  <c:v>35</c:v>
                </c:pt>
                <c:pt idx="34">
                  <c:v>36</c:v>
                </c:pt>
                <c:pt idx="35">
                  <c:v>37</c:v>
                </c:pt>
                <c:pt idx="36">
                  <c:v>38</c:v>
                </c:pt>
                <c:pt idx="37">
                  <c:v>39</c:v>
                </c:pt>
                <c:pt idx="38">
                  <c:v>40</c:v>
                </c:pt>
                <c:pt idx="39">
                  <c:v>41</c:v>
                </c:pt>
                <c:pt idx="40">
                  <c:v>42</c:v>
                </c:pt>
                <c:pt idx="41">
                  <c:v>43</c:v>
                </c:pt>
                <c:pt idx="42">
                  <c:v>44</c:v>
                </c:pt>
                <c:pt idx="43">
                  <c:v>45</c:v>
                </c:pt>
                <c:pt idx="44">
                  <c:v>46</c:v>
                </c:pt>
                <c:pt idx="45">
                  <c:v>47</c:v>
                </c:pt>
                <c:pt idx="46">
                  <c:v>48</c:v>
                </c:pt>
                <c:pt idx="47">
                  <c:v>49</c:v>
                </c:pt>
                <c:pt idx="48">
                  <c:v>50</c:v>
                </c:pt>
                <c:pt idx="49">
                  <c:v>51</c:v>
                </c:pt>
                <c:pt idx="50">
                  <c:v>52</c:v>
                </c:pt>
              </c:strCache>
            </c:strRef>
          </c:cat>
          <c:val>
            <c:numRef>
              <c:f>'Ma trận HDPE thổi'!$CA$18:$IY$18</c:f>
              <c:numCache>
                <c:formatCode>"$"#,##0_);\("$"#,##0\)</c:formatCode>
                <c:ptCount val="51"/>
                <c:pt idx="0">
                  <c:v>1434</c:v>
                </c:pt>
                <c:pt idx="1">
                  <c:v>1421</c:v>
                </c:pt>
                <c:pt idx="2">
                  <c:v>1421</c:v>
                </c:pt>
                <c:pt idx="3">
                  <c:v>1421</c:v>
                </c:pt>
                <c:pt idx="4">
                  <c:v>1421</c:v>
                </c:pt>
                <c:pt idx="5">
                  <c:v>1421</c:v>
                </c:pt>
                <c:pt idx="6">
                  <c:v>1408</c:v>
                </c:pt>
                <c:pt idx="7">
                  <c:v>1408</c:v>
                </c:pt>
                <c:pt idx="8">
                  <c:v>1408</c:v>
                </c:pt>
                <c:pt idx="9">
                  <c:v>1408</c:v>
                </c:pt>
                <c:pt idx="10">
                  <c:v>1408</c:v>
                </c:pt>
                <c:pt idx="11">
                  <c:v>1398</c:v>
                </c:pt>
                <c:pt idx="12">
                  <c:v>1398</c:v>
                </c:pt>
                <c:pt idx="13">
                  <c:v>1398</c:v>
                </c:pt>
                <c:pt idx="14">
                  <c:v>1398</c:v>
                </c:pt>
                <c:pt idx="15">
                  <c:v>1398</c:v>
                </c:pt>
                <c:pt idx="16">
                  <c:v>1398</c:v>
                </c:pt>
                <c:pt idx="17">
                  <c:v>1398</c:v>
                </c:pt>
                <c:pt idx="18">
                  <c:v>1398</c:v>
                </c:pt>
                <c:pt idx="19">
                  <c:v>1398</c:v>
                </c:pt>
                <c:pt idx="20">
                  <c:v>1398</c:v>
                </c:pt>
                <c:pt idx="21">
                  <c:v>1398</c:v>
                </c:pt>
                <c:pt idx="22">
                  <c:v>1398</c:v>
                </c:pt>
                <c:pt idx="23">
                  <c:v>1398</c:v>
                </c:pt>
                <c:pt idx="24">
                  <c:v>1398</c:v>
                </c:pt>
                <c:pt idx="25">
                  <c:v>1398</c:v>
                </c:pt>
                <c:pt idx="26">
                  <c:v>1398</c:v>
                </c:pt>
                <c:pt idx="27">
                  <c:v>1398</c:v>
                </c:pt>
                <c:pt idx="28">
                  <c:v>1398</c:v>
                </c:pt>
                <c:pt idx="29">
                  <c:v>1398</c:v>
                </c:pt>
                <c:pt idx="30">
                  <c:v>1398</c:v>
                </c:pt>
                <c:pt idx="31">
                  <c:v>1398</c:v>
                </c:pt>
                <c:pt idx="32">
                  <c:v>1160</c:v>
                </c:pt>
                <c:pt idx="33">
                  <c:v>1160</c:v>
                </c:pt>
                <c:pt idx="34">
                  <c:v>1160</c:v>
                </c:pt>
                <c:pt idx="35">
                  <c:v>1160</c:v>
                </c:pt>
                <c:pt idx="36">
                  <c:v>1160</c:v>
                </c:pt>
                <c:pt idx="37">
                  <c:v>1160</c:v>
                </c:pt>
                <c:pt idx="38">
                  <c:v>1160</c:v>
                </c:pt>
                <c:pt idx="39">
                  <c:v>1160</c:v>
                </c:pt>
                <c:pt idx="40">
                  <c:v>1160</c:v>
                </c:pt>
                <c:pt idx="41">
                  <c:v>1160</c:v>
                </c:pt>
                <c:pt idx="42">
                  <c:v>1160</c:v>
                </c:pt>
                <c:pt idx="43">
                  <c:v>1160</c:v>
                </c:pt>
                <c:pt idx="44">
                  <c:v>1160</c:v>
                </c:pt>
                <c:pt idx="45">
                  <c:v>1160</c:v>
                </c:pt>
                <c:pt idx="46">
                  <c:v>1160</c:v>
                </c:pt>
                <c:pt idx="47">
                  <c:v>1170</c:v>
                </c:pt>
                <c:pt idx="48">
                  <c:v>1170</c:v>
                </c:pt>
                <c:pt idx="49">
                  <c:v>1170</c:v>
                </c:pt>
                <c:pt idx="50">
                  <c:v>1170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3-CAAF-44C9-843C-6D3132449A8D}"/>
            </c:ext>
          </c:extLst>
        </c:ser>
        <c:ser>
          <c:idx val="4"/>
          <c:order val="2"/>
          <c:tx>
            <c:strRef>
              <c:f>'Ma trận HDPE thổi'!$BZ$9</c:f>
              <c:strCache>
                <c:ptCount val="1"/>
                <c:pt idx="0">
                  <c:v>DTR (personal care)</c:v>
                </c:pt>
              </c:strCache>
            </c:strRef>
          </c:tx>
          <c:spPr>
            <a:ln w="5715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DDA-449C-A00D-6E987A35F31F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72C2-4AD2-B4A4-E81741DD5171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2B2-43AF-AE4E-2C7E053C5190}"/>
                </c:ext>
              </c:extLst>
            </c:dLbl>
            <c:dLbl>
              <c:idx val="3"/>
              <c:layout>
                <c:manualLayout>
                  <c:x val="-1.5723450299389131E-2"/>
                  <c:y val="2.314824991793284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090D-4BB2-AD94-51B5389F607C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8-CAAF-44C9-843C-6D3132449A8D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24E-4C4B-AB74-526F28AC5947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5-CAAF-44C9-843C-6D3132449A8D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2BC7-4806-8B0A-4094D5B95CC0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6-CAAF-44C9-843C-6D3132449A8D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1-CAAF-44C9-843C-6D3132449A8D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2-CAAF-44C9-843C-6D3132449A8D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5744-478F-94EC-731279276B48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72FC-4966-8AC9-2BB9AB1BA38F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2FC-4966-8AC9-2BB9AB1BA38F}"/>
                </c:ext>
              </c:extLst>
            </c:dLbl>
            <c:dLbl>
              <c:idx val="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ED9E-47AB-A70A-65A5BA416AA5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72FC-4966-8AC9-2BB9AB1BA38F}"/>
                </c:ext>
              </c:extLst>
            </c:dLbl>
            <c:dLbl>
              <c:idx val="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7FB4-4C35-8E1F-522AE122EAE7}"/>
                </c:ext>
              </c:extLst>
            </c:dLbl>
            <c:dLbl>
              <c:idx val="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11C-41F5-A42B-4C56ADBEA658}"/>
                </c:ext>
              </c:extLst>
            </c:dLbl>
            <c:dLbl>
              <c:idx val="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ED9E-47AB-A70A-65A5BA416AA5}"/>
                </c:ext>
              </c:extLst>
            </c:dLbl>
            <c:dLbl>
              <c:idx val="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747-4867-9189-E04864FAF5EF}"/>
                </c:ext>
              </c:extLst>
            </c:dLbl>
            <c:dLbl>
              <c:idx val="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566-4B2E-9236-E05D73D806AC}"/>
                </c:ext>
              </c:extLst>
            </c:dLbl>
            <c:dLbl>
              <c:idx val="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CB4-4F0F-9C2A-E2FE2AC65AE7}"/>
                </c:ext>
              </c:extLst>
            </c:dLbl>
            <c:dLbl>
              <c:idx val="2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744-478F-94EC-731279276B48}"/>
                </c:ext>
              </c:extLst>
            </c:dLbl>
            <c:dLbl>
              <c:idx val="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91F-464C-A343-54BE07CC6FD9}"/>
                </c:ext>
              </c:extLst>
            </c:dLbl>
            <c:dLbl>
              <c:idx val="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D86-4191-A9A4-9DE167CEF802}"/>
                </c:ext>
              </c:extLst>
            </c:dLbl>
            <c:dLbl>
              <c:idx val="3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A27-49F5-B9EC-314144962248}"/>
                </c:ext>
              </c:extLst>
            </c:dLbl>
            <c:dLbl>
              <c:idx val="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7F5-4571-817E-37D8B9936030}"/>
                </c:ext>
              </c:extLst>
            </c:dLbl>
            <c:dLbl>
              <c:idx val="3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7F5-4571-817E-37D8B9936030}"/>
                </c:ext>
              </c:extLst>
            </c:dLbl>
            <c:dLbl>
              <c:idx val="3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A42-4AD3-A08A-FB5A25242C2F}"/>
                </c:ext>
              </c:extLst>
            </c:dLbl>
            <c:dLbl>
              <c:idx val="3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C7B-43F0-A26D-39A4BDAA1322}"/>
                </c:ext>
              </c:extLst>
            </c:dLbl>
            <c:dLbl>
              <c:idx val="3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2C17-4929-9743-7FDE70B7E178}"/>
                </c:ext>
              </c:extLst>
            </c:dLbl>
            <c:dLbl>
              <c:idx val="3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A6B-4B21-B55B-019A92872734}"/>
                </c:ext>
              </c:extLst>
            </c:dLbl>
            <c:dLbl>
              <c:idx val="4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565-49AA-A916-110CBF6C80B1}"/>
                </c:ext>
              </c:extLst>
            </c:dLbl>
            <c:dLbl>
              <c:idx val="4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2C17-4929-9743-7FDE70B7E178}"/>
                </c:ext>
              </c:extLst>
            </c:dLbl>
            <c:dLbl>
              <c:idx val="4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612-4853-A3BA-B0A87B852EA2}"/>
                </c:ext>
              </c:extLst>
            </c:dLbl>
            <c:dLbl>
              <c:idx val="43"/>
              <c:layout>
                <c:manualLayout>
                  <c:x val="-1.1515766416453917E-2"/>
                  <c:y val="-4.163408122907600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FBE-4DBA-9427-D8B1C2677365}"/>
                </c:ext>
              </c:extLst>
            </c:dLbl>
            <c:dLbl>
              <c:idx val="4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7FB0-412F-8EC6-C64B71CD089D}"/>
                </c:ext>
              </c:extLst>
            </c:dLbl>
            <c:dLbl>
              <c:idx val="4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2C17-4929-9743-7FDE70B7E178}"/>
                </c:ext>
              </c:extLst>
            </c:dLbl>
            <c:dLbl>
              <c:idx val="4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2C17-4929-9743-7FDE70B7E178}"/>
                </c:ext>
              </c:extLst>
            </c:dLbl>
            <c:dLbl>
              <c:idx val="4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ED9E-47AB-A70A-65A5BA416AA5}"/>
                </c:ext>
              </c:extLst>
            </c:dLbl>
            <c:dLbl>
              <c:idx val="4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ED9E-47AB-A70A-65A5BA416AA5}"/>
                </c:ext>
              </c:extLst>
            </c:dLbl>
            <c:dLbl>
              <c:idx val="5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CC4-4498-86B2-960CBDE6A13A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rgbClr val="00B05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'Ma trận HDPE thổi'!$DD$5:$IY$5</c:f>
              <c:strCache>
                <c:ptCount val="51"/>
                <c:pt idx="0">
                  <c:v>01</c:v>
                </c:pt>
                <c:pt idx="1">
                  <c:v>02</c:v>
                </c:pt>
                <c:pt idx="2">
                  <c:v>03</c:v>
                </c:pt>
                <c:pt idx="3">
                  <c:v>04</c:v>
                </c:pt>
                <c:pt idx="4">
                  <c:v>06</c:v>
                </c:pt>
                <c:pt idx="5">
                  <c:v>07</c:v>
                </c:pt>
                <c:pt idx="6">
                  <c:v>08</c:v>
                </c:pt>
                <c:pt idx="7">
                  <c:v>09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14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18</c:v>
                </c:pt>
                <c:pt idx="17">
                  <c:v>19</c:v>
                </c:pt>
                <c:pt idx="18">
                  <c:v>20</c:v>
                </c:pt>
                <c:pt idx="19">
                  <c:v>21</c:v>
                </c:pt>
                <c:pt idx="20">
                  <c:v>22</c:v>
                </c:pt>
                <c:pt idx="21">
                  <c:v>23</c:v>
                </c:pt>
                <c:pt idx="22">
                  <c:v>24</c:v>
                </c:pt>
                <c:pt idx="23">
                  <c:v>25</c:v>
                </c:pt>
                <c:pt idx="24">
                  <c:v>26</c:v>
                </c:pt>
                <c:pt idx="25">
                  <c:v>27</c:v>
                </c:pt>
                <c:pt idx="26">
                  <c:v>28</c:v>
                </c:pt>
                <c:pt idx="27">
                  <c:v>29</c:v>
                </c:pt>
                <c:pt idx="28">
                  <c:v>30</c:v>
                </c:pt>
                <c:pt idx="29">
                  <c:v>31</c:v>
                </c:pt>
                <c:pt idx="30">
                  <c:v>32</c:v>
                </c:pt>
                <c:pt idx="31">
                  <c:v>33</c:v>
                </c:pt>
                <c:pt idx="32">
                  <c:v>34</c:v>
                </c:pt>
                <c:pt idx="33">
                  <c:v>35</c:v>
                </c:pt>
                <c:pt idx="34">
                  <c:v>36</c:v>
                </c:pt>
                <c:pt idx="35">
                  <c:v>37</c:v>
                </c:pt>
                <c:pt idx="36">
                  <c:v>38</c:v>
                </c:pt>
                <c:pt idx="37">
                  <c:v>39</c:v>
                </c:pt>
                <c:pt idx="38">
                  <c:v>40</c:v>
                </c:pt>
                <c:pt idx="39">
                  <c:v>41</c:v>
                </c:pt>
                <c:pt idx="40">
                  <c:v>42</c:v>
                </c:pt>
                <c:pt idx="41">
                  <c:v>43</c:v>
                </c:pt>
                <c:pt idx="42">
                  <c:v>44</c:v>
                </c:pt>
                <c:pt idx="43">
                  <c:v>45</c:v>
                </c:pt>
                <c:pt idx="44">
                  <c:v>46</c:v>
                </c:pt>
                <c:pt idx="45">
                  <c:v>47</c:v>
                </c:pt>
                <c:pt idx="46">
                  <c:v>48</c:v>
                </c:pt>
                <c:pt idx="47">
                  <c:v>49</c:v>
                </c:pt>
                <c:pt idx="48">
                  <c:v>50</c:v>
                </c:pt>
                <c:pt idx="49">
                  <c:v>51</c:v>
                </c:pt>
                <c:pt idx="50">
                  <c:v>52</c:v>
                </c:pt>
              </c:strCache>
            </c:strRef>
          </c:cat>
          <c:val>
            <c:numRef>
              <c:f>'Ma trận HDPE thổi'!$CA$9:$IY$9</c:f>
              <c:numCache>
                <c:formatCode>_(* #,##0_);_(* \(#,##0\);_(* "-"??_);_(@_)</c:formatCode>
                <c:ptCount val="51"/>
                <c:pt idx="0">
                  <c:v>1400</c:v>
                </c:pt>
                <c:pt idx="1">
                  <c:v>1400</c:v>
                </c:pt>
                <c:pt idx="2">
                  <c:v>1400</c:v>
                </c:pt>
                <c:pt idx="3">
                  <c:v>1400</c:v>
                </c:pt>
                <c:pt idx="4">
                  <c:v>1400</c:v>
                </c:pt>
                <c:pt idx="5">
                  <c:v>1400</c:v>
                </c:pt>
                <c:pt idx="6">
                  <c:v>1400</c:v>
                </c:pt>
                <c:pt idx="7">
                  <c:v>1400</c:v>
                </c:pt>
                <c:pt idx="8">
                  <c:v>1350</c:v>
                </c:pt>
                <c:pt idx="9">
                  <c:v>1350</c:v>
                </c:pt>
                <c:pt idx="10">
                  <c:v>1350</c:v>
                </c:pt>
                <c:pt idx="11">
                  <c:v>1350</c:v>
                </c:pt>
                <c:pt idx="12">
                  <c:v>1350</c:v>
                </c:pt>
                <c:pt idx="13">
                  <c:v>1350</c:v>
                </c:pt>
                <c:pt idx="14">
                  <c:v>1350</c:v>
                </c:pt>
                <c:pt idx="15">
                  <c:v>1350</c:v>
                </c:pt>
                <c:pt idx="16">
                  <c:v>1350</c:v>
                </c:pt>
                <c:pt idx="17">
                  <c:v>1350</c:v>
                </c:pt>
                <c:pt idx="18">
                  <c:v>1350</c:v>
                </c:pt>
                <c:pt idx="19">
                  <c:v>1350</c:v>
                </c:pt>
                <c:pt idx="20">
                  <c:v>1350</c:v>
                </c:pt>
                <c:pt idx="21">
                  <c:v>1350</c:v>
                </c:pt>
                <c:pt idx="22">
                  <c:v>1350</c:v>
                </c:pt>
                <c:pt idx="23">
                  <c:v>1350</c:v>
                </c:pt>
                <c:pt idx="24">
                  <c:v>1350</c:v>
                </c:pt>
                <c:pt idx="25">
                  <c:v>1350</c:v>
                </c:pt>
                <c:pt idx="26">
                  <c:v>1350</c:v>
                </c:pt>
                <c:pt idx="27">
                  <c:v>1350</c:v>
                </c:pt>
                <c:pt idx="28">
                  <c:v>1350</c:v>
                </c:pt>
                <c:pt idx="29">
                  <c:v>1350</c:v>
                </c:pt>
                <c:pt idx="30">
                  <c:v>1330</c:v>
                </c:pt>
                <c:pt idx="31">
                  <c:v>1330</c:v>
                </c:pt>
                <c:pt idx="32">
                  <c:v>1330</c:v>
                </c:pt>
                <c:pt idx="33">
                  <c:v>1330</c:v>
                </c:pt>
                <c:pt idx="34">
                  <c:v>1310</c:v>
                </c:pt>
                <c:pt idx="35">
                  <c:v>1310</c:v>
                </c:pt>
                <c:pt idx="36">
                  <c:v>1310</c:v>
                </c:pt>
                <c:pt idx="37">
                  <c:v>1310</c:v>
                </c:pt>
                <c:pt idx="38">
                  <c:v>1310</c:v>
                </c:pt>
                <c:pt idx="39">
                  <c:v>1310</c:v>
                </c:pt>
                <c:pt idx="40">
                  <c:v>1310</c:v>
                </c:pt>
                <c:pt idx="41">
                  <c:v>1310</c:v>
                </c:pt>
                <c:pt idx="42">
                  <c:v>1310</c:v>
                </c:pt>
                <c:pt idx="43">
                  <c:v>1300</c:v>
                </c:pt>
                <c:pt idx="44">
                  <c:v>1300</c:v>
                </c:pt>
                <c:pt idx="45">
                  <c:v>1300</c:v>
                </c:pt>
                <c:pt idx="46">
                  <c:v>1300</c:v>
                </c:pt>
                <c:pt idx="47">
                  <c:v>1300</c:v>
                </c:pt>
                <c:pt idx="48">
                  <c:v>1300</c:v>
                </c:pt>
                <c:pt idx="49">
                  <c:v>1300</c:v>
                </c:pt>
                <c:pt idx="50">
                  <c:v>1300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CAAF-44C9-843C-6D3132449A8D}"/>
            </c:ext>
          </c:extLst>
        </c:ser>
        <c:ser>
          <c:idx val="20"/>
          <c:order val="3"/>
          <c:tx>
            <c:strRef>
              <c:f>'Ma trận HDPE thổi'!$BZ$10</c:f>
              <c:strCache>
                <c:ptCount val="1"/>
                <c:pt idx="0">
                  <c:v>DTR (Home care)</c:v>
                </c:pt>
              </c:strCache>
            </c:strRef>
          </c:tx>
          <c:spPr>
            <a:ln w="5080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1.7805282967655583E-2"/>
                  <c:y val="-2.316353308445610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E4F-440E-ABA0-8A377100A232}"/>
                </c:ext>
              </c:extLst>
            </c:dLbl>
            <c:dLbl>
              <c:idx val="9"/>
              <c:layout>
                <c:manualLayout>
                  <c:x val="-1.6024754670890023E-2"/>
                  <c:y val="-3.474529962668410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DF4E-4502-B6EB-2149A1C9A1CC}"/>
                </c:ext>
              </c:extLst>
            </c:dLbl>
            <c:dLbl>
              <c:idx val="13"/>
              <c:layout>
                <c:manualLayout>
                  <c:x val="-1.1573433928976128E-2"/>
                  <c:y val="-3.011259300979292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E4F-440E-ABA0-8A377100A23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accent6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'Ma trận HDPE thổi'!$DD$5:$IY$5</c:f>
              <c:strCache>
                <c:ptCount val="51"/>
                <c:pt idx="0">
                  <c:v>01</c:v>
                </c:pt>
                <c:pt idx="1">
                  <c:v>02</c:v>
                </c:pt>
                <c:pt idx="2">
                  <c:v>03</c:v>
                </c:pt>
                <c:pt idx="3">
                  <c:v>04</c:v>
                </c:pt>
                <c:pt idx="4">
                  <c:v>06</c:v>
                </c:pt>
                <c:pt idx="5">
                  <c:v>07</c:v>
                </c:pt>
                <c:pt idx="6">
                  <c:v>08</c:v>
                </c:pt>
                <c:pt idx="7">
                  <c:v>09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14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18</c:v>
                </c:pt>
                <c:pt idx="17">
                  <c:v>19</c:v>
                </c:pt>
                <c:pt idx="18">
                  <c:v>20</c:v>
                </c:pt>
                <c:pt idx="19">
                  <c:v>21</c:v>
                </c:pt>
                <c:pt idx="20">
                  <c:v>22</c:v>
                </c:pt>
                <c:pt idx="21">
                  <c:v>23</c:v>
                </c:pt>
                <c:pt idx="22">
                  <c:v>24</c:v>
                </c:pt>
                <c:pt idx="23">
                  <c:v>25</c:v>
                </c:pt>
                <c:pt idx="24">
                  <c:v>26</c:v>
                </c:pt>
                <c:pt idx="25">
                  <c:v>27</c:v>
                </c:pt>
                <c:pt idx="26">
                  <c:v>28</c:v>
                </c:pt>
                <c:pt idx="27">
                  <c:v>29</c:v>
                </c:pt>
                <c:pt idx="28">
                  <c:v>30</c:v>
                </c:pt>
                <c:pt idx="29">
                  <c:v>31</c:v>
                </c:pt>
                <c:pt idx="30">
                  <c:v>32</c:v>
                </c:pt>
                <c:pt idx="31">
                  <c:v>33</c:v>
                </c:pt>
                <c:pt idx="32">
                  <c:v>34</c:v>
                </c:pt>
                <c:pt idx="33">
                  <c:v>35</c:v>
                </c:pt>
                <c:pt idx="34">
                  <c:v>36</c:v>
                </c:pt>
                <c:pt idx="35">
                  <c:v>37</c:v>
                </c:pt>
                <c:pt idx="36">
                  <c:v>38</c:v>
                </c:pt>
                <c:pt idx="37">
                  <c:v>39</c:v>
                </c:pt>
                <c:pt idx="38">
                  <c:v>40</c:v>
                </c:pt>
                <c:pt idx="39">
                  <c:v>41</c:v>
                </c:pt>
                <c:pt idx="40">
                  <c:v>42</c:v>
                </c:pt>
                <c:pt idx="41">
                  <c:v>43</c:v>
                </c:pt>
                <c:pt idx="42">
                  <c:v>44</c:v>
                </c:pt>
                <c:pt idx="43">
                  <c:v>45</c:v>
                </c:pt>
                <c:pt idx="44">
                  <c:v>46</c:v>
                </c:pt>
                <c:pt idx="45">
                  <c:v>47</c:v>
                </c:pt>
                <c:pt idx="46">
                  <c:v>48</c:v>
                </c:pt>
                <c:pt idx="47">
                  <c:v>49</c:v>
                </c:pt>
                <c:pt idx="48">
                  <c:v>50</c:v>
                </c:pt>
                <c:pt idx="49">
                  <c:v>51</c:v>
                </c:pt>
                <c:pt idx="50">
                  <c:v>52</c:v>
                </c:pt>
              </c:strCache>
            </c:strRef>
          </c:cat>
          <c:val>
            <c:numRef>
              <c:f>'Ma trận HDPE thổi'!$CA$10:$HT$10</c:f>
              <c:numCache>
                <c:formatCode>_(* #,##0_);_(* \(#,##0\);_(* "-"??_);_(@_)</c:formatCode>
                <c:ptCount val="20"/>
                <c:pt idx="0">
                  <c:v>1350</c:v>
                </c:pt>
                <c:pt idx="1">
                  <c:v>1350</c:v>
                </c:pt>
                <c:pt idx="2">
                  <c:v>1350</c:v>
                </c:pt>
                <c:pt idx="3">
                  <c:v>1350</c:v>
                </c:pt>
                <c:pt idx="4">
                  <c:v>1350</c:v>
                </c:pt>
                <c:pt idx="5">
                  <c:v>1350</c:v>
                </c:pt>
                <c:pt idx="6">
                  <c:v>1350</c:v>
                </c:pt>
                <c:pt idx="7">
                  <c:v>1350</c:v>
                </c:pt>
                <c:pt idx="8">
                  <c:v>1300</c:v>
                </c:pt>
                <c:pt idx="9">
                  <c:v>1300</c:v>
                </c:pt>
                <c:pt idx="10">
                  <c:v>1300</c:v>
                </c:pt>
                <c:pt idx="11">
                  <c:v>1300</c:v>
                </c:pt>
                <c:pt idx="12">
                  <c:v>1300</c:v>
                </c:pt>
                <c:pt idx="13">
                  <c:v>1300</c:v>
                </c:pt>
                <c:pt idx="14">
                  <c:v>1300</c:v>
                </c:pt>
                <c:pt idx="15">
                  <c:v>1300</c:v>
                </c:pt>
                <c:pt idx="16">
                  <c:v>1300</c:v>
                </c:pt>
                <c:pt idx="17">
                  <c:v>1300</c:v>
                </c:pt>
                <c:pt idx="18">
                  <c:v>1300</c:v>
                </c:pt>
                <c:pt idx="19">
                  <c:v>1300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2B-CAAF-44C9-843C-6D3132449A8D}"/>
            </c:ext>
          </c:extLst>
        </c:ser>
        <c:ser>
          <c:idx val="13"/>
          <c:order val="4"/>
          <c:tx>
            <c:strRef>
              <c:f>'Ma trận HDPE thổi'!$BZ$19</c:f>
              <c:strCache>
                <c:ptCount val="1"/>
                <c:pt idx="0">
                  <c:v>Dafon FOB (Home care)</c:v>
                </c:pt>
              </c:strCache>
            </c:strRef>
          </c:tx>
          <c:spPr>
            <a:ln w="571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9320-49F8-A41B-2AC3FD59A714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9320-49F8-A41B-2AC3FD59A714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DDA-449C-A00D-6E987A35F31F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1E2B-4888-953E-D95B33B55D7B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9320-49F8-A41B-2AC3FD59A714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DDA-449C-A00D-6E987A35F31F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9320-49F8-A41B-2AC3FD59A714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B7F5-4571-817E-37D8B9936030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72FC-4966-8AC9-2BB9AB1BA38F}"/>
                </c:ext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72FC-4966-8AC9-2BB9AB1BA38F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B7F5-4571-817E-37D8B9936030}"/>
                </c:ext>
              </c:extLst>
            </c:dLbl>
            <c:dLbl>
              <c:idx val="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72FC-4966-8AC9-2BB9AB1BA38F}"/>
                </c:ext>
              </c:extLst>
            </c:dLbl>
            <c:dLbl>
              <c:idx val="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7FB4-4C35-8E1F-522AE122EAE7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B7F5-4571-817E-37D8B9936030}"/>
                </c:ext>
              </c:extLst>
            </c:dLbl>
            <c:dLbl>
              <c:idx val="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811C-41F5-A42B-4C56ADBEA658}"/>
                </c:ext>
              </c:extLst>
            </c:dLbl>
            <c:dLbl>
              <c:idx val="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A747-4867-9189-E04864FAF5EF}"/>
                </c:ext>
              </c:extLst>
            </c:dLbl>
            <c:dLbl>
              <c:idx val="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566-4B2E-9236-E05D73D806AC}"/>
                </c:ext>
              </c:extLst>
            </c:dLbl>
            <c:dLbl>
              <c:idx val="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CB4-4F0F-9C2A-E2FE2AC65AE7}"/>
                </c:ext>
              </c:extLst>
            </c:dLbl>
            <c:dLbl>
              <c:idx val="26"/>
              <c:layout>
                <c:manualLayout>
                  <c:x val="-1.3287422788216187E-2"/>
                  <c:y val="3.238206317817014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744-478F-94EC-731279276B48}"/>
                </c:ext>
              </c:extLst>
            </c:dLbl>
            <c:dLbl>
              <c:idx val="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091F-464C-A343-54BE07CC6FD9}"/>
                </c:ext>
              </c:extLst>
            </c:dLbl>
            <c:dLbl>
              <c:idx val="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ED86-4191-A9A4-9DE167CEF802}"/>
                </c:ext>
              </c:extLst>
            </c:dLbl>
            <c:dLbl>
              <c:idx val="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7A27-49F5-B9EC-314144962248}"/>
                </c:ext>
              </c:extLst>
            </c:dLbl>
            <c:dLbl>
              <c:idx val="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7F5-4571-817E-37D8B9936030}"/>
                </c:ext>
              </c:extLst>
            </c:dLbl>
            <c:dLbl>
              <c:idx val="3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7F5-4571-817E-37D8B9936030}"/>
                </c:ext>
              </c:extLst>
            </c:dLbl>
            <c:dLbl>
              <c:idx val="3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EA42-4AD3-A08A-FB5A25242C2F}"/>
                </c:ext>
              </c:extLst>
            </c:dLbl>
            <c:dLbl>
              <c:idx val="3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1612-4853-A3BA-B0A87B852EA2}"/>
                </c:ext>
              </c:extLst>
            </c:dLbl>
            <c:dLbl>
              <c:idx val="3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0C7B-43F0-A26D-39A4BDAA1322}"/>
                </c:ext>
              </c:extLst>
            </c:dLbl>
            <c:dLbl>
              <c:idx val="37"/>
              <c:layout>
                <c:manualLayout>
                  <c:x val="-2.2367161693497031E-2"/>
                  <c:y val="3.481071791653286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C7B-43F0-A26D-39A4BDAA1322}"/>
                </c:ext>
              </c:extLst>
            </c:dLbl>
            <c:dLbl>
              <c:idx val="3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A6B-4B21-B55B-019A92872734}"/>
                </c:ext>
              </c:extLst>
            </c:dLbl>
            <c:dLbl>
              <c:idx val="3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1612-4853-A3BA-B0A87B852EA2}"/>
                </c:ext>
              </c:extLst>
            </c:dLbl>
            <c:dLbl>
              <c:idx val="4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F565-49AA-A916-110CBF6C80B1}"/>
                </c:ext>
              </c:extLst>
            </c:dLbl>
            <c:dLbl>
              <c:idx val="4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612-4853-A3BA-B0A87B852EA2}"/>
                </c:ext>
              </c:extLst>
            </c:dLbl>
            <c:dLbl>
              <c:idx val="4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3FBE-4DBA-9427-D8B1C2677365}"/>
                </c:ext>
              </c:extLst>
            </c:dLbl>
            <c:dLbl>
              <c:idx val="4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FB0-412F-8EC6-C64B71CD089D}"/>
                </c:ext>
              </c:extLst>
            </c:dLbl>
            <c:dLbl>
              <c:idx val="4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2C17-4929-9743-7FDE70B7E178}"/>
                </c:ext>
              </c:extLst>
            </c:dLbl>
            <c:dLbl>
              <c:idx val="4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ED9E-47AB-A70A-65A5BA416AA5}"/>
                </c:ext>
              </c:extLst>
            </c:dLbl>
            <c:dLbl>
              <c:idx val="4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ED9E-47AB-A70A-65A5BA416AA5}"/>
                </c:ext>
              </c:extLst>
            </c:dLbl>
            <c:dLbl>
              <c:idx val="5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CC4-4498-86B2-960CBDE6A13A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accent2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'Ma trận HDPE thổi'!$DD$5:$IY$5</c:f>
              <c:strCache>
                <c:ptCount val="51"/>
                <c:pt idx="0">
                  <c:v>01</c:v>
                </c:pt>
                <c:pt idx="1">
                  <c:v>02</c:v>
                </c:pt>
                <c:pt idx="2">
                  <c:v>03</c:v>
                </c:pt>
                <c:pt idx="3">
                  <c:v>04</c:v>
                </c:pt>
                <c:pt idx="4">
                  <c:v>06</c:v>
                </c:pt>
                <c:pt idx="5">
                  <c:v>07</c:v>
                </c:pt>
                <c:pt idx="6">
                  <c:v>08</c:v>
                </c:pt>
                <c:pt idx="7">
                  <c:v>09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14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18</c:v>
                </c:pt>
                <c:pt idx="17">
                  <c:v>19</c:v>
                </c:pt>
                <c:pt idx="18">
                  <c:v>20</c:v>
                </c:pt>
                <c:pt idx="19">
                  <c:v>21</c:v>
                </c:pt>
                <c:pt idx="20">
                  <c:v>22</c:v>
                </c:pt>
                <c:pt idx="21">
                  <c:v>23</c:v>
                </c:pt>
                <c:pt idx="22">
                  <c:v>24</c:v>
                </c:pt>
                <c:pt idx="23">
                  <c:v>25</c:v>
                </c:pt>
                <c:pt idx="24">
                  <c:v>26</c:v>
                </c:pt>
                <c:pt idx="25">
                  <c:v>27</c:v>
                </c:pt>
                <c:pt idx="26">
                  <c:v>28</c:v>
                </c:pt>
                <c:pt idx="27">
                  <c:v>29</c:v>
                </c:pt>
                <c:pt idx="28">
                  <c:v>30</c:v>
                </c:pt>
                <c:pt idx="29">
                  <c:v>31</c:v>
                </c:pt>
                <c:pt idx="30">
                  <c:v>32</c:v>
                </c:pt>
                <c:pt idx="31">
                  <c:v>33</c:v>
                </c:pt>
                <c:pt idx="32">
                  <c:v>34</c:v>
                </c:pt>
                <c:pt idx="33">
                  <c:v>35</c:v>
                </c:pt>
                <c:pt idx="34">
                  <c:v>36</c:v>
                </c:pt>
                <c:pt idx="35">
                  <c:v>37</c:v>
                </c:pt>
                <c:pt idx="36">
                  <c:v>38</c:v>
                </c:pt>
                <c:pt idx="37">
                  <c:v>39</c:v>
                </c:pt>
                <c:pt idx="38">
                  <c:v>40</c:v>
                </c:pt>
                <c:pt idx="39">
                  <c:v>41</c:v>
                </c:pt>
                <c:pt idx="40">
                  <c:v>42</c:v>
                </c:pt>
                <c:pt idx="41">
                  <c:v>43</c:v>
                </c:pt>
                <c:pt idx="42">
                  <c:v>44</c:v>
                </c:pt>
                <c:pt idx="43">
                  <c:v>45</c:v>
                </c:pt>
                <c:pt idx="44">
                  <c:v>46</c:v>
                </c:pt>
                <c:pt idx="45">
                  <c:v>47</c:v>
                </c:pt>
                <c:pt idx="46">
                  <c:v>48</c:v>
                </c:pt>
                <c:pt idx="47">
                  <c:v>49</c:v>
                </c:pt>
                <c:pt idx="48">
                  <c:v>50</c:v>
                </c:pt>
                <c:pt idx="49">
                  <c:v>51</c:v>
                </c:pt>
                <c:pt idx="50">
                  <c:v>52</c:v>
                </c:pt>
              </c:strCache>
            </c:strRef>
          </c:cat>
          <c:val>
            <c:numRef>
              <c:f>'Ma trận HDPE thổi'!$CA$19:$IY$19</c:f>
              <c:numCache>
                <c:formatCode>"$"#,##0_);\("$"#,##0\)</c:formatCode>
                <c:ptCount val="51"/>
                <c:pt idx="0">
                  <c:v>1334</c:v>
                </c:pt>
                <c:pt idx="1">
                  <c:v>1321</c:v>
                </c:pt>
                <c:pt idx="2">
                  <c:v>1321</c:v>
                </c:pt>
                <c:pt idx="3">
                  <c:v>1321</c:v>
                </c:pt>
                <c:pt idx="4">
                  <c:v>1321</c:v>
                </c:pt>
                <c:pt idx="5">
                  <c:v>1321</c:v>
                </c:pt>
                <c:pt idx="6">
                  <c:v>1308</c:v>
                </c:pt>
                <c:pt idx="7">
                  <c:v>1308</c:v>
                </c:pt>
                <c:pt idx="8">
                  <c:v>1308</c:v>
                </c:pt>
                <c:pt idx="9">
                  <c:v>1308</c:v>
                </c:pt>
                <c:pt idx="10">
                  <c:v>1308</c:v>
                </c:pt>
                <c:pt idx="11">
                  <c:v>1298</c:v>
                </c:pt>
                <c:pt idx="12">
                  <c:v>1298</c:v>
                </c:pt>
                <c:pt idx="13">
                  <c:v>1298</c:v>
                </c:pt>
                <c:pt idx="14">
                  <c:v>1298</c:v>
                </c:pt>
                <c:pt idx="15">
                  <c:v>1298</c:v>
                </c:pt>
                <c:pt idx="16">
                  <c:v>1298</c:v>
                </c:pt>
                <c:pt idx="17">
                  <c:v>1298</c:v>
                </c:pt>
                <c:pt idx="18">
                  <c:v>1298</c:v>
                </c:pt>
                <c:pt idx="19">
                  <c:v>1298</c:v>
                </c:pt>
                <c:pt idx="20">
                  <c:v>1298</c:v>
                </c:pt>
                <c:pt idx="21">
                  <c:v>1298</c:v>
                </c:pt>
                <c:pt idx="22">
                  <c:v>1298</c:v>
                </c:pt>
                <c:pt idx="23">
                  <c:v>1298</c:v>
                </c:pt>
                <c:pt idx="24">
                  <c:v>1298</c:v>
                </c:pt>
                <c:pt idx="25">
                  <c:v>1298</c:v>
                </c:pt>
                <c:pt idx="26">
                  <c:v>1298</c:v>
                </c:pt>
                <c:pt idx="27">
                  <c:v>1298</c:v>
                </c:pt>
                <c:pt idx="28">
                  <c:v>1298</c:v>
                </c:pt>
                <c:pt idx="29">
                  <c:v>1298</c:v>
                </c:pt>
                <c:pt idx="30">
                  <c:v>1298</c:v>
                </c:pt>
                <c:pt idx="31">
                  <c:v>1298</c:v>
                </c:pt>
                <c:pt idx="32">
                  <c:v>1060</c:v>
                </c:pt>
                <c:pt idx="33">
                  <c:v>1060</c:v>
                </c:pt>
                <c:pt idx="34">
                  <c:v>1060</c:v>
                </c:pt>
                <c:pt idx="35">
                  <c:v>1060</c:v>
                </c:pt>
                <c:pt idx="36">
                  <c:v>1060</c:v>
                </c:pt>
                <c:pt idx="37">
                  <c:v>1060</c:v>
                </c:pt>
                <c:pt idx="38">
                  <c:v>1060</c:v>
                </c:pt>
                <c:pt idx="39">
                  <c:v>1060</c:v>
                </c:pt>
                <c:pt idx="40">
                  <c:v>1060</c:v>
                </c:pt>
                <c:pt idx="41">
                  <c:v>1060</c:v>
                </c:pt>
                <c:pt idx="42">
                  <c:v>1060</c:v>
                </c:pt>
                <c:pt idx="43">
                  <c:v>1060</c:v>
                </c:pt>
                <c:pt idx="44">
                  <c:v>1060</c:v>
                </c:pt>
                <c:pt idx="45">
                  <c:v>1060</c:v>
                </c:pt>
                <c:pt idx="46">
                  <c:v>1060</c:v>
                </c:pt>
                <c:pt idx="47">
                  <c:v>1070</c:v>
                </c:pt>
                <c:pt idx="48">
                  <c:v>1070</c:v>
                </c:pt>
                <c:pt idx="49">
                  <c:v>1070</c:v>
                </c:pt>
                <c:pt idx="50">
                  <c:v>1070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CAAF-44C9-843C-6D3132449A8D}"/>
            </c:ext>
          </c:extLst>
        </c:ser>
        <c:ser>
          <c:idx val="8"/>
          <c:order val="5"/>
          <c:tx>
            <c:strRef>
              <c:f>'Ma trận HDPE thổi'!$BZ$14</c:f>
              <c:strCache>
                <c:ptCount val="1"/>
                <c:pt idx="0">
                  <c:v>DTR-Giá FOB rHD xuất xưởng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'Ma trận HDPE thổi'!$DD$5:$IY$5</c:f>
              <c:strCache>
                <c:ptCount val="51"/>
                <c:pt idx="0">
                  <c:v>01</c:v>
                </c:pt>
                <c:pt idx="1">
                  <c:v>02</c:v>
                </c:pt>
                <c:pt idx="2">
                  <c:v>03</c:v>
                </c:pt>
                <c:pt idx="3">
                  <c:v>04</c:v>
                </c:pt>
                <c:pt idx="4">
                  <c:v>06</c:v>
                </c:pt>
                <c:pt idx="5">
                  <c:v>07</c:v>
                </c:pt>
                <c:pt idx="6">
                  <c:v>08</c:v>
                </c:pt>
                <c:pt idx="7">
                  <c:v>09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14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18</c:v>
                </c:pt>
                <c:pt idx="17">
                  <c:v>19</c:v>
                </c:pt>
                <c:pt idx="18">
                  <c:v>20</c:v>
                </c:pt>
                <c:pt idx="19">
                  <c:v>21</c:v>
                </c:pt>
                <c:pt idx="20">
                  <c:v>22</c:v>
                </c:pt>
                <c:pt idx="21">
                  <c:v>23</c:v>
                </c:pt>
                <c:pt idx="22">
                  <c:v>24</c:v>
                </c:pt>
                <c:pt idx="23">
                  <c:v>25</c:v>
                </c:pt>
                <c:pt idx="24">
                  <c:v>26</c:v>
                </c:pt>
                <c:pt idx="25">
                  <c:v>27</c:v>
                </c:pt>
                <c:pt idx="26">
                  <c:v>28</c:v>
                </c:pt>
                <c:pt idx="27">
                  <c:v>29</c:v>
                </c:pt>
                <c:pt idx="28">
                  <c:v>30</c:v>
                </c:pt>
                <c:pt idx="29">
                  <c:v>31</c:v>
                </c:pt>
                <c:pt idx="30">
                  <c:v>32</c:v>
                </c:pt>
                <c:pt idx="31">
                  <c:v>33</c:v>
                </c:pt>
                <c:pt idx="32">
                  <c:v>34</c:v>
                </c:pt>
                <c:pt idx="33">
                  <c:v>35</c:v>
                </c:pt>
                <c:pt idx="34">
                  <c:v>36</c:v>
                </c:pt>
                <c:pt idx="35">
                  <c:v>37</c:v>
                </c:pt>
                <c:pt idx="36">
                  <c:v>38</c:v>
                </c:pt>
                <c:pt idx="37">
                  <c:v>39</c:v>
                </c:pt>
                <c:pt idx="38">
                  <c:v>40</c:v>
                </c:pt>
                <c:pt idx="39">
                  <c:v>41</c:v>
                </c:pt>
                <c:pt idx="40">
                  <c:v>42</c:v>
                </c:pt>
                <c:pt idx="41">
                  <c:v>43</c:v>
                </c:pt>
                <c:pt idx="42">
                  <c:v>44</c:v>
                </c:pt>
                <c:pt idx="43">
                  <c:v>45</c:v>
                </c:pt>
                <c:pt idx="44">
                  <c:v>46</c:v>
                </c:pt>
                <c:pt idx="45">
                  <c:v>47</c:v>
                </c:pt>
                <c:pt idx="46">
                  <c:v>48</c:v>
                </c:pt>
                <c:pt idx="47">
                  <c:v>49</c:v>
                </c:pt>
                <c:pt idx="48">
                  <c:v>50</c:v>
                </c:pt>
                <c:pt idx="49">
                  <c:v>51</c:v>
                </c:pt>
                <c:pt idx="50">
                  <c:v>52</c:v>
                </c:pt>
              </c:strCache>
            </c:strRef>
          </c:cat>
          <c:val>
            <c:numRef>
              <c:f>'Ma trận HDPE thổi'!$CA$14:$ED$14</c:f>
            </c:numRef>
          </c:val>
          <c:smooth val="0"/>
          <c:extLst>
            <c:ext xmlns:c16="http://schemas.microsoft.com/office/drawing/2014/chart" uri="{C3380CC4-5D6E-409C-BE32-E72D297353CC}">
              <c16:uniqueId val="{0000001F-CAAF-44C9-843C-6D3132449A8D}"/>
            </c:ext>
          </c:extLst>
        </c:ser>
        <c:ser>
          <c:idx val="19"/>
          <c:order val="6"/>
          <c:tx>
            <c:strRef>
              <c:f>'Ma trận HDPE thổi'!$BZ$25</c:f>
              <c:strCache>
                <c:ptCount val="1"/>
                <c:pt idx="0">
                  <c:v>Điểm hòa vốn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'Ma trận HDPE thổi'!$DD$5:$IY$5</c:f>
              <c:strCache>
                <c:ptCount val="51"/>
                <c:pt idx="0">
                  <c:v>01</c:v>
                </c:pt>
                <c:pt idx="1">
                  <c:v>02</c:v>
                </c:pt>
                <c:pt idx="2">
                  <c:v>03</c:v>
                </c:pt>
                <c:pt idx="3">
                  <c:v>04</c:v>
                </c:pt>
                <c:pt idx="4">
                  <c:v>06</c:v>
                </c:pt>
                <c:pt idx="5">
                  <c:v>07</c:v>
                </c:pt>
                <c:pt idx="6">
                  <c:v>08</c:v>
                </c:pt>
                <c:pt idx="7">
                  <c:v>09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14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18</c:v>
                </c:pt>
                <c:pt idx="17">
                  <c:v>19</c:v>
                </c:pt>
                <c:pt idx="18">
                  <c:v>20</c:v>
                </c:pt>
                <c:pt idx="19">
                  <c:v>21</c:v>
                </c:pt>
                <c:pt idx="20">
                  <c:v>22</c:v>
                </c:pt>
                <c:pt idx="21">
                  <c:v>23</c:v>
                </c:pt>
                <c:pt idx="22">
                  <c:v>24</c:v>
                </c:pt>
                <c:pt idx="23">
                  <c:v>25</c:v>
                </c:pt>
                <c:pt idx="24">
                  <c:v>26</c:v>
                </c:pt>
                <c:pt idx="25">
                  <c:v>27</c:v>
                </c:pt>
                <c:pt idx="26">
                  <c:v>28</c:v>
                </c:pt>
                <c:pt idx="27">
                  <c:v>29</c:v>
                </c:pt>
                <c:pt idx="28">
                  <c:v>30</c:v>
                </c:pt>
                <c:pt idx="29">
                  <c:v>31</c:v>
                </c:pt>
                <c:pt idx="30">
                  <c:v>32</c:v>
                </c:pt>
                <c:pt idx="31">
                  <c:v>33</c:v>
                </c:pt>
                <c:pt idx="32">
                  <c:v>34</c:v>
                </c:pt>
                <c:pt idx="33">
                  <c:v>35</c:v>
                </c:pt>
                <c:pt idx="34">
                  <c:v>36</c:v>
                </c:pt>
                <c:pt idx="35">
                  <c:v>37</c:v>
                </c:pt>
                <c:pt idx="36">
                  <c:v>38</c:v>
                </c:pt>
                <c:pt idx="37">
                  <c:v>39</c:v>
                </c:pt>
                <c:pt idx="38">
                  <c:v>40</c:v>
                </c:pt>
                <c:pt idx="39">
                  <c:v>41</c:v>
                </c:pt>
                <c:pt idx="40">
                  <c:v>42</c:v>
                </c:pt>
                <c:pt idx="41">
                  <c:v>43</c:v>
                </c:pt>
                <c:pt idx="42">
                  <c:v>44</c:v>
                </c:pt>
                <c:pt idx="43">
                  <c:v>45</c:v>
                </c:pt>
                <c:pt idx="44">
                  <c:v>46</c:v>
                </c:pt>
                <c:pt idx="45">
                  <c:v>47</c:v>
                </c:pt>
                <c:pt idx="46">
                  <c:v>48</c:v>
                </c:pt>
                <c:pt idx="47">
                  <c:v>49</c:v>
                </c:pt>
                <c:pt idx="48">
                  <c:v>50</c:v>
                </c:pt>
                <c:pt idx="49">
                  <c:v>51</c:v>
                </c:pt>
                <c:pt idx="50">
                  <c:v>52</c:v>
                </c:pt>
              </c:strCache>
            </c:strRef>
          </c:cat>
          <c:val>
            <c:numRef>
              <c:f>'Ma trận HDPE thổi'!$CA$25:$ED$25</c:f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2A-CAAF-44C9-843C-6D3132449A8D}"/>
            </c:ext>
          </c:extLst>
        </c:ser>
        <c:ser>
          <c:idx val="9"/>
          <c:order val="8"/>
          <c:tx>
            <c:strRef>
              <c:f>'Ma trận HDPE thổi'!$BZ$15</c:f>
              <c:strCache>
                <c:ptCount val="1"/>
                <c:pt idx="0">
                  <c:v>Giá Dafon CIF_ĐNÁ rHD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'Ma trận HDPE thổi'!$DD$5:$IY$5</c:f>
              <c:strCache>
                <c:ptCount val="51"/>
                <c:pt idx="0">
                  <c:v>01</c:v>
                </c:pt>
                <c:pt idx="1">
                  <c:v>02</c:v>
                </c:pt>
                <c:pt idx="2">
                  <c:v>03</c:v>
                </c:pt>
                <c:pt idx="3">
                  <c:v>04</c:v>
                </c:pt>
                <c:pt idx="4">
                  <c:v>06</c:v>
                </c:pt>
                <c:pt idx="5">
                  <c:v>07</c:v>
                </c:pt>
                <c:pt idx="6">
                  <c:v>08</c:v>
                </c:pt>
                <c:pt idx="7">
                  <c:v>09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14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18</c:v>
                </c:pt>
                <c:pt idx="17">
                  <c:v>19</c:v>
                </c:pt>
                <c:pt idx="18">
                  <c:v>20</c:v>
                </c:pt>
                <c:pt idx="19">
                  <c:v>21</c:v>
                </c:pt>
                <c:pt idx="20">
                  <c:v>22</c:v>
                </c:pt>
                <c:pt idx="21">
                  <c:v>23</c:v>
                </c:pt>
                <c:pt idx="22">
                  <c:v>24</c:v>
                </c:pt>
                <c:pt idx="23">
                  <c:v>25</c:v>
                </c:pt>
                <c:pt idx="24">
                  <c:v>26</c:v>
                </c:pt>
                <c:pt idx="25">
                  <c:v>27</c:v>
                </c:pt>
                <c:pt idx="26">
                  <c:v>28</c:v>
                </c:pt>
                <c:pt idx="27">
                  <c:v>29</c:v>
                </c:pt>
                <c:pt idx="28">
                  <c:v>30</c:v>
                </c:pt>
                <c:pt idx="29">
                  <c:v>31</c:v>
                </c:pt>
                <c:pt idx="30">
                  <c:v>32</c:v>
                </c:pt>
                <c:pt idx="31">
                  <c:v>33</c:v>
                </c:pt>
                <c:pt idx="32">
                  <c:v>34</c:v>
                </c:pt>
                <c:pt idx="33">
                  <c:v>35</c:v>
                </c:pt>
                <c:pt idx="34">
                  <c:v>36</c:v>
                </c:pt>
                <c:pt idx="35">
                  <c:v>37</c:v>
                </c:pt>
                <c:pt idx="36">
                  <c:v>38</c:v>
                </c:pt>
                <c:pt idx="37">
                  <c:v>39</c:v>
                </c:pt>
                <c:pt idx="38">
                  <c:v>40</c:v>
                </c:pt>
                <c:pt idx="39">
                  <c:v>41</c:v>
                </c:pt>
                <c:pt idx="40">
                  <c:v>42</c:v>
                </c:pt>
                <c:pt idx="41">
                  <c:v>43</c:v>
                </c:pt>
                <c:pt idx="42">
                  <c:v>44</c:v>
                </c:pt>
                <c:pt idx="43">
                  <c:v>45</c:v>
                </c:pt>
                <c:pt idx="44">
                  <c:v>46</c:v>
                </c:pt>
                <c:pt idx="45">
                  <c:v>47</c:v>
                </c:pt>
                <c:pt idx="46">
                  <c:v>48</c:v>
                </c:pt>
                <c:pt idx="47">
                  <c:v>49</c:v>
                </c:pt>
                <c:pt idx="48">
                  <c:v>50</c:v>
                </c:pt>
                <c:pt idx="49">
                  <c:v>51</c:v>
                </c:pt>
                <c:pt idx="50">
                  <c:v>52</c:v>
                </c:pt>
              </c:strCache>
            </c:strRef>
          </c:cat>
          <c:val>
            <c:numRef>
              <c:f>'Ma trận HDPE thổi'!$CA$15:$ED$15</c:f>
            </c:numRef>
          </c:val>
          <c:smooth val="0"/>
          <c:extLst>
            <c:ext xmlns:c16="http://schemas.microsoft.com/office/drawing/2014/chart" uri="{C3380CC4-5D6E-409C-BE32-E72D297353CC}">
              <c16:uniqueId val="{00000020-CAAF-44C9-843C-6D3132449A8D}"/>
            </c:ext>
          </c:extLst>
        </c:ser>
        <c:ser>
          <c:idx val="0"/>
          <c:order val="9"/>
          <c:tx>
            <c:strRef>
              <c:f>'Ma trận HDPE thổi'!$BZ$25</c:f>
              <c:strCache>
                <c:ptCount val="1"/>
                <c:pt idx="0">
                  <c:v>Điểm hòa vốn</c:v>
                </c:pt>
              </c:strCache>
            </c:strRef>
          </c:tx>
          <c:spPr>
            <a:ln w="5080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2-5A76-4132-85E7-E802007F083B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5A76-4132-85E7-E802007F083B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A76-4132-85E7-E802007F083B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5A76-4132-85E7-E802007F083B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5A76-4132-85E7-E802007F083B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5A76-4132-85E7-E802007F083B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5A76-4132-85E7-E802007F083B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5A76-4132-85E7-E802007F083B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ED9E-47AB-A70A-65A5BA416AA5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744-478F-94EC-731279276B48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72FC-4966-8AC9-2BB9AB1BA38F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72FC-4966-8AC9-2BB9AB1BA38F}"/>
                </c:ext>
              </c:extLst>
            </c:dLbl>
            <c:dLbl>
              <c:idx val="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B7F5-4571-817E-37D8B9936030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72FC-4966-8AC9-2BB9AB1BA38F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11C-41F5-A42B-4C56ADBEA658}"/>
                </c:ext>
              </c:extLst>
            </c:dLbl>
            <c:dLbl>
              <c:idx val="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B7F5-4571-817E-37D8B9936030}"/>
                </c:ext>
              </c:extLst>
            </c:dLbl>
            <c:dLbl>
              <c:idx val="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747-4867-9189-E04864FAF5EF}"/>
                </c:ext>
              </c:extLst>
            </c:dLbl>
            <c:dLbl>
              <c:idx val="22"/>
              <c:layout>
                <c:manualLayout>
                  <c:x val="-2.5689017390551044E-2"/>
                  <c:y val="3.238206317817010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A747-4867-9189-E04864FAF5EF}"/>
                </c:ext>
              </c:extLst>
            </c:dLbl>
            <c:dLbl>
              <c:idx val="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3566-4B2E-9236-E05D73D806AC}"/>
                </c:ext>
              </c:extLst>
            </c:dLbl>
            <c:dLbl>
              <c:idx val="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B7F5-4571-817E-37D8B9936030}"/>
                </c:ext>
              </c:extLst>
            </c:dLbl>
            <c:dLbl>
              <c:idx val="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CB4-4F0F-9C2A-E2FE2AC65AE7}"/>
                </c:ext>
              </c:extLst>
            </c:dLbl>
            <c:dLbl>
              <c:idx val="26"/>
              <c:layout>
                <c:manualLayout>
                  <c:x val="-1.8602391903502612E-2"/>
                  <c:y val="3.006905866544374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5744-478F-94EC-731279276B48}"/>
                </c:ext>
              </c:extLst>
            </c:dLbl>
            <c:dLbl>
              <c:idx val="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91F-464C-A343-54BE07CC6FD9}"/>
                </c:ext>
              </c:extLst>
            </c:dLbl>
            <c:dLbl>
              <c:idx val="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D86-4191-A9A4-9DE167CEF802}"/>
                </c:ext>
              </c:extLst>
            </c:dLbl>
            <c:dLbl>
              <c:idx val="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7A27-49F5-B9EC-314144962248}"/>
                </c:ext>
              </c:extLst>
            </c:dLbl>
            <c:dLbl>
              <c:idx val="3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A27-49F5-B9EC-314144962248}"/>
                </c:ext>
              </c:extLst>
            </c:dLbl>
            <c:dLbl>
              <c:idx val="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B7F5-4571-817E-37D8B9936030}"/>
                </c:ext>
              </c:extLst>
            </c:dLbl>
            <c:dLbl>
              <c:idx val="3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B7F5-4571-817E-37D8B9936030}"/>
                </c:ext>
              </c:extLst>
            </c:dLbl>
            <c:dLbl>
              <c:idx val="33"/>
              <c:layout>
                <c:manualLayout>
                  <c:x val="-2.4360275111729441E-3"/>
                  <c:y val="-6.8233633125430893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B7F5-4571-817E-37D8B9936030}"/>
                </c:ext>
              </c:extLst>
            </c:dLbl>
            <c:dLbl>
              <c:idx val="3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A42-4AD3-A08A-FB5A25242C2F}"/>
                </c:ext>
              </c:extLst>
            </c:dLbl>
            <c:dLbl>
              <c:idx val="3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0C7B-43F0-A26D-39A4BDAA1322}"/>
                </c:ext>
              </c:extLst>
            </c:dLbl>
            <c:dLbl>
              <c:idx val="3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ED9E-47AB-A70A-65A5BA416AA5}"/>
                </c:ext>
              </c:extLst>
            </c:dLbl>
            <c:dLbl>
              <c:idx val="3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A6B-4B21-B55B-019A92872734}"/>
                </c:ext>
              </c:extLst>
            </c:dLbl>
            <c:dLbl>
              <c:idx val="39"/>
              <c:layout>
                <c:manualLayout>
                  <c:x val="-3.7647697899945497E-3"/>
                  <c:y val="2.093269084017430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BA6B-4B21-B55B-019A92872734}"/>
                </c:ext>
              </c:extLst>
            </c:dLbl>
            <c:dLbl>
              <c:idx val="4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565-49AA-A916-110CBF6C80B1}"/>
                </c:ext>
              </c:extLst>
            </c:dLbl>
            <c:dLbl>
              <c:idx val="4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565-49AA-A916-110CBF6C80B1}"/>
                </c:ext>
              </c:extLst>
            </c:dLbl>
            <c:dLbl>
              <c:idx val="4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612-4853-A3BA-B0A87B852EA2}"/>
                </c:ext>
              </c:extLst>
            </c:dLbl>
            <c:dLbl>
              <c:idx val="4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FBE-4DBA-9427-D8B1C2677365}"/>
                </c:ext>
              </c:extLst>
            </c:dLbl>
            <c:dLbl>
              <c:idx val="4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7FB0-412F-8EC6-C64B71CD089D}"/>
                </c:ext>
              </c:extLst>
            </c:dLbl>
            <c:dLbl>
              <c:idx val="4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2C17-4929-9743-7FDE70B7E178}"/>
                </c:ext>
              </c:extLst>
            </c:dLbl>
            <c:dLbl>
              <c:idx val="4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2C17-4929-9743-7FDE70B7E178}"/>
                </c:ext>
              </c:extLst>
            </c:dLbl>
            <c:dLbl>
              <c:idx val="4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ED9E-47AB-A70A-65A5BA416AA5}"/>
                </c:ext>
              </c:extLst>
            </c:dLbl>
            <c:dLbl>
              <c:idx val="49"/>
              <c:layout>
                <c:manualLayout>
                  <c:x val="-1.9709677135853948E-2"/>
                  <c:y val="-3.689242197798666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ED9E-47AB-A70A-65A5BA416AA5}"/>
                </c:ext>
              </c:extLst>
            </c:dLbl>
            <c:dLbl>
              <c:idx val="5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CC4-4498-86B2-960CBDE6A13A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rgbClr val="FF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'Ma trận HDPE thổi'!$DD$5:$IY$5</c:f>
              <c:strCache>
                <c:ptCount val="51"/>
                <c:pt idx="0">
                  <c:v>01</c:v>
                </c:pt>
                <c:pt idx="1">
                  <c:v>02</c:v>
                </c:pt>
                <c:pt idx="2">
                  <c:v>03</c:v>
                </c:pt>
                <c:pt idx="3">
                  <c:v>04</c:v>
                </c:pt>
                <c:pt idx="4">
                  <c:v>06</c:v>
                </c:pt>
                <c:pt idx="5">
                  <c:v>07</c:v>
                </c:pt>
                <c:pt idx="6">
                  <c:v>08</c:v>
                </c:pt>
                <c:pt idx="7">
                  <c:v>09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14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18</c:v>
                </c:pt>
                <c:pt idx="17">
                  <c:v>19</c:v>
                </c:pt>
                <c:pt idx="18">
                  <c:v>20</c:v>
                </c:pt>
                <c:pt idx="19">
                  <c:v>21</c:v>
                </c:pt>
                <c:pt idx="20">
                  <c:v>22</c:v>
                </c:pt>
                <c:pt idx="21">
                  <c:v>23</c:v>
                </c:pt>
                <c:pt idx="22">
                  <c:v>24</c:v>
                </c:pt>
                <c:pt idx="23">
                  <c:v>25</c:v>
                </c:pt>
                <c:pt idx="24">
                  <c:v>26</c:v>
                </c:pt>
                <c:pt idx="25">
                  <c:v>27</c:v>
                </c:pt>
                <c:pt idx="26">
                  <c:v>28</c:v>
                </c:pt>
                <c:pt idx="27">
                  <c:v>29</c:v>
                </c:pt>
                <c:pt idx="28">
                  <c:v>30</c:v>
                </c:pt>
                <c:pt idx="29">
                  <c:v>31</c:v>
                </c:pt>
                <c:pt idx="30">
                  <c:v>32</c:v>
                </c:pt>
                <c:pt idx="31">
                  <c:v>33</c:v>
                </c:pt>
                <c:pt idx="32">
                  <c:v>34</c:v>
                </c:pt>
                <c:pt idx="33">
                  <c:v>35</c:v>
                </c:pt>
                <c:pt idx="34">
                  <c:v>36</c:v>
                </c:pt>
                <c:pt idx="35">
                  <c:v>37</c:v>
                </c:pt>
                <c:pt idx="36">
                  <c:v>38</c:v>
                </c:pt>
                <c:pt idx="37">
                  <c:v>39</c:v>
                </c:pt>
                <c:pt idx="38">
                  <c:v>40</c:v>
                </c:pt>
                <c:pt idx="39">
                  <c:v>41</c:v>
                </c:pt>
                <c:pt idx="40">
                  <c:v>42</c:v>
                </c:pt>
                <c:pt idx="41">
                  <c:v>43</c:v>
                </c:pt>
                <c:pt idx="42">
                  <c:v>44</c:v>
                </c:pt>
                <c:pt idx="43">
                  <c:v>45</c:v>
                </c:pt>
                <c:pt idx="44">
                  <c:v>46</c:v>
                </c:pt>
                <c:pt idx="45">
                  <c:v>47</c:v>
                </c:pt>
                <c:pt idx="46">
                  <c:v>48</c:v>
                </c:pt>
                <c:pt idx="47">
                  <c:v>49</c:v>
                </c:pt>
                <c:pt idx="48">
                  <c:v>50</c:v>
                </c:pt>
                <c:pt idx="49">
                  <c:v>51</c:v>
                </c:pt>
                <c:pt idx="50">
                  <c:v>52</c:v>
                </c:pt>
              </c:strCache>
            </c:strRef>
          </c:cat>
          <c:val>
            <c:numRef>
              <c:f>'Ma trận HDPE thổi'!$DD$25:$IY$25</c:f>
              <c:numCache>
                <c:formatCode>"$"#,##0_);\("$"#,##0\)</c:formatCode>
                <c:ptCount val="51"/>
                <c:pt idx="0">
                  <c:v>1224.4122855454673</c:v>
                </c:pt>
                <c:pt idx="1">
                  <c:v>1224.4122855454673</c:v>
                </c:pt>
                <c:pt idx="2">
                  <c:v>1224.4122855454673</c:v>
                </c:pt>
                <c:pt idx="3">
                  <c:v>1224.4122855454673</c:v>
                </c:pt>
                <c:pt idx="4">
                  <c:v>1224.8943631432089</c:v>
                </c:pt>
                <c:pt idx="5">
                  <c:v>1224.8943631432089</c:v>
                </c:pt>
                <c:pt idx="6">
                  <c:v>1224.8943631432089</c:v>
                </c:pt>
                <c:pt idx="7">
                  <c:v>1224.8943631432089</c:v>
                </c:pt>
                <c:pt idx="8">
                  <c:v>1220.8389764175517</c:v>
                </c:pt>
                <c:pt idx="9">
                  <c:v>1220.8389764175517</c:v>
                </c:pt>
                <c:pt idx="10">
                  <c:v>1220.8389764175517</c:v>
                </c:pt>
                <c:pt idx="11">
                  <c:v>1220.8389764175517</c:v>
                </c:pt>
                <c:pt idx="12">
                  <c:v>1201.5512157788862</c:v>
                </c:pt>
                <c:pt idx="13">
                  <c:v>1201.5512157788862</c:v>
                </c:pt>
                <c:pt idx="14">
                  <c:v>1201.5512157788862</c:v>
                </c:pt>
                <c:pt idx="15">
                  <c:v>1201.5512157788862</c:v>
                </c:pt>
                <c:pt idx="16">
                  <c:v>1215.0616168681211</c:v>
                </c:pt>
                <c:pt idx="17">
                  <c:v>1215.0616168681211</c:v>
                </c:pt>
                <c:pt idx="18">
                  <c:v>1215.0616168681211</c:v>
                </c:pt>
                <c:pt idx="19">
                  <c:v>1215.0616168681211</c:v>
                </c:pt>
                <c:pt idx="20">
                  <c:v>1215.0616168681211</c:v>
                </c:pt>
                <c:pt idx="21">
                  <c:v>1218.0838169008853</c:v>
                </c:pt>
                <c:pt idx="22">
                  <c:v>1218.0838169008853</c:v>
                </c:pt>
                <c:pt idx="23">
                  <c:v>1218.0838169008853</c:v>
                </c:pt>
                <c:pt idx="24">
                  <c:v>1218.0838169008853</c:v>
                </c:pt>
                <c:pt idx="25">
                  <c:v>1217.9396141401003</c:v>
                </c:pt>
                <c:pt idx="26">
                  <c:v>1217.9396141401003</c:v>
                </c:pt>
                <c:pt idx="27">
                  <c:v>1217.9396141401003</c:v>
                </c:pt>
                <c:pt idx="28">
                  <c:v>1217.9396141401003</c:v>
                </c:pt>
                <c:pt idx="29">
                  <c:v>1217.9396141401003</c:v>
                </c:pt>
                <c:pt idx="30">
                  <c:v>1221.1766254679269</c:v>
                </c:pt>
                <c:pt idx="31">
                  <c:v>1221.1766254679269</c:v>
                </c:pt>
                <c:pt idx="32">
                  <c:v>1221.1766254679269</c:v>
                </c:pt>
                <c:pt idx="33">
                  <c:v>1221.1766254679269</c:v>
                </c:pt>
                <c:pt idx="34">
                  <c:v>1118.5151926825677</c:v>
                </c:pt>
                <c:pt idx="35">
                  <c:v>1118.5151926825677</c:v>
                </c:pt>
                <c:pt idx="36">
                  <c:v>1118.5151926825677</c:v>
                </c:pt>
                <c:pt idx="37">
                  <c:v>1118.5151926825677</c:v>
                </c:pt>
                <c:pt idx="38">
                  <c:v>1095.5642423065681</c:v>
                </c:pt>
                <c:pt idx="39">
                  <c:v>1095.5642423065681</c:v>
                </c:pt>
                <c:pt idx="40">
                  <c:v>1095.5642423065681</c:v>
                </c:pt>
                <c:pt idx="41">
                  <c:v>1095.5642423065681</c:v>
                </c:pt>
                <c:pt idx="42">
                  <c:v>1095.5642423065681</c:v>
                </c:pt>
                <c:pt idx="43">
                  <c:v>1120.145512661127</c:v>
                </c:pt>
                <c:pt idx="44">
                  <c:v>1120.145512661127</c:v>
                </c:pt>
                <c:pt idx="45">
                  <c:v>1120.145512661127</c:v>
                </c:pt>
                <c:pt idx="46">
                  <c:v>1120.145512661127</c:v>
                </c:pt>
                <c:pt idx="47">
                  <c:v>1076.7141229774484</c:v>
                </c:pt>
                <c:pt idx="48">
                  <c:v>1076.7141229774484</c:v>
                </c:pt>
                <c:pt idx="49">
                  <c:v>1076.7141229774484</c:v>
                </c:pt>
                <c:pt idx="50">
                  <c:v>1076.7141229774484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AE8-4022-994D-42D4D19DB7C2}"/>
            </c:ext>
          </c:extLst>
        </c:ser>
        <c:ser>
          <c:idx val="10"/>
          <c:order val="10"/>
          <c:tx>
            <c:strRef>
              <c:f>'Ma trận HDPE thổi'!$BZ$16</c:f>
              <c:strCache>
                <c:ptCount val="1"/>
                <c:pt idx="0">
                  <c:v>ICIS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numFmt formatCode="[$$-C09]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rgbClr val="7030A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'Ma trận HDPE thổi'!$DD$5:$IY$5</c:f>
              <c:strCache>
                <c:ptCount val="51"/>
                <c:pt idx="0">
                  <c:v>01</c:v>
                </c:pt>
                <c:pt idx="1">
                  <c:v>02</c:v>
                </c:pt>
                <c:pt idx="2">
                  <c:v>03</c:v>
                </c:pt>
                <c:pt idx="3">
                  <c:v>04</c:v>
                </c:pt>
                <c:pt idx="4">
                  <c:v>06</c:v>
                </c:pt>
                <c:pt idx="5">
                  <c:v>07</c:v>
                </c:pt>
                <c:pt idx="6">
                  <c:v>08</c:v>
                </c:pt>
                <c:pt idx="7">
                  <c:v>09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14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18</c:v>
                </c:pt>
                <c:pt idx="17">
                  <c:v>19</c:v>
                </c:pt>
                <c:pt idx="18">
                  <c:v>20</c:v>
                </c:pt>
                <c:pt idx="19">
                  <c:v>21</c:v>
                </c:pt>
                <c:pt idx="20">
                  <c:v>22</c:v>
                </c:pt>
                <c:pt idx="21">
                  <c:v>23</c:v>
                </c:pt>
                <c:pt idx="22">
                  <c:v>24</c:v>
                </c:pt>
                <c:pt idx="23">
                  <c:v>25</c:v>
                </c:pt>
                <c:pt idx="24">
                  <c:v>26</c:v>
                </c:pt>
                <c:pt idx="25">
                  <c:v>27</c:v>
                </c:pt>
                <c:pt idx="26">
                  <c:v>28</c:v>
                </c:pt>
                <c:pt idx="27">
                  <c:v>29</c:v>
                </c:pt>
                <c:pt idx="28">
                  <c:v>30</c:v>
                </c:pt>
                <c:pt idx="29">
                  <c:v>31</c:v>
                </c:pt>
                <c:pt idx="30">
                  <c:v>32</c:v>
                </c:pt>
                <c:pt idx="31">
                  <c:v>33</c:v>
                </c:pt>
                <c:pt idx="32">
                  <c:v>34</c:v>
                </c:pt>
                <c:pt idx="33">
                  <c:v>35</c:v>
                </c:pt>
                <c:pt idx="34">
                  <c:v>36</c:v>
                </c:pt>
                <c:pt idx="35">
                  <c:v>37</c:v>
                </c:pt>
                <c:pt idx="36">
                  <c:v>38</c:v>
                </c:pt>
                <c:pt idx="37">
                  <c:v>39</c:v>
                </c:pt>
                <c:pt idx="38">
                  <c:v>40</c:v>
                </c:pt>
                <c:pt idx="39">
                  <c:v>41</c:v>
                </c:pt>
                <c:pt idx="40">
                  <c:v>42</c:v>
                </c:pt>
                <c:pt idx="41">
                  <c:v>43</c:v>
                </c:pt>
                <c:pt idx="42">
                  <c:v>44</c:v>
                </c:pt>
                <c:pt idx="43">
                  <c:v>45</c:v>
                </c:pt>
                <c:pt idx="44">
                  <c:v>46</c:v>
                </c:pt>
                <c:pt idx="45">
                  <c:v>47</c:v>
                </c:pt>
                <c:pt idx="46">
                  <c:v>48</c:v>
                </c:pt>
                <c:pt idx="47">
                  <c:v>49</c:v>
                </c:pt>
                <c:pt idx="48">
                  <c:v>50</c:v>
                </c:pt>
                <c:pt idx="49">
                  <c:v>51</c:v>
                </c:pt>
                <c:pt idx="50">
                  <c:v>52</c:v>
                </c:pt>
              </c:strCache>
            </c:strRef>
          </c:cat>
          <c:val>
            <c:numRef>
              <c:f>'Ma trận HDPE thổi'!$CA$16:$FV$16</c:f>
            </c:numRef>
          </c:val>
          <c:smooth val="0"/>
          <c:extLst>
            <c:ext xmlns:c16="http://schemas.microsoft.com/office/drawing/2014/chart" uri="{C3380CC4-5D6E-409C-BE32-E72D297353CC}">
              <c16:uniqueId val="{00000021-CAAF-44C9-843C-6D3132449A8D}"/>
            </c:ext>
          </c:extLst>
        </c:ser>
        <c:ser>
          <c:idx val="14"/>
          <c:order val="11"/>
          <c:tx>
            <c:strRef>
              <c:f>'Ma trận HDPE thổi'!$BZ$20</c:f>
              <c:strCache>
                <c:ptCount val="1"/>
                <c:pt idx="0">
                  <c:v>RESIN</c:v>
                </c:pt>
              </c:strCache>
            </c:strRef>
          </c:tx>
          <c:spPr>
            <a:ln w="57150" cap="rnd">
              <a:solidFill>
                <a:srgbClr val="FF3399"/>
              </a:solidFill>
              <a:round/>
            </a:ln>
            <a:effectLst/>
          </c:spPr>
          <c:marker>
            <c:symbol val="none"/>
          </c:marke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90D-4BB2-AD94-51B5389F607C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2C2-4AD2-B4A4-E81741DD5171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930-4930-BF51-2F74F8B7E555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2BC7-4806-8B0A-4094D5B95CC0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3F52-40EB-8B66-2285B0834498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DF4E-4502-B6EB-2149A1C9A1CC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F2B2-43AF-AE4E-2C7E053C5190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F4E-4502-B6EB-2149A1C9A1CC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3566-4B2E-9236-E05D73D806AC}"/>
                </c:ext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3566-4B2E-9236-E05D73D806AC}"/>
                </c:ext>
              </c:extLst>
            </c:dLbl>
            <c:dLbl>
              <c:idx val="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3566-4B2E-9236-E05D73D806AC}"/>
                </c:ext>
              </c:extLst>
            </c:dLbl>
            <c:dLbl>
              <c:idx val="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3566-4B2E-9236-E05D73D806AC}"/>
                </c:ext>
              </c:extLst>
            </c:dLbl>
            <c:dLbl>
              <c:idx val="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3566-4B2E-9236-E05D73D806AC}"/>
                </c:ext>
              </c:extLst>
            </c:dLbl>
            <c:dLbl>
              <c:idx val="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3566-4B2E-9236-E05D73D806AC}"/>
                </c:ext>
              </c:extLst>
            </c:dLbl>
            <c:dLbl>
              <c:idx val="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3566-4B2E-9236-E05D73D806AC}"/>
                </c:ext>
              </c:extLst>
            </c:dLbl>
            <c:dLbl>
              <c:idx val="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BCB4-4F0F-9C2A-E2FE2AC65AE7}"/>
                </c:ext>
              </c:extLst>
            </c:dLbl>
            <c:dLbl>
              <c:idx val="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091F-464C-A343-54BE07CC6FD9}"/>
                </c:ext>
              </c:extLst>
            </c:dLbl>
            <c:dLbl>
              <c:idx val="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ED86-4191-A9A4-9DE167CEF802}"/>
                </c:ext>
              </c:extLst>
            </c:dLbl>
            <c:dLbl>
              <c:idx val="3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B7F5-4571-817E-37D8B9936030}"/>
                </c:ext>
              </c:extLst>
            </c:dLbl>
            <c:dLbl>
              <c:idx val="3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B7F5-4571-817E-37D8B9936030}"/>
                </c:ext>
              </c:extLst>
            </c:dLbl>
            <c:dLbl>
              <c:idx val="3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EA42-4AD3-A08A-FB5A25242C2F}"/>
                </c:ext>
              </c:extLst>
            </c:dLbl>
            <c:dLbl>
              <c:idx val="3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0C7B-43F0-A26D-39A4BDAA1322}"/>
                </c:ext>
              </c:extLst>
            </c:dLbl>
            <c:dLbl>
              <c:idx val="3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BA6B-4B21-B55B-019A92872734}"/>
                </c:ext>
              </c:extLst>
            </c:dLbl>
            <c:dLbl>
              <c:idx val="4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F565-49AA-A916-110CBF6C80B1}"/>
                </c:ext>
              </c:extLst>
            </c:dLbl>
            <c:dLbl>
              <c:idx val="4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1612-4853-A3BA-B0A87B852EA2}"/>
                </c:ext>
              </c:extLst>
            </c:dLbl>
            <c:dLbl>
              <c:idx val="4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3FBE-4DBA-9427-D8B1C2677365}"/>
                </c:ext>
              </c:extLst>
            </c:dLbl>
            <c:dLbl>
              <c:idx val="4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7FB0-412F-8EC6-C64B71CD089D}"/>
                </c:ext>
              </c:extLst>
            </c:dLbl>
            <c:dLbl>
              <c:idx val="4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2C17-4929-9743-7FDE70B7E178}"/>
                </c:ext>
              </c:extLst>
            </c:dLbl>
            <c:dLbl>
              <c:idx val="4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ED9E-47AB-A70A-65A5BA416AA5}"/>
                </c:ext>
              </c:extLst>
            </c:dLbl>
            <c:dLbl>
              <c:idx val="4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1CC4-4498-86B2-960CBDE6A13A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rgbClr val="FF3399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'Ma trận HDPE thổi'!$DD$5:$IY$5</c:f>
              <c:strCache>
                <c:ptCount val="51"/>
                <c:pt idx="0">
                  <c:v>01</c:v>
                </c:pt>
                <c:pt idx="1">
                  <c:v>02</c:v>
                </c:pt>
                <c:pt idx="2">
                  <c:v>03</c:v>
                </c:pt>
                <c:pt idx="3">
                  <c:v>04</c:v>
                </c:pt>
                <c:pt idx="4">
                  <c:v>06</c:v>
                </c:pt>
                <c:pt idx="5">
                  <c:v>07</c:v>
                </c:pt>
                <c:pt idx="6">
                  <c:v>08</c:v>
                </c:pt>
                <c:pt idx="7">
                  <c:v>09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14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18</c:v>
                </c:pt>
                <c:pt idx="17">
                  <c:v>19</c:v>
                </c:pt>
                <c:pt idx="18">
                  <c:v>20</c:v>
                </c:pt>
                <c:pt idx="19">
                  <c:v>21</c:v>
                </c:pt>
                <c:pt idx="20">
                  <c:v>22</c:v>
                </c:pt>
                <c:pt idx="21">
                  <c:v>23</c:v>
                </c:pt>
                <c:pt idx="22">
                  <c:v>24</c:v>
                </c:pt>
                <c:pt idx="23">
                  <c:v>25</c:v>
                </c:pt>
                <c:pt idx="24">
                  <c:v>26</c:v>
                </c:pt>
                <c:pt idx="25">
                  <c:v>27</c:v>
                </c:pt>
                <c:pt idx="26">
                  <c:v>28</c:v>
                </c:pt>
                <c:pt idx="27">
                  <c:v>29</c:v>
                </c:pt>
                <c:pt idx="28">
                  <c:v>30</c:v>
                </c:pt>
                <c:pt idx="29">
                  <c:v>31</c:v>
                </c:pt>
                <c:pt idx="30">
                  <c:v>32</c:v>
                </c:pt>
                <c:pt idx="31">
                  <c:v>33</c:v>
                </c:pt>
                <c:pt idx="32">
                  <c:v>34</c:v>
                </c:pt>
                <c:pt idx="33">
                  <c:v>35</c:v>
                </c:pt>
                <c:pt idx="34">
                  <c:v>36</c:v>
                </c:pt>
                <c:pt idx="35">
                  <c:v>37</c:v>
                </c:pt>
                <c:pt idx="36">
                  <c:v>38</c:v>
                </c:pt>
                <c:pt idx="37">
                  <c:v>39</c:v>
                </c:pt>
                <c:pt idx="38">
                  <c:v>40</c:v>
                </c:pt>
                <c:pt idx="39">
                  <c:v>41</c:v>
                </c:pt>
                <c:pt idx="40">
                  <c:v>42</c:v>
                </c:pt>
                <c:pt idx="41">
                  <c:v>43</c:v>
                </c:pt>
                <c:pt idx="42">
                  <c:v>44</c:v>
                </c:pt>
                <c:pt idx="43">
                  <c:v>45</c:v>
                </c:pt>
                <c:pt idx="44">
                  <c:v>46</c:v>
                </c:pt>
                <c:pt idx="45">
                  <c:v>47</c:v>
                </c:pt>
                <c:pt idx="46">
                  <c:v>48</c:v>
                </c:pt>
                <c:pt idx="47">
                  <c:v>49</c:v>
                </c:pt>
                <c:pt idx="48">
                  <c:v>50</c:v>
                </c:pt>
                <c:pt idx="49">
                  <c:v>51</c:v>
                </c:pt>
                <c:pt idx="50">
                  <c:v>52</c:v>
                </c:pt>
              </c:strCache>
            </c:strRef>
          </c:cat>
          <c:val>
            <c:numRef>
              <c:f>'Ma trận HDPE thổi'!$CA$20:$IY$20</c:f>
              <c:numCache>
                <c:formatCode>"$"#,##0_);\("$"#,##0\)</c:formatCode>
                <c:ptCount val="51"/>
                <c:pt idx="0">
                  <c:v>940</c:v>
                </c:pt>
                <c:pt idx="1">
                  <c:v>940</c:v>
                </c:pt>
                <c:pt idx="2">
                  <c:v>940</c:v>
                </c:pt>
                <c:pt idx="3">
                  <c:v>940</c:v>
                </c:pt>
                <c:pt idx="4">
                  <c:v>940</c:v>
                </c:pt>
                <c:pt idx="5">
                  <c:v>940</c:v>
                </c:pt>
                <c:pt idx="6">
                  <c:v>896</c:v>
                </c:pt>
                <c:pt idx="7">
                  <c:v>896</c:v>
                </c:pt>
                <c:pt idx="8">
                  <c:v>896</c:v>
                </c:pt>
                <c:pt idx="9">
                  <c:v>896</c:v>
                </c:pt>
                <c:pt idx="10">
                  <c:v>896</c:v>
                </c:pt>
                <c:pt idx="11">
                  <c:v>896</c:v>
                </c:pt>
                <c:pt idx="12">
                  <c:v>896</c:v>
                </c:pt>
                <c:pt idx="13">
                  <c:v>900</c:v>
                </c:pt>
                <c:pt idx="14">
                  <c:v>890</c:v>
                </c:pt>
                <c:pt idx="15">
                  <c:v>880</c:v>
                </c:pt>
                <c:pt idx="16">
                  <c:v>870</c:v>
                </c:pt>
                <c:pt idx="17">
                  <c:v>870</c:v>
                </c:pt>
                <c:pt idx="18">
                  <c:v>860</c:v>
                </c:pt>
                <c:pt idx="19">
                  <c:v>860</c:v>
                </c:pt>
                <c:pt idx="20">
                  <c:v>860</c:v>
                </c:pt>
                <c:pt idx="21">
                  <c:v>833</c:v>
                </c:pt>
                <c:pt idx="22">
                  <c:v>833</c:v>
                </c:pt>
                <c:pt idx="23">
                  <c:v>833</c:v>
                </c:pt>
                <c:pt idx="24">
                  <c:v>833</c:v>
                </c:pt>
                <c:pt idx="25">
                  <c:v>833</c:v>
                </c:pt>
                <c:pt idx="26">
                  <c:v>833</c:v>
                </c:pt>
                <c:pt idx="27">
                  <c:v>833</c:v>
                </c:pt>
                <c:pt idx="28">
                  <c:v>833</c:v>
                </c:pt>
                <c:pt idx="29">
                  <c:v>833</c:v>
                </c:pt>
                <c:pt idx="30">
                  <c:v>815</c:v>
                </c:pt>
                <c:pt idx="31">
                  <c:v>815</c:v>
                </c:pt>
                <c:pt idx="32">
                  <c:v>815</c:v>
                </c:pt>
                <c:pt idx="33">
                  <c:v>815</c:v>
                </c:pt>
                <c:pt idx="34">
                  <c:v>815</c:v>
                </c:pt>
                <c:pt idx="35">
                  <c:v>815</c:v>
                </c:pt>
                <c:pt idx="36">
                  <c:v>815</c:v>
                </c:pt>
                <c:pt idx="37">
                  <c:v>805</c:v>
                </c:pt>
                <c:pt idx="38">
                  <c:v>805</c:v>
                </c:pt>
                <c:pt idx="39">
                  <c:v>805</c:v>
                </c:pt>
                <c:pt idx="40">
                  <c:v>805</c:v>
                </c:pt>
                <c:pt idx="41">
                  <c:v>805</c:v>
                </c:pt>
                <c:pt idx="42">
                  <c:v>805</c:v>
                </c:pt>
                <c:pt idx="43">
                  <c:v>805</c:v>
                </c:pt>
                <c:pt idx="44">
                  <c:v>805</c:v>
                </c:pt>
                <c:pt idx="45">
                  <c:v>805</c:v>
                </c:pt>
                <c:pt idx="46">
                  <c:v>805</c:v>
                </c:pt>
                <c:pt idx="47">
                  <c:v>805</c:v>
                </c:pt>
                <c:pt idx="48">
                  <c:v>805</c:v>
                </c:pt>
                <c:pt idx="49">
                  <c:v>800</c:v>
                </c:pt>
                <c:pt idx="50">
                  <c:v>800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5-CAAF-44C9-843C-6D3132449A8D}"/>
            </c:ext>
          </c:extLst>
        </c:ser>
        <c:ser>
          <c:idx val="15"/>
          <c:order val="12"/>
          <c:tx>
            <c:strRef>
              <c:f>'Ma trận HDPE thổi'!$BZ$21</c:f>
              <c:strCache>
                <c:ptCount val="1"/>
                <c:pt idx="0">
                  <c:v>Giá dự báo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rgbClr val="FF3399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'Ma trận HDPE thổi'!$DD$5:$IY$5</c:f>
              <c:strCache>
                <c:ptCount val="51"/>
                <c:pt idx="0">
                  <c:v>01</c:v>
                </c:pt>
                <c:pt idx="1">
                  <c:v>02</c:v>
                </c:pt>
                <c:pt idx="2">
                  <c:v>03</c:v>
                </c:pt>
                <c:pt idx="3">
                  <c:v>04</c:v>
                </c:pt>
                <c:pt idx="4">
                  <c:v>06</c:v>
                </c:pt>
                <c:pt idx="5">
                  <c:v>07</c:v>
                </c:pt>
                <c:pt idx="6">
                  <c:v>08</c:v>
                </c:pt>
                <c:pt idx="7">
                  <c:v>09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14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18</c:v>
                </c:pt>
                <c:pt idx="17">
                  <c:v>19</c:v>
                </c:pt>
                <c:pt idx="18">
                  <c:v>20</c:v>
                </c:pt>
                <c:pt idx="19">
                  <c:v>21</c:v>
                </c:pt>
                <c:pt idx="20">
                  <c:v>22</c:v>
                </c:pt>
                <c:pt idx="21">
                  <c:v>23</c:v>
                </c:pt>
                <c:pt idx="22">
                  <c:v>24</c:v>
                </c:pt>
                <c:pt idx="23">
                  <c:v>25</c:v>
                </c:pt>
                <c:pt idx="24">
                  <c:v>26</c:v>
                </c:pt>
                <c:pt idx="25">
                  <c:v>27</c:v>
                </c:pt>
                <c:pt idx="26">
                  <c:v>28</c:v>
                </c:pt>
                <c:pt idx="27">
                  <c:v>29</c:v>
                </c:pt>
                <c:pt idx="28">
                  <c:v>30</c:v>
                </c:pt>
                <c:pt idx="29">
                  <c:v>31</c:v>
                </c:pt>
                <c:pt idx="30">
                  <c:v>32</c:v>
                </c:pt>
                <c:pt idx="31">
                  <c:v>33</c:v>
                </c:pt>
                <c:pt idx="32">
                  <c:v>34</c:v>
                </c:pt>
                <c:pt idx="33">
                  <c:v>35</c:v>
                </c:pt>
                <c:pt idx="34">
                  <c:v>36</c:v>
                </c:pt>
                <c:pt idx="35">
                  <c:v>37</c:v>
                </c:pt>
                <c:pt idx="36">
                  <c:v>38</c:v>
                </c:pt>
                <c:pt idx="37">
                  <c:v>39</c:v>
                </c:pt>
                <c:pt idx="38">
                  <c:v>40</c:v>
                </c:pt>
                <c:pt idx="39">
                  <c:v>41</c:v>
                </c:pt>
                <c:pt idx="40">
                  <c:v>42</c:v>
                </c:pt>
                <c:pt idx="41">
                  <c:v>43</c:v>
                </c:pt>
                <c:pt idx="42">
                  <c:v>44</c:v>
                </c:pt>
                <c:pt idx="43">
                  <c:v>45</c:v>
                </c:pt>
                <c:pt idx="44">
                  <c:v>46</c:v>
                </c:pt>
                <c:pt idx="45">
                  <c:v>47</c:v>
                </c:pt>
                <c:pt idx="46">
                  <c:v>48</c:v>
                </c:pt>
                <c:pt idx="47">
                  <c:v>49</c:v>
                </c:pt>
                <c:pt idx="48">
                  <c:v>50</c:v>
                </c:pt>
                <c:pt idx="49">
                  <c:v>51</c:v>
                </c:pt>
                <c:pt idx="50">
                  <c:v>52</c:v>
                </c:pt>
              </c:strCache>
            </c:strRef>
          </c:cat>
          <c:val>
            <c:numRef>
              <c:f>'Ma trận HDPE thổi'!$CA$21:$ED$21</c:f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26-CAAF-44C9-843C-6D3132449A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12700" cap="flat" cmpd="sng" algn="ctr">
              <a:solidFill>
                <a:schemeClr val="bg2"/>
              </a:solidFill>
              <a:round/>
            </a:ln>
            <a:effectLst/>
          </c:spPr>
        </c:dropLines>
        <c:marker val="1"/>
        <c:smooth val="0"/>
        <c:axId val="818818447"/>
        <c:axId val="818831887"/>
        <c:extLst/>
      </c:lineChart>
      <c:catAx>
        <c:axId val="8188184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818831887"/>
        <c:crosses val="autoZero"/>
        <c:auto val="1"/>
        <c:lblAlgn val="ctr"/>
        <c:lblOffset val="100"/>
        <c:noMultiLvlLbl val="0"/>
      </c:catAx>
      <c:valAx>
        <c:axId val="818831887"/>
        <c:scaling>
          <c:orientation val="minMax"/>
          <c:min val="800"/>
        </c:scaling>
        <c:delete val="0"/>
        <c:axPos val="l"/>
        <c:numFmt formatCode="&quot;$&quot;#,##0_);\(&quot;$&quot;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8188184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0"/>
        <c:delete val="1"/>
      </c:legendEntry>
      <c:legendEntry>
        <c:idx val="1"/>
        <c:delete val="1"/>
      </c:legendEntry>
      <c:legendEntry>
        <c:idx val="2"/>
        <c:txPr>
          <a:bodyPr rot="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accent5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legendEntry>
      <c:legendEntry>
        <c:idx val="3"/>
        <c:txPr>
          <a:bodyPr rot="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rgbClr val="00B05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legendEntry>
      <c:legendEntry>
        <c:idx val="4"/>
        <c:txPr>
          <a:bodyPr rot="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accent6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legendEntry>
      <c:legendEntry>
        <c:idx val="5"/>
        <c:txPr>
          <a:bodyPr rot="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accent2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legendEntry>
      <c:legendEntry>
        <c:idx val="6"/>
        <c:txPr>
          <a:bodyPr rot="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rgbClr val="FF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legendEntry>
      <c:legendEntry>
        <c:idx val="7"/>
        <c:txPr>
          <a:bodyPr rot="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rgbClr val="FF3399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legendEntry>
      <c:layout>
        <c:manualLayout>
          <c:xMode val="edge"/>
          <c:yMode val="edge"/>
          <c:x val="0.84925731991656195"/>
          <c:y val="0.20423031774530911"/>
          <c:w val="0.14925505764132557"/>
          <c:h val="0.6534101014424423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sz="2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1" i="0" u="none" strike="noStrike" kern="1200" spc="0" baseline="0">
                <a:solidFill>
                  <a:srgbClr val="0000FF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GIÁ HẠT NHỰA </a:t>
            </a:r>
            <a:r>
              <a:rPr lang="en-US" sz="2400" b="1" i="0" u="none" strike="noStrike" kern="1200" spc="0" baseline="0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rHDPE</a:t>
            </a:r>
            <a:r>
              <a:rPr lang="en-US" sz="2400" b="1" i="0" u="none" strike="noStrike" kern="1200" spc="0" baseline="0">
                <a:solidFill>
                  <a:srgbClr val="0000FF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sz="2400" b="1" i="0" u="none" strike="noStrike" kern="1200" spc="0" baseline="0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ÉP</a:t>
            </a:r>
            <a:r>
              <a:rPr lang="en-US" sz="2400" b="1" i="0" u="none" strike="noStrike" kern="1200" spc="0" baseline="0">
                <a:solidFill>
                  <a:srgbClr val="0000FF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NĂM 2024 &amp;2025 (USD/tấn)</a:t>
            </a:r>
          </a:p>
        </c:rich>
      </c:tx>
      <c:layout>
        <c:manualLayout>
          <c:xMode val="edge"/>
          <c:yMode val="edge"/>
          <c:x val="0.24099578504810243"/>
          <c:y val="2.947675591305216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sz="2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9555784504827435E-2"/>
          <c:y val="0.19886197355152449"/>
          <c:w val="0.80266374357885328"/>
          <c:h val="0.71109256865279902"/>
        </c:manualLayout>
      </c:layout>
      <c:lineChart>
        <c:grouping val="standard"/>
        <c:varyColors val="0"/>
        <c:ser>
          <c:idx val="5"/>
          <c:order val="0"/>
          <c:tx>
            <c:strRef>
              <c:f>'Ma trận HDPE Ép'!$H$13</c:f>
              <c:strCache>
                <c:ptCount val="1"/>
                <c:pt idx="0">
                  <c:v>RESIN</c:v>
                </c:pt>
              </c:strCache>
            </c:strRef>
          </c:tx>
          <c:spPr>
            <a:ln w="50800" cap="rnd">
              <a:solidFill>
                <a:srgbClr val="FF3399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2.6219202438404886E-2"/>
                  <c:y val="-5.040111220283592E-2"/>
                </c:manualLayout>
              </c:layout>
              <c:numFmt formatCode="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400" b="1" i="0" u="none" strike="noStrike" kern="1200" baseline="0">
                      <a:solidFill>
                        <a:srgbClr val="FF3399"/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C943-40C3-8D82-85D3512F2C8E}"/>
                </c:ext>
              </c:extLst>
            </c:dLbl>
            <c:dLbl>
              <c:idx val="1"/>
              <c:layout>
                <c:manualLayout>
                  <c:x val="-1.4426111261383236E-2"/>
                  <c:y val="-2.3940627244433892E-2"/>
                </c:manualLayout>
              </c:layout>
              <c:numFmt formatCode="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400" b="1" i="0" u="none" strike="noStrike" kern="1200" baseline="0">
                      <a:solidFill>
                        <a:srgbClr val="FF3399"/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C943-40C3-8D82-85D3512F2C8E}"/>
                </c:ext>
              </c:extLst>
            </c:dLbl>
            <c:dLbl>
              <c:idx val="2"/>
              <c:layout>
                <c:manualLayout>
                  <c:x val="-7.2130556306915514E-3"/>
                  <c:y val="-2.8728752693320654E-2"/>
                </c:manualLayout>
              </c:layout>
              <c:numFmt formatCode="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400" b="1" i="0" u="none" strike="noStrike" kern="1200" baseline="0">
                      <a:solidFill>
                        <a:srgbClr val="FF3399"/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C943-40C3-8D82-85D3512F2C8E}"/>
                </c:ext>
              </c:extLst>
            </c:dLbl>
            <c:dLbl>
              <c:idx val="3"/>
              <c:layout>
                <c:manualLayout>
                  <c:x val="-1.4426111261383103E-2"/>
                  <c:y val="-2.8728752693320654E-2"/>
                </c:manualLayout>
              </c:layout>
              <c:numFmt formatCode="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400" b="1" i="0" u="none" strike="noStrike" kern="1200" baseline="0">
                      <a:solidFill>
                        <a:srgbClr val="FF3399"/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C943-40C3-8D82-85D3512F2C8E}"/>
                </c:ext>
              </c:extLst>
            </c:dLbl>
            <c:dLbl>
              <c:idx val="4"/>
              <c:layout>
                <c:manualLayout>
                  <c:x val="-1.3554352526723421E-2"/>
                  <c:y val="-3.3646655989814409E-2"/>
                </c:manualLayout>
              </c:layout>
              <c:numFmt formatCode="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400" b="1" i="0" u="none" strike="noStrike" kern="1200" baseline="0">
                      <a:solidFill>
                        <a:srgbClr val="FF3399"/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AF5-43F3-91B3-296FB01F26CF}"/>
                </c:ext>
              </c:extLst>
            </c:dLbl>
            <c:dLbl>
              <c:idx val="5"/>
              <c:layout>
                <c:manualLayout>
                  <c:x val="-1.5361599530286542E-2"/>
                  <c:y val="-2.883999084841244E-2"/>
                </c:manualLayout>
              </c:layout>
              <c:numFmt formatCode="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400" b="1" i="0" u="none" strike="noStrike" kern="1200" baseline="0">
                      <a:solidFill>
                        <a:srgbClr val="FF3399"/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02FF-4BC7-8AC1-3279FB99CFF0}"/>
                </c:ext>
              </c:extLst>
            </c:dLbl>
            <c:dLbl>
              <c:idx val="6"/>
              <c:layout>
                <c:manualLayout>
                  <c:x val="-1.6265223032068104E-2"/>
                  <c:y val="-2.6436658277711411E-2"/>
                </c:manualLayout>
              </c:layout>
              <c:numFmt formatCode="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400" b="1" i="0" u="none" strike="noStrike" kern="1200" baseline="0">
                      <a:solidFill>
                        <a:srgbClr val="FF3399"/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7DA1-4846-8D32-BB6A06519F78}"/>
                </c:ext>
              </c:extLst>
            </c:dLbl>
            <c:dLbl>
              <c:idx val="7"/>
              <c:layout>
                <c:manualLayout>
                  <c:x val="-8.1326115160341838E-3"/>
                  <c:y val="-2.8839990848412354E-2"/>
                </c:manualLayout>
              </c:layout>
              <c:numFmt formatCode="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400" b="1" i="0" u="none" strike="noStrike" kern="1200" baseline="0">
                      <a:solidFill>
                        <a:srgbClr val="FF3399"/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55C6-4DBD-B930-70DAE795F2C6}"/>
                </c:ext>
              </c:extLst>
            </c:dLbl>
            <c:dLbl>
              <c:idx val="8"/>
              <c:layout>
                <c:manualLayout>
                  <c:x val="-1.3077346396434411E-2"/>
                  <c:y val="-3.1243228799720836E-2"/>
                </c:manualLayout>
              </c:layout>
              <c:numFmt formatCode="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400" b="0" i="0" u="none" strike="noStrike" kern="1200" baseline="0">
                      <a:solidFill>
                        <a:srgbClr val="FF3399"/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4.9911207777828863E-2"/>
                      <c:h val="4.5903652100389651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0-096E-4F5C-A990-F312101906AC}"/>
                </c:ext>
              </c:extLst>
            </c:dLbl>
            <c:dLbl>
              <c:idx val="9"/>
              <c:layout>
                <c:manualLayout>
                  <c:x val="-9.9398585195973072E-3"/>
                  <c:y val="-3.8453321131216474E-2"/>
                </c:manualLayout>
              </c:layout>
              <c:numFmt formatCode="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400" b="1" i="0" u="none" strike="noStrike" kern="1200" baseline="0">
                      <a:solidFill>
                        <a:srgbClr val="FF3399"/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876B-4F2A-86DD-CB03AD9C5562}"/>
                </c:ext>
              </c:extLst>
            </c:dLbl>
            <c:dLbl>
              <c:idx val="10"/>
              <c:layout>
                <c:manualLayout>
                  <c:x val="-5.4217410106893677E-3"/>
                  <c:y val="-3.1243323419113383E-2"/>
                </c:manualLayout>
              </c:layout>
              <c:numFmt formatCode="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400" b="1" i="0" u="none" strike="noStrike" kern="1200" baseline="0">
                      <a:solidFill>
                        <a:srgbClr val="FF3399"/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76B-4F2A-86DD-CB03AD9C5562}"/>
                </c:ext>
              </c:extLst>
            </c:dLbl>
            <c:dLbl>
              <c:idx val="11"/>
              <c:layout>
                <c:manualLayout>
                  <c:x val="-9.9398585195971754E-3"/>
                  <c:y val="-2.6436658277711411E-2"/>
                </c:manualLayout>
              </c:layout>
              <c:numFmt formatCode="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400" b="1" i="0" u="none" strike="noStrike" kern="1200" baseline="0">
                      <a:solidFill>
                        <a:srgbClr val="FF3399"/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876B-4F2A-86DD-CB03AD9C5562}"/>
                </c:ext>
              </c:extLst>
            </c:dLbl>
            <c:dLbl>
              <c:idx val="12"/>
              <c:layout>
                <c:manualLayout>
                  <c:x val="-1.6265223032068104E-2"/>
                  <c:y val="-3.1243323419113383E-2"/>
                </c:manualLayout>
              </c:layout>
              <c:numFmt formatCode="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400" b="1" i="0" u="none" strike="noStrike" kern="1200" baseline="0">
                      <a:solidFill>
                        <a:srgbClr val="FF3399"/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8A3-4FB9-BA3B-F05329FF2457}"/>
                </c:ext>
              </c:extLst>
            </c:dLbl>
            <c:dLbl>
              <c:idx val="13"/>
              <c:layout>
                <c:manualLayout>
                  <c:x val="-2.2590587544539166E-2"/>
                  <c:y val="-2.6436658277711324E-2"/>
                </c:manualLayout>
              </c:layout>
              <c:numFmt formatCode="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400" b="1" i="0" u="none" strike="noStrike" kern="1200" baseline="0">
                      <a:solidFill>
                        <a:srgbClr val="FF3399"/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00-40CB-951B-2BFC633157E7}"/>
                </c:ext>
              </c:extLst>
            </c:dLbl>
            <c:dLbl>
              <c:idx val="14"/>
              <c:layout>
                <c:manualLayout>
                  <c:x val="-1.2792008347468934E-2"/>
                  <c:y val="-1.6823327994907204E-2"/>
                </c:manualLayout>
              </c:layout>
              <c:numFmt formatCode="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400" b="1" i="0" u="none" strike="noStrike" kern="1200" baseline="0">
                      <a:solidFill>
                        <a:srgbClr val="FF3399"/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268A-4FD1-9752-1CEC10192E1B}"/>
                </c:ext>
              </c:extLst>
            </c:dLbl>
            <c:dLbl>
              <c:idx val="15"/>
              <c:layout>
                <c:manualLayout>
                  <c:x val="-1.4498006524102935E-2"/>
                  <c:y val="2.656523324065601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43A-43E1-8B43-35A245D761AB}"/>
                </c:ext>
              </c:extLst>
            </c:dLbl>
            <c:dLbl>
              <c:idx val="16"/>
              <c:layout>
                <c:manualLayout>
                  <c:x val="-1.6310257339615802E-2"/>
                  <c:y val="-3.1395275648048122E-2"/>
                </c:manualLayout>
              </c:layout>
              <c:numFmt formatCode="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400" b="1" i="0" u="none" strike="noStrike" kern="1200" baseline="0">
                      <a:solidFill>
                        <a:srgbClr val="FF3399"/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B90-416A-8111-D2AB7CF55E6B}"/>
                </c:ext>
              </c:extLst>
            </c:dLbl>
            <c:dLbl>
              <c:idx val="17"/>
              <c:layout>
                <c:manualLayout>
                  <c:x val="-1.2685755708590069E-2"/>
                  <c:y val="-3.6225318055440138E-2"/>
                </c:manualLayout>
              </c:layout>
              <c:numFmt formatCode="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400" b="1" i="0" u="none" strike="noStrike" kern="1200" baseline="0">
                      <a:solidFill>
                        <a:srgbClr val="FF3399"/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A7C-443C-8ED4-DC0628BCA851}"/>
                </c:ext>
              </c:extLst>
            </c:dLbl>
            <c:dLbl>
              <c:idx val="18"/>
              <c:layout>
                <c:manualLayout>
                  <c:x val="-1.6310257339615934E-2"/>
                  <c:y val="-2.8980254444352111E-2"/>
                </c:manualLayout>
              </c:layout>
              <c:numFmt formatCode="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400" b="1" i="0" u="none" strike="noStrike" kern="1200" baseline="0">
                      <a:solidFill>
                        <a:srgbClr val="FF3399"/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D238-4EF5-9FC3-E44FA10A5527}"/>
                </c:ext>
              </c:extLst>
            </c:dLbl>
            <c:dLbl>
              <c:idx val="19"/>
              <c:layout>
                <c:manualLayout>
                  <c:x val="-1.6310257339615802E-2"/>
                  <c:y val="-3.1395275648048122E-2"/>
                </c:manualLayout>
              </c:layout>
              <c:numFmt formatCode="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400" b="1" i="0" u="none" strike="noStrike" kern="1200" baseline="0">
                      <a:solidFill>
                        <a:srgbClr val="FF3399"/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238-4EF5-9FC3-E44FA10A5527}"/>
                </c:ext>
              </c:extLst>
            </c:dLbl>
            <c:dLbl>
              <c:idx val="20"/>
              <c:layout>
                <c:manualLayout>
                  <c:x val="-1.5404131931859502E-2"/>
                  <c:y val="-2.6565233240656103E-2"/>
                </c:manualLayout>
              </c:layout>
              <c:numFmt formatCode="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400" b="1" i="0" u="none" strike="noStrike" kern="1200" baseline="0">
                      <a:solidFill>
                        <a:srgbClr val="FF3399"/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40E-4BD2-8BA5-D46A534EBAE3}"/>
                </c:ext>
              </c:extLst>
            </c:dLbl>
            <c:dLbl>
              <c:idx val="21"/>
              <c:layout>
                <c:manualLayout>
                  <c:x val="-1.0873504893077202E-2"/>
                  <c:y val="-2.6444482180471303E-2"/>
                </c:manualLayout>
              </c:layout>
              <c:numFmt formatCode="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400" b="1" i="0" u="none" strike="noStrike" kern="1200" baseline="0">
                      <a:solidFill>
                        <a:srgbClr val="FF3399"/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49-48CE-8BB1-48E19575E10A}"/>
                </c:ext>
              </c:extLst>
            </c:dLbl>
            <c:dLbl>
              <c:idx val="22"/>
              <c:layout>
                <c:manualLayout>
                  <c:x val="-7.2490032620514677E-3"/>
                  <c:y val="-1.9199418569383273E-2"/>
                </c:manualLayout>
              </c:layout>
              <c:numFmt formatCode="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400" b="1" i="0" u="none" strike="noStrike" kern="1200" baseline="0">
                      <a:solidFill>
                        <a:srgbClr val="FF3399"/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932-451E-942A-3606E82BB363}"/>
                </c:ext>
              </c:extLst>
            </c:dLbl>
            <c:dLbl>
              <c:idx val="23"/>
              <c:layout>
                <c:manualLayout>
                  <c:x val="-6.3428778542950343E-3"/>
                  <c:y val="-2.644448218047139E-2"/>
                </c:manualLayout>
              </c:layout>
              <c:numFmt formatCode="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400" b="1" i="0" u="none" strike="noStrike" kern="1200" baseline="0">
                      <a:solidFill>
                        <a:srgbClr val="FF3399"/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0F8C-41C3-AB2F-0AA8FE2DDAE8}"/>
                </c:ext>
              </c:extLst>
            </c:dLbl>
            <c:dLbl>
              <c:idx val="24"/>
              <c:layout>
                <c:manualLayout>
                  <c:x val="-9.9673794853209017E-3"/>
                  <c:y val="-2.644448218047139E-2"/>
                </c:manualLayout>
              </c:layout>
              <c:numFmt formatCode="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400" b="1" i="0" u="none" strike="noStrike" kern="1200" baseline="0">
                      <a:solidFill>
                        <a:srgbClr val="FF3399"/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AD3-44F4-A8BB-A142928499CA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rgbClr val="FF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'Ma trận HDPE Ép'!$I$5:$AS$5</c:f>
              <c:strCache>
                <c:ptCount val="25"/>
                <c:pt idx="0">
                  <c:v>T1.24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T1.25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  <c:pt idx="16">
                  <c:v>5</c:v>
                </c:pt>
                <c:pt idx="17">
                  <c:v>6</c:v>
                </c:pt>
                <c:pt idx="18">
                  <c:v>7</c:v>
                </c:pt>
                <c:pt idx="19">
                  <c:v>8</c:v>
                </c:pt>
                <c:pt idx="20">
                  <c:v>9</c:v>
                </c:pt>
                <c:pt idx="21">
                  <c:v>10</c:v>
                </c:pt>
                <c:pt idx="22">
                  <c:v>11</c:v>
                </c:pt>
                <c:pt idx="23">
                  <c:v>12</c:v>
                </c:pt>
                <c:pt idx="24">
                  <c:v>T1.26</c:v>
                </c:pt>
              </c:strCache>
            </c:strRef>
          </c:cat>
          <c:val>
            <c:numRef>
              <c:f>'Ma trận HDPE Ép'!$I$13:$AS$13</c:f>
              <c:numCache>
                <c:formatCode>_(* #,##0_);_(* \(#,##0\);_(* "-"??_);_(@_)</c:formatCode>
                <c:ptCount val="25"/>
                <c:pt idx="0">
                  <c:v>947.5</c:v>
                </c:pt>
                <c:pt idx="1">
                  <c:v>1010</c:v>
                </c:pt>
                <c:pt idx="2">
                  <c:v>995</c:v>
                </c:pt>
                <c:pt idx="3">
                  <c:v>975</c:v>
                </c:pt>
                <c:pt idx="4" formatCode="General">
                  <c:v>956</c:v>
                </c:pt>
                <c:pt idx="5">
                  <c:v>980</c:v>
                </c:pt>
                <c:pt idx="6">
                  <c:v>975</c:v>
                </c:pt>
                <c:pt idx="7">
                  <c:v>946</c:v>
                </c:pt>
                <c:pt idx="8">
                  <c:v>932.5</c:v>
                </c:pt>
                <c:pt idx="9">
                  <c:v>926.66666666666663</c:v>
                </c:pt>
                <c:pt idx="10">
                  <c:v>940</c:v>
                </c:pt>
                <c:pt idx="11">
                  <c:v>940</c:v>
                </c:pt>
                <c:pt idx="12">
                  <c:v>940</c:v>
                </c:pt>
                <c:pt idx="13">
                  <c:v>946</c:v>
                </c:pt>
                <c:pt idx="14">
                  <c:v>940</c:v>
                </c:pt>
                <c:pt idx="15" formatCode="General">
                  <c:v>905</c:v>
                </c:pt>
                <c:pt idx="16" formatCode="General">
                  <c:v>908</c:v>
                </c:pt>
                <c:pt idx="17" formatCode="General">
                  <c:v>915</c:v>
                </c:pt>
                <c:pt idx="18" formatCode="General">
                  <c:v>930</c:v>
                </c:pt>
                <c:pt idx="19" formatCode="General">
                  <c:v>930</c:v>
                </c:pt>
                <c:pt idx="20">
                  <c:v>915</c:v>
                </c:pt>
                <c:pt idx="21" formatCode="General">
                  <c:v>870</c:v>
                </c:pt>
                <c:pt idx="22">
                  <c:v>840</c:v>
                </c:pt>
                <c:pt idx="23">
                  <c:v>830</c:v>
                </c:pt>
                <c:pt idx="24">
                  <c:v>830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C943-40C3-8D82-85D3512F2C8E}"/>
            </c:ext>
          </c:extLst>
        </c:ser>
        <c:ser>
          <c:idx val="9"/>
          <c:order val="1"/>
          <c:tx>
            <c:strRef>
              <c:f>'Ma trận HDPE Ép'!$H$17</c:f>
              <c:strCache>
                <c:ptCount val="1"/>
                <c:pt idx="0">
                  <c:v>Điểm hòa vốn</c:v>
                </c:pt>
              </c:strCache>
            </c:strRef>
          </c:tx>
          <c:spPr>
            <a:ln w="444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7E8-4BAB-A9E2-CDE57A43CC25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C943-40C3-8D82-85D3512F2C8E}"/>
                </c:ext>
              </c:extLst>
            </c:dLbl>
            <c:dLbl>
              <c:idx val="2"/>
              <c:layout>
                <c:manualLayout>
                  <c:x val="-2.344241278574603E-2"/>
                  <c:y val="2.665825689505706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57E8-4BAB-A9E2-CDE57A43CC25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C943-40C3-8D82-85D3512F2C8E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E93-4A4C-B8B8-1FC872902100}"/>
                </c:ext>
              </c:extLst>
            </c:dLbl>
            <c:dLbl>
              <c:idx val="5"/>
              <c:layout>
                <c:manualLayout>
                  <c:x val="-2.5301458049883718E-2"/>
                  <c:y val="3.136349004764843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5C6-4DBD-B930-70DAE795F2C6}"/>
                </c:ext>
              </c:extLst>
            </c:dLbl>
            <c:dLbl>
              <c:idx val="6"/>
              <c:layout>
                <c:manualLayout>
                  <c:x val="-1.0843482021378735E-2"/>
                  <c:y val="3.376682261834946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5C6-4DBD-B930-70DAE795F2C6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40E-4BD2-8BA5-D46A534EBAE3}"/>
                </c:ext>
              </c:extLst>
            </c:dLbl>
            <c:dLbl>
              <c:idx val="11"/>
              <c:layout>
                <c:manualLayout>
                  <c:x val="-1.4044943820224719E-2"/>
                  <c:y val="-3.368954579155932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40E-4BD2-8BA5-D46A534EBAE3}"/>
                </c:ext>
              </c:extLst>
            </c:dLbl>
            <c:dLbl>
              <c:idx val="12"/>
              <c:layout>
                <c:manualLayout>
                  <c:x val="-1.8575570859006886E-2"/>
                  <c:y val="-2.885950338416735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40E-4BD2-8BA5-D46A534EBAE3}"/>
                </c:ext>
              </c:extLst>
            </c:dLbl>
            <c:dLbl>
              <c:idx val="15"/>
              <c:layout>
                <c:manualLayout>
                  <c:x val="-1.7817440198260301E-2"/>
                  <c:y val="-2.8719824219877302E-2"/>
                </c:manualLayout>
              </c:layout>
              <c:numFmt formatCode="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400" b="1" i="0" u="none" strike="noStrike" kern="1200" baseline="0">
                      <a:solidFill>
                        <a:srgbClr val="FF3399"/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68A-4FD1-9752-1CEC10192E1B}"/>
                </c:ext>
              </c:extLst>
            </c:dLbl>
            <c:dLbl>
              <c:idx val="20"/>
              <c:layout>
                <c:manualLayout>
                  <c:x val="-2.4465386009423704E-2"/>
                  <c:y val="3.634606911562494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932-451E-942A-3606E82BB363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rgbClr val="FF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'Ma trận HDPE Ép'!$I$5:$AS$5</c:f>
              <c:strCache>
                <c:ptCount val="25"/>
                <c:pt idx="0">
                  <c:v>T1.24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T1.25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  <c:pt idx="16">
                  <c:v>5</c:v>
                </c:pt>
                <c:pt idx="17">
                  <c:v>6</c:v>
                </c:pt>
                <c:pt idx="18">
                  <c:v>7</c:v>
                </c:pt>
                <c:pt idx="19">
                  <c:v>8</c:v>
                </c:pt>
                <c:pt idx="20">
                  <c:v>9</c:v>
                </c:pt>
                <c:pt idx="21">
                  <c:v>10</c:v>
                </c:pt>
                <c:pt idx="22">
                  <c:v>11</c:v>
                </c:pt>
                <c:pt idx="23">
                  <c:v>12</c:v>
                </c:pt>
                <c:pt idx="24">
                  <c:v>T1.26</c:v>
                </c:pt>
              </c:strCache>
            </c:strRef>
          </c:cat>
          <c:val>
            <c:numRef>
              <c:f>'Ma trận HDPE Ép'!$I$17:$AS$17</c:f>
              <c:numCache>
                <c:formatCode>_(* #,##0_);_(* \(#,##0\);_(* "-"??_);_(@_)</c:formatCode>
                <c:ptCount val="25"/>
                <c:pt idx="0">
                  <c:v>700</c:v>
                </c:pt>
                <c:pt idx="1">
                  <c:v>700</c:v>
                </c:pt>
                <c:pt idx="2">
                  <c:v>700</c:v>
                </c:pt>
                <c:pt idx="3">
                  <c:v>700</c:v>
                </c:pt>
                <c:pt idx="4">
                  <c:v>700</c:v>
                </c:pt>
                <c:pt idx="5">
                  <c:v>700</c:v>
                </c:pt>
                <c:pt idx="6">
                  <c:v>867</c:v>
                </c:pt>
                <c:pt idx="7">
                  <c:v>896</c:v>
                </c:pt>
                <c:pt idx="8">
                  <c:v>917</c:v>
                </c:pt>
                <c:pt idx="9">
                  <c:v>929.83940375991074</c:v>
                </c:pt>
                <c:pt idx="10">
                  <c:v>937.6525486806504</c:v>
                </c:pt>
                <c:pt idx="11">
                  <c:v>903.25545215030104</c:v>
                </c:pt>
                <c:pt idx="12">
                  <c:v>892.9656675146</c:v>
                </c:pt>
                <c:pt idx="13">
                  <c:v>888.18378633668294</c:v>
                </c:pt>
                <c:pt idx="14">
                  <c:v>888.72553118965845</c:v>
                </c:pt>
                <c:pt idx="15">
                  <c:v>907.07292397839512</c:v>
                </c:pt>
                <c:pt idx="16">
                  <c:v>882.40131799312564</c:v>
                </c:pt>
                <c:pt idx="17">
                  <c:v>879.34169259731004</c:v>
                </c:pt>
                <c:pt idx="18">
                  <c:v>869.51494640636486</c:v>
                </c:pt>
                <c:pt idx="19">
                  <c:v>858.88795414284152</c:v>
                </c:pt>
                <c:pt idx="20">
                  <c:v>871.88030785226169</c:v>
                </c:pt>
                <c:pt idx="21">
                  <c:v>720.35177011385679</c:v>
                </c:pt>
                <c:pt idx="22">
                  <c:v>720.52419756540337</c:v>
                </c:pt>
                <c:pt idx="23">
                  <c:v>733.774414718137</c:v>
                </c:pt>
                <c:pt idx="24">
                  <c:v>747.86078922841239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C943-40C3-8D82-85D3512F2C8E}"/>
            </c:ext>
          </c:extLst>
        </c:ser>
        <c:ser>
          <c:idx val="4"/>
          <c:order val="2"/>
          <c:tx>
            <c:strRef>
              <c:f>'Ma trận HDPE Ép'!$H$12</c:f>
              <c:strCache>
                <c:ptCount val="1"/>
                <c:pt idx="0">
                  <c:v>Hạt rHD ép (Châu Âu)-ICIS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rgbClr val="FF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'Ma trận HDPE Ép'!$I$5:$AS$5</c:f>
              <c:strCache>
                <c:ptCount val="25"/>
                <c:pt idx="0">
                  <c:v>T1.24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T1.25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  <c:pt idx="16">
                  <c:v>5</c:v>
                </c:pt>
                <c:pt idx="17">
                  <c:v>6</c:v>
                </c:pt>
                <c:pt idx="18">
                  <c:v>7</c:v>
                </c:pt>
                <c:pt idx="19">
                  <c:v>8</c:v>
                </c:pt>
                <c:pt idx="20">
                  <c:v>9</c:v>
                </c:pt>
                <c:pt idx="21">
                  <c:v>10</c:v>
                </c:pt>
                <c:pt idx="22">
                  <c:v>11</c:v>
                </c:pt>
                <c:pt idx="23">
                  <c:v>12</c:v>
                </c:pt>
                <c:pt idx="24">
                  <c:v>T1.26</c:v>
                </c:pt>
              </c:strCache>
            </c:strRef>
          </c:cat>
          <c:val>
            <c:numRef>
              <c:f>'Ma trận HDPE Ép'!$I$12:$T$12</c:f>
            </c:numRef>
          </c:val>
          <c:smooth val="0"/>
          <c:extLst>
            <c:ext xmlns:c16="http://schemas.microsoft.com/office/drawing/2014/chart" uri="{C3380CC4-5D6E-409C-BE32-E72D297353CC}">
              <c16:uniqueId val="{0000000E-C943-40C3-8D82-85D3512F2C8E}"/>
            </c:ext>
          </c:extLst>
        </c:ser>
        <c:ser>
          <c:idx val="2"/>
          <c:order val="3"/>
          <c:tx>
            <c:strRef>
              <c:f>'Ma trận HDPE Ép'!$H$8</c:f>
              <c:strCache>
                <c:ptCount val="1"/>
                <c:pt idx="0">
                  <c:v>DTR-nội địa</c:v>
                </c:pt>
              </c:strCache>
            </c:strRef>
          </c:tx>
          <c:spPr>
            <a:ln w="444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B40E-4BD2-8BA5-D46A534EBAE3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B40E-4BD2-8BA5-D46A534EBAE3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605-4899-9B80-217E9A5E700A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3605-4899-9B80-217E9A5E700A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3605-4899-9B80-217E9A5E700A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3605-4899-9B80-217E9A5E700A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B40E-4BD2-8BA5-D46A534EBAE3}"/>
                </c:ext>
              </c:extLst>
            </c:dLbl>
            <c:dLbl>
              <c:idx val="21"/>
              <c:layout>
                <c:manualLayout>
                  <c:x val="-1.4498006524102935E-2"/>
                  <c:y val="-2.885950338416731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49-48CE-8BB1-48E19575E10A}"/>
                </c:ext>
              </c:extLst>
            </c:dLbl>
            <c:dLbl>
              <c:idx val="22"/>
              <c:layout>
                <c:manualLayout>
                  <c:x val="-1.0873504893077202E-2"/>
                  <c:y val="-3.127452458786331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932-451E-942A-3606E82BB363}"/>
                </c:ext>
              </c:extLst>
            </c:dLbl>
            <c:dLbl>
              <c:idx val="23"/>
              <c:layout>
                <c:manualLayout>
                  <c:x val="-1.4498006524102935E-2"/>
                  <c:y val="-3.127452458786331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2D5A-440A-A54C-9600657F42C9}"/>
                </c:ext>
              </c:extLst>
            </c:dLbl>
            <c:dLbl>
              <c:idx val="24"/>
              <c:layout>
                <c:manualLayout>
                  <c:x val="-1.1779630300833769E-2"/>
                  <c:y val="-3.368954579155932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AD3-44F4-A8BB-A142928499CA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accent6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'Ma trận HDPE Ép'!$I$5:$AS$5</c:f>
              <c:strCache>
                <c:ptCount val="25"/>
                <c:pt idx="0">
                  <c:v>T1.24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T1.25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  <c:pt idx="16">
                  <c:v>5</c:v>
                </c:pt>
                <c:pt idx="17">
                  <c:v>6</c:v>
                </c:pt>
                <c:pt idx="18">
                  <c:v>7</c:v>
                </c:pt>
                <c:pt idx="19">
                  <c:v>8</c:v>
                </c:pt>
                <c:pt idx="20">
                  <c:v>9</c:v>
                </c:pt>
                <c:pt idx="21">
                  <c:v>10</c:v>
                </c:pt>
                <c:pt idx="22">
                  <c:v>11</c:v>
                </c:pt>
                <c:pt idx="23">
                  <c:v>12</c:v>
                </c:pt>
                <c:pt idx="24">
                  <c:v>T1.26</c:v>
                </c:pt>
              </c:strCache>
            </c:strRef>
          </c:cat>
          <c:val>
            <c:numRef>
              <c:f>'Ma trận HDPE Ép'!$I$8:$AS$8</c:f>
              <c:numCache>
                <c:formatCode>"$"#,##0_);\("$"#,##0\)</c:formatCode>
                <c:ptCount val="25"/>
                <c:pt idx="0">
                  <c:v>950</c:v>
                </c:pt>
                <c:pt idx="1">
                  <c:v>950</c:v>
                </c:pt>
                <c:pt idx="2">
                  <c:v>950</c:v>
                </c:pt>
                <c:pt idx="3">
                  <c:v>950</c:v>
                </c:pt>
                <c:pt idx="4">
                  <c:v>920</c:v>
                </c:pt>
                <c:pt idx="5">
                  <c:v>920</c:v>
                </c:pt>
                <c:pt idx="6">
                  <c:v>920</c:v>
                </c:pt>
                <c:pt idx="7">
                  <c:v>920</c:v>
                </c:pt>
                <c:pt idx="8">
                  <c:v>890</c:v>
                </c:pt>
                <c:pt idx="9">
                  <c:v>880</c:v>
                </c:pt>
                <c:pt idx="10">
                  <c:v>870</c:v>
                </c:pt>
                <c:pt idx="11">
                  <c:v>870</c:v>
                </c:pt>
                <c:pt idx="12">
                  <c:v>870</c:v>
                </c:pt>
                <c:pt idx="13">
                  <c:v>800</c:v>
                </c:pt>
                <c:pt idx="14">
                  <c:v>805</c:v>
                </c:pt>
                <c:pt idx="15">
                  <c:v>805</c:v>
                </c:pt>
                <c:pt idx="16">
                  <c:v>765</c:v>
                </c:pt>
                <c:pt idx="17">
                  <c:v>765</c:v>
                </c:pt>
                <c:pt idx="18">
                  <c:v>780</c:v>
                </c:pt>
                <c:pt idx="19">
                  <c:v>760</c:v>
                </c:pt>
                <c:pt idx="20">
                  <c:v>760</c:v>
                </c:pt>
                <c:pt idx="21">
                  <c:v>760</c:v>
                </c:pt>
                <c:pt idx="22">
                  <c:v>740</c:v>
                </c:pt>
                <c:pt idx="23">
                  <c:v>740</c:v>
                </c:pt>
                <c:pt idx="24">
                  <c:v>740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C943-40C3-8D82-85D3512F2C8E}"/>
            </c:ext>
          </c:extLst>
        </c:ser>
        <c:ser>
          <c:idx val="0"/>
          <c:order val="4"/>
          <c:tx>
            <c:strRef>
              <c:f>'Ma trận HDPE Ép'!$H$18</c:f>
              <c:strCache>
                <c:ptCount val="1"/>
                <c:pt idx="0">
                  <c:v>Điểm hòa vốn sử dụng 100% Olefin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'Ma trận HDPE Ép'!$I$5:$AS$5</c:f>
              <c:strCache>
                <c:ptCount val="25"/>
                <c:pt idx="0">
                  <c:v>T1.24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T1.25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  <c:pt idx="16">
                  <c:v>5</c:v>
                </c:pt>
                <c:pt idx="17">
                  <c:v>6</c:v>
                </c:pt>
                <c:pt idx="18">
                  <c:v>7</c:v>
                </c:pt>
                <c:pt idx="19">
                  <c:v>8</c:v>
                </c:pt>
                <c:pt idx="20">
                  <c:v>9</c:v>
                </c:pt>
                <c:pt idx="21">
                  <c:v>10</c:v>
                </c:pt>
                <c:pt idx="22">
                  <c:v>11</c:v>
                </c:pt>
                <c:pt idx="23">
                  <c:v>12</c:v>
                </c:pt>
                <c:pt idx="24">
                  <c:v>T1.26</c:v>
                </c:pt>
              </c:strCache>
            </c:strRef>
          </c:cat>
          <c:val>
            <c:numRef>
              <c:f>'Ma trận HDPE Ép'!$K$18:$P$18</c:f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CFAD-4FB3-81DD-A3FC905162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12700" cap="flat" cmpd="sng" algn="ctr">
              <a:solidFill>
                <a:schemeClr val="bg2"/>
              </a:solidFill>
              <a:round/>
            </a:ln>
            <a:effectLst/>
          </c:spPr>
        </c:dropLines>
        <c:smooth val="0"/>
        <c:axId val="172625807"/>
        <c:axId val="172626767"/>
        <c:extLst/>
      </c:lineChart>
      <c:catAx>
        <c:axId val="1726258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72626767"/>
        <c:crosses val="autoZero"/>
        <c:auto val="1"/>
        <c:lblAlgn val="ctr"/>
        <c:lblOffset val="100"/>
        <c:noMultiLvlLbl val="0"/>
      </c:catAx>
      <c:valAx>
        <c:axId val="172626767"/>
        <c:scaling>
          <c:orientation val="minMax"/>
          <c:min val="600"/>
        </c:scaling>
        <c:delete val="0"/>
        <c:axPos val="l"/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726258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rgbClr val="FF3399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rgbClr val="FF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legendEntry>
      <c:legendEntry>
        <c:idx val="2"/>
        <c:txPr>
          <a:bodyPr rot="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accent6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legendEntry>
      <c:layout>
        <c:manualLayout>
          <c:xMode val="edge"/>
          <c:yMode val="edge"/>
          <c:x val="0.8666228231389661"/>
          <c:y val="0.26048945854809569"/>
          <c:w val="0.12524449419354305"/>
          <c:h val="0.6434034146497787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1" i="0" u="none" strike="noStrike" kern="1200" spc="0" baseline="0">
                <a:solidFill>
                  <a:srgbClr val="0000FF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GIÁ HẠT NHỰA </a:t>
            </a:r>
            <a:r>
              <a:rPr lang="en-US" sz="2400" b="1" i="0" u="none" strike="noStrike" kern="1200" spc="0" baseline="0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rHDPE</a:t>
            </a:r>
            <a:r>
              <a:rPr lang="en-US" sz="2400" b="1" i="0" u="none" strike="noStrike" kern="1200" spc="0" baseline="0">
                <a:solidFill>
                  <a:srgbClr val="0000FF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sz="2400" b="1" i="0" u="none" strike="noStrike" kern="1200" spc="0" baseline="0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ÉP</a:t>
            </a:r>
            <a:r>
              <a:rPr lang="en-US" sz="2400" b="1" i="0" u="none" strike="noStrike" kern="1200" spc="0" baseline="0">
                <a:solidFill>
                  <a:srgbClr val="0000FF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NĂM 2025 (USD/tấn)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7923989506625332E-2"/>
          <c:y val="0.10133435742087492"/>
          <c:w val="0.77860380722819766"/>
          <c:h val="0.83640054024363997"/>
        </c:manualLayout>
      </c:layout>
      <c:areaChart>
        <c:grouping val="stacked"/>
        <c:varyColors val="0"/>
        <c:ser>
          <c:idx val="0"/>
          <c:order val="5"/>
          <c:tx>
            <c:strRef>
              <c:f>'Ma trận HDPE Ép'!$AW$14</c:f>
              <c:strCache>
                <c:ptCount val="1"/>
                <c:pt idx="0">
                  <c:v>TTCP</c:v>
                </c:pt>
              </c:strCache>
              <c:extLst xmlns:c15="http://schemas.microsoft.com/office/drawing/2012/chart"/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val>
            <c:numRef>
              <c:f>'Ma trận HDPE Ép'!$AY$14:$BV$14</c:f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0-CAEA-4748-859E-68298C155B0A}"/>
            </c:ext>
          </c:extLst>
        </c:ser>
        <c:ser>
          <c:idx val="1"/>
          <c:order val="6"/>
          <c:tx>
            <c:strRef>
              <c:f>'Ma trận HDPE Ép'!$AW$15</c:f>
              <c:strCache>
                <c:ptCount val="1"/>
                <c:pt idx="0">
                  <c:v>CL</c:v>
                </c:pt>
              </c:strCache>
              <c:extLst xmlns:c15="http://schemas.microsoft.com/office/drawing/2012/chart"/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val>
            <c:numRef>
              <c:f>'Ma trận HDPE Ép'!$AY$15:$BV$15</c:f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1-CAEA-4748-859E-68298C155B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64741855"/>
        <c:axId val="964739455"/>
        <c:extLst/>
      </c:areaChart>
      <c:lineChart>
        <c:grouping val="standard"/>
        <c:varyColors val="0"/>
        <c:ser>
          <c:idx val="4"/>
          <c:order val="0"/>
          <c:tx>
            <c:strRef>
              <c:f>'Ma trận HDPE Ép'!$AW$12</c:f>
              <c:strCache>
                <c:ptCount val="1"/>
                <c:pt idx="0">
                  <c:v>Hạt rHD ép (Châu Âu)-ICIS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accent5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'Ma trận HDPE Ép'!$AY$5:$GT$5</c:f>
              <c:strCache>
                <c:ptCount val="51"/>
                <c:pt idx="0">
                  <c:v> 01 </c:v>
                </c:pt>
                <c:pt idx="1">
                  <c:v> 02 </c:v>
                </c:pt>
                <c:pt idx="2">
                  <c:v> 03 </c:v>
                </c:pt>
                <c:pt idx="3">
                  <c:v> 04 </c:v>
                </c:pt>
                <c:pt idx="4">
                  <c:v> 06 </c:v>
                </c:pt>
                <c:pt idx="5">
                  <c:v> 07 </c:v>
                </c:pt>
                <c:pt idx="6">
                  <c:v> 08 </c:v>
                </c:pt>
                <c:pt idx="7">
                  <c:v> 09 </c:v>
                </c:pt>
                <c:pt idx="8">
                  <c:v> 10 </c:v>
                </c:pt>
                <c:pt idx="9">
                  <c:v> 11 </c:v>
                </c:pt>
                <c:pt idx="10">
                  <c:v> 12 </c:v>
                </c:pt>
                <c:pt idx="11">
                  <c:v> 13 </c:v>
                </c:pt>
                <c:pt idx="12">
                  <c:v> 14 </c:v>
                </c:pt>
                <c:pt idx="13">
                  <c:v> 15 </c:v>
                </c:pt>
                <c:pt idx="14">
                  <c:v> 16 </c:v>
                </c:pt>
                <c:pt idx="15">
                  <c:v> 17 </c:v>
                </c:pt>
                <c:pt idx="16">
                  <c:v> 18 </c:v>
                </c:pt>
                <c:pt idx="17">
                  <c:v> 19 </c:v>
                </c:pt>
                <c:pt idx="18">
                  <c:v> 20 </c:v>
                </c:pt>
                <c:pt idx="19">
                  <c:v> 21 </c:v>
                </c:pt>
                <c:pt idx="20">
                  <c:v> 22 </c:v>
                </c:pt>
                <c:pt idx="21">
                  <c:v> 23 </c:v>
                </c:pt>
                <c:pt idx="22">
                  <c:v> 24 </c:v>
                </c:pt>
                <c:pt idx="23">
                  <c:v> 25 </c:v>
                </c:pt>
                <c:pt idx="24">
                  <c:v> 26 </c:v>
                </c:pt>
                <c:pt idx="25">
                  <c:v> 27 </c:v>
                </c:pt>
                <c:pt idx="26">
                  <c:v> 28 </c:v>
                </c:pt>
                <c:pt idx="27">
                  <c:v> 29 </c:v>
                </c:pt>
                <c:pt idx="28">
                  <c:v> 30 </c:v>
                </c:pt>
                <c:pt idx="29">
                  <c:v> 31 </c:v>
                </c:pt>
                <c:pt idx="30">
                  <c:v> 32 </c:v>
                </c:pt>
                <c:pt idx="31">
                  <c:v> 33 </c:v>
                </c:pt>
                <c:pt idx="32">
                  <c:v> 34 </c:v>
                </c:pt>
                <c:pt idx="33">
                  <c:v> 35 </c:v>
                </c:pt>
                <c:pt idx="34">
                  <c:v> 36 </c:v>
                </c:pt>
                <c:pt idx="35">
                  <c:v> 37 </c:v>
                </c:pt>
                <c:pt idx="36">
                  <c:v> 38 </c:v>
                </c:pt>
                <c:pt idx="37">
                  <c:v> 39 </c:v>
                </c:pt>
                <c:pt idx="38">
                  <c:v> 40 </c:v>
                </c:pt>
                <c:pt idx="39">
                  <c:v> 41 </c:v>
                </c:pt>
                <c:pt idx="40">
                  <c:v> 42 </c:v>
                </c:pt>
                <c:pt idx="41">
                  <c:v> 43 </c:v>
                </c:pt>
                <c:pt idx="42">
                  <c:v> 44 </c:v>
                </c:pt>
                <c:pt idx="43">
                  <c:v> 45 </c:v>
                </c:pt>
                <c:pt idx="44">
                  <c:v> 46 </c:v>
                </c:pt>
                <c:pt idx="45">
                  <c:v> 47 </c:v>
                </c:pt>
                <c:pt idx="46">
                  <c:v> 48 </c:v>
                </c:pt>
                <c:pt idx="47">
                  <c:v> 49 </c:v>
                </c:pt>
                <c:pt idx="48">
                  <c:v> 50 </c:v>
                </c:pt>
                <c:pt idx="49">
                  <c:v> 51 </c:v>
                </c:pt>
                <c:pt idx="50">
                  <c:v> 52 </c:v>
                </c:pt>
              </c:strCache>
            </c:strRef>
          </c:cat>
          <c:val>
            <c:numRef>
              <c:f>'Ma trận HDPE Ép'!$AX$12:$DG$12</c:f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4-39D5-4F5D-973E-FA172BDB65A9}"/>
            </c:ext>
          </c:extLst>
        </c:ser>
        <c:ser>
          <c:idx val="7"/>
          <c:order val="1"/>
          <c:tx>
            <c:strRef>
              <c:f>'Ma trận HDPE Ép'!$F$11</c:f>
              <c:strCache>
                <c:ptCount val="1"/>
                <c:pt idx="0">
                  <c:v>DTR FOB rHD Ép- màu trắng&amp; đỏ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rgbClr val="00B0F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'Ma trận HDPE Ép'!$AY$5:$GT$5</c:f>
              <c:strCache>
                <c:ptCount val="51"/>
                <c:pt idx="0">
                  <c:v> 01 </c:v>
                </c:pt>
                <c:pt idx="1">
                  <c:v> 02 </c:v>
                </c:pt>
                <c:pt idx="2">
                  <c:v> 03 </c:v>
                </c:pt>
                <c:pt idx="3">
                  <c:v> 04 </c:v>
                </c:pt>
                <c:pt idx="4">
                  <c:v> 06 </c:v>
                </c:pt>
                <c:pt idx="5">
                  <c:v> 07 </c:v>
                </c:pt>
                <c:pt idx="6">
                  <c:v> 08 </c:v>
                </c:pt>
                <c:pt idx="7">
                  <c:v> 09 </c:v>
                </c:pt>
                <c:pt idx="8">
                  <c:v> 10 </c:v>
                </c:pt>
                <c:pt idx="9">
                  <c:v> 11 </c:v>
                </c:pt>
                <c:pt idx="10">
                  <c:v> 12 </c:v>
                </c:pt>
                <c:pt idx="11">
                  <c:v> 13 </c:v>
                </c:pt>
                <c:pt idx="12">
                  <c:v> 14 </c:v>
                </c:pt>
                <c:pt idx="13">
                  <c:v> 15 </c:v>
                </c:pt>
                <c:pt idx="14">
                  <c:v> 16 </c:v>
                </c:pt>
                <c:pt idx="15">
                  <c:v> 17 </c:v>
                </c:pt>
                <c:pt idx="16">
                  <c:v> 18 </c:v>
                </c:pt>
                <c:pt idx="17">
                  <c:v> 19 </c:v>
                </c:pt>
                <c:pt idx="18">
                  <c:v> 20 </c:v>
                </c:pt>
                <c:pt idx="19">
                  <c:v> 21 </c:v>
                </c:pt>
                <c:pt idx="20">
                  <c:v> 22 </c:v>
                </c:pt>
                <c:pt idx="21">
                  <c:v> 23 </c:v>
                </c:pt>
                <c:pt idx="22">
                  <c:v> 24 </c:v>
                </c:pt>
                <c:pt idx="23">
                  <c:v> 25 </c:v>
                </c:pt>
                <c:pt idx="24">
                  <c:v> 26 </c:v>
                </c:pt>
                <c:pt idx="25">
                  <c:v> 27 </c:v>
                </c:pt>
                <c:pt idx="26">
                  <c:v> 28 </c:v>
                </c:pt>
                <c:pt idx="27">
                  <c:v> 29 </c:v>
                </c:pt>
                <c:pt idx="28">
                  <c:v> 30 </c:v>
                </c:pt>
                <c:pt idx="29">
                  <c:v> 31 </c:v>
                </c:pt>
                <c:pt idx="30">
                  <c:v> 32 </c:v>
                </c:pt>
                <c:pt idx="31">
                  <c:v> 33 </c:v>
                </c:pt>
                <c:pt idx="32">
                  <c:v> 34 </c:v>
                </c:pt>
                <c:pt idx="33">
                  <c:v> 35 </c:v>
                </c:pt>
                <c:pt idx="34">
                  <c:v> 36 </c:v>
                </c:pt>
                <c:pt idx="35">
                  <c:v> 37 </c:v>
                </c:pt>
                <c:pt idx="36">
                  <c:v> 38 </c:v>
                </c:pt>
                <c:pt idx="37">
                  <c:v> 39 </c:v>
                </c:pt>
                <c:pt idx="38">
                  <c:v> 40 </c:v>
                </c:pt>
                <c:pt idx="39">
                  <c:v> 41 </c:v>
                </c:pt>
                <c:pt idx="40">
                  <c:v> 42 </c:v>
                </c:pt>
                <c:pt idx="41">
                  <c:v> 43 </c:v>
                </c:pt>
                <c:pt idx="42">
                  <c:v> 44 </c:v>
                </c:pt>
                <c:pt idx="43">
                  <c:v> 45 </c:v>
                </c:pt>
                <c:pt idx="44">
                  <c:v> 46 </c:v>
                </c:pt>
                <c:pt idx="45">
                  <c:v> 47 </c:v>
                </c:pt>
                <c:pt idx="46">
                  <c:v> 48 </c:v>
                </c:pt>
                <c:pt idx="47">
                  <c:v> 49 </c:v>
                </c:pt>
                <c:pt idx="48">
                  <c:v> 50 </c:v>
                </c:pt>
                <c:pt idx="49">
                  <c:v> 51 </c:v>
                </c:pt>
                <c:pt idx="50">
                  <c:v> 52 </c:v>
                </c:pt>
              </c:strCache>
            </c:strRef>
          </c:cat>
          <c:val>
            <c:numRef>
              <c:f>'Ma trận HDPE Ép'!$AY$11:$BW$11</c:f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7227-4979-A557-0079A41E20E9}"/>
            </c:ext>
          </c:extLst>
        </c:ser>
        <c:ser>
          <c:idx val="6"/>
          <c:order val="2"/>
          <c:tx>
            <c:strRef>
              <c:f>'Ma trận HDPE Ép'!$AW$10</c:f>
              <c:strCache>
                <c:ptCount val="1"/>
                <c:pt idx="0">
                  <c:v>DTR-xuất hóa đơn (màu trắng&amp; đỏ)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rgbClr val="FFC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'Ma trận HDPE Ép'!$AY$5:$GT$5</c:f>
              <c:strCache>
                <c:ptCount val="51"/>
                <c:pt idx="0">
                  <c:v> 01 </c:v>
                </c:pt>
                <c:pt idx="1">
                  <c:v> 02 </c:v>
                </c:pt>
                <c:pt idx="2">
                  <c:v> 03 </c:v>
                </c:pt>
                <c:pt idx="3">
                  <c:v> 04 </c:v>
                </c:pt>
                <c:pt idx="4">
                  <c:v> 06 </c:v>
                </c:pt>
                <c:pt idx="5">
                  <c:v> 07 </c:v>
                </c:pt>
                <c:pt idx="6">
                  <c:v> 08 </c:v>
                </c:pt>
                <c:pt idx="7">
                  <c:v> 09 </c:v>
                </c:pt>
                <c:pt idx="8">
                  <c:v> 10 </c:v>
                </c:pt>
                <c:pt idx="9">
                  <c:v> 11 </c:v>
                </c:pt>
                <c:pt idx="10">
                  <c:v> 12 </c:v>
                </c:pt>
                <c:pt idx="11">
                  <c:v> 13 </c:v>
                </c:pt>
                <c:pt idx="12">
                  <c:v> 14 </c:v>
                </c:pt>
                <c:pt idx="13">
                  <c:v> 15 </c:v>
                </c:pt>
                <c:pt idx="14">
                  <c:v> 16 </c:v>
                </c:pt>
                <c:pt idx="15">
                  <c:v> 17 </c:v>
                </c:pt>
                <c:pt idx="16">
                  <c:v> 18 </c:v>
                </c:pt>
                <c:pt idx="17">
                  <c:v> 19 </c:v>
                </c:pt>
                <c:pt idx="18">
                  <c:v> 20 </c:v>
                </c:pt>
                <c:pt idx="19">
                  <c:v> 21 </c:v>
                </c:pt>
                <c:pt idx="20">
                  <c:v> 22 </c:v>
                </c:pt>
                <c:pt idx="21">
                  <c:v> 23 </c:v>
                </c:pt>
                <c:pt idx="22">
                  <c:v> 24 </c:v>
                </c:pt>
                <c:pt idx="23">
                  <c:v> 25 </c:v>
                </c:pt>
                <c:pt idx="24">
                  <c:v> 26 </c:v>
                </c:pt>
                <c:pt idx="25">
                  <c:v> 27 </c:v>
                </c:pt>
                <c:pt idx="26">
                  <c:v> 28 </c:v>
                </c:pt>
                <c:pt idx="27">
                  <c:v> 29 </c:v>
                </c:pt>
                <c:pt idx="28">
                  <c:v> 30 </c:v>
                </c:pt>
                <c:pt idx="29">
                  <c:v> 31 </c:v>
                </c:pt>
                <c:pt idx="30">
                  <c:v> 32 </c:v>
                </c:pt>
                <c:pt idx="31">
                  <c:v> 33 </c:v>
                </c:pt>
                <c:pt idx="32">
                  <c:v> 34 </c:v>
                </c:pt>
                <c:pt idx="33">
                  <c:v> 35 </c:v>
                </c:pt>
                <c:pt idx="34">
                  <c:v> 36 </c:v>
                </c:pt>
                <c:pt idx="35">
                  <c:v> 37 </c:v>
                </c:pt>
                <c:pt idx="36">
                  <c:v> 38 </c:v>
                </c:pt>
                <c:pt idx="37">
                  <c:v> 39 </c:v>
                </c:pt>
                <c:pt idx="38">
                  <c:v> 40 </c:v>
                </c:pt>
                <c:pt idx="39">
                  <c:v> 41 </c:v>
                </c:pt>
                <c:pt idx="40">
                  <c:v> 42 </c:v>
                </c:pt>
                <c:pt idx="41">
                  <c:v> 43 </c:v>
                </c:pt>
                <c:pt idx="42">
                  <c:v> 44 </c:v>
                </c:pt>
                <c:pt idx="43">
                  <c:v> 45 </c:v>
                </c:pt>
                <c:pt idx="44">
                  <c:v> 46 </c:v>
                </c:pt>
                <c:pt idx="45">
                  <c:v> 47 </c:v>
                </c:pt>
                <c:pt idx="46">
                  <c:v> 48 </c:v>
                </c:pt>
                <c:pt idx="47">
                  <c:v> 49 </c:v>
                </c:pt>
                <c:pt idx="48">
                  <c:v> 50 </c:v>
                </c:pt>
                <c:pt idx="49">
                  <c:v> 51 </c:v>
                </c:pt>
                <c:pt idx="50">
                  <c:v> 52 </c:v>
                </c:pt>
              </c:strCache>
            </c:strRef>
          </c:cat>
          <c:val>
            <c:numRef>
              <c:f>'Ma trận HDPE Ép'!$AY$10:$CD$10</c:f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7227-4979-A557-0079A41E20E9}"/>
            </c:ext>
          </c:extLst>
        </c:ser>
        <c:ser>
          <c:idx val="2"/>
          <c:order val="3"/>
          <c:tx>
            <c:strRef>
              <c:f>'Ma trận HDPE Ép'!$AW$7</c:f>
              <c:strCache>
                <c:ptCount val="1"/>
                <c:pt idx="0">
                  <c:v>DTR (PTBV)</c:v>
                </c:pt>
              </c:strCache>
            </c:strRef>
          </c:tx>
          <c:spPr>
            <a:ln w="5080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2-39D5-4F5D-973E-FA172BDB65A9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A56F-467C-ADC9-6B59DAB58C1E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4-39D5-4F5D-973E-FA172BDB65A9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A56F-467C-ADC9-6B59DAB58C1E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6-39D5-4F5D-973E-FA172BDB65A9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A56F-467C-ADC9-6B59DAB58C1E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8-39D5-4F5D-973E-FA172BDB65A9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A56F-467C-ADC9-6B59DAB58C1E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D4D5-44B4-9869-6D92857489A3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8430-49F6-BB5E-90B51E14B1B8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D4D5-44B4-9869-6D92857489A3}"/>
                </c:ext>
              </c:extLst>
            </c:dLbl>
            <c:dLbl>
              <c:idx val="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D4D5-44B4-9869-6D92857489A3}"/>
                </c:ext>
              </c:extLst>
            </c:dLbl>
            <c:dLbl>
              <c:idx val="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3010-4FC2-B6E5-8A1048E86184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accent6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'Ma trận HDPE Ép'!$AY$5:$GT$5</c:f>
              <c:strCache>
                <c:ptCount val="51"/>
                <c:pt idx="0">
                  <c:v> 01 </c:v>
                </c:pt>
                <c:pt idx="1">
                  <c:v> 02 </c:v>
                </c:pt>
                <c:pt idx="2">
                  <c:v> 03 </c:v>
                </c:pt>
                <c:pt idx="3">
                  <c:v> 04 </c:v>
                </c:pt>
                <c:pt idx="4">
                  <c:v> 06 </c:v>
                </c:pt>
                <c:pt idx="5">
                  <c:v> 07 </c:v>
                </c:pt>
                <c:pt idx="6">
                  <c:v> 08 </c:v>
                </c:pt>
                <c:pt idx="7">
                  <c:v> 09 </c:v>
                </c:pt>
                <c:pt idx="8">
                  <c:v> 10 </c:v>
                </c:pt>
                <c:pt idx="9">
                  <c:v> 11 </c:v>
                </c:pt>
                <c:pt idx="10">
                  <c:v> 12 </c:v>
                </c:pt>
                <c:pt idx="11">
                  <c:v> 13 </c:v>
                </c:pt>
                <c:pt idx="12">
                  <c:v> 14 </c:v>
                </c:pt>
                <c:pt idx="13">
                  <c:v> 15 </c:v>
                </c:pt>
                <c:pt idx="14">
                  <c:v> 16 </c:v>
                </c:pt>
                <c:pt idx="15">
                  <c:v> 17 </c:v>
                </c:pt>
                <c:pt idx="16">
                  <c:v> 18 </c:v>
                </c:pt>
                <c:pt idx="17">
                  <c:v> 19 </c:v>
                </c:pt>
                <c:pt idx="18">
                  <c:v> 20 </c:v>
                </c:pt>
                <c:pt idx="19">
                  <c:v> 21 </c:v>
                </c:pt>
                <c:pt idx="20">
                  <c:v> 22 </c:v>
                </c:pt>
                <c:pt idx="21">
                  <c:v> 23 </c:v>
                </c:pt>
                <c:pt idx="22">
                  <c:v> 24 </c:v>
                </c:pt>
                <c:pt idx="23">
                  <c:v> 25 </c:v>
                </c:pt>
                <c:pt idx="24">
                  <c:v> 26 </c:v>
                </c:pt>
                <c:pt idx="25">
                  <c:v> 27 </c:v>
                </c:pt>
                <c:pt idx="26">
                  <c:v> 28 </c:v>
                </c:pt>
                <c:pt idx="27">
                  <c:v> 29 </c:v>
                </c:pt>
                <c:pt idx="28">
                  <c:v> 30 </c:v>
                </c:pt>
                <c:pt idx="29">
                  <c:v> 31 </c:v>
                </c:pt>
                <c:pt idx="30">
                  <c:v> 32 </c:v>
                </c:pt>
                <c:pt idx="31">
                  <c:v> 33 </c:v>
                </c:pt>
                <c:pt idx="32">
                  <c:v> 34 </c:v>
                </c:pt>
                <c:pt idx="33">
                  <c:v> 35 </c:v>
                </c:pt>
                <c:pt idx="34">
                  <c:v> 36 </c:v>
                </c:pt>
                <c:pt idx="35">
                  <c:v> 37 </c:v>
                </c:pt>
                <c:pt idx="36">
                  <c:v> 38 </c:v>
                </c:pt>
                <c:pt idx="37">
                  <c:v> 39 </c:v>
                </c:pt>
                <c:pt idx="38">
                  <c:v> 40 </c:v>
                </c:pt>
                <c:pt idx="39">
                  <c:v> 41 </c:v>
                </c:pt>
                <c:pt idx="40">
                  <c:v> 42 </c:v>
                </c:pt>
                <c:pt idx="41">
                  <c:v> 43 </c:v>
                </c:pt>
                <c:pt idx="42">
                  <c:v> 44 </c:v>
                </c:pt>
                <c:pt idx="43">
                  <c:v> 45 </c:v>
                </c:pt>
                <c:pt idx="44">
                  <c:v> 46 </c:v>
                </c:pt>
                <c:pt idx="45">
                  <c:v> 47 </c:v>
                </c:pt>
                <c:pt idx="46">
                  <c:v> 48 </c:v>
                </c:pt>
                <c:pt idx="47">
                  <c:v> 49 </c:v>
                </c:pt>
                <c:pt idx="48">
                  <c:v> 50 </c:v>
                </c:pt>
                <c:pt idx="49">
                  <c:v> 51 </c:v>
                </c:pt>
                <c:pt idx="50">
                  <c:v> 52 </c:v>
                </c:pt>
              </c:strCache>
            </c:strRef>
          </c:cat>
          <c:val>
            <c:numRef>
              <c:f>'Ma trận HDPE Ép'!$AX$7:$FX$7</c:f>
              <c:numCache>
                <c:formatCode>"$"#,##0_);\("$"#,##0\)</c:formatCode>
                <c:ptCount val="29"/>
                <c:pt idx="0">
                  <c:v>1250</c:v>
                </c:pt>
                <c:pt idx="1">
                  <c:v>1250</c:v>
                </c:pt>
                <c:pt idx="2">
                  <c:v>1250</c:v>
                </c:pt>
                <c:pt idx="3">
                  <c:v>1250</c:v>
                </c:pt>
                <c:pt idx="4">
                  <c:v>1250</c:v>
                </c:pt>
                <c:pt idx="5">
                  <c:v>1250</c:v>
                </c:pt>
                <c:pt idx="6">
                  <c:v>1250</c:v>
                </c:pt>
                <c:pt idx="7">
                  <c:v>1250</c:v>
                </c:pt>
                <c:pt idx="8">
                  <c:v>1045</c:v>
                </c:pt>
                <c:pt idx="9">
                  <c:v>1045</c:v>
                </c:pt>
                <c:pt idx="10">
                  <c:v>1045</c:v>
                </c:pt>
                <c:pt idx="11">
                  <c:v>1045</c:v>
                </c:pt>
                <c:pt idx="12">
                  <c:v>1045</c:v>
                </c:pt>
                <c:pt idx="13">
                  <c:v>1045</c:v>
                </c:pt>
                <c:pt idx="14">
                  <c:v>1045</c:v>
                </c:pt>
                <c:pt idx="15">
                  <c:v>1045</c:v>
                </c:pt>
                <c:pt idx="16">
                  <c:v>990.00000000000011</c:v>
                </c:pt>
                <c:pt idx="17">
                  <c:v>990.00000000000011</c:v>
                </c:pt>
                <c:pt idx="18">
                  <c:v>990.00000000000011</c:v>
                </c:pt>
                <c:pt idx="19">
                  <c:v>990.00000000000011</c:v>
                </c:pt>
                <c:pt idx="20">
                  <c:v>990.00000000000011</c:v>
                </c:pt>
                <c:pt idx="21">
                  <c:v>990.00000000000011</c:v>
                </c:pt>
                <c:pt idx="22">
                  <c:v>990.00000000000011</c:v>
                </c:pt>
                <c:pt idx="23">
                  <c:v>990.00000000000011</c:v>
                </c:pt>
                <c:pt idx="24">
                  <c:v>990.00000000000011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9D5-4F5D-973E-FA172BDB65A9}"/>
            </c:ext>
          </c:extLst>
        </c:ser>
        <c:ser>
          <c:idx val="5"/>
          <c:order val="4"/>
          <c:tx>
            <c:strRef>
              <c:f>'Ma trận HDPE Ép'!$AW$13</c:f>
              <c:strCache>
                <c:ptCount val="1"/>
                <c:pt idx="0">
                  <c:v>RESIN</c:v>
                </c:pt>
              </c:strCache>
            </c:strRef>
          </c:tx>
          <c:spPr>
            <a:ln w="50800" cap="rnd">
              <a:solidFill>
                <a:srgbClr val="FF3399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1.5272508522611519E-2"/>
                  <c:y val="-3.65185657908381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B4B3-4C70-839F-5BBD2566A7B9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4C9-45C4-A6B4-3BE57A7D512A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322-4588-86C2-2384FA45F92A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D95D-455D-8950-427B983DC404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B4B3-4C70-839F-5BBD2566A7B9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95D-455D-8950-427B983DC404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6-39D5-4F5D-973E-FA172BDB65A9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D95D-455D-8950-427B983DC404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95D-455D-8950-427B983DC404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B4B3-4C70-839F-5BBD2566A7B9}"/>
                </c:ext>
              </c:extLst>
            </c:dLbl>
            <c:dLbl>
              <c:idx val="12"/>
              <c:layout>
                <c:manualLayout>
                  <c:x val="-2.0213621611182113E-2"/>
                  <c:y val="-3.006897099678854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B4C9-45C4-A6B4-3BE57A7D512A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E322-4588-86C2-2384FA45F92A}"/>
                </c:ext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C71-49A5-8EA9-103B6F3362FF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8430-49F6-BB5E-90B51E14B1B8}"/>
                </c:ext>
              </c:extLst>
            </c:dLbl>
            <c:dLbl>
              <c:idx val="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C71-49A5-8EA9-103B6F3362FF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8430-49F6-BB5E-90B51E14B1B8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010-4FC2-B6E5-8A1048E86184}"/>
                </c:ext>
              </c:extLst>
            </c:dLbl>
            <c:dLbl>
              <c:idx val="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010-4FC2-B6E5-8A1048E86184}"/>
                </c:ext>
              </c:extLst>
            </c:dLbl>
            <c:dLbl>
              <c:idx val="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3010-4FC2-B6E5-8A1048E86184}"/>
                </c:ext>
              </c:extLst>
            </c:dLbl>
            <c:dLbl>
              <c:idx val="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05CD-422E-AC17-C840424D5B71}"/>
                </c:ext>
              </c:extLst>
            </c:dLbl>
            <c:dLbl>
              <c:idx val="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5CD-422E-AC17-C840424D5B71}"/>
                </c:ext>
              </c:extLst>
            </c:dLbl>
            <c:dLbl>
              <c:idx val="2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2955-4500-9FB5-BEC9D36AD993}"/>
                </c:ext>
              </c:extLst>
            </c:dLbl>
            <c:dLbl>
              <c:idx val="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5DB-4BFA-A2FD-00C5F2CFA425}"/>
                </c:ext>
              </c:extLst>
            </c:dLbl>
            <c:dLbl>
              <c:idx val="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7BA6-462F-BB8C-F911DC41F767}"/>
                </c:ext>
              </c:extLst>
            </c:dLbl>
            <c:dLbl>
              <c:idx val="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2B5-4D9A-818C-9E4EA0E8717D}"/>
                </c:ext>
              </c:extLst>
            </c:dLbl>
            <c:dLbl>
              <c:idx val="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A306-4230-ACFC-DE9429B9976F}"/>
                </c:ext>
              </c:extLst>
            </c:dLbl>
            <c:dLbl>
              <c:idx val="3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306-4230-ACFC-DE9429B9976F}"/>
                </c:ext>
              </c:extLst>
            </c:dLbl>
            <c:dLbl>
              <c:idx val="3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B51-4FBA-AC80-386E6D55A134}"/>
                </c:ext>
              </c:extLst>
            </c:dLbl>
            <c:dLbl>
              <c:idx val="3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F27-413F-B9D9-77FC979C7140}"/>
                </c:ext>
              </c:extLst>
            </c:dLbl>
            <c:dLbl>
              <c:idx val="3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F27-413F-B9D9-77FC979C7140}"/>
                </c:ext>
              </c:extLst>
            </c:dLbl>
            <c:dLbl>
              <c:idx val="3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573D-45C7-8075-251F9BF85263}"/>
                </c:ext>
              </c:extLst>
            </c:dLbl>
            <c:dLbl>
              <c:idx val="4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958-4120-9E8D-B8D60CA639A3}"/>
                </c:ext>
              </c:extLst>
            </c:dLbl>
            <c:dLbl>
              <c:idx val="4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7CD-4E0E-B6D4-FCED646D9D38}"/>
                </c:ext>
              </c:extLst>
            </c:dLbl>
            <c:dLbl>
              <c:idx val="4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44A-46F9-8DB2-EA619B4C66C3}"/>
                </c:ext>
              </c:extLst>
            </c:dLbl>
            <c:dLbl>
              <c:idx val="4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9DB-489C-83AC-580969D56090}"/>
                </c:ext>
              </c:extLst>
            </c:dLbl>
            <c:dLbl>
              <c:idx val="4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C71-49A5-8EA9-103B6F3362FF}"/>
                </c:ext>
              </c:extLst>
            </c:dLbl>
            <c:dLbl>
              <c:idx val="4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C71-49A5-8EA9-103B6F3362FF}"/>
                </c:ext>
              </c:extLst>
            </c:dLbl>
            <c:dLbl>
              <c:idx val="5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2BA-455E-AC5C-A8378C7E7980}"/>
                </c:ext>
              </c:extLst>
            </c:dLbl>
            <c:numFmt formatCode="[$$-C09]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rgbClr val="FF3399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'Ma trận HDPE Ép'!$AY$5:$GT$5</c:f>
              <c:strCache>
                <c:ptCount val="51"/>
                <c:pt idx="0">
                  <c:v> 01 </c:v>
                </c:pt>
                <c:pt idx="1">
                  <c:v> 02 </c:v>
                </c:pt>
                <c:pt idx="2">
                  <c:v> 03 </c:v>
                </c:pt>
                <c:pt idx="3">
                  <c:v> 04 </c:v>
                </c:pt>
                <c:pt idx="4">
                  <c:v> 06 </c:v>
                </c:pt>
                <c:pt idx="5">
                  <c:v> 07 </c:v>
                </c:pt>
                <c:pt idx="6">
                  <c:v> 08 </c:v>
                </c:pt>
                <c:pt idx="7">
                  <c:v> 09 </c:v>
                </c:pt>
                <c:pt idx="8">
                  <c:v> 10 </c:v>
                </c:pt>
                <c:pt idx="9">
                  <c:v> 11 </c:v>
                </c:pt>
                <c:pt idx="10">
                  <c:v> 12 </c:v>
                </c:pt>
                <c:pt idx="11">
                  <c:v> 13 </c:v>
                </c:pt>
                <c:pt idx="12">
                  <c:v> 14 </c:v>
                </c:pt>
                <c:pt idx="13">
                  <c:v> 15 </c:v>
                </c:pt>
                <c:pt idx="14">
                  <c:v> 16 </c:v>
                </c:pt>
                <c:pt idx="15">
                  <c:v> 17 </c:v>
                </c:pt>
                <c:pt idx="16">
                  <c:v> 18 </c:v>
                </c:pt>
                <c:pt idx="17">
                  <c:v> 19 </c:v>
                </c:pt>
                <c:pt idx="18">
                  <c:v> 20 </c:v>
                </c:pt>
                <c:pt idx="19">
                  <c:v> 21 </c:v>
                </c:pt>
                <c:pt idx="20">
                  <c:v> 22 </c:v>
                </c:pt>
                <c:pt idx="21">
                  <c:v> 23 </c:v>
                </c:pt>
                <c:pt idx="22">
                  <c:v> 24 </c:v>
                </c:pt>
                <c:pt idx="23">
                  <c:v> 25 </c:v>
                </c:pt>
                <c:pt idx="24">
                  <c:v> 26 </c:v>
                </c:pt>
                <c:pt idx="25">
                  <c:v> 27 </c:v>
                </c:pt>
                <c:pt idx="26">
                  <c:v> 28 </c:v>
                </c:pt>
                <c:pt idx="27">
                  <c:v> 29 </c:v>
                </c:pt>
                <c:pt idx="28">
                  <c:v> 30 </c:v>
                </c:pt>
                <c:pt idx="29">
                  <c:v> 31 </c:v>
                </c:pt>
                <c:pt idx="30">
                  <c:v> 32 </c:v>
                </c:pt>
                <c:pt idx="31">
                  <c:v> 33 </c:v>
                </c:pt>
                <c:pt idx="32">
                  <c:v> 34 </c:v>
                </c:pt>
                <c:pt idx="33">
                  <c:v> 35 </c:v>
                </c:pt>
                <c:pt idx="34">
                  <c:v> 36 </c:v>
                </c:pt>
                <c:pt idx="35">
                  <c:v> 37 </c:v>
                </c:pt>
                <c:pt idx="36">
                  <c:v> 38 </c:v>
                </c:pt>
                <c:pt idx="37">
                  <c:v> 39 </c:v>
                </c:pt>
                <c:pt idx="38">
                  <c:v> 40 </c:v>
                </c:pt>
                <c:pt idx="39">
                  <c:v> 41 </c:v>
                </c:pt>
                <c:pt idx="40">
                  <c:v> 42 </c:v>
                </c:pt>
                <c:pt idx="41">
                  <c:v> 43 </c:v>
                </c:pt>
                <c:pt idx="42">
                  <c:v> 44 </c:v>
                </c:pt>
                <c:pt idx="43">
                  <c:v> 45 </c:v>
                </c:pt>
                <c:pt idx="44">
                  <c:v> 46 </c:v>
                </c:pt>
                <c:pt idx="45">
                  <c:v> 47 </c:v>
                </c:pt>
                <c:pt idx="46">
                  <c:v> 48 </c:v>
                </c:pt>
                <c:pt idx="47">
                  <c:v> 49 </c:v>
                </c:pt>
                <c:pt idx="48">
                  <c:v> 50 </c:v>
                </c:pt>
                <c:pt idx="49">
                  <c:v> 51 </c:v>
                </c:pt>
                <c:pt idx="50">
                  <c:v> 52 </c:v>
                </c:pt>
              </c:strCache>
            </c:strRef>
          </c:cat>
          <c:val>
            <c:numRef>
              <c:f>'Ma trận HDPE Ép'!$AX$13:$GT$13</c:f>
              <c:numCache>
                <c:formatCode>_(* #,##0_);_(* \(#,##0\);_(* "-"??_);_(@_)</c:formatCode>
                <c:ptCount val="51"/>
                <c:pt idx="0">
                  <c:v>940</c:v>
                </c:pt>
                <c:pt idx="1">
                  <c:v>940</c:v>
                </c:pt>
                <c:pt idx="2">
                  <c:v>940</c:v>
                </c:pt>
                <c:pt idx="3">
                  <c:v>940</c:v>
                </c:pt>
                <c:pt idx="4">
                  <c:v>940</c:v>
                </c:pt>
                <c:pt idx="5">
                  <c:v>940</c:v>
                </c:pt>
                <c:pt idx="6">
                  <c:v>950</c:v>
                </c:pt>
                <c:pt idx="7">
                  <c:v>950</c:v>
                </c:pt>
                <c:pt idx="8">
                  <c:v>950</c:v>
                </c:pt>
                <c:pt idx="9">
                  <c:v>950</c:v>
                </c:pt>
                <c:pt idx="10">
                  <c:v>950</c:v>
                </c:pt>
                <c:pt idx="11">
                  <c:v>910</c:v>
                </c:pt>
                <c:pt idx="12">
                  <c:v>910</c:v>
                </c:pt>
                <c:pt idx="13">
                  <c:v>900</c:v>
                </c:pt>
                <c:pt idx="14">
                  <c:v>900</c:v>
                </c:pt>
                <c:pt idx="15">
                  <c:v>910</c:v>
                </c:pt>
                <c:pt idx="16">
                  <c:v>910</c:v>
                </c:pt>
                <c:pt idx="17">
                  <c:v>910</c:v>
                </c:pt>
                <c:pt idx="18">
                  <c:v>910</c:v>
                </c:pt>
                <c:pt idx="19">
                  <c:v>910</c:v>
                </c:pt>
                <c:pt idx="20">
                  <c:v>900</c:v>
                </c:pt>
                <c:pt idx="21">
                  <c:v>900</c:v>
                </c:pt>
                <c:pt idx="22">
                  <c:v>900</c:v>
                </c:pt>
                <c:pt idx="23">
                  <c:v>930</c:v>
                </c:pt>
                <c:pt idx="24">
                  <c:v>930</c:v>
                </c:pt>
                <c:pt idx="25">
                  <c:v>930</c:v>
                </c:pt>
                <c:pt idx="26">
                  <c:v>930</c:v>
                </c:pt>
                <c:pt idx="27">
                  <c:v>930</c:v>
                </c:pt>
                <c:pt idx="28">
                  <c:v>930</c:v>
                </c:pt>
                <c:pt idx="29">
                  <c:v>930</c:v>
                </c:pt>
                <c:pt idx="30">
                  <c:v>930</c:v>
                </c:pt>
                <c:pt idx="31">
                  <c:v>930</c:v>
                </c:pt>
                <c:pt idx="32">
                  <c:v>930</c:v>
                </c:pt>
                <c:pt idx="33">
                  <c:v>930</c:v>
                </c:pt>
                <c:pt idx="34">
                  <c:v>930</c:v>
                </c:pt>
                <c:pt idx="35">
                  <c:v>930</c:v>
                </c:pt>
                <c:pt idx="36">
                  <c:v>930</c:v>
                </c:pt>
                <c:pt idx="37">
                  <c:v>870</c:v>
                </c:pt>
                <c:pt idx="38">
                  <c:v>870</c:v>
                </c:pt>
                <c:pt idx="39">
                  <c:v>870</c:v>
                </c:pt>
                <c:pt idx="40">
                  <c:v>870</c:v>
                </c:pt>
                <c:pt idx="41">
                  <c:v>870</c:v>
                </c:pt>
                <c:pt idx="42">
                  <c:v>870</c:v>
                </c:pt>
                <c:pt idx="43">
                  <c:v>870</c:v>
                </c:pt>
                <c:pt idx="44">
                  <c:v>830</c:v>
                </c:pt>
                <c:pt idx="45">
                  <c:v>830</c:v>
                </c:pt>
                <c:pt idx="46">
                  <c:v>830</c:v>
                </c:pt>
                <c:pt idx="47">
                  <c:v>830</c:v>
                </c:pt>
                <c:pt idx="48">
                  <c:v>830</c:v>
                </c:pt>
                <c:pt idx="49">
                  <c:v>830</c:v>
                </c:pt>
                <c:pt idx="50">
                  <c:v>830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39D5-4F5D-973E-FA172BDB65A9}"/>
            </c:ext>
          </c:extLst>
        </c:ser>
        <c:ser>
          <c:idx val="3"/>
          <c:order val="7"/>
          <c:tx>
            <c:strRef>
              <c:f>'Ma trận HDPE Ép'!$AW$16</c:f>
              <c:strCache>
                <c:ptCount val="1"/>
                <c:pt idx="0">
                  <c:v>%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'Ma trận HDPE Ép'!$AY$5:$GT$5</c:f>
              <c:strCache>
                <c:ptCount val="51"/>
                <c:pt idx="0">
                  <c:v> 01 </c:v>
                </c:pt>
                <c:pt idx="1">
                  <c:v> 02 </c:v>
                </c:pt>
                <c:pt idx="2">
                  <c:v> 03 </c:v>
                </c:pt>
                <c:pt idx="3">
                  <c:v> 04 </c:v>
                </c:pt>
                <c:pt idx="4">
                  <c:v> 06 </c:v>
                </c:pt>
                <c:pt idx="5">
                  <c:v> 07 </c:v>
                </c:pt>
                <c:pt idx="6">
                  <c:v> 08 </c:v>
                </c:pt>
                <c:pt idx="7">
                  <c:v> 09 </c:v>
                </c:pt>
                <c:pt idx="8">
                  <c:v> 10 </c:v>
                </c:pt>
                <c:pt idx="9">
                  <c:v> 11 </c:v>
                </c:pt>
                <c:pt idx="10">
                  <c:v> 12 </c:v>
                </c:pt>
                <c:pt idx="11">
                  <c:v> 13 </c:v>
                </c:pt>
                <c:pt idx="12">
                  <c:v> 14 </c:v>
                </c:pt>
                <c:pt idx="13">
                  <c:v> 15 </c:v>
                </c:pt>
                <c:pt idx="14">
                  <c:v> 16 </c:v>
                </c:pt>
                <c:pt idx="15">
                  <c:v> 17 </c:v>
                </c:pt>
                <c:pt idx="16">
                  <c:v> 18 </c:v>
                </c:pt>
                <c:pt idx="17">
                  <c:v> 19 </c:v>
                </c:pt>
                <c:pt idx="18">
                  <c:v> 20 </c:v>
                </c:pt>
                <c:pt idx="19">
                  <c:v> 21 </c:v>
                </c:pt>
                <c:pt idx="20">
                  <c:v> 22 </c:v>
                </c:pt>
                <c:pt idx="21">
                  <c:v> 23 </c:v>
                </c:pt>
                <c:pt idx="22">
                  <c:v> 24 </c:v>
                </c:pt>
                <c:pt idx="23">
                  <c:v> 25 </c:v>
                </c:pt>
                <c:pt idx="24">
                  <c:v> 26 </c:v>
                </c:pt>
                <c:pt idx="25">
                  <c:v> 27 </c:v>
                </c:pt>
                <c:pt idx="26">
                  <c:v> 28 </c:v>
                </c:pt>
                <c:pt idx="27">
                  <c:v> 29 </c:v>
                </c:pt>
                <c:pt idx="28">
                  <c:v> 30 </c:v>
                </c:pt>
                <c:pt idx="29">
                  <c:v> 31 </c:v>
                </c:pt>
                <c:pt idx="30">
                  <c:v> 32 </c:v>
                </c:pt>
                <c:pt idx="31">
                  <c:v> 33 </c:v>
                </c:pt>
                <c:pt idx="32">
                  <c:v> 34 </c:v>
                </c:pt>
                <c:pt idx="33">
                  <c:v> 35 </c:v>
                </c:pt>
                <c:pt idx="34">
                  <c:v> 36 </c:v>
                </c:pt>
                <c:pt idx="35">
                  <c:v> 37 </c:v>
                </c:pt>
                <c:pt idx="36">
                  <c:v> 38 </c:v>
                </c:pt>
                <c:pt idx="37">
                  <c:v> 39 </c:v>
                </c:pt>
                <c:pt idx="38">
                  <c:v> 40 </c:v>
                </c:pt>
                <c:pt idx="39">
                  <c:v> 41 </c:v>
                </c:pt>
                <c:pt idx="40">
                  <c:v> 42 </c:v>
                </c:pt>
                <c:pt idx="41">
                  <c:v> 43 </c:v>
                </c:pt>
                <c:pt idx="42">
                  <c:v> 44 </c:v>
                </c:pt>
                <c:pt idx="43">
                  <c:v> 45 </c:v>
                </c:pt>
                <c:pt idx="44">
                  <c:v> 46 </c:v>
                </c:pt>
                <c:pt idx="45">
                  <c:v> 47 </c:v>
                </c:pt>
                <c:pt idx="46">
                  <c:v> 48 </c:v>
                </c:pt>
                <c:pt idx="47">
                  <c:v> 49 </c:v>
                </c:pt>
                <c:pt idx="48">
                  <c:v> 50 </c:v>
                </c:pt>
                <c:pt idx="49">
                  <c:v> 51 </c:v>
                </c:pt>
                <c:pt idx="50">
                  <c:v> 52 </c:v>
                </c:pt>
              </c:strCache>
            </c:strRef>
          </c:cat>
          <c:val>
            <c:numRef>
              <c:f>'Ma trận HDPE Ép'!$AY$16:$BV$16</c:f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CAEA-4748-859E-68298C155B0A}"/>
            </c:ext>
          </c:extLst>
        </c:ser>
        <c:ser>
          <c:idx val="8"/>
          <c:order val="8"/>
          <c:tx>
            <c:strRef>
              <c:f>'Ma trận HDPE Ép'!$AW$8</c:f>
              <c:strCache>
                <c:ptCount val="1"/>
                <c:pt idx="0">
                  <c:v>DTR-nội địa</c:v>
                </c:pt>
              </c:strCache>
            </c:strRef>
          </c:tx>
          <c:spPr>
            <a:ln w="5080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8A1C-499F-8536-4F6838F0D096}"/>
                </c:ext>
              </c:extLst>
            </c:dLbl>
            <c:dLbl>
              <c:idx val="6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D95D-455D-8950-427B983DC404}"/>
                </c:ext>
              </c:extLst>
            </c:dLbl>
            <c:dLbl>
              <c:idx val="9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D95D-455D-8950-427B983DC404}"/>
                </c:ext>
              </c:extLst>
            </c:dLbl>
            <c:dLbl>
              <c:idx val="13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767-4A25-93D7-5BA4D014CFE0}"/>
                </c:ext>
              </c:extLst>
            </c:dLbl>
            <c:dLbl>
              <c:idx val="16"/>
              <c:layout>
                <c:manualLayout>
                  <c:x val="-4.9019604403021475E-3"/>
                  <c:y val="2.763444559110193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A1C-499F-8536-4F6838F0D096}"/>
                </c:ext>
              </c:extLst>
            </c:dLbl>
            <c:dLbl>
              <c:idx val="23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5CD-422E-AC17-C840424D5B71}"/>
                </c:ext>
              </c:extLst>
            </c:dLbl>
            <c:dLbl>
              <c:idx val="27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2955-4500-9FB5-BEC9D36AD993}"/>
                </c:ext>
              </c:extLst>
            </c:dLbl>
            <c:dLbl>
              <c:idx val="33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A306-4230-ACFC-DE9429B9976F}"/>
                </c:ext>
              </c:extLst>
            </c:dLbl>
            <c:dLbl>
              <c:idx val="37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F27-413F-B9D9-77FC979C7140}"/>
                </c:ext>
              </c:extLst>
            </c:dLbl>
            <c:dLbl>
              <c:idx val="41"/>
              <c:layout>
                <c:manualLayout>
                  <c:x val="-1.9162208993908015E-2"/>
                  <c:y val="-4.116500401330122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958-4120-9E8D-B8D60CA639A3}"/>
                </c:ext>
              </c:extLst>
            </c:dLbl>
            <c:dLbl>
              <c:idx val="43"/>
              <c:layout>
                <c:manualLayout>
                  <c:x val="-5.7932259749023836E-3"/>
                  <c:y val="-2.740511409242067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7CD-4E0E-B6D4-FCED646D9D38}"/>
                </c:ext>
              </c:extLst>
            </c:dLbl>
            <c:dLbl>
              <c:idx val="47"/>
              <c:layout>
                <c:manualLayout>
                  <c:x val="-1.2923350251705318E-2"/>
                  <c:y val="-3.42850590528609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9DB-489C-83AC-580969D56090}"/>
                </c:ext>
              </c:extLst>
            </c:dLbl>
            <c:numFmt formatCode="[$$-C09]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rgbClr val="00B05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b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'Ma trận HDPE Ép'!$AY$5:$GT$5</c:f>
              <c:strCache>
                <c:ptCount val="51"/>
                <c:pt idx="0">
                  <c:v> 01 </c:v>
                </c:pt>
                <c:pt idx="1">
                  <c:v> 02 </c:v>
                </c:pt>
                <c:pt idx="2">
                  <c:v> 03 </c:v>
                </c:pt>
                <c:pt idx="3">
                  <c:v> 04 </c:v>
                </c:pt>
                <c:pt idx="4">
                  <c:v> 06 </c:v>
                </c:pt>
                <c:pt idx="5">
                  <c:v> 07 </c:v>
                </c:pt>
                <c:pt idx="6">
                  <c:v> 08 </c:v>
                </c:pt>
                <c:pt idx="7">
                  <c:v> 09 </c:v>
                </c:pt>
                <c:pt idx="8">
                  <c:v> 10 </c:v>
                </c:pt>
                <c:pt idx="9">
                  <c:v> 11 </c:v>
                </c:pt>
                <c:pt idx="10">
                  <c:v> 12 </c:v>
                </c:pt>
                <c:pt idx="11">
                  <c:v> 13 </c:v>
                </c:pt>
                <c:pt idx="12">
                  <c:v> 14 </c:v>
                </c:pt>
                <c:pt idx="13">
                  <c:v> 15 </c:v>
                </c:pt>
                <c:pt idx="14">
                  <c:v> 16 </c:v>
                </c:pt>
                <c:pt idx="15">
                  <c:v> 17 </c:v>
                </c:pt>
                <c:pt idx="16">
                  <c:v> 18 </c:v>
                </c:pt>
                <c:pt idx="17">
                  <c:v> 19 </c:v>
                </c:pt>
                <c:pt idx="18">
                  <c:v> 20 </c:v>
                </c:pt>
                <c:pt idx="19">
                  <c:v> 21 </c:v>
                </c:pt>
                <c:pt idx="20">
                  <c:v> 22 </c:v>
                </c:pt>
                <c:pt idx="21">
                  <c:v> 23 </c:v>
                </c:pt>
                <c:pt idx="22">
                  <c:v> 24 </c:v>
                </c:pt>
                <c:pt idx="23">
                  <c:v> 25 </c:v>
                </c:pt>
                <c:pt idx="24">
                  <c:v> 26 </c:v>
                </c:pt>
                <c:pt idx="25">
                  <c:v> 27 </c:v>
                </c:pt>
                <c:pt idx="26">
                  <c:v> 28 </c:v>
                </c:pt>
                <c:pt idx="27">
                  <c:v> 29 </c:v>
                </c:pt>
                <c:pt idx="28">
                  <c:v> 30 </c:v>
                </c:pt>
                <c:pt idx="29">
                  <c:v> 31 </c:v>
                </c:pt>
                <c:pt idx="30">
                  <c:v> 32 </c:v>
                </c:pt>
                <c:pt idx="31">
                  <c:v> 33 </c:v>
                </c:pt>
                <c:pt idx="32">
                  <c:v> 34 </c:v>
                </c:pt>
                <c:pt idx="33">
                  <c:v> 35 </c:v>
                </c:pt>
                <c:pt idx="34">
                  <c:v> 36 </c:v>
                </c:pt>
                <c:pt idx="35">
                  <c:v> 37 </c:v>
                </c:pt>
                <c:pt idx="36">
                  <c:v> 38 </c:v>
                </c:pt>
                <c:pt idx="37">
                  <c:v> 39 </c:v>
                </c:pt>
                <c:pt idx="38">
                  <c:v> 40 </c:v>
                </c:pt>
                <c:pt idx="39">
                  <c:v> 41 </c:v>
                </c:pt>
                <c:pt idx="40">
                  <c:v> 42 </c:v>
                </c:pt>
                <c:pt idx="41">
                  <c:v> 43 </c:v>
                </c:pt>
                <c:pt idx="42">
                  <c:v> 44 </c:v>
                </c:pt>
                <c:pt idx="43">
                  <c:v> 45 </c:v>
                </c:pt>
                <c:pt idx="44">
                  <c:v> 46 </c:v>
                </c:pt>
                <c:pt idx="45">
                  <c:v> 47 </c:v>
                </c:pt>
                <c:pt idx="46">
                  <c:v> 48 </c:v>
                </c:pt>
                <c:pt idx="47">
                  <c:v> 49 </c:v>
                </c:pt>
                <c:pt idx="48">
                  <c:v> 50 </c:v>
                </c:pt>
                <c:pt idx="49">
                  <c:v> 51 </c:v>
                </c:pt>
                <c:pt idx="50">
                  <c:v> 52 </c:v>
                </c:pt>
              </c:strCache>
            </c:strRef>
          </c:cat>
          <c:val>
            <c:numRef>
              <c:f>'Ma trận HDPE Ép'!$AY$8:$GT$8</c:f>
              <c:numCache>
                <c:formatCode>"$"#,##0_);\("$"#,##0\)</c:formatCode>
                <c:ptCount val="51"/>
                <c:pt idx="0">
                  <c:v>870</c:v>
                </c:pt>
                <c:pt idx="1">
                  <c:v>870</c:v>
                </c:pt>
                <c:pt idx="2">
                  <c:v>870</c:v>
                </c:pt>
                <c:pt idx="3">
                  <c:v>870</c:v>
                </c:pt>
                <c:pt idx="4">
                  <c:v>870</c:v>
                </c:pt>
                <c:pt idx="5">
                  <c:v>870</c:v>
                </c:pt>
                <c:pt idx="6">
                  <c:v>870</c:v>
                </c:pt>
                <c:pt idx="7">
                  <c:v>870</c:v>
                </c:pt>
                <c:pt idx="8">
                  <c:v>805</c:v>
                </c:pt>
                <c:pt idx="9">
                  <c:v>805</c:v>
                </c:pt>
                <c:pt idx="10">
                  <c:v>805</c:v>
                </c:pt>
                <c:pt idx="11">
                  <c:v>805</c:v>
                </c:pt>
                <c:pt idx="12">
                  <c:v>805</c:v>
                </c:pt>
                <c:pt idx="13">
                  <c:v>805</c:v>
                </c:pt>
                <c:pt idx="14">
                  <c:v>805</c:v>
                </c:pt>
                <c:pt idx="15">
                  <c:v>805</c:v>
                </c:pt>
                <c:pt idx="16">
                  <c:v>765</c:v>
                </c:pt>
                <c:pt idx="17">
                  <c:v>765</c:v>
                </c:pt>
                <c:pt idx="18">
                  <c:v>765</c:v>
                </c:pt>
                <c:pt idx="19">
                  <c:v>765</c:v>
                </c:pt>
                <c:pt idx="20">
                  <c:v>765</c:v>
                </c:pt>
                <c:pt idx="21">
                  <c:v>765</c:v>
                </c:pt>
                <c:pt idx="22">
                  <c:v>765</c:v>
                </c:pt>
                <c:pt idx="23">
                  <c:v>765</c:v>
                </c:pt>
                <c:pt idx="24">
                  <c:v>765</c:v>
                </c:pt>
                <c:pt idx="25">
                  <c:v>780</c:v>
                </c:pt>
                <c:pt idx="26">
                  <c:v>780</c:v>
                </c:pt>
                <c:pt idx="27">
                  <c:v>780</c:v>
                </c:pt>
                <c:pt idx="28">
                  <c:v>780</c:v>
                </c:pt>
                <c:pt idx="29">
                  <c:v>780</c:v>
                </c:pt>
                <c:pt idx="30">
                  <c:v>760</c:v>
                </c:pt>
                <c:pt idx="31">
                  <c:v>760</c:v>
                </c:pt>
                <c:pt idx="32">
                  <c:v>760</c:v>
                </c:pt>
                <c:pt idx="33">
                  <c:v>760</c:v>
                </c:pt>
                <c:pt idx="34">
                  <c:v>760</c:v>
                </c:pt>
                <c:pt idx="35">
                  <c:v>760</c:v>
                </c:pt>
                <c:pt idx="36">
                  <c:v>760</c:v>
                </c:pt>
                <c:pt idx="37">
                  <c:v>760</c:v>
                </c:pt>
                <c:pt idx="38">
                  <c:v>760</c:v>
                </c:pt>
                <c:pt idx="39">
                  <c:v>760</c:v>
                </c:pt>
                <c:pt idx="40">
                  <c:v>760</c:v>
                </c:pt>
                <c:pt idx="41">
                  <c:v>760</c:v>
                </c:pt>
                <c:pt idx="42">
                  <c:v>760</c:v>
                </c:pt>
                <c:pt idx="43">
                  <c:v>740</c:v>
                </c:pt>
                <c:pt idx="44">
                  <c:v>740</c:v>
                </c:pt>
                <c:pt idx="45">
                  <c:v>740</c:v>
                </c:pt>
                <c:pt idx="46">
                  <c:v>740</c:v>
                </c:pt>
                <c:pt idx="47">
                  <c:v>740</c:v>
                </c:pt>
                <c:pt idx="48">
                  <c:v>740</c:v>
                </c:pt>
                <c:pt idx="49">
                  <c:v>740</c:v>
                </c:pt>
                <c:pt idx="50">
                  <c:v>740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B837-412E-A8F2-59B2742DF986}"/>
            </c:ext>
          </c:extLst>
        </c:ser>
        <c:ser>
          <c:idx val="9"/>
          <c:order val="9"/>
          <c:tx>
            <c:strRef>
              <c:f>'Ma trận HDPE Ép'!$AW$17</c:f>
              <c:strCache>
                <c:ptCount val="1"/>
                <c:pt idx="0">
                  <c:v>Điểm hòa vốn</c:v>
                </c:pt>
              </c:strCache>
              <c:extLst xmlns:c15="http://schemas.microsoft.com/office/drawing/2012/chart"/>
            </c:strRef>
          </c:tx>
          <c:spPr>
            <a:ln w="50800" cap="rnd">
              <a:solidFill>
                <a:srgbClr val="FF0000">
                  <a:alpha val="98000"/>
                </a:srgbClr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D95D-455D-8950-427B983DC404}"/>
                </c:ext>
              </c:extLst>
            </c:dLbl>
            <c:dLbl>
              <c:idx val="1"/>
              <c:layout>
                <c:manualLayout>
                  <c:x val="-1.8234828024244781E-2"/>
                  <c:y val="-2.727480382503230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B4B3-4C70-839F-5BBD2566A7B9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550C-4130-A7BB-99D57576885F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E322-4588-86C2-2384FA45F92A}"/>
                </c:ext>
              </c:extLst>
            </c:dLbl>
            <c:dLbl>
              <c:idx val="4"/>
              <c:layout>
                <c:manualLayout>
                  <c:x val="-1.6455820412123352E-2"/>
                  <c:y val="-2.955721418695968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550C-4130-A7BB-99D57576885F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F471-47AB-9D84-5713AF5519E6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CF73-48EB-A16A-60329C263427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B4C9-45C4-A6B4-3BE57A7D512A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B638-4761-92BF-A705FBB5D70F}"/>
                </c:ext>
              </c:extLst>
            </c:dLbl>
            <c:dLbl>
              <c:idx val="9"/>
              <c:layout>
                <c:manualLayout>
                  <c:x val="-1.7518465658289815E-2"/>
                  <c:y val="-2.955721418695960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B388-46D4-817D-481A5466640E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550C-4130-A7BB-99D57576885F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2911-4F0C-8C09-24CD8E3E00C1}"/>
                </c:ext>
              </c:extLst>
            </c:dLbl>
            <c:dLbl>
              <c:idx val="12"/>
              <c:layout>
                <c:manualLayout>
                  <c:x val="-1.6655647490024319E-2"/>
                  <c:y val="3.236228598360180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767-4A25-93D7-5BA4D014CFE0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B4B3-4C70-839F-5BBD2566A7B9}"/>
                </c:ext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BC71-49A5-8EA9-103B6F3362FF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955-4500-9FB5-BEC9D36AD993}"/>
                </c:ext>
              </c:extLst>
            </c:dLbl>
            <c:dLbl>
              <c:idx val="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BC71-49A5-8EA9-103B6F3362FF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8430-49F6-BB5E-90B51E14B1B8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D4D5-44B4-9869-6D92857489A3}"/>
                </c:ext>
              </c:extLst>
            </c:dLbl>
            <c:dLbl>
              <c:idx val="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BC71-49A5-8EA9-103B6F3362FF}"/>
                </c:ext>
              </c:extLst>
            </c:dLbl>
            <c:dLbl>
              <c:idx val="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A306-4230-ACFC-DE9429B9976F}"/>
                </c:ext>
              </c:extLst>
            </c:dLbl>
            <c:dLbl>
              <c:idx val="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4D5-44B4-9869-6D92857489A3}"/>
                </c:ext>
              </c:extLst>
            </c:dLbl>
            <c:dLbl>
              <c:idx val="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955-4500-9FB5-BEC9D36AD993}"/>
                </c:ext>
              </c:extLst>
            </c:dLbl>
            <c:dLbl>
              <c:idx val="2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955-4500-9FB5-BEC9D36AD993}"/>
                </c:ext>
              </c:extLst>
            </c:dLbl>
            <c:dLbl>
              <c:idx val="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5DB-4BFA-A2FD-00C5F2CFA425}"/>
                </c:ext>
              </c:extLst>
            </c:dLbl>
            <c:dLbl>
              <c:idx val="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2B5-4D9A-818C-9E4EA0E8717D}"/>
                </c:ext>
              </c:extLst>
            </c:dLbl>
            <c:dLbl>
              <c:idx val="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A306-4230-ACFC-DE9429B9976F}"/>
                </c:ext>
              </c:extLst>
            </c:dLbl>
            <c:dLbl>
              <c:idx val="3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306-4230-ACFC-DE9429B9976F}"/>
                </c:ext>
              </c:extLst>
            </c:dLbl>
            <c:dLbl>
              <c:idx val="3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B51-4FBA-AC80-386E6D55A134}"/>
                </c:ext>
              </c:extLst>
            </c:dLbl>
            <c:dLbl>
              <c:idx val="3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F27-413F-B9D9-77FC979C7140}"/>
                </c:ext>
              </c:extLst>
            </c:dLbl>
            <c:dLbl>
              <c:idx val="3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73D-45C7-8075-251F9BF85263}"/>
                </c:ext>
              </c:extLst>
            </c:dLbl>
            <c:dLbl>
              <c:idx val="3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73D-45C7-8075-251F9BF85263}"/>
                </c:ext>
              </c:extLst>
            </c:dLbl>
            <c:dLbl>
              <c:idx val="3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573D-45C7-8075-251F9BF85263}"/>
                </c:ext>
              </c:extLst>
            </c:dLbl>
            <c:dLbl>
              <c:idx val="40"/>
              <c:layout>
                <c:manualLayout>
                  <c:x val="-1.7379677924707151E-2"/>
                  <c:y val="-2.511179910560723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958-4120-9E8D-B8D60CA639A3}"/>
                </c:ext>
              </c:extLst>
            </c:dLbl>
            <c:dLbl>
              <c:idx val="4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958-4120-9E8D-B8D60CA639A3}"/>
                </c:ext>
              </c:extLst>
            </c:dLbl>
            <c:dLbl>
              <c:idx val="4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7CD-4E0E-B6D4-FCED646D9D38}"/>
                </c:ext>
              </c:extLst>
            </c:dLbl>
            <c:dLbl>
              <c:idx val="4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B7CD-4E0E-B6D4-FCED646D9D38}"/>
                </c:ext>
              </c:extLst>
            </c:dLbl>
            <c:dLbl>
              <c:idx val="4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44A-46F9-8DB2-EA619B4C66C3}"/>
                </c:ext>
              </c:extLst>
            </c:dLbl>
            <c:dLbl>
              <c:idx val="4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2A9-4B29-AE36-F9B851BE0BAC}"/>
                </c:ext>
              </c:extLst>
            </c:dLbl>
            <c:dLbl>
              <c:idx val="4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9DB-489C-83AC-580969D56090}"/>
                </c:ext>
              </c:extLst>
            </c:dLbl>
            <c:dLbl>
              <c:idx val="4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9DB-489C-83AC-580969D56090}"/>
                </c:ext>
              </c:extLst>
            </c:dLbl>
            <c:dLbl>
              <c:idx val="4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BC71-49A5-8EA9-103B6F3362FF}"/>
                </c:ext>
              </c:extLst>
            </c:dLbl>
            <c:numFmt formatCode="[$$-C09]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rgbClr val="FF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'Ma trận HDPE Ép'!$AY$5:$GT$5</c:f>
              <c:strCache>
                <c:ptCount val="51"/>
                <c:pt idx="0">
                  <c:v> 01 </c:v>
                </c:pt>
                <c:pt idx="1">
                  <c:v> 02 </c:v>
                </c:pt>
                <c:pt idx="2">
                  <c:v> 03 </c:v>
                </c:pt>
                <c:pt idx="3">
                  <c:v> 04 </c:v>
                </c:pt>
                <c:pt idx="4">
                  <c:v> 06 </c:v>
                </c:pt>
                <c:pt idx="5">
                  <c:v> 07 </c:v>
                </c:pt>
                <c:pt idx="6">
                  <c:v> 08 </c:v>
                </c:pt>
                <c:pt idx="7">
                  <c:v> 09 </c:v>
                </c:pt>
                <c:pt idx="8">
                  <c:v> 10 </c:v>
                </c:pt>
                <c:pt idx="9">
                  <c:v> 11 </c:v>
                </c:pt>
                <c:pt idx="10">
                  <c:v> 12 </c:v>
                </c:pt>
                <c:pt idx="11">
                  <c:v> 13 </c:v>
                </c:pt>
                <c:pt idx="12">
                  <c:v> 14 </c:v>
                </c:pt>
                <c:pt idx="13">
                  <c:v> 15 </c:v>
                </c:pt>
                <c:pt idx="14">
                  <c:v> 16 </c:v>
                </c:pt>
                <c:pt idx="15">
                  <c:v> 17 </c:v>
                </c:pt>
                <c:pt idx="16">
                  <c:v> 18 </c:v>
                </c:pt>
                <c:pt idx="17">
                  <c:v> 19 </c:v>
                </c:pt>
                <c:pt idx="18">
                  <c:v> 20 </c:v>
                </c:pt>
                <c:pt idx="19">
                  <c:v> 21 </c:v>
                </c:pt>
                <c:pt idx="20">
                  <c:v> 22 </c:v>
                </c:pt>
                <c:pt idx="21">
                  <c:v> 23 </c:v>
                </c:pt>
                <c:pt idx="22">
                  <c:v> 24 </c:v>
                </c:pt>
                <c:pt idx="23">
                  <c:v> 25 </c:v>
                </c:pt>
                <c:pt idx="24">
                  <c:v> 26 </c:v>
                </c:pt>
                <c:pt idx="25">
                  <c:v> 27 </c:v>
                </c:pt>
                <c:pt idx="26">
                  <c:v> 28 </c:v>
                </c:pt>
                <c:pt idx="27">
                  <c:v> 29 </c:v>
                </c:pt>
                <c:pt idx="28">
                  <c:v> 30 </c:v>
                </c:pt>
                <c:pt idx="29">
                  <c:v> 31 </c:v>
                </c:pt>
                <c:pt idx="30">
                  <c:v> 32 </c:v>
                </c:pt>
                <c:pt idx="31">
                  <c:v> 33 </c:v>
                </c:pt>
                <c:pt idx="32">
                  <c:v> 34 </c:v>
                </c:pt>
                <c:pt idx="33">
                  <c:v> 35 </c:v>
                </c:pt>
                <c:pt idx="34">
                  <c:v> 36 </c:v>
                </c:pt>
                <c:pt idx="35">
                  <c:v> 37 </c:v>
                </c:pt>
                <c:pt idx="36">
                  <c:v> 38 </c:v>
                </c:pt>
                <c:pt idx="37">
                  <c:v> 39 </c:v>
                </c:pt>
                <c:pt idx="38">
                  <c:v> 40 </c:v>
                </c:pt>
                <c:pt idx="39">
                  <c:v> 41 </c:v>
                </c:pt>
                <c:pt idx="40">
                  <c:v> 42 </c:v>
                </c:pt>
                <c:pt idx="41">
                  <c:v> 43 </c:v>
                </c:pt>
                <c:pt idx="42">
                  <c:v> 44 </c:v>
                </c:pt>
                <c:pt idx="43">
                  <c:v> 45 </c:v>
                </c:pt>
                <c:pt idx="44">
                  <c:v> 46 </c:v>
                </c:pt>
                <c:pt idx="45">
                  <c:v> 47 </c:v>
                </c:pt>
                <c:pt idx="46">
                  <c:v> 48 </c:v>
                </c:pt>
                <c:pt idx="47">
                  <c:v> 49 </c:v>
                </c:pt>
                <c:pt idx="48">
                  <c:v> 50 </c:v>
                </c:pt>
                <c:pt idx="49">
                  <c:v> 51 </c:v>
                </c:pt>
                <c:pt idx="50">
                  <c:v> 52 </c:v>
                </c:pt>
              </c:strCache>
            </c:strRef>
          </c:cat>
          <c:val>
            <c:numRef>
              <c:f>'Ma trận HDPE Ép'!$AX$17:$GT$17</c:f>
              <c:numCache>
                <c:formatCode>0</c:formatCode>
                <c:ptCount val="51"/>
                <c:pt idx="0">
                  <c:v>892.9656675146</c:v>
                </c:pt>
                <c:pt idx="1">
                  <c:v>892.9656675146</c:v>
                </c:pt>
                <c:pt idx="2">
                  <c:v>892.9656675146</c:v>
                </c:pt>
                <c:pt idx="3">
                  <c:v>892.9656675146</c:v>
                </c:pt>
                <c:pt idx="4">
                  <c:v>888.18378633668294</c:v>
                </c:pt>
                <c:pt idx="5">
                  <c:v>888.18378633668294</c:v>
                </c:pt>
                <c:pt idx="6">
                  <c:v>888.18378633668294</c:v>
                </c:pt>
                <c:pt idx="7">
                  <c:v>888.18378633668294</c:v>
                </c:pt>
                <c:pt idx="8">
                  <c:v>888.72553118965845</c:v>
                </c:pt>
                <c:pt idx="9">
                  <c:v>888.72553118965845</c:v>
                </c:pt>
                <c:pt idx="10">
                  <c:v>888.72553118965845</c:v>
                </c:pt>
                <c:pt idx="11">
                  <c:v>888.72553118965845</c:v>
                </c:pt>
                <c:pt idx="12">
                  <c:v>907.07292397839512</c:v>
                </c:pt>
                <c:pt idx="13">
                  <c:v>907.07292397839512</c:v>
                </c:pt>
                <c:pt idx="14">
                  <c:v>907.07292397839512</c:v>
                </c:pt>
                <c:pt idx="15">
                  <c:v>907.07292397839512</c:v>
                </c:pt>
                <c:pt idx="16">
                  <c:v>882.40131799312564</c:v>
                </c:pt>
                <c:pt idx="17">
                  <c:v>882.40131799312564</c:v>
                </c:pt>
                <c:pt idx="18">
                  <c:v>882.40131799312564</c:v>
                </c:pt>
                <c:pt idx="19">
                  <c:v>882.40131799312564</c:v>
                </c:pt>
                <c:pt idx="20">
                  <c:v>882.40131799312564</c:v>
                </c:pt>
                <c:pt idx="21">
                  <c:v>879.34169259731004</c:v>
                </c:pt>
                <c:pt idx="22">
                  <c:v>879.34169259731004</c:v>
                </c:pt>
                <c:pt idx="23">
                  <c:v>879.34169259731004</c:v>
                </c:pt>
                <c:pt idx="24">
                  <c:v>879.34169259731004</c:v>
                </c:pt>
                <c:pt idx="25" formatCode="_(* #,##0_);_(* \(#,##0\);_(* &quot;-&quot;??_);_(@_)">
                  <c:v>869.51494640636486</c:v>
                </c:pt>
                <c:pt idx="26" formatCode="_(* #,##0_);_(* \(#,##0\);_(* &quot;-&quot;??_);_(@_)">
                  <c:v>869.51494640636486</c:v>
                </c:pt>
                <c:pt idx="27" formatCode="_(* #,##0_);_(* \(#,##0\);_(* &quot;-&quot;??_);_(@_)">
                  <c:v>869.51494640636486</c:v>
                </c:pt>
                <c:pt idx="28" formatCode="_(* #,##0_);_(* \(#,##0\);_(* &quot;-&quot;??_);_(@_)">
                  <c:v>869.51494640636486</c:v>
                </c:pt>
                <c:pt idx="29" formatCode="_(* #,##0_);_(* \(#,##0\);_(* &quot;-&quot;??_);_(@_)">
                  <c:v>869.51494640636486</c:v>
                </c:pt>
                <c:pt idx="30" formatCode="_(* #,##0_);_(* \(#,##0\);_(* &quot;-&quot;??_);_(@_)">
                  <c:v>858.88795414284152</c:v>
                </c:pt>
                <c:pt idx="31" formatCode="_(* #,##0_);_(* \(#,##0\);_(* &quot;-&quot;??_);_(@_)">
                  <c:v>858.88795414284152</c:v>
                </c:pt>
                <c:pt idx="32" formatCode="_(* #,##0_);_(* \(#,##0\);_(* &quot;-&quot;??_);_(@_)">
                  <c:v>858.88795414284152</c:v>
                </c:pt>
                <c:pt idx="33" formatCode="_(* #,##0_);_(* \(#,##0\);_(* &quot;-&quot;??_);_(@_)">
                  <c:v>858.88795414284152</c:v>
                </c:pt>
                <c:pt idx="34" formatCode="_(* #,##0_);_(* \(#,##0\);_(* &quot;-&quot;??_);_(@_)">
                  <c:v>871.88030785226169</c:v>
                </c:pt>
                <c:pt idx="35" formatCode="_(* #,##0_);_(* \(#,##0\);_(* &quot;-&quot;??_);_(@_)">
                  <c:v>871.88030785226169</c:v>
                </c:pt>
                <c:pt idx="36" formatCode="_(* #,##0_);_(* \(#,##0\);_(* &quot;-&quot;??_);_(@_)">
                  <c:v>871.88030785226169</c:v>
                </c:pt>
                <c:pt idx="37" formatCode="_(* #,##0_);_(* \(#,##0\);_(* &quot;-&quot;??_);_(@_)">
                  <c:v>871.88030785226169</c:v>
                </c:pt>
                <c:pt idx="38" formatCode="_(* #,##0_);_(* \(#,##0\);_(* &quot;-&quot;??_);_(@_)">
                  <c:v>720.35177011385679</c:v>
                </c:pt>
                <c:pt idx="39" formatCode="_(* #,##0_);_(* \(#,##0\);_(* &quot;-&quot;??_);_(@_)">
                  <c:v>720.35177011385679</c:v>
                </c:pt>
                <c:pt idx="40" formatCode="_(* #,##0_);_(* \(#,##0\);_(* &quot;-&quot;??_);_(@_)">
                  <c:v>720.35177011385679</c:v>
                </c:pt>
                <c:pt idx="41" formatCode="_(* #,##0_);_(* \(#,##0\);_(* &quot;-&quot;??_);_(@_)">
                  <c:v>720.35177011385679</c:v>
                </c:pt>
                <c:pt idx="42" formatCode="_(* #,##0_);_(* \(#,##0\);_(* &quot;-&quot;??_);_(@_)">
                  <c:v>720.35177011385679</c:v>
                </c:pt>
                <c:pt idx="43" formatCode="_(* #,##0_);_(* \(#,##0\);_(* &quot;-&quot;??_);_(@_)">
                  <c:v>720.52419756540337</c:v>
                </c:pt>
                <c:pt idx="44" formatCode="_(* #,##0_);_(* \(#,##0\);_(* &quot;-&quot;??_);_(@_)">
                  <c:v>720.52419756540337</c:v>
                </c:pt>
                <c:pt idx="45" formatCode="_(* #,##0_);_(* \(#,##0\);_(* &quot;-&quot;??_);_(@_)">
                  <c:v>720.52419756540337</c:v>
                </c:pt>
                <c:pt idx="46" formatCode="_(* #,##0_);_(* \(#,##0\);_(* &quot;-&quot;??_);_(@_)">
                  <c:v>720.52419756540337</c:v>
                </c:pt>
                <c:pt idx="47" formatCode="_(* #,##0_);_(* \(#,##0\);_(* &quot;-&quot;??_);_(@_)">
                  <c:v>733.774414718137</c:v>
                </c:pt>
                <c:pt idx="48" formatCode="_(* #,##0_);_(* \(#,##0\);_(* &quot;-&quot;??_);_(@_)">
                  <c:v>733.774414718137</c:v>
                </c:pt>
                <c:pt idx="49" formatCode="_(* #,##0_);_(* \(#,##0\);_(* &quot;-&quot;??_);_(@_)">
                  <c:v>733.774414718137</c:v>
                </c:pt>
                <c:pt idx="50" formatCode="_(* #,##0_);_(* \(#,##0\);_(* &quot;-&quot;??_);_(@_)">
                  <c:v>733.774414718137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9-39D5-4F5D-973E-FA172BDB65A9}"/>
            </c:ext>
          </c:extLst>
        </c:ser>
        <c:ser>
          <c:idx val="10"/>
          <c:order val="10"/>
          <c:tx>
            <c:strRef>
              <c:f>'Ma trận HDPE Ép'!$AW$18</c:f>
              <c:strCache>
                <c:ptCount val="1"/>
                <c:pt idx="0">
                  <c:v>Điểm hòa vốn sử dụng 100% Olefin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rgbClr val="2CD8D4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'Ma trận HDPE Ép'!$AY$5:$GT$5</c:f>
              <c:strCache>
                <c:ptCount val="51"/>
                <c:pt idx="0">
                  <c:v> 01 </c:v>
                </c:pt>
                <c:pt idx="1">
                  <c:v> 02 </c:v>
                </c:pt>
                <c:pt idx="2">
                  <c:v> 03 </c:v>
                </c:pt>
                <c:pt idx="3">
                  <c:v> 04 </c:v>
                </c:pt>
                <c:pt idx="4">
                  <c:v> 06 </c:v>
                </c:pt>
                <c:pt idx="5">
                  <c:v> 07 </c:v>
                </c:pt>
                <c:pt idx="6">
                  <c:v> 08 </c:v>
                </c:pt>
                <c:pt idx="7">
                  <c:v> 09 </c:v>
                </c:pt>
                <c:pt idx="8">
                  <c:v> 10 </c:v>
                </c:pt>
                <c:pt idx="9">
                  <c:v> 11 </c:v>
                </c:pt>
                <c:pt idx="10">
                  <c:v> 12 </c:v>
                </c:pt>
                <c:pt idx="11">
                  <c:v> 13 </c:v>
                </c:pt>
                <c:pt idx="12">
                  <c:v> 14 </c:v>
                </c:pt>
                <c:pt idx="13">
                  <c:v> 15 </c:v>
                </c:pt>
                <c:pt idx="14">
                  <c:v> 16 </c:v>
                </c:pt>
                <c:pt idx="15">
                  <c:v> 17 </c:v>
                </c:pt>
                <c:pt idx="16">
                  <c:v> 18 </c:v>
                </c:pt>
                <c:pt idx="17">
                  <c:v> 19 </c:v>
                </c:pt>
                <c:pt idx="18">
                  <c:v> 20 </c:v>
                </c:pt>
                <c:pt idx="19">
                  <c:v> 21 </c:v>
                </c:pt>
                <c:pt idx="20">
                  <c:v> 22 </c:v>
                </c:pt>
                <c:pt idx="21">
                  <c:v> 23 </c:v>
                </c:pt>
                <c:pt idx="22">
                  <c:v> 24 </c:v>
                </c:pt>
                <c:pt idx="23">
                  <c:v> 25 </c:v>
                </c:pt>
                <c:pt idx="24">
                  <c:v> 26 </c:v>
                </c:pt>
                <c:pt idx="25">
                  <c:v> 27 </c:v>
                </c:pt>
                <c:pt idx="26">
                  <c:v> 28 </c:v>
                </c:pt>
                <c:pt idx="27">
                  <c:v> 29 </c:v>
                </c:pt>
                <c:pt idx="28">
                  <c:v> 30 </c:v>
                </c:pt>
                <c:pt idx="29">
                  <c:v> 31 </c:v>
                </c:pt>
                <c:pt idx="30">
                  <c:v> 32 </c:v>
                </c:pt>
                <c:pt idx="31">
                  <c:v> 33 </c:v>
                </c:pt>
                <c:pt idx="32">
                  <c:v> 34 </c:v>
                </c:pt>
                <c:pt idx="33">
                  <c:v> 35 </c:v>
                </c:pt>
                <c:pt idx="34">
                  <c:v> 36 </c:v>
                </c:pt>
                <c:pt idx="35">
                  <c:v> 37 </c:v>
                </c:pt>
                <c:pt idx="36">
                  <c:v> 38 </c:v>
                </c:pt>
                <c:pt idx="37">
                  <c:v> 39 </c:v>
                </c:pt>
                <c:pt idx="38">
                  <c:v> 40 </c:v>
                </c:pt>
                <c:pt idx="39">
                  <c:v> 41 </c:v>
                </c:pt>
                <c:pt idx="40">
                  <c:v> 42 </c:v>
                </c:pt>
                <c:pt idx="41">
                  <c:v> 43 </c:v>
                </c:pt>
                <c:pt idx="42">
                  <c:v> 44 </c:v>
                </c:pt>
                <c:pt idx="43">
                  <c:v> 45 </c:v>
                </c:pt>
                <c:pt idx="44">
                  <c:v> 46 </c:v>
                </c:pt>
                <c:pt idx="45">
                  <c:v> 47 </c:v>
                </c:pt>
                <c:pt idx="46">
                  <c:v> 48 </c:v>
                </c:pt>
                <c:pt idx="47">
                  <c:v> 49 </c:v>
                </c:pt>
                <c:pt idx="48">
                  <c:v> 50 </c:v>
                </c:pt>
                <c:pt idx="49">
                  <c:v> 51 </c:v>
                </c:pt>
                <c:pt idx="50">
                  <c:v> 52 </c:v>
                </c:pt>
              </c:strCache>
            </c:strRef>
          </c:cat>
          <c:val>
            <c:numRef>
              <c:f>'Ma trận HDPE Ép'!$AY$18:$CC$18</c:f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2271-4692-B834-071E13C2BBC1}"/>
            </c:ext>
          </c:extLst>
        </c:ser>
        <c:ser>
          <c:idx val="11"/>
          <c:order val="11"/>
          <c:tx>
            <c:strRef>
              <c:f>'Ma trận HDPE Ép'!$AW$19</c:f>
              <c:strCache>
                <c:ptCount val="1"/>
                <c:pt idx="0">
                  <c:v>Giá bán vảy</c:v>
                </c:pt>
              </c:strCache>
            </c:strRef>
          </c:tx>
          <c:spPr>
            <a:ln w="50800" cap="rnd">
              <a:solidFill>
                <a:srgbClr val="0000FF"/>
              </a:solidFill>
              <a:round/>
            </a:ln>
            <a:effectLst/>
          </c:spPr>
          <c:marker>
            <c:symbol val="none"/>
          </c:marke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00C0-403E-9B1A-2015055EE0B7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00C0-403E-9B1A-2015055EE0B7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C9DB-489C-83AC-580969D56090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00C0-403E-9B1A-2015055EE0B7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00C0-403E-9B1A-2015055EE0B7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00C0-403E-9B1A-2015055EE0B7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00C0-403E-9B1A-2015055EE0B7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00C0-403E-9B1A-2015055EE0B7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00C0-403E-9B1A-2015055EE0B7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8430-49F6-BB5E-90B51E14B1B8}"/>
                </c:ext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430-49F6-BB5E-90B51E14B1B8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BC71-49A5-8EA9-103B6F3362FF}"/>
                </c:ext>
              </c:extLst>
            </c:dLbl>
            <c:dLbl>
              <c:idx val="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C9DB-489C-83AC-580969D56090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8430-49F6-BB5E-90B51E14B1B8}"/>
                </c:ext>
              </c:extLst>
            </c:dLbl>
            <c:dLbl>
              <c:idx val="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430-49F6-BB5E-90B51E14B1B8}"/>
                </c:ext>
              </c:extLst>
            </c:dLbl>
            <c:dLbl>
              <c:idx val="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D4D5-44B4-9869-6D92857489A3}"/>
                </c:ext>
              </c:extLst>
            </c:dLbl>
            <c:dLbl>
              <c:idx val="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4D5-44B4-9869-6D92857489A3}"/>
                </c:ext>
              </c:extLst>
            </c:dLbl>
            <c:dLbl>
              <c:idx val="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C9DB-489C-83AC-580969D56090}"/>
                </c:ext>
              </c:extLst>
            </c:dLbl>
            <c:dLbl>
              <c:idx val="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010-4FC2-B6E5-8A1048E86184}"/>
                </c:ext>
              </c:extLst>
            </c:dLbl>
            <c:dLbl>
              <c:idx val="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05CD-422E-AC17-C840424D5B71}"/>
                </c:ext>
              </c:extLst>
            </c:dLbl>
            <c:dLbl>
              <c:idx val="2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2955-4500-9FB5-BEC9D36AD993}"/>
                </c:ext>
              </c:extLst>
            </c:dLbl>
            <c:dLbl>
              <c:idx val="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5DB-4BFA-A2FD-00C5F2CFA425}"/>
                </c:ext>
              </c:extLst>
            </c:dLbl>
            <c:dLbl>
              <c:idx val="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BC71-49A5-8EA9-103B6F3362FF}"/>
                </c:ext>
              </c:extLst>
            </c:dLbl>
            <c:dLbl>
              <c:idx val="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2B5-4D9A-818C-9E4EA0E8717D}"/>
                </c:ext>
              </c:extLst>
            </c:dLbl>
            <c:dLbl>
              <c:idx val="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A306-4230-ACFC-DE9429B9976F}"/>
                </c:ext>
              </c:extLst>
            </c:dLbl>
            <c:dLbl>
              <c:idx val="3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A306-4230-ACFC-DE9429B9976F}"/>
                </c:ext>
              </c:extLst>
            </c:dLbl>
            <c:dLbl>
              <c:idx val="3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B51-4FBA-AC80-386E6D55A134}"/>
                </c:ext>
              </c:extLst>
            </c:dLbl>
            <c:dLbl>
              <c:idx val="3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C9DB-489C-83AC-580969D56090}"/>
                </c:ext>
              </c:extLst>
            </c:dLbl>
            <c:dLbl>
              <c:idx val="3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1F27-413F-B9D9-77FC979C7140}"/>
                </c:ext>
              </c:extLst>
            </c:dLbl>
            <c:dLbl>
              <c:idx val="3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73D-45C7-8075-251F9BF85263}"/>
                </c:ext>
              </c:extLst>
            </c:dLbl>
            <c:dLbl>
              <c:idx val="3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C9DB-489C-83AC-580969D56090}"/>
                </c:ext>
              </c:extLst>
            </c:dLbl>
            <c:dLbl>
              <c:idx val="4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958-4120-9E8D-B8D60CA639A3}"/>
                </c:ext>
              </c:extLst>
            </c:dLbl>
            <c:dLbl>
              <c:idx val="4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7CD-4E0E-B6D4-FCED646D9D38}"/>
                </c:ext>
              </c:extLst>
            </c:dLbl>
            <c:dLbl>
              <c:idx val="4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44A-46F9-8DB2-EA619B4C66C3}"/>
                </c:ext>
              </c:extLst>
            </c:dLbl>
            <c:dLbl>
              <c:idx val="4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2A9-4B29-AE36-F9B851BE0BAC}"/>
                </c:ext>
              </c:extLst>
            </c:dLbl>
            <c:dLbl>
              <c:idx val="4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C9DB-489C-83AC-580969D56090}"/>
                </c:ext>
              </c:extLst>
            </c:dLbl>
            <c:dLbl>
              <c:idx val="4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BC71-49A5-8EA9-103B6F3362FF}"/>
                </c:ext>
              </c:extLst>
            </c:dLbl>
            <c:dLbl>
              <c:idx val="4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BC71-49A5-8EA9-103B6F3362FF}"/>
                </c:ext>
              </c:extLst>
            </c:dLbl>
            <c:numFmt formatCode="[$$-C09]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rgbClr val="0000FF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'Ma trận HDPE Ép'!$AY$5:$GT$5</c:f>
              <c:strCache>
                <c:ptCount val="51"/>
                <c:pt idx="0">
                  <c:v> 01 </c:v>
                </c:pt>
                <c:pt idx="1">
                  <c:v> 02 </c:v>
                </c:pt>
                <c:pt idx="2">
                  <c:v> 03 </c:v>
                </c:pt>
                <c:pt idx="3">
                  <c:v> 04 </c:v>
                </c:pt>
                <c:pt idx="4">
                  <c:v> 06 </c:v>
                </c:pt>
                <c:pt idx="5">
                  <c:v> 07 </c:v>
                </c:pt>
                <c:pt idx="6">
                  <c:v> 08 </c:v>
                </c:pt>
                <c:pt idx="7">
                  <c:v> 09 </c:v>
                </c:pt>
                <c:pt idx="8">
                  <c:v> 10 </c:v>
                </c:pt>
                <c:pt idx="9">
                  <c:v> 11 </c:v>
                </c:pt>
                <c:pt idx="10">
                  <c:v> 12 </c:v>
                </c:pt>
                <c:pt idx="11">
                  <c:v> 13 </c:v>
                </c:pt>
                <c:pt idx="12">
                  <c:v> 14 </c:v>
                </c:pt>
                <c:pt idx="13">
                  <c:v> 15 </c:v>
                </c:pt>
                <c:pt idx="14">
                  <c:v> 16 </c:v>
                </c:pt>
                <c:pt idx="15">
                  <c:v> 17 </c:v>
                </c:pt>
                <c:pt idx="16">
                  <c:v> 18 </c:v>
                </c:pt>
                <c:pt idx="17">
                  <c:v> 19 </c:v>
                </c:pt>
                <c:pt idx="18">
                  <c:v> 20 </c:v>
                </c:pt>
                <c:pt idx="19">
                  <c:v> 21 </c:v>
                </c:pt>
                <c:pt idx="20">
                  <c:v> 22 </c:v>
                </c:pt>
                <c:pt idx="21">
                  <c:v> 23 </c:v>
                </c:pt>
                <c:pt idx="22">
                  <c:v> 24 </c:v>
                </c:pt>
                <c:pt idx="23">
                  <c:v> 25 </c:v>
                </c:pt>
                <c:pt idx="24">
                  <c:v> 26 </c:v>
                </c:pt>
                <c:pt idx="25">
                  <c:v> 27 </c:v>
                </c:pt>
                <c:pt idx="26">
                  <c:v> 28 </c:v>
                </c:pt>
                <c:pt idx="27">
                  <c:v> 29 </c:v>
                </c:pt>
                <c:pt idx="28">
                  <c:v> 30 </c:v>
                </c:pt>
                <c:pt idx="29">
                  <c:v> 31 </c:v>
                </c:pt>
                <c:pt idx="30">
                  <c:v> 32 </c:v>
                </c:pt>
                <c:pt idx="31">
                  <c:v> 33 </c:v>
                </c:pt>
                <c:pt idx="32">
                  <c:v> 34 </c:v>
                </c:pt>
                <c:pt idx="33">
                  <c:v> 35 </c:v>
                </c:pt>
                <c:pt idx="34">
                  <c:v> 36 </c:v>
                </c:pt>
                <c:pt idx="35">
                  <c:v> 37 </c:v>
                </c:pt>
                <c:pt idx="36">
                  <c:v> 38 </c:v>
                </c:pt>
                <c:pt idx="37">
                  <c:v> 39 </c:v>
                </c:pt>
                <c:pt idx="38">
                  <c:v> 40 </c:v>
                </c:pt>
                <c:pt idx="39">
                  <c:v> 41 </c:v>
                </c:pt>
                <c:pt idx="40">
                  <c:v> 42 </c:v>
                </c:pt>
                <c:pt idx="41">
                  <c:v> 43 </c:v>
                </c:pt>
                <c:pt idx="42">
                  <c:v> 44 </c:v>
                </c:pt>
                <c:pt idx="43">
                  <c:v> 45 </c:v>
                </c:pt>
                <c:pt idx="44">
                  <c:v> 46 </c:v>
                </c:pt>
                <c:pt idx="45">
                  <c:v> 47 </c:v>
                </c:pt>
                <c:pt idx="46">
                  <c:v> 48 </c:v>
                </c:pt>
                <c:pt idx="47">
                  <c:v> 49 </c:v>
                </c:pt>
                <c:pt idx="48">
                  <c:v> 50 </c:v>
                </c:pt>
                <c:pt idx="49">
                  <c:v> 51 </c:v>
                </c:pt>
                <c:pt idx="50">
                  <c:v> 52 </c:v>
                </c:pt>
              </c:strCache>
            </c:strRef>
          </c:cat>
          <c:val>
            <c:numRef>
              <c:f>'Ma trận HDPE Ép'!$AY$19:$GT$19</c:f>
              <c:numCache>
                <c:formatCode>General</c:formatCode>
                <c:ptCount val="51"/>
                <c:pt idx="0">
                  <c:v>825</c:v>
                </c:pt>
                <c:pt idx="1">
                  <c:v>825</c:v>
                </c:pt>
                <c:pt idx="2">
                  <c:v>825</c:v>
                </c:pt>
                <c:pt idx="3">
                  <c:v>825</c:v>
                </c:pt>
                <c:pt idx="4">
                  <c:v>750</c:v>
                </c:pt>
                <c:pt idx="5">
                  <c:v>750</c:v>
                </c:pt>
                <c:pt idx="6">
                  <c:v>750</c:v>
                </c:pt>
                <c:pt idx="7">
                  <c:v>750</c:v>
                </c:pt>
                <c:pt idx="8">
                  <c:v>750</c:v>
                </c:pt>
                <c:pt idx="9">
                  <c:v>750</c:v>
                </c:pt>
                <c:pt idx="10">
                  <c:v>750</c:v>
                </c:pt>
                <c:pt idx="11">
                  <c:v>750</c:v>
                </c:pt>
                <c:pt idx="12">
                  <c:v>750</c:v>
                </c:pt>
                <c:pt idx="13">
                  <c:v>750</c:v>
                </c:pt>
                <c:pt idx="14">
                  <c:v>750</c:v>
                </c:pt>
                <c:pt idx="15">
                  <c:v>750</c:v>
                </c:pt>
                <c:pt idx="16">
                  <c:v>720</c:v>
                </c:pt>
                <c:pt idx="17">
                  <c:v>720</c:v>
                </c:pt>
                <c:pt idx="18">
                  <c:v>720</c:v>
                </c:pt>
                <c:pt idx="19">
                  <c:v>720</c:v>
                </c:pt>
                <c:pt idx="20">
                  <c:v>720</c:v>
                </c:pt>
                <c:pt idx="21">
                  <c:v>720</c:v>
                </c:pt>
                <c:pt idx="22">
                  <c:v>720</c:v>
                </c:pt>
                <c:pt idx="23">
                  <c:v>720</c:v>
                </c:pt>
                <c:pt idx="24">
                  <c:v>720</c:v>
                </c:pt>
                <c:pt idx="25">
                  <c:v>720</c:v>
                </c:pt>
                <c:pt idx="26">
                  <c:v>720</c:v>
                </c:pt>
                <c:pt idx="27">
                  <c:v>720</c:v>
                </c:pt>
                <c:pt idx="28">
                  <c:v>720</c:v>
                </c:pt>
                <c:pt idx="29">
                  <c:v>720</c:v>
                </c:pt>
                <c:pt idx="30">
                  <c:v>700</c:v>
                </c:pt>
                <c:pt idx="31">
                  <c:v>700</c:v>
                </c:pt>
                <c:pt idx="32">
                  <c:v>700</c:v>
                </c:pt>
                <c:pt idx="33">
                  <c:v>700</c:v>
                </c:pt>
                <c:pt idx="34">
                  <c:v>700</c:v>
                </c:pt>
                <c:pt idx="35">
                  <c:v>700</c:v>
                </c:pt>
                <c:pt idx="36">
                  <c:v>700</c:v>
                </c:pt>
                <c:pt idx="37">
                  <c:v>700</c:v>
                </c:pt>
                <c:pt idx="38">
                  <c:v>700</c:v>
                </c:pt>
                <c:pt idx="39">
                  <c:v>700</c:v>
                </c:pt>
                <c:pt idx="40">
                  <c:v>700</c:v>
                </c:pt>
                <c:pt idx="41">
                  <c:v>700</c:v>
                </c:pt>
                <c:pt idx="42">
                  <c:v>700</c:v>
                </c:pt>
                <c:pt idx="43">
                  <c:v>690</c:v>
                </c:pt>
                <c:pt idx="44">
                  <c:v>690</c:v>
                </c:pt>
                <c:pt idx="45">
                  <c:v>690</c:v>
                </c:pt>
                <c:pt idx="46">
                  <c:v>690</c:v>
                </c:pt>
                <c:pt idx="47">
                  <c:v>665</c:v>
                </c:pt>
                <c:pt idx="48">
                  <c:v>665</c:v>
                </c:pt>
                <c:pt idx="49">
                  <c:v>665</c:v>
                </c:pt>
                <c:pt idx="50">
                  <c:v>665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0C9-4310-850D-373DF4358C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12700" cap="flat" cmpd="sng" algn="ctr">
              <a:solidFill>
                <a:schemeClr val="bg2"/>
              </a:solidFill>
              <a:round/>
            </a:ln>
            <a:effectLst/>
          </c:spPr>
        </c:dropLines>
        <c:marker val="1"/>
        <c:smooth val="0"/>
        <c:axId val="964741855"/>
        <c:axId val="964739455"/>
        <c:extLst/>
      </c:lineChart>
      <c:catAx>
        <c:axId val="9647418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964739455"/>
        <c:crosses val="autoZero"/>
        <c:auto val="1"/>
        <c:lblAlgn val="ctr"/>
        <c:lblOffset val="100"/>
        <c:noMultiLvlLbl val="0"/>
      </c:catAx>
      <c:valAx>
        <c:axId val="964739455"/>
        <c:scaling>
          <c:orientation val="minMax"/>
          <c:min val="600"/>
        </c:scaling>
        <c:delete val="0"/>
        <c:axPos val="l"/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9647418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accent6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rgbClr val="FF3399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legendEntry>
      <c:legendEntry>
        <c:idx val="2"/>
        <c:txPr>
          <a:bodyPr rot="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rgbClr val="00B05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legendEntry>
      <c:legendEntry>
        <c:idx val="3"/>
        <c:txPr>
          <a:bodyPr rot="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rgbClr val="FF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legendEntry>
      <c:legendEntry>
        <c:idx val="4"/>
        <c:txPr>
          <a:bodyPr rot="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rgbClr val="0000FF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legendEntry>
      <c:layout>
        <c:manualLayout>
          <c:xMode val="edge"/>
          <c:yMode val="edge"/>
          <c:x val="0.86877903079755026"/>
          <c:y val="0.19904013457906933"/>
          <c:w val="0.1312209692024498"/>
          <c:h val="0.6869020635722035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0" baseline="0">
                <a:solidFill>
                  <a:srgbClr val="0000FF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2400" b="1" baseline="0">
                <a:solidFill>
                  <a:srgbClr val="0000FF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GIÁ HẠT NHỰA </a:t>
            </a:r>
            <a:r>
              <a:rPr lang="en-US" sz="24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rPP</a:t>
            </a:r>
            <a:r>
              <a:rPr lang="en-US" sz="2400" b="1" baseline="0">
                <a:solidFill>
                  <a:srgbClr val="0000FF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NĂM 2024 &amp;2025 (USD/tấn)</a:t>
            </a:r>
            <a:endParaRPr lang="en-US" sz="2400" b="1">
              <a:solidFill>
                <a:srgbClr val="0000FF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layout>
        <c:manualLayout>
          <c:xMode val="edge"/>
          <c:yMode val="edge"/>
          <c:x val="0.26436956978705933"/>
          <c:y val="9.2538213910460902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0" baseline="0">
              <a:solidFill>
                <a:srgbClr val="0000FF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6050105390282987E-2"/>
          <c:y val="0.12379200207629547"/>
          <c:w val="0.82500047697884893"/>
          <c:h val="0.73413685175126897"/>
        </c:manualLayout>
      </c:layout>
      <c:areaChart>
        <c:grouping val="stacked"/>
        <c:varyColors val="0"/>
        <c:ser>
          <c:idx val="0"/>
          <c:order val="6"/>
          <c:tx>
            <c:strRef>
              <c:f>'Ma trận giá bán rPP'!$H$14</c:f>
              <c:strCache>
                <c:ptCount val="1"/>
                <c:pt idx="0">
                  <c:v>TTCP</c:v>
                </c:pt>
              </c:strCache>
            </c:strRef>
          </c:tx>
          <c:spPr>
            <a:noFill/>
            <a:ln>
              <a:noFill/>
            </a:ln>
            <a:effectLst/>
          </c:spPr>
          <c:val>
            <c:numRef>
              <c:f>'Ma trận giá bán rPP'!$I$14:$AS$14</c:f>
              <c:numCache>
                <c:formatCode>_(* #,##0_);_(* \(#,##0\);_(* "-"??_);_(@_)</c:formatCode>
                <c:ptCount val="25"/>
                <c:pt idx="0">
                  <c:v>962.5</c:v>
                </c:pt>
                <c:pt idx="1">
                  <c:v>986.66666666666663</c:v>
                </c:pt>
                <c:pt idx="2">
                  <c:v>990</c:v>
                </c:pt>
                <c:pt idx="3">
                  <c:v>992.5</c:v>
                </c:pt>
                <c:pt idx="4">
                  <c:v>1002</c:v>
                </c:pt>
                <c:pt idx="5">
                  <c:v>1025</c:v>
                </c:pt>
                <c:pt idx="6">
                  <c:v>1020</c:v>
                </c:pt>
                <c:pt idx="7">
                  <c:v>970</c:v>
                </c:pt>
                <c:pt idx="8">
                  <c:v>955</c:v>
                </c:pt>
                <c:pt idx="9">
                  <c:v>956.66666666666663</c:v>
                </c:pt>
                <c:pt idx="10">
                  <c:v>968</c:v>
                </c:pt>
                <c:pt idx="11">
                  <c:v>960</c:v>
                </c:pt>
                <c:pt idx="12">
                  <c:v>970</c:v>
                </c:pt>
                <c:pt idx="13">
                  <c:v>985</c:v>
                </c:pt>
                <c:pt idx="14">
                  <c:v>980</c:v>
                </c:pt>
                <c:pt idx="15">
                  <c:v>965</c:v>
                </c:pt>
                <c:pt idx="16">
                  <c:v>932</c:v>
                </c:pt>
                <c:pt idx="17">
                  <c:v>922.5</c:v>
                </c:pt>
                <c:pt idx="18">
                  <c:v>918</c:v>
                </c:pt>
                <c:pt idx="19">
                  <c:v>895</c:v>
                </c:pt>
                <c:pt idx="20">
                  <c:v>870</c:v>
                </c:pt>
                <c:pt idx="21">
                  <c:v>842</c:v>
                </c:pt>
                <c:pt idx="22">
                  <c:v>827.5</c:v>
                </c:pt>
                <c:pt idx="23">
                  <c:v>820</c:v>
                </c:pt>
                <c:pt idx="24">
                  <c:v>820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E2-444D-A603-3134BB4F080D}"/>
            </c:ext>
          </c:extLst>
        </c:ser>
        <c:ser>
          <c:idx val="3"/>
          <c:order val="7"/>
          <c:tx>
            <c:strRef>
              <c:f>'Ma trận giá bán rPP'!$H$15</c:f>
              <c:strCache>
                <c:ptCount val="1"/>
                <c:pt idx="0">
                  <c:v>CL</c:v>
                </c:pt>
              </c:strCache>
            </c:strRef>
          </c:tx>
          <c:spPr>
            <a:solidFill>
              <a:schemeClr val="accent4">
                <a:lumMod val="20000"/>
                <a:lumOff val="80000"/>
              </a:schemeClr>
            </a:solidFill>
            <a:ln w="25400">
              <a:solidFill>
                <a:schemeClr val="accent4">
                  <a:lumMod val="40000"/>
                  <a:lumOff val="60000"/>
                </a:schemeClr>
              </a:solidFill>
            </a:ln>
            <a:effectLst/>
          </c:spPr>
          <c:val>
            <c:numRef>
              <c:f>'Ma trận giá bán rPP'!$I$15:$AS$15</c:f>
              <c:numCache>
                <c:formatCode>"$"#,##0_);\("$"#,##0\)</c:formatCode>
                <c:ptCount val="25"/>
                <c:pt idx="0">
                  <c:v>-32.5</c:v>
                </c:pt>
                <c:pt idx="1">
                  <c:v>-56.666666666666629</c:v>
                </c:pt>
                <c:pt idx="2">
                  <c:v>-60</c:v>
                </c:pt>
                <c:pt idx="3">
                  <c:v>-42.5</c:v>
                </c:pt>
                <c:pt idx="4">
                  <c:v>-52</c:v>
                </c:pt>
                <c:pt idx="5">
                  <c:v>-75</c:v>
                </c:pt>
                <c:pt idx="6">
                  <c:v>-70</c:v>
                </c:pt>
                <c:pt idx="7">
                  <c:v>-20</c:v>
                </c:pt>
                <c:pt idx="8">
                  <c:v>-45</c:v>
                </c:pt>
                <c:pt idx="9">
                  <c:v>-56.666666666666629</c:v>
                </c:pt>
                <c:pt idx="10">
                  <c:v>-68</c:v>
                </c:pt>
                <c:pt idx="11">
                  <c:v>-60</c:v>
                </c:pt>
                <c:pt idx="12">
                  <c:v>-70</c:v>
                </c:pt>
                <c:pt idx="13">
                  <c:v>-165</c:v>
                </c:pt>
                <c:pt idx="14">
                  <c:v>-140</c:v>
                </c:pt>
                <c:pt idx="15">
                  <c:v>-130</c:v>
                </c:pt>
                <c:pt idx="16">
                  <c:v>-117</c:v>
                </c:pt>
                <c:pt idx="17">
                  <c:v>-107.5</c:v>
                </c:pt>
                <c:pt idx="18">
                  <c:v>-128.5</c:v>
                </c:pt>
                <c:pt idx="19">
                  <c:v>-125.5</c:v>
                </c:pt>
                <c:pt idx="20">
                  <c:v>-115.5</c:v>
                </c:pt>
                <c:pt idx="21">
                  <c:v>-102</c:v>
                </c:pt>
                <c:pt idx="22">
                  <c:v>-112.5</c:v>
                </c:pt>
                <c:pt idx="23">
                  <c:v>-115</c:v>
                </c:pt>
                <c:pt idx="24">
                  <c:v>-125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8E2-444D-A603-3134BB4F08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17916735"/>
        <c:axId val="1917910079"/>
      </c:areaChart>
      <c:lineChart>
        <c:grouping val="standard"/>
        <c:varyColors val="0"/>
        <c:ser>
          <c:idx val="13"/>
          <c:order val="0"/>
          <c:tx>
            <c:strRef>
              <c:f>'Ma trận giá bán rPP'!$AW$5</c:f>
              <c:strCache>
                <c:ptCount val="1"/>
                <c:pt idx="0">
                  <c:v>Diễn giải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'Ma trận giá bán rPP'!$I$5:$AS$5</c:f>
              <c:strCache>
                <c:ptCount val="25"/>
                <c:pt idx="0">
                  <c:v>T1.24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T1.25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  <c:pt idx="16">
                  <c:v>5</c:v>
                </c:pt>
                <c:pt idx="17">
                  <c:v>6</c:v>
                </c:pt>
                <c:pt idx="18">
                  <c:v>7</c:v>
                </c:pt>
                <c:pt idx="19">
                  <c:v>8</c:v>
                </c:pt>
                <c:pt idx="20">
                  <c:v>9</c:v>
                </c:pt>
                <c:pt idx="21">
                  <c:v>10</c:v>
                </c:pt>
                <c:pt idx="22">
                  <c:v>11</c:v>
                </c:pt>
                <c:pt idx="23">
                  <c:v>12</c:v>
                </c:pt>
                <c:pt idx="24">
                  <c:v>T1.26</c:v>
                </c:pt>
              </c:strCache>
            </c:strRef>
          </c:cat>
          <c:val>
            <c:numRef>
              <c:f>'Ma trận giá bán rPP'!$AX$5:$BJ$5</c:f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42-D8E2-444D-A603-3134BB4F080D}"/>
            </c:ext>
          </c:extLst>
        </c:ser>
        <c:ser>
          <c:idx val="9"/>
          <c:order val="1"/>
          <c:tx>
            <c:strRef>
              <c:f>'Ma trận giá bán rPP'!$AW$6</c:f>
              <c:strCache>
                <c:ptCount val="1"/>
                <c:pt idx="0">
                  <c:v>Vảy PP tuyển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'Ma trận giá bán rPP'!$I$5:$AS$5</c:f>
              <c:strCache>
                <c:ptCount val="25"/>
                <c:pt idx="0">
                  <c:v>T1.24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T1.25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  <c:pt idx="16">
                  <c:v>5</c:v>
                </c:pt>
                <c:pt idx="17">
                  <c:v>6</c:v>
                </c:pt>
                <c:pt idx="18">
                  <c:v>7</c:v>
                </c:pt>
                <c:pt idx="19">
                  <c:v>8</c:v>
                </c:pt>
                <c:pt idx="20">
                  <c:v>9</c:v>
                </c:pt>
                <c:pt idx="21">
                  <c:v>10</c:v>
                </c:pt>
                <c:pt idx="22">
                  <c:v>11</c:v>
                </c:pt>
                <c:pt idx="23">
                  <c:v>12</c:v>
                </c:pt>
                <c:pt idx="24">
                  <c:v>T1.26</c:v>
                </c:pt>
              </c:strCache>
            </c:strRef>
          </c:cat>
          <c:val>
            <c:numRef>
              <c:f>'Ma trận giá bán rPP'!$AX$6:$BJ$6</c:f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43-D8E2-444D-A603-3134BB4F080D}"/>
            </c:ext>
          </c:extLst>
        </c:ser>
        <c:ser>
          <c:idx val="7"/>
          <c:order val="2"/>
          <c:tx>
            <c:strRef>
              <c:f>'Ma trận giá bán rPP'!$AW$7</c:f>
              <c:strCache>
                <c:ptCount val="1"/>
                <c:pt idx="0">
                  <c:v>Vảy PP tuyển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'Ma trận giá bán rPP'!$I$5:$AS$5</c:f>
              <c:strCache>
                <c:ptCount val="25"/>
                <c:pt idx="0">
                  <c:v>T1.24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T1.25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  <c:pt idx="16">
                  <c:v>5</c:v>
                </c:pt>
                <c:pt idx="17">
                  <c:v>6</c:v>
                </c:pt>
                <c:pt idx="18">
                  <c:v>7</c:v>
                </c:pt>
                <c:pt idx="19">
                  <c:v>8</c:v>
                </c:pt>
                <c:pt idx="20">
                  <c:v>9</c:v>
                </c:pt>
                <c:pt idx="21">
                  <c:v>10</c:v>
                </c:pt>
                <c:pt idx="22">
                  <c:v>11</c:v>
                </c:pt>
                <c:pt idx="23">
                  <c:v>12</c:v>
                </c:pt>
                <c:pt idx="24">
                  <c:v>T1.26</c:v>
                </c:pt>
              </c:strCache>
            </c:strRef>
          </c:cat>
          <c:val>
            <c:numRef>
              <c:f>'Ma trận giá bán rPP'!$AX$7:$BJ$7</c:f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44-D8E2-444D-A603-3134BB4F080D}"/>
            </c:ext>
          </c:extLst>
        </c:ser>
        <c:ser>
          <c:idx val="4"/>
          <c:order val="3"/>
          <c:tx>
            <c:strRef>
              <c:f>'Ma trận giá bán rPP'!$AW$8</c:f>
              <c:strCache>
                <c:ptCount val="1"/>
                <c:pt idx="0">
                  <c:v>Vảy PP tuyển mua ngoài - ICIS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'Ma trận giá bán rPP'!$I$5:$AS$5</c:f>
              <c:strCache>
                <c:ptCount val="25"/>
                <c:pt idx="0">
                  <c:v>T1.24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T1.25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  <c:pt idx="16">
                  <c:v>5</c:v>
                </c:pt>
                <c:pt idx="17">
                  <c:v>6</c:v>
                </c:pt>
                <c:pt idx="18">
                  <c:v>7</c:v>
                </c:pt>
                <c:pt idx="19">
                  <c:v>8</c:v>
                </c:pt>
                <c:pt idx="20">
                  <c:v>9</c:v>
                </c:pt>
                <c:pt idx="21">
                  <c:v>10</c:v>
                </c:pt>
                <c:pt idx="22">
                  <c:v>11</c:v>
                </c:pt>
                <c:pt idx="23">
                  <c:v>12</c:v>
                </c:pt>
                <c:pt idx="24">
                  <c:v>T1.26</c:v>
                </c:pt>
              </c:strCache>
            </c:strRef>
          </c:cat>
          <c:val>
            <c:numRef>
              <c:f>'Ma trận giá bán rPP'!$AX$8:$BJ$8</c:f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45-D8E2-444D-A603-3134BB4F080D}"/>
            </c:ext>
          </c:extLst>
        </c:ser>
        <c:ser>
          <c:idx val="1"/>
          <c:order val="4"/>
          <c:tx>
            <c:strRef>
              <c:f>'Ma trận giá bán rPP'!$H$12</c:f>
              <c:strCache>
                <c:ptCount val="1"/>
                <c:pt idx="0">
                  <c:v>Hạt màu (Châu Âu) - ICIS</c:v>
                </c:pt>
              </c:strCache>
            </c:strRef>
          </c:tx>
          <c:spPr>
            <a:ln w="571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5308-44FA-BB27-DD14398C1576}"/>
                </c:ext>
              </c:extLst>
            </c:dLbl>
            <c:dLbl>
              <c:idx val="2"/>
              <c:layout>
                <c:manualLayout>
                  <c:x val="-1.5730745592895737E-2"/>
                  <c:y val="-3.019059228828782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308-44FA-BB27-DD14398C1576}"/>
                </c:ext>
              </c:extLst>
            </c:dLbl>
            <c:numFmt formatCode="[$$-C09]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accent2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'Ma trận giá bán rPP'!$I$5:$AS$5</c:f>
              <c:strCache>
                <c:ptCount val="25"/>
                <c:pt idx="0">
                  <c:v>T1.24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T1.25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  <c:pt idx="16">
                  <c:v>5</c:v>
                </c:pt>
                <c:pt idx="17">
                  <c:v>6</c:v>
                </c:pt>
                <c:pt idx="18">
                  <c:v>7</c:v>
                </c:pt>
                <c:pt idx="19">
                  <c:v>8</c:v>
                </c:pt>
                <c:pt idx="20">
                  <c:v>9</c:v>
                </c:pt>
                <c:pt idx="21">
                  <c:v>10</c:v>
                </c:pt>
                <c:pt idx="22">
                  <c:v>11</c:v>
                </c:pt>
                <c:pt idx="23">
                  <c:v>12</c:v>
                </c:pt>
                <c:pt idx="24">
                  <c:v>T1.26</c:v>
                </c:pt>
              </c:strCache>
            </c:strRef>
          </c:cat>
          <c:val>
            <c:numRef>
              <c:f>'Ma trận giá bán rPP'!$I$12:$AB$12</c:f>
              <c:numCache>
                <c:formatCode>_(* #,##0_);_(* \(#,##0\);_(* "-"??_);_(@_)</c:formatCode>
                <c:ptCount val="8"/>
                <c:pt idx="0">
                  <c:v>953.80500000000006</c:v>
                </c:pt>
                <c:pt idx="1">
                  <c:v>943.70333333333338</c:v>
                </c:pt>
                <c:pt idx="2">
                  <c:v>941.71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D8E2-444D-A603-3134BB4F080D}"/>
            </c:ext>
          </c:extLst>
        </c:ser>
        <c:ser>
          <c:idx val="11"/>
          <c:order val="5"/>
          <c:tx>
            <c:strRef>
              <c:f>'Ma trận giá bán rPP'!$H$9</c:f>
              <c:strCache>
                <c:ptCount val="1"/>
                <c:pt idx="0">
                  <c:v>DTR </c:v>
                </c:pt>
              </c:strCache>
            </c:strRef>
          </c:tx>
          <c:spPr>
            <a:ln w="571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3.7938857018160306E-2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308-44FA-BB27-DD14398C1576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C905-4A0A-A3E4-D25554E9FF85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C51-4004-A570-C8760C29442E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308-44FA-BB27-DD14398C1576}"/>
                </c:ext>
              </c:extLst>
            </c:dLbl>
            <c:dLbl>
              <c:idx val="4"/>
              <c:layout>
                <c:manualLayout>
                  <c:x val="-1.6656083568948425E-2"/>
                  <c:y val="2.30188807102271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5308-44FA-BB27-DD14398C1576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5308-44FA-BB27-DD14398C1576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C51-4004-A570-C8760C29442E}"/>
                </c:ext>
              </c:extLst>
            </c:dLbl>
            <c:dLbl>
              <c:idx val="7"/>
              <c:layout>
                <c:manualLayout>
                  <c:x val="-2.8842519100891261E-2"/>
                  <c:y val="2.995924675351171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8DB-4ED0-81D5-64487ACD5A9C}"/>
                </c:ext>
              </c:extLst>
            </c:dLbl>
            <c:dLbl>
              <c:idx val="8"/>
              <c:layout>
                <c:manualLayout>
                  <c:x val="-1.7581421545001117E-2"/>
                  <c:y val="1.619418743433065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88DB-4ED0-81D5-64487ACD5A9C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424-429E-A525-1E975DAAB3FA}"/>
                </c:ext>
              </c:extLst>
            </c:dLbl>
            <c:dLbl>
              <c:idx val="10"/>
              <c:layout>
                <c:manualLayout>
                  <c:x val="-1.4342738628816836E-2"/>
                  <c:y val="3.45861574490347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EEC-42C2-89A2-03F8452DE982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2A2-4A8F-98FE-29C006B07FE8}"/>
                </c:ext>
              </c:extLst>
            </c:dLbl>
            <c:dLbl>
              <c:idx val="12"/>
              <c:layout>
                <c:manualLayout>
                  <c:x val="-1.5268076604869391E-2"/>
                  <c:y val="-2.787713694052634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90A-4195-9FFC-98CA5FA1F986}"/>
                </c:ext>
              </c:extLst>
            </c:dLbl>
            <c:dLbl>
              <c:idx val="13"/>
              <c:layout>
                <c:manualLayout>
                  <c:x val="-1.8044090533027461E-2"/>
                  <c:y val="2.995924675351171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C7E-4BEE-ABC0-CAA38D32BA7B}"/>
                </c:ext>
              </c:extLst>
            </c:dLbl>
            <c:dLbl>
              <c:idx val="16"/>
              <c:layout>
                <c:manualLayout>
                  <c:x val="-2.0135893127336865E-2"/>
                  <c:y val="2.995924675351171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776F-435E-A0DD-2300A6096C9B}"/>
                </c:ext>
              </c:extLst>
            </c:dLbl>
            <c:dLbl>
              <c:idx val="17"/>
              <c:layout>
                <c:manualLayout>
                  <c:x val="-2.2008999464763552E-2"/>
                  <c:y val="2.995924675351171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D6-4B24-A39C-83556C507266}"/>
                </c:ext>
              </c:extLst>
            </c:dLbl>
            <c:dLbl>
              <c:idx val="18"/>
              <c:layout>
                <c:manualLayout>
                  <c:x val="-2.3882105802190235E-2"/>
                  <c:y val="2.533233605798858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354-44AE-8DAD-92666958FAA2}"/>
                </c:ext>
              </c:extLst>
            </c:dLbl>
            <c:dLbl>
              <c:idx val="19"/>
              <c:layout>
                <c:manualLayout>
                  <c:x val="-2.107244629605021E-2"/>
                  <c:y val="2.301888071022723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AC3-4AEB-B209-787B3E7F1BA9}"/>
                </c:ext>
              </c:extLst>
            </c:dLbl>
            <c:dLbl>
              <c:idx val="20"/>
              <c:layout>
                <c:manualLayout>
                  <c:x val="-1.9199339958623524E-2"/>
                  <c:y val="3.227270210127306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44BF-44AD-BF9D-4BB8130DA18C}"/>
                </c:ext>
              </c:extLst>
            </c:dLbl>
            <c:dLbl>
              <c:idx val="21"/>
              <c:layout>
                <c:manualLayout>
                  <c:x val="-1.9199339958623662E-2"/>
                  <c:y val="2.764579140575019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8E0-48D7-98F2-778897218A24}"/>
                </c:ext>
              </c:extLst>
            </c:dLbl>
            <c:dLbl>
              <c:idx val="22"/>
              <c:layout>
                <c:manualLayout>
                  <c:x val="-1.7326233621196837E-2"/>
                  <c:y val="-2.787713694052634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E57-49D7-BA68-E465C001360E}"/>
                </c:ext>
              </c:extLst>
            </c:dLbl>
            <c:numFmt formatCode="[$$-C09]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accent6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'Ma trận giá bán rPP'!$I$5:$AS$5</c:f>
              <c:strCache>
                <c:ptCount val="25"/>
                <c:pt idx="0">
                  <c:v>T1.24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T1.25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  <c:pt idx="16">
                  <c:v>5</c:v>
                </c:pt>
                <c:pt idx="17">
                  <c:v>6</c:v>
                </c:pt>
                <c:pt idx="18">
                  <c:v>7</c:v>
                </c:pt>
                <c:pt idx="19">
                  <c:v>8</c:v>
                </c:pt>
                <c:pt idx="20">
                  <c:v>9</c:v>
                </c:pt>
                <c:pt idx="21">
                  <c:v>10</c:v>
                </c:pt>
                <c:pt idx="22">
                  <c:v>11</c:v>
                </c:pt>
                <c:pt idx="23">
                  <c:v>12</c:v>
                </c:pt>
                <c:pt idx="24">
                  <c:v>T1.26</c:v>
                </c:pt>
              </c:strCache>
            </c:strRef>
          </c:cat>
          <c:val>
            <c:numRef>
              <c:f>'Ma trận giá bán rPP'!$I$9:$AS$9</c:f>
              <c:numCache>
                <c:formatCode>"$"#,##0_);\("$"#,##0\)</c:formatCode>
                <c:ptCount val="25"/>
                <c:pt idx="0">
                  <c:v>930</c:v>
                </c:pt>
                <c:pt idx="1">
                  <c:v>930</c:v>
                </c:pt>
                <c:pt idx="2">
                  <c:v>930</c:v>
                </c:pt>
                <c:pt idx="3">
                  <c:v>950</c:v>
                </c:pt>
                <c:pt idx="4">
                  <c:v>950</c:v>
                </c:pt>
                <c:pt idx="5">
                  <c:v>950</c:v>
                </c:pt>
                <c:pt idx="6">
                  <c:v>950</c:v>
                </c:pt>
                <c:pt idx="7">
                  <c:v>950</c:v>
                </c:pt>
                <c:pt idx="8">
                  <c:v>910</c:v>
                </c:pt>
                <c:pt idx="9">
                  <c:v>900</c:v>
                </c:pt>
                <c:pt idx="10">
                  <c:v>900</c:v>
                </c:pt>
                <c:pt idx="11">
                  <c:v>900</c:v>
                </c:pt>
                <c:pt idx="12">
                  <c:v>900</c:v>
                </c:pt>
                <c:pt idx="13">
                  <c:v>820</c:v>
                </c:pt>
                <c:pt idx="14">
                  <c:v>840</c:v>
                </c:pt>
                <c:pt idx="15">
                  <c:v>835</c:v>
                </c:pt>
                <c:pt idx="16">
                  <c:v>815</c:v>
                </c:pt>
                <c:pt idx="17">
                  <c:v>815</c:v>
                </c:pt>
                <c:pt idx="18">
                  <c:v>789.5</c:v>
                </c:pt>
                <c:pt idx="19">
                  <c:v>769.5</c:v>
                </c:pt>
                <c:pt idx="20">
                  <c:v>754.5</c:v>
                </c:pt>
                <c:pt idx="21">
                  <c:v>740</c:v>
                </c:pt>
                <c:pt idx="22">
                  <c:v>715</c:v>
                </c:pt>
                <c:pt idx="23">
                  <c:v>705</c:v>
                </c:pt>
                <c:pt idx="24">
                  <c:v>695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D8E2-444D-A603-3134BB4F080D}"/>
            </c:ext>
          </c:extLst>
        </c:ser>
        <c:ser>
          <c:idx val="2"/>
          <c:order val="8"/>
          <c:tx>
            <c:strRef>
              <c:f>'Ma trận giá bán rPP'!$H$13</c:f>
              <c:strCache>
                <c:ptCount val="1"/>
                <c:pt idx="0">
                  <c:v>RESIN</c:v>
                </c:pt>
              </c:strCache>
            </c:strRef>
          </c:tx>
          <c:spPr>
            <a:ln w="57150" cap="rnd">
              <a:solidFill>
                <a:srgbClr val="FF3399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B-D8E2-444D-A603-3134BB4F080D}"/>
                </c:ext>
              </c:extLst>
            </c:dLbl>
            <c:dLbl>
              <c:idx val="1"/>
              <c:layout>
                <c:manualLayout>
                  <c:x val="-1.5962080086908907E-2"/>
                  <c:y val="-2.9959246753511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C-D8E2-444D-A603-3134BB4F080D}"/>
                </c:ext>
              </c:extLst>
            </c:dLbl>
            <c:dLbl>
              <c:idx val="2"/>
              <c:layout>
                <c:manualLayout>
                  <c:x val="-5.5520278563161423E-3"/>
                  <c:y val="-2.764579140575019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5308-44FA-BB27-DD14398C1576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5308-44FA-BB27-DD14398C1576}"/>
                </c:ext>
              </c:extLst>
            </c:dLbl>
            <c:dLbl>
              <c:idx val="4"/>
              <c:layout>
                <c:manualLayout>
                  <c:x val="-3.1652178607031324E-2"/>
                  <c:y val="-4.152652349231932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802B-40FE-8DEB-7B668A1DA024}"/>
                </c:ext>
              </c:extLst>
            </c:dLbl>
            <c:dLbl>
              <c:idx val="5"/>
              <c:layout>
                <c:manualLayout>
                  <c:x val="-1.7812756039014291E-2"/>
                  <c:y val="-2.533233605798875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5308-44FA-BB27-DD14398C1576}"/>
                </c:ext>
              </c:extLst>
            </c:dLbl>
            <c:dLbl>
              <c:idx val="6"/>
              <c:layout>
                <c:manualLayout>
                  <c:x val="-1.1256852877526426E-2"/>
                  <c:y val="-2.53323360579886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5308-44FA-BB27-DD14398C1576}"/>
                </c:ext>
              </c:extLst>
            </c:dLbl>
            <c:dLbl>
              <c:idx val="7"/>
              <c:layout>
                <c:manualLayout>
                  <c:x val="-1.2954731664737665E-2"/>
                  <c:y val="-3.68996127967962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5F5-4BD1-AF08-F827147DB70B}"/>
                </c:ext>
              </c:extLst>
            </c:dLbl>
            <c:dLbl>
              <c:idx val="8"/>
              <c:layout>
                <c:manualLayout>
                  <c:x val="-1.0641386724605939E-2"/>
                  <c:y val="-2.764579140575019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88DB-4ED0-81D5-64487ACD5A9C}"/>
                </c:ext>
              </c:extLst>
            </c:dLbl>
            <c:dLbl>
              <c:idx val="9"/>
              <c:layout>
                <c:manualLayout>
                  <c:x val="-1.4342738628816701E-2"/>
                  <c:y val="-2.76457914057501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2424-429E-A525-1E975DAAB3FA}"/>
                </c:ext>
              </c:extLst>
            </c:dLbl>
            <c:dLbl>
              <c:idx val="10"/>
              <c:layout>
                <c:manualLayout>
                  <c:x val="-1.2492062676711319E-2"/>
                  <c:y val="-2.9959246753511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EEC-42C2-89A2-03F8452DE982}"/>
                </c:ext>
              </c:extLst>
            </c:dLbl>
            <c:dLbl>
              <c:idx val="11"/>
              <c:layout>
                <c:manualLayout>
                  <c:x val="-1.4342738628816701E-2"/>
                  <c:y val="-2.764579140575019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2A2-4A8F-98FE-29C006B07FE8}"/>
                </c:ext>
              </c:extLst>
            </c:dLbl>
            <c:dLbl>
              <c:idx val="12"/>
              <c:layout>
                <c:manualLayout>
                  <c:x val="-1.9894766485132841E-2"/>
                  <c:y val="-2.533233605798875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090A-4195-9FFC-98CA5FA1F986}"/>
                </c:ext>
              </c:extLst>
            </c:dLbl>
            <c:dLbl>
              <c:idx val="13"/>
              <c:layout>
                <c:manualLayout>
                  <c:x val="-2.0820104461185533E-2"/>
                  <c:y val="-2.764579140575019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C7E-4BEE-ABC0-CAA38D32BA7B}"/>
                </c:ext>
              </c:extLst>
            </c:dLbl>
            <c:dLbl>
              <c:idx val="14"/>
              <c:layout>
                <c:manualLayout>
                  <c:x val="-2.107244629605021E-2"/>
                  <c:y val="-2.764579140575019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799E-4847-8E7F-C02B1039D8D4}"/>
                </c:ext>
              </c:extLst>
            </c:dLbl>
            <c:dLbl>
              <c:idx val="15"/>
              <c:layout>
                <c:manualLayout>
                  <c:x val="-2.107244629605021E-2"/>
                  <c:y val="-3.45861574490347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489A-4DC5-B611-E3B16E0DB7A2}"/>
                </c:ext>
              </c:extLst>
            </c:dLbl>
            <c:dLbl>
              <c:idx val="16"/>
              <c:layout>
                <c:manualLayout>
                  <c:x val="-1.9199339958623524E-2"/>
                  <c:y val="-3.689961279679623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75D-44A3-95AB-D4AEC8C4808A}"/>
                </c:ext>
              </c:extLst>
            </c:dLbl>
            <c:dLbl>
              <c:idx val="17"/>
              <c:layout>
                <c:manualLayout>
                  <c:x val="-1.7326233621196976E-2"/>
                  <c:y val="-2.301888071022723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E43-4CCB-9E04-94DD676B8680}"/>
                </c:ext>
              </c:extLst>
            </c:dLbl>
            <c:dLbl>
              <c:idx val="18"/>
              <c:layout>
                <c:manualLayout>
                  <c:x val="-2.0135893127336865E-2"/>
                  <c:y val="-2.53323360579886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2354-44AE-8DAD-92666958FAA2}"/>
                </c:ext>
              </c:extLst>
            </c:dLbl>
            <c:dLbl>
              <c:idx val="19"/>
              <c:layout>
                <c:manualLayout>
                  <c:x val="-1.6389680452483495E-2"/>
                  <c:y val="-2.764579140575019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AC3-4AEB-B209-787B3E7F1BA9}"/>
                </c:ext>
              </c:extLst>
            </c:dLbl>
            <c:dLbl>
              <c:idx val="20"/>
              <c:layout>
                <c:manualLayout>
                  <c:x val="-1.451657411505681E-2"/>
                  <c:y val="-2.764579140575019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44BF-44AD-BF9D-4BB8130DA18C}"/>
                </c:ext>
              </c:extLst>
            </c:dLbl>
            <c:numFmt formatCode="[$$-C09]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rgbClr val="FF3399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'Ma trận giá bán rPP'!$I$5:$AS$5</c:f>
              <c:strCache>
                <c:ptCount val="25"/>
                <c:pt idx="0">
                  <c:v>T1.24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T1.25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  <c:pt idx="16">
                  <c:v>5</c:v>
                </c:pt>
                <c:pt idx="17">
                  <c:v>6</c:v>
                </c:pt>
                <c:pt idx="18">
                  <c:v>7</c:v>
                </c:pt>
                <c:pt idx="19">
                  <c:v>8</c:v>
                </c:pt>
                <c:pt idx="20">
                  <c:v>9</c:v>
                </c:pt>
                <c:pt idx="21">
                  <c:v>10</c:v>
                </c:pt>
                <c:pt idx="22">
                  <c:v>11</c:v>
                </c:pt>
                <c:pt idx="23">
                  <c:v>12</c:v>
                </c:pt>
                <c:pt idx="24">
                  <c:v>T1.26</c:v>
                </c:pt>
              </c:strCache>
            </c:strRef>
          </c:cat>
          <c:val>
            <c:numRef>
              <c:f>'Ma trận giá bán rPP'!$I$13:$AS$13</c:f>
              <c:numCache>
                <c:formatCode>_(* #,##0_);_(* \(#,##0\);_(* "-"??_);_(@_)</c:formatCode>
                <c:ptCount val="25"/>
                <c:pt idx="0">
                  <c:v>962.5</c:v>
                </c:pt>
                <c:pt idx="1">
                  <c:v>986.66666666666663</c:v>
                </c:pt>
                <c:pt idx="2">
                  <c:v>990</c:v>
                </c:pt>
                <c:pt idx="3">
                  <c:v>992.5</c:v>
                </c:pt>
                <c:pt idx="4">
                  <c:v>1002</c:v>
                </c:pt>
                <c:pt idx="5">
                  <c:v>1025</c:v>
                </c:pt>
                <c:pt idx="6">
                  <c:v>1020</c:v>
                </c:pt>
                <c:pt idx="7">
                  <c:v>970</c:v>
                </c:pt>
                <c:pt idx="8">
                  <c:v>955</c:v>
                </c:pt>
                <c:pt idx="9">
                  <c:v>956.66666666666663</c:v>
                </c:pt>
                <c:pt idx="10">
                  <c:v>968</c:v>
                </c:pt>
                <c:pt idx="11">
                  <c:v>960</c:v>
                </c:pt>
                <c:pt idx="12">
                  <c:v>970</c:v>
                </c:pt>
                <c:pt idx="13">
                  <c:v>985</c:v>
                </c:pt>
                <c:pt idx="14">
                  <c:v>980</c:v>
                </c:pt>
                <c:pt idx="15">
                  <c:v>965</c:v>
                </c:pt>
                <c:pt idx="16">
                  <c:v>932</c:v>
                </c:pt>
                <c:pt idx="17">
                  <c:v>922.5</c:v>
                </c:pt>
                <c:pt idx="18">
                  <c:v>918</c:v>
                </c:pt>
                <c:pt idx="19">
                  <c:v>895</c:v>
                </c:pt>
                <c:pt idx="20">
                  <c:v>870</c:v>
                </c:pt>
                <c:pt idx="21">
                  <c:v>842</c:v>
                </c:pt>
                <c:pt idx="22">
                  <c:v>827.5</c:v>
                </c:pt>
                <c:pt idx="23">
                  <c:v>820</c:v>
                </c:pt>
                <c:pt idx="24">
                  <c:v>820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3D-D8E2-444D-A603-3134BB4F080D}"/>
            </c:ext>
          </c:extLst>
        </c:ser>
        <c:ser>
          <c:idx val="6"/>
          <c:order val="9"/>
          <c:tx>
            <c:strRef>
              <c:f>'Ma trận giá bán rPP'!$H$17</c:f>
              <c:strCache>
                <c:ptCount val="1"/>
                <c:pt idx="0">
                  <c:v>Điểm hòa vốn</c:v>
                </c:pt>
              </c:strCache>
            </c:strRef>
          </c:tx>
          <c:spPr>
            <a:ln w="5080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D55-48C5-B372-420532D8BE71}"/>
                </c:ext>
              </c:extLst>
            </c:dLbl>
            <c:dLbl>
              <c:idx val="13"/>
              <c:layout>
                <c:manualLayout>
                  <c:x val="-2.1779064600192966E-2"/>
                  <c:y val="-3.22727021012732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C7E-4BEE-ABC0-CAA38D32BA7B}"/>
                </c:ext>
              </c:extLst>
            </c:dLbl>
            <c:dLbl>
              <c:idx val="16"/>
              <c:layout>
                <c:manualLayout>
                  <c:x val="-1.8262786789910182E-2"/>
                  <c:y val="-2.30188807102271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75D-44A3-95AB-D4AEC8C4808A}"/>
                </c:ext>
              </c:extLst>
            </c:dLbl>
            <c:dLbl>
              <c:idx val="17"/>
              <c:layout>
                <c:manualLayout>
                  <c:x val="-2.0135893127337004E-2"/>
                  <c:y val="-2.9959246753511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E43-4CCB-9E04-94DD676B8680}"/>
                </c:ext>
              </c:extLst>
            </c:dLbl>
            <c:dLbl>
              <c:idx val="18"/>
              <c:layout>
                <c:manualLayout>
                  <c:x val="-2.2008999464763552E-2"/>
                  <c:y val="-2.995924675351171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354-44AE-8DAD-92666958FAA2}"/>
                </c:ext>
              </c:extLst>
            </c:dLbl>
            <c:dLbl>
              <c:idx val="19"/>
              <c:layout>
                <c:manualLayout>
                  <c:x val="-2.107244629605021E-2"/>
                  <c:y val="-2.30188807102271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AC3-4AEB-B209-787B3E7F1BA9}"/>
                </c:ext>
              </c:extLst>
            </c:dLbl>
            <c:dLbl>
              <c:idx val="20"/>
              <c:layout>
                <c:manualLayout>
                  <c:x val="-1.1706914608916919E-2"/>
                  <c:y val="2.325022624500330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4BF-44AD-BF9D-4BB8130DA18C}"/>
                </c:ext>
              </c:extLst>
            </c:dLbl>
            <c:dLbl>
              <c:idx val="21"/>
              <c:layout>
                <c:manualLayout>
                  <c:x val="-2.0135893127336865E-2"/>
                  <c:y val="-3.921306814455780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8E0-48D7-98F2-778897218A24}"/>
                </c:ext>
              </c:extLst>
            </c:dLbl>
            <c:dLbl>
              <c:idx val="22"/>
              <c:layout>
                <c:manualLayout>
                  <c:x val="-2.107244629605021E-2"/>
                  <c:y val="-3.227270210127332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0E57-49D7-BA68-E465C001360E}"/>
                </c:ext>
              </c:extLst>
            </c:dLbl>
            <c:dLbl>
              <c:idx val="23"/>
              <c:layout>
                <c:manualLayout>
                  <c:x val="-2.0135893127336865E-2"/>
                  <c:y val="-3.45861574490347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15D-4182-9C55-C702BA1CF826}"/>
                </c:ext>
              </c:extLst>
            </c:dLbl>
            <c:dLbl>
              <c:idx val="24"/>
              <c:layout>
                <c:manualLayout>
                  <c:x val="-9.8338082714902342E-3"/>
                  <c:y val="-2.764579140575027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53F3-4260-BC18-6B9E8E3DC02B}"/>
                </c:ext>
              </c:extLst>
            </c:dLbl>
            <c:numFmt formatCode="[$$-C09]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rgbClr val="FF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'Ma trận giá bán rPP'!$I$5:$AS$5</c:f>
              <c:strCache>
                <c:ptCount val="25"/>
                <c:pt idx="0">
                  <c:v>T1.24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T1.25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  <c:pt idx="16">
                  <c:v>5</c:v>
                </c:pt>
                <c:pt idx="17">
                  <c:v>6</c:v>
                </c:pt>
                <c:pt idx="18">
                  <c:v>7</c:v>
                </c:pt>
                <c:pt idx="19">
                  <c:v>8</c:v>
                </c:pt>
                <c:pt idx="20">
                  <c:v>9</c:v>
                </c:pt>
                <c:pt idx="21">
                  <c:v>10</c:v>
                </c:pt>
                <c:pt idx="22">
                  <c:v>11</c:v>
                </c:pt>
                <c:pt idx="23">
                  <c:v>12</c:v>
                </c:pt>
                <c:pt idx="24">
                  <c:v>T1.26</c:v>
                </c:pt>
              </c:strCache>
            </c:strRef>
          </c:cat>
          <c:val>
            <c:numRef>
              <c:f>'Ma trận giá bán rPP'!$I$17:$AS$17</c:f>
              <c:numCache>
                <c:formatCode>"$"#,##0_);\("$"#,##0\)</c:formatCode>
                <c:ptCount val="25"/>
                <c:pt idx="0">
                  <c:v>885</c:v>
                </c:pt>
                <c:pt idx="1">
                  <c:v>885</c:v>
                </c:pt>
                <c:pt idx="2">
                  <c:v>885</c:v>
                </c:pt>
                <c:pt idx="3">
                  <c:v>861</c:v>
                </c:pt>
                <c:pt idx="4">
                  <c:v>861</c:v>
                </c:pt>
                <c:pt idx="5">
                  <c:v>850</c:v>
                </c:pt>
                <c:pt idx="6">
                  <c:v>794</c:v>
                </c:pt>
                <c:pt idx="7">
                  <c:v>836.80121639671654</c:v>
                </c:pt>
                <c:pt idx="8">
                  <c:v>856.16419630615974</c:v>
                </c:pt>
                <c:pt idx="9">
                  <c:v>856.16419630615974</c:v>
                </c:pt>
                <c:pt idx="10">
                  <c:v>856.16419630615974</c:v>
                </c:pt>
                <c:pt idx="11">
                  <c:v>827.7737832482228</c:v>
                </c:pt>
                <c:pt idx="12">
                  <c:v>842.58758463763786</c:v>
                </c:pt>
                <c:pt idx="13">
                  <c:v>835.02956014903214</c:v>
                </c:pt>
                <c:pt idx="14">
                  <c:v>835.02956014903214</c:v>
                </c:pt>
                <c:pt idx="15">
                  <c:v>821.92388317274299</c:v>
                </c:pt>
                <c:pt idx="16">
                  <c:v>838</c:v>
                </c:pt>
                <c:pt idx="17">
                  <c:v>863.68590309795047</c:v>
                </c:pt>
                <c:pt idx="18">
                  <c:v>864.84654926023097</c:v>
                </c:pt>
                <c:pt idx="19">
                  <c:v>864.84654926023097</c:v>
                </c:pt>
                <c:pt idx="20">
                  <c:v>864.84654926023097</c:v>
                </c:pt>
                <c:pt idx="21">
                  <c:v>877</c:v>
                </c:pt>
                <c:pt idx="22">
                  <c:v>899.20414893105215</c:v>
                </c:pt>
                <c:pt idx="23">
                  <c:v>896.54965726587238</c:v>
                </c:pt>
                <c:pt idx="24">
                  <c:v>896.54965726587238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0-D8E2-444D-A603-3134BB4F080D}"/>
            </c:ext>
          </c:extLst>
        </c:ser>
        <c:ser>
          <c:idx val="14"/>
          <c:order val="10"/>
          <c:tx>
            <c:strRef>
              <c:f>'Ma trận giá bán rPP'!$H$11</c:f>
              <c:strCache>
                <c:ptCount val="1"/>
                <c:pt idx="0">
                  <c:v>Hạt đen (Châu Âu) - ICIS</c:v>
                </c:pt>
              </c:strCache>
            </c:strRef>
          </c:tx>
          <c:spPr>
            <a:ln w="571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dLbls>
            <c:numFmt formatCode="[$$-C09]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accent5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'Ma trận giá bán rPP'!$I$5:$AS$5</c:f>
              <c:strCache>
                <c:ptCount val="25"/>
                <c:pt idx="0">
                  <c:v>T1.24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T1.25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  <c:pt idx="16">
                  <c:v>5</c:v>
                </c:pt>
                <c:pt idx="17">
                  <c:v>6</c:v>
                </c:pt>
                <c:pt idx="18">
                  <c:v>7</c:v>
                </c:pt>
                <c:pt idx="19">
                  <c:v>8</c:v>
                </c:pt>
                <c:pt idx="20">
                  <c:v>9</c:v>
                </c:pt>
                <c:pt idx="21">
                  <c:v>10</c:v>
                </c:pt>
                <c:pt idx="22">
                  <c:v>11</c:v>
                </c:pt>
                <c:pt idx="23">
                  <c:v>12</c:v>
                </c:pt>
                <c:pt idx="24">
                  <c:v>T1.26</c:v>
                </c:pt>
              </c:strCache>
            </c:strRef>
          </c:cat>
          <c:val>
            <c:numRef>
              <c:f>'Ma trận giá bán rPP'!$I$11:$Y$11</c:f>
              <c:numCache>
                <c:formatCode>_(* #,##0_);_(* \(#,##0\);_(* "-"??_);_(@_)</c:formatCode>
                <c:ptCount val="5"/>
                <c:pt idx="0">
                  <c:v>795.74750000000006</c:v>
                </c:pt>
                <c:pt idx="1">
                  <c:v>808.88999999999987</c:v>
                </c:pt>
                <c:pt idx="2">
                  <c:v>807.18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D8E2-444D-A603-3134BB4F08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12700" cap="flat" cmpd="sng" algn="ctr">
              <a:solidFill>
                <a:schemeClr val="bg2"/>
              </a:solidFill>
              <a:round/>
            </a:ln>
            <a:effectLst/>
          </c:spPr>
        </c:dropLines>
        <c:marker val="1"/>
        <c:smooth val="0"/>
        <c:axId val="1917916735"/>
        <c:axId val="1917910079"/>
        <c:extLst/>
      </c:lineChart>
      <c:lineChart>
        <c:grouping val="standard"/>
        <c:varyColors val="0"/>
        <c:ser>
          <c:idx val="5"/>
          <c:order val="11"/>
          <c:tx>
            <c:strRef>
              <c:f>'Ma trận giá bán rPP'!$H$16</c:f>
              <c:strCache>
                <c:ptCount val="1"/>
                <c:pt idx="0">
                  <c:v>%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'Ma trận giá bán rPP'!$I$16:$S$16</c:f>
            </c:numRef>
          </c:val>
          <c:smooth val="0"/>
          <c:extLst>
            <c:ext xmlns:c16="http://schemas.microsoft.com/office/drawing/2014/chart" uri="{C3380CC4-5D6E-409C-BE32-E72D297353CC}">
              <c16:uniqueId val="{00000041-D8E2-444D-A603-3134BB4F08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66633151"/>
        <c:axId val="1366632735"/>
      </c:lineChart>
      <c:catAx>
        <c:axId val="19179167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917910079"/>
        <c:crosses val="autoZero"/>
        <c:auto val="1"/>
        <c:lblAlgn val="ctr"/>
        <c:lblOffset val="100"/>
        <c:noMultiLvlLbl val="0"/>
      </c:catAx>
      <c:valAx>
        <c:axId val="1917910079"/>
        <c:scaling>
          <c:orientation val="minMax"/>
          <c:min val="600"/>
        </c:scaling>
        <c:delete val="0"/>
        <c:axPos val="l"/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917916735"/>
        <c:crosses val="autoZero"/>
        <c:crossBetween val="between"/>
        <c:majorUnit val="100"/>
      </c:valAx>
      <c:valAx>
        <c:axId val="1366632735"/>
        <c:scaling>
          <c:orientation val="minMax"/>
        </c:scaling>
        <c:delete val="1"/>
        <c:axPos val="r"/>
        <c:numFmt formatCode="0%" sourceLinked="1"/>
        <c:majorTickMark val="out"/>
        <c:minorTickMark val="none"/>
        <c:tickLblPos val="nextTo"/>
        <c:crossAx val="1366633151"/>
        <c:crosses val="max"/>
        <c:crossBetween val="between"/>
      </c:valAx>
      <c:catAx>
        <c:axId val="1366633151"/>
        <c:scaling>
          <c:orientation val="minMax"/>
        </c:scaling>
        <c:delete val="1"/>
        <c:axPos val="b"/>
        <c:majorTickMark val="out"/>
        <c:minorTickMark val="none"/>
        <c:tickLblPos val="nextTo"/>
        <c:crossAx val="1366632735"/>
        <c:crosses val="autoZero"/>
        <c:auto val="1"/>
        <c:lblAlgn val="ctr"/>
        <c:lblOffset val="100"/>
        <c:noMultiLvlLbl val="0"/>
      </c:catAx>
      <c:spPr>
        <a:solidFill>
          <a:schemeClr val="bg1"/>
        </a:solidFill>
        <a:ln>
          <a:solidFill>
            <a:schemeClr val="bg1"/>
          </a:solidFill>
        </a:ln>
        <a:effectLst/>
      </c:spPr>
    </c:plotArea>
    <c:legend>
      <c:legendPos val="r"/>
      <c:legendEntry>
        <c:idx val="0"/>
        <c:delete val="1"/>
      </c:legendEntry>
      <c:legendEntry>
        <c:idx val="1"/>
        <c:delete val="1"/>
      </c:legendEntry>
      <c:legendEntry>
        <c:idx val="2"/>
        <c:txPr>
          <a:bodyPr rot="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accent2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legendEntry>
      <c:legendEntry>
        <c:idx val="3"/>
        <c:txPr>
          <a:bodyPr rot="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accent6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legendEntry>
      <c:legendEntry>
        <c:idx val="4"/>
        <c:txPr>
          <a:bodyPr rot="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rgbClr val="FF3399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legendEntry>
      <c:legendEntry>
        <c:idx val="5"/>
        <c:txPr>
          <a:bodyPr rot="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rgbClr val="FF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legendEntry>
      <c:legendEntry>
        <c:idx val="6"/>
        <c:txPr>
          <a:bodyPr rot="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accent5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legendEntry>
      <c:layout>
        <c:manualLayout>
          <c:xMode val="edge"/>
          <c:yMode val="edge"/>
          <c:x val="0.88571113386264355"/>
          <c:y val="0.24276187332958921"/>
          <c:w val="0.10882333406350547"/>
          <c:h val="0.5401087110544228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0" baseline="0">
                <a:solidFill>
                  <a:srgbClr val="0000FF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2400" b="1" baseline="0">
                <a:solidFill>
                  <a:srgbClr val="0000FF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GIÁ HẠT NHỰA </a:t>
            </a:r>
            <a:r>
              <a:rPr lang="en-US" sz="24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rPP</a:t>
            </a:r>
            <a:r>
              <a:rPr lang="en-US" sz="2400" b="1" baseline="0">
                <a:solidFill>
                  <a:srgbClr val="0000FF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NĂM 2025 (USD/tấn)</a:t>
            </a:r>
            <a:endParaRPr lang="en-US" sz="2400" b="1">
              <a:solidFill>
                <a:srgbClr val="0000FF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layout>
        <c:manualLayout>
          <c:xMode val="edge"/>
          <c:yMode val="edge"/>
          <c:x val="0.23697591595079928"/>
          <c:y val="1.616002048182467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0" baseline="0">
              <a:solidFill>
                <a:srgbClr val="0000FF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6050083559538171E-2"/>
          <c:y val="0.1283871973212469"/>
          <c:w val="0.82500047697884893"/>
          <c:h val="0.78219318345479416"/>
        </c:manualLayout>
      </c:layout>
      <c:areaChart>
        <c:grouping val="stacked"/>
        <c:varyColors val="0"/>
        <c:ser>
          <c:idx val="0"/>
          <c:order val="9"/>
          <c:tx>
            <c:strRef>
              <c:f>'Ma trận giá bán rPP'!$AW$14</c:f>
              <c:strCache>
                <c:ptCount val="1"/>
                <c:pt idx="0">
                  <c:v>TTCP</c:v>
                </c:pt>
              </c:strCache>
            </c:strRef>
          </c:tx>
          <c:spPr>
            <a:noFill/>
            <a:ln>
              <a:solidFill>
                <a:schemeClr val="bg1"/>
              </a:solidFill>
            </a:ln>
            <a:effectLst/>
          </c:spPr>
          <c:val>
            <c:numRef>
              <c:f>'Ma trận giá bán rPP'!$AX$14:$GT$14</c:f>
              <c:numCache>
                <c:formatCode>"$"#,##0_);\("$"#,##0\)</c:formatCode>
                <c:ptCount val="51"/>
                <c:pt idx="0">
                  <c:v>960</c:v>
                </c:pt>
                <c:pt idx="1">
                  <c:v>970</c:v>
                </c:pt>
                <c:pt idx="2">
                  <c:v>970</c:v>
                </c:pt>
                <c:pt idx="3">
                  <c:v>980</c:v>
                </c:pt>
                <c:pt idx="4">
                  <c:v>970</c:v>
                </c:pt>
                <c:pt idx="5">
                  <c:v>1000</c:v>
                </c:pt>
                <c:pt idx="6">
                  <c:v>990</c:v>
                </c:pt>
                <c:pt idx="7">
                  <c:v>980</c:v>
                </c:pt>
                <c:pt idx="8">
                  <c:v>980</c:v>
                </c:pt>
                <c:pt idx="9">
                  <c:v>980</c:v>
                </c:pt>
                <c:pt idx="10">
                  <c:v>980</c:v>
                </c:pt>
                <c:pt idx="11">
                  <c:v>980</c:v>
                </c:pt>
                <c:pt idx="12">
                  <c:v>980</c:v>
                </c:pt>
                <c:pt idx="13">
                  <c:v>970</c:v>
                </c:pt>
                <c:pt idx="14">
                  <c:v>960</c:v>
                </c:pt>
                <c:pt idx="15">
                  <c:v>950</c:v>
                </c:pt>
                <c:pt idx="16">
                  <c:v>950</c:v>
                </c:pt>
                <c:pt idx="17">
                  <c:v>930</c:v>
                </c:pt>
                <c:pt idx="18">
                  <c:v>930</c:v>
                </c:pt>
                <c:pt idx="19">
                  <c:v>930</c:v>
                </c:pt>
                <c:pt idx="20">
                  <c:v>920</c:v>
                </c:pt>
                <c:pt idx="21">
                  <c:v>920</c:v>
                </c:pt>
                <c:pt idx="22">
                  <c:v>910</c:v>
                </c:pt>
                <c:pt idx="23">
                  <c:v>930</c:v>
                </c:pt>
                <c:pt idx="24">
                  <c:v>930</c:v>
                </c:pt>
                <c:pt idx="25">
                  <c:v>930</c:v>
                </c:pt>
                <c:pt idx="26">
                  <c:v>930</c:v>
                </c:pt>
                <c:pt idx="27">
                  <c:v>930</c:v>
                </c:pt>
                <c:pt idx="28">
                  <c:v>900</c:v>
                </c:pt>
                <c:pt idx="29">
                  <c:v>900</c:v>
                </c:pt>
                <c:pt idx="30">
                  <c:v>900</c:v>
                </c:pt>
                <c:pt idx="31">
                  <c:v>900</c:v>
                </c:pt>
                <c:pt idx="32">
                  <c:v>890</c:v>
                </c:pt>
                <c:pt idx="33">
                  <c:v>890</c:v>
                </c:pt>
                <c:pt idx="34">
                  <c:v>890</c:v>
                </c:pt>
                <c:pt idx="35">
                  <c:v>870</c:v>
                </c:pt>
                <c:pt idx="36">
                  <c:v>870</c:v>
                </c:pt>
                <c:pt idx="37">
                  <c:v>850</c:v>
                </c:pt>
                <c:pt idx="38">
                  <c:v>850</c:v>
                </c:pt>
                <c:pt idx="39">
                  <c:v>850</c:v>
                </c:pt>
                <c:pt idx="40">
                  <c:v>840</c:v>
                </c:pt>
                <c:pt idx="41">
                  <c:v>840</c:v>
                </c:pt>
                <c:pt idx="42">
                  <c:v>830</c:v>
                </c:pt>
                <c:pt idx="43">
                  <c:v>830</c:v>
                </c:pt>
                <c:pt idx="44">
                  <c:v>830</c:v>
                </c:pt>
                <c:pt idx="45">
                  <c:v>830</c:v>
                </c:pt>
                <c:pt idx="46">
                  <c:v>820</c:v>
                </c:pt>
                <c:pt idx="47">
                  <c:v>820</c:v>
                </c:pt>
                <c:pt idx="48">
                  <c:v>820</c:v>
                </c:pt>
                <c:pt idx="49">
                  <c:v>820</c:v>
                </c:pt>
                <c:pt idx="50">
                  <c:v>820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88-B92D-4F4B-99DE-3C531E2FE68B}"/>
            </c:ext>
          </c:extLst>
        </c:ser>
        <c:ser>
          <c:idx val="3"/>
          <c:order val="10"/>
          <c:tx>
            <c:strRef>
              <c:f>'Ma trận giá bán rPP'!$AW$15</c:f>
              <c:strCache>
                <c:ptCount val="1"/>
                <c:pt idx="0">
                  <c:v>CL</c:v>
                </c:pt>
              </c:strCache>
            </c:strRef>
          </c:tx>
          <c:spPr>
            <a:solidFill>
              <a:schemeClr val="accent4">
                <a:lumMod val="20000"/>
                <a:lumOff val="80000"/>
              </a:schemeClr>
            </a:solidFill>
            <a:ln>
              <a:solidFill>
                <a:schemeClr val="accent4">
                  <a:lumMod val="40000"/>
                  <a:lumOff val="60000"/>
                </a:schemeClr>
              </a:solidFill>
            </a:ln>
            <a:effectLst/>
          </c:spPr>
          <c:val>
            <c:numRef>
              <c:f>'Ma trận giá bán rPP'!$AX$15:$GT$15</c:f>
              <c:numCache>
                <c:formatCode>"$"#,##0_);\("$"#,##0\)</c:formatCode>
                <c:ptCount val="51"/>
                <c:pt idx="0">
                  <c:v>-60</c:v>
                </c:pt>
                <c:pt idx="1">
                  <c:v>-70</c:v>
                </c:pt>
                <c:pt idx="2">
                  <c:v>-70</c:v>
                </c:pt>
                <c:pt idx="3">
                  <c:v>-80</c:v>
                </c:pt>
                <c:pt idx="4">
                  <c:v>-150</c:v>
                </c:pt>
                <c:pt idx="5">
                  <c:v>-180</c:v>
                </c:pt>
                <c:pt idx="6">
                  <c:v>-170</c:v>
                </c:pt>
                <c:pt idx="7">
                  <c:v>-160</c:v>
                </c:pt>
                <c:pt idx="8">
                  <c:v>-140</c:v>
                </c:pt>
                <c:pt idx="9">
                  <c:v>-140</c:v>
                </c:pt>
                <c:pt idx="10">
                  <c:v>-140</c:v>
                </c:pt>
                <c:pt idx="11">
                  <c:v>-140</c:v>
                </c:pt>
                <c:pt idx="12">
                  <c:v>-145</c:v>
                </c:pt>
                <c:pt idx="13">
                  <c:v>-135</c:v>
                </c:pt>
                <c:pt idx="14">
                  <c:v>-125</c:v>
                </c:pt>
                <c:pt idx="15">
                  <c:v>-115</c:v>
                </c:pt>
                <c:pt idx="16">
                  <c:v>-135</c:v>
                </c:pt>
                <c:pt idx="17">
                  <c:v>-115</c:v>
                </c:pt>
                <c:pt idx="18">
                  <c:v>-115</c:v>
                </c:pt>
                <c:pt idx="19">
                  <c:v>-115</c:v>
                </c:pt>
                <c:pt idx="20">
                  <c:v>-105</c:v>
                </c:pt>
                <c:pt idx="21">
                  <c:v>-105</c:v>
                </c:pt>
                <c:pt idx="22">
                  <c:v>-95</c:v>
                </c:pt>
                <c:pt idx="23">
                  <c:v>-115</c:v>
                </c:pt>
                <c:pt idx="24">
                  <c:v>-115</c:v>
                </c:pt>
                <c:pt idx="25">
                  <c:v>-140.5</c:v>
                </c:pt>
                <c:pt idx="26">
                  <c:v>-140.5</c:v>
                </c:pt>
                <c:pt idx="27">
                  <c:v>-140.5</c:v>
                </c:pt>
                <c:pt idx="28">
                  <c:v>-110.5</c:v>
                </c:pt>
                <c:pt idx="29">
                  <c:v>-110.5</c:v>
                </c:pt>
                <c:pt idx="30">
                  <c:v>-130.5</c:v>
                </c:pt>
                <c:pt idx="31">
                  <c:v>-130.5</c:v>
                </c:pt>
                <c:pt idx="32">
                  <c:v>-120.5</c:v>
                </c:pt>
                <c:pt idx="33">
                  <c:v>-120.5</c:v>
                </c:pt>
                <c:pt idx="34">
                  <c:v>-135.5</c:v>
                </c:pt>
                <c:pt idx="35">
                  <c:v>-115.5</c:v>
                </c:pt>
                <c:pt idx="36">
                  <c:v>-115.5</c:v>
                </c:pt>
                <c:pt idx="37">
                  <c:v>-95.5</c:v>
                </c:pt>
                <c:pt idx="38">
                  <c:v>-110</c:v>
                </c:pt>
                <c:pt idx="39">
                  <c:v>-110</c:v>
                </c:pt>
                <c:pt idx="40">
                  <c:v>-100</c:v>
                </c:pt>
                <c:pt idx="41">
                  <c:v>-100</c:v>
                </c:pt>
                <c:pt idx="42">
                  <c:v>-90</c:v>
                </c:pt>
                <c:pt idx="43">
                  <c:v>-115</c:v>
                </c:pt>
                <c:pt idx="44">
                  <c:v>-115</c:v>
                </c:pt>
                <c:pt idx="45">
                  <c:v>-115</c:v>
                </c:pt>
                <c:pt idx="46">
                  <c:v>-105</c:v>
                </c:pt>
                <c:pt idx="47">
                  <c:v>-115</c:v>
                </c:pt>
                <c:pt idx="48">
                  <c:v>-115</c:v>
                </c:pt>
                <c:pt idx="49">
                  <c:v>-115</c:v>
                </c:pt>
                <c:pt idx="50">
                  <c:v>-115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89-B92D-4F4B-99DE-3C531E2FE6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17916735"/>
        <c:axId val="1917910079"/>
      </c:areaChart>
      <c:lineChart>
        <c:grouping val="standard"/>
        <c:varyColors val="0"/>
        <c:ser>
          <c:idx val="13"/>
          <c:order val="0"/>
          <c:tx>
            <c:strRef>
              <c:f>'Ma trận giá bán rPP'!$AW$5</c:f>
              <c:strCache>
                <c:ptCount val="1"/>
                <c:pt idx="0">
                  <c:v>Diễn giải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'Ma trận giá bán rPP'!$AX$5:$GT$5</c:f>
              <c:strCache>
                <c:ptCount val="51"/>
                <c:pt idx="0">
                  <c:v> 01 </c:v>
                </c:pt>
                <c:pt idx="1">
                  <c:v> 02 </c:v>
                </c:pt>
                <c:pt idx="2">
                  <c:v> 03 </c:v>
                </c:pt>
                <c:pt idx="3">
                  <c:v> 04 </c:v>
                </c:pt>
                <c:pt idx="4">
                  <c:v> 06 </c:v>
                </c:pt>
                <c:pt idx="5">
                  <c:v> 07 </c:v>
                </c:pt>
                <c:pt idx="6">
                  <c:v> 08 </c:v>
                </c:pt>
                <c:pt idx="7">
                  <c:v> 09 </c:v>
                </c:pt>
                <c:pt idx="8">
                  <c:v> 10 </c:v>
                </c:pt>
                <c:pt idx="9">
                  <c:v> 11 </c:v>
                </c:pt>
                <c:pt idx="10">
                  <c:v> 12 </c:v>
                </c:pt>
                <c:pt idx="11">
                  <c:v> 13 </c:v>
                </c:pt>
                <c:pt idx="12">
                  <c:v> 14 </c:v>
                </c:pt>
                <c:pt idx="13">
                  <c:v> 15 </c:v>
                </c:pt>
                <c:pt idx="14">
                  <c:v> 16 </c:v>
                </c:pt>
                <c:pt idx="15">
                  <c:v> 17 </c:v>
                </c:pt>
                <c:pt idx="16">
                  <c:v> 18 </c:v>
                </c:pt>
                <c:pt idx="17">
                  <c:v> 19 </c:v>
                </c:pt>
                <c:pt idx="18">
                  <c:v> 20 </c:v>
                </c:pt>
                <c:pt idx="19">
                  <c:v> 21 </c:v>
                </c:pt>
                <c:pt idx="20">
                  <c:v> 22 </c:v>
                </c:pt>
                <c:pt idx="21">
                  <c:v> 23 </c:v>
                </c:pt>
                <c:pt idx="22">
                  <c:v> 24 </c:v>
                </c:pt>
                <c:pt idx="23">
                  <c:v> 25 </c:v>
                </c:pt>
                <c:pt idx="24">
                  <c:v> 26 </c:v>
                </c:pt>
                <c:pt idx="25">
                  <c:v> 27 </c:v>
                </c:pt>
                <c:pt idx="26">
                  <c:v> 28 </c:v>
                </c:pt>
                <c:pt idx="27">
                  <c:v> 29 </c:v>
                </c:pt>
                <c:pt idx="28">
                  <c:v> 30 </c:v>
                </c:pt>
                <c:pt idx="29">
                  <c:v> 31 </c:v>
                </c:pt>
                <c:pt idx="30">
                  <c:v> 32 </c:v>
                </c:pt>
                <c:pt idx="31">
                  <c:v> 33 </c:v>
                </c:pt>
                <c:pt idx="32">
                  <c:v> 34 </c:v>
                </c:pt>
                <c:pt idx="33">
                  <c:v> 35 </c:v>
                </c:pt>
                <c:pt idx="34">
                  <c:v> 36 </c:v>
                </c:pt>
                <c:pt idx="35">
                  <c:v> 37 </c:v>
                </c:pt>
                <c:pt idx="36">
                  <c:v> 38 </c:v>
                </c:pt>
                <c:pt idx="37">
                  <c:v> 39 </c:v>
                </c:pt>
                <c:pt idx="38">
                  <c:v> 40 </c:v>
                </c:pt>
                <c:pt idx="39">
                  <c:v> 41 </c:v>
                </c:pt>
                <c:pt idx="40">
                  <c:v> 42 </c:v>
                </c:pt>
                <c:pt idx="41">
                  <c:v> 43 </c:v>
                </c:pt>
                <c:pt idx="42">
                  <c:v> 44 </c:v>
                </c:pt>
                <c:pt idx="43">
                  <c:v> 45 </c:v>
                </c:pt>
                <c:pt idx="44">
                  <c:v> 46 </c:v>
                </c:pt>
                <c:pt idx="45">
                  <c:v> 47 </c:v>
                </c:pt>
                <c:pt idx="46">
                  <c:v> 48 </c:v>
                </c:pt>
                <c:pt idx="47">
                  <c:v> 49 </c:v>
                </c:pt>
                <c:pt idx="48">
                  <c:v> 50 </c:v>
                </c:pt>
                <c:pt idx="49">
                  <c:v> 51 </c:v>
                </c:pt>
                <c:pt idx="50">
                  <c:v> 52 </c:v>
                </c:pt>
              </c:strCache>
            </c:strRef>
          </c:cat>
          <c:val>
            <c:numRef>
              <c:f>'Ma trận giá bán rPP'!$AX$5:$BJ$5</c:f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4-B92D-4F4B-99DE-3C531E2FE68B}"/>
            </c:ext>
          </c:extLst>
        </c:ser>
        <c:ser>
          <c:idx val="9"/>
          <c:order val="1"/>
          <c:tx>
            <c:strRef>
              <c:f>'Ma trận giá bán rPP'!$AW$18</c:f>
              <c:strCache>
                <c:ptCount val="1"/>
                <c:pt idx="0">
                  <c:v>Giá bán vảy PP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'Ma trận giá bán rPP'!$AX$5:$GT$5</c:f>
              <c:strCache>
                <c:ptCount val="51"/>
                <c:pt idx="0">
                  <c:v> 01 </c:v>
                </c:pt>
                <c:pt idx="1">
                  <c:v> 02 </c:v>
                </c:pt>
                <c:pt idx="2">
                  <c:v> 03 </c:v>
                </c:pt>
                <c:pt idx="3">
                  <c:v> 04 </c:v>
                </c:pt>
                <c:pt idx="4">
                  <c:v> 06 </c:v>
                </c:pt>
                <c:pt idx="5">
                  <c:v> 07 </c:v>
                </c:pt>
                <c:pt idx="6">
                  <c:v> 08 </c:v>
                </c:pt>
                <c:pt idx="7">
                  <c:v> 09 </c:v>
                </c:pt>
                <c:pt idx="8">
                  <c:v> 10 </c:v>
                </c:pt>
                <c:pt idx="9">
                  <c:v> 11 </c:v>
                </c:pt>
                <c:pt idx="10">
                  <c:v> 12 </c:v>
                </c:pt>
                <c:pt idx="11">
                  <c:v> 13 </c:v>
                </c:pt>
                <c:pt idx="12">
                  <c:v> 14 </c:v>
                </c:pt>
                <c:pt idx="13">
                  <c:v> 15 </c:v>
                </c:pt>
                <c:pt idx="14">
                  <c:v> 16 </c:v>
                </c:pt>
                <c:pt idx="15">
                  <c:v> 17 </c:v>
                </c:pt>
                <c:pt idx="16">
                  <c:v> 18 </c:v>
                </c:pt>
                <c:pt idx="17">
                  <c:v> 19 </c:v>
                </c:pt>
                <c:pt idx="18">
                  <c:v> 20 </c:v>
                </c:pt>
                <c:pt idx="19">
                  <c:v> 21 </c:v>
                </c:pt>
                <c:pt idx="20">
                  <c:v> 22 </c:v>
                </c:pt>
                <c:pt idx="21">
                  <c:v> 23 </c:v>
                </c:pt>
                <c:pt idx="22">
                  <c:v> 24 </c:v>
                </c:pt>
                <c:pt idx="23">
                  <c:v> 25 </c:v>
                </c:pt>
                <c:pt idx="24">
                  <c:v> 26 </c:v>
                </c:pt>
                <c:pt idx="25">
                  <c:v> 27 </c:v>
                </c:pt>
                <c:pt idx="26">
                  <c:v> 28 </c:v>
                </c:pt>
                <c:pt idx="27">
                  <c:v> 29 </c:v>
                </c:pt>
                <c:pt idx="28">
                  <c:v> 30 </c:v>
                </c:pt>
                <c:pt idx="29">
                  <c:v> 31 </c:v>
                </c:pt>
                <c:pt idx="30">
                  <c:v> 32 </c:v>
                </c:pt>
                <c:pt idx="31">
                  <c:v> 33 </c:v>
                </c:pt>
                <c:pt idx="32">
                  <c:v> 34 </c:v>
                </c:pt>
                <c:pt idx="33">
                  <c:v> 35 </c:v>
                </c:pt>
                <c:pt idx="34">
                  <c:v> 36 </c:v>
                </c:pt>
                <c:pt idx="35">
                  <c:v> 37 </c:v>
                </c:pt>
                <c:pt idx="36">
                  <c:v> 38 </c:v>
                </c:pt>
                <c:pt idx="37">
                  <c:v> 39 </c:v>
                </c:pt>
                <c:pt idx="38">
                  <c:v> 40 </c:v>
                </c:pt>
                <c:pt idx="39">
                  <c:v> 41 </c:v>
                </c:pt>
                <c:pt idx="40">
                  <c:v> 42 </c:v>
                </c:pt>
                <c:pt idx="41">
                  <c:v> 43 </c:v>
                </c:pt>
                <c:pt idx="42">
                  <c:v> 44 </c:v>
                </c:pt>
                <c:pt idx="43">
                  <c:v> 45 </c:v>
                </c:pt>
                <c:pt idx="44">
                  <c:v> 46 </c:v>
                </c:pt>
                <c:pt idx="45">
                  <c:v> 47 </c:v>
                </c:pt>
                <c:pt idx="46">
                  <c:v> 48 </c:v>
                </c:pt>
                <c:pt idx="47">
                  <c:v> 49 </c:v>
                </c:pt>
                <c:pt idx="48">
                  <c:v> 50 </c:v>
                </c:pt>
                <c:pt idx="49">
                  <c:v> 51 </c:v>
                </c:pt>
                <c:pt idx="50">
                  <c:v> 52 </c:v>
                </c:pt>
              </c:strCache>
            </c:strRef>
          </c:cat>
          <c:val>
            <c:numRef>
              <c:f>'Ma trận giá bán rPP'!$AY$18:$CR$18</c:f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55-B92D-4F4B-99DE-3C531E2FE68B}"/>
            </c:ext>
          </c:extLst>
        </c:ser>
        <c:ser>
          <c:idx val="7"/>
          <c:order val="2"/>
          <c:tx>
            <c:strRef>
              <c:f>'Ma trận giá bán rPP'!$AW$7</c:f>
              <c:strCache>
                <c:ptCount val="1"/>
                <c:pt idx="0">
                  <c:v>Vảy PP tuyển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'Ma trận giá bán rPP'!$AX$5:$GT$5</c:f>
              <c:strCache>
                <c:ptCount val="51"/>
                <c:pt idx="0">
                  <c:v> 01 </c:v>
                </c:pt>
                <c:pt idx="1">
                  <c:v> 02 </c:v>
                </c:pt>
                <c:pt idx="2">
                  <c:v> 03 </c:v>
                </c:pt>
                <c:pt idx="3">
                  <c:v> 04 </c:v>
                </c:pt>
                <c:pt idx="4">
                  <c:v> 06 </c:v>
                </c:pt>
                <c:pt idx="5">
                  <c:v> 07 </c:v>
                </c:pt>
                <c:pt idx="6">
                  <c:v> 08 </c:v>
                </c:pt>
                <c:pt idx="7">
                  <c:v> 09 </c:v>
                </c:pt>
                <c:pt idx="8">
                  <c:v> 10 </c:v>
                </c:pt>
                <c:pt idx="9">
                  <c:v> 11 </c:v>
                </c:pt>
                <c:pt idx="10">
                  <c:v> 12 </c:v>
                </c:pt>
                <c:pt idx="11">
                  <c:v> 13 </c:v>
                </c:pt>
                <c:pt idx="12">
                  <c:v> 14 </c:v>
                </c:pt>
                <c:pt idx="13">
                  <c:v> 15 </c:v>
                </c:pt>
                <c:pt idx="14">
                  <c:v> 16 </c:v>
                </c:pt>
                <c:pt idx="15">
                  <c:v> 17 </c:v>
                </c:pt>
                <c:pt idx="16">
                  <c:v> 18 </c:v>
                </c:pt>
                <c:pt idx="17">
                  <c:v> 19 </c:v>
                </c:pt>
                <c:pt idx="18">
                  <c:v> 20 </c:v>
                </c:pt>
                <c:pt idx="19">
                  <c:v> 21 </c:v>
                </c:pt>
                <c:pt idx="20">
                  <c:v> 22 </c:v>
                </c:pt>
                <c:pt idx="21">
                  <c:v> 23 </c:v>
                </c:pt>
                <c:pt idx="22">
                  <c:v> 24 </c:v>
                </c:pt>
                <c:pt idx="23">
                  <c:v> 25 </c:v>
                </c:pt>
                <c:pt idx="24">
                  <c:v> 26 </c:v>
                </c:pt>
                <c:pt idx="25">
                  <c:v> 27 </c:v>
                </c:pt>
                <c:pt idx="26">
                  <c:v> 28 </c:v>
                </c:pt>
                <c:pt idx="27">
                  <c:v> 29 </c:v>
                </c:pt>
                <c:pt idx="28">
                  <c:v> 30 </c:v>
                </c:pt>
                <c:pt idx="29">
                  <c:v> 31 </c:v>
                </c:pt>
                <c:pt idx="30">
                  <c:v> 32 </c:v>
                </c:pt>
                <c:pt idx="31">
                  <c:v> 33 </c:v>
                </c:pt>
                <c:pt idx="32">
                  <c:v> 34 </c:v>
                </c:pt>
                <c:pt idx="33">
                  <c:v> 35 </c:v>
                </c:pt>
                <c:pt idx="34">
                  <c:v> 36 </c:v>
                </c:pt>
                <c:pt idx="35">
                  <c:v> 37 </c:v>
                </c:pt>
                <c:pt idx="36">
                  <c:v> 38 </c:v>
                </c:pt>
                <c:pt idx="37">
                  <c:v> 39 </c:v>
                </c:pt>
                <c:pt idx="38">
                  <c:v> 40 </c:v>
                </c:pt>
                <c:pt idx="39">
                  <c:v> 41 </c:v>
                </c:pt>
                <c:pt idx="40">
                  <c:v> 42 </c:v>
                </c:pt>
                <c:pt idx="41">
                  <c:v> 43 </c:v>
                </c:pt>
                <c:pt idx="42">
                  <c:v> 44 </c:v>
                </c:pt>
                <c:pt idx="43">
                  <c:v> 45 </c:v>
                </c:pt>
                <c:pt idx="44">
                  <c:v> 46 </c:v>
                </c:pt>
                <c:pt idx="45">
                  <c:v> 47 </c:v>
                </c:pt>
                <c:pt idx="46">
                  <c:v> 48 </c:v>
                </c:pt>
                <c:pt idx="47">
                  <c:v> 49 </c:v>
                </c:pt>
                <c:pt idx="48">
                  <c:v> 50 </c:v>
                </c:pt>
                <c:pt idx="49">
                  <c:v> 51 </c:v>
                </c:pt>
                <c:pt idx="50">
                  <c:v> 52 </c:v>
                </c:pt>
              </c:strCache>
            </c:strRef>
          </c:cat>
          <c:val>
            <c:numRef>
              <c:f>'Ma trận giá bán rPP'!$AX$7:$BJ$7</c:f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5A-B92D-4F4B-99DE-3C531E2FE68B}"/>
            </c:ext>
          </c:extLst>
        </c:ser>
        <c:ser>
          <c:idx val="2"/>
          <c:order val="3"/>
          <c:tx>
            <c:strRef>
              <c:f>'Ma trận giá bán rPP'!$AW$13</c:f>
              <c:strCache>
                <c:ptCount val="1"/>
                <c:pt idx="0">
                  <c:v>RESIN</c:v>
                </c:pt>
              </c:strCache>
            </c:strRef>
          </c:tx>
          <c:spPr>
            <a:ln w="44450" cap="rnd">
              <a:solidFill>
                <a:srgbClr val="FF3399"/>
              </a:solidFill>
              <a:round/>
            </a:ln>
            <a:effectLst/>
          </c:spPr>
          <c:marker>
            <c:symbol val="none"/>
          </c:marke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751-4361-84E5-6C2C5FD7ECD4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56C8-48B3-9817-F252ACE18A17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D3EF-42C8-A9B5-FBED30C0A33B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751-4361-84E5-6C2C5FD7ECD4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6C8-48B3-9817-F252ACE18A17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751-4361-84E5-6C2C5FD7ECD4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751-4361-84E5-6C2C5FD7ECD4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C751-4361-84E5-6C2C5FD7ECD4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6C8-48B3-9817-F252ACE18A17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C751-4361-84E5-6C2C5FD7ECD4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6C8-48B3-9817-F252ACE18A17}"/>
                </c:ext>
              </c:extLst>
            </c:dLbl>
            <c:dLbl>
              <c:idx val="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C751-4361-84E5-6C2C5FD7ECD4}"/>
                </c:ext>
              </c:extLst>
            </c:dLbl>
            <c:dLbl>
              <c:idx val="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56C8-48B3-9817-F252ACE18A17}"/>
                </c:ext>
              </c:extLst>
            </c:dLbl>
            <c:dLbl>
              <c:idx val="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C751-4361-84E5-6C2C5FD7ECD4}"/>
                </c:ext>
              </c:extLst>
            </c:dLbl>
            <c:dLbl>
              <c:idx val="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56C8-48B3-9817-F252ACE18A17}"/>
                </c:ext>
              </c:extLst>
            </c:dLbl>
            <c:dLbl>
              <c:idx val="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C751-4361-84E5-6C2C5FD7ECD4}"/>
                </c:ext>
              </c:extLst>
            </c:dLbl>
            <c:dLbl>
              <c:idx val="2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C751-4361-84E5-6C2C5FD7ECD4}"/>
                </c:ext>
              </c:extLst>
            </c:dLbl>
            <c:dLbl>
              <c:idx val="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56C8-48B3-9817-F252ACE18A17}"/>
                </c:ext>
              </c:extLst>
            </c:dLbl>
            <c:dLbl>
              <c:idx val="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896C-41BC-95EE-0A44D52F79B7}"/>
                </c:ext>
              </c:extLst>
            </c:dLbl>
            <c:dLbl>
              <c:idx val="3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3EF-42C8-A9B5-FBED30C0A33B}"/>
                </c:ext>
              </c:extLst>
            </c:dLbl>
            <c:dLbl>
              <c:idx val="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56C8-48B3-9817-F252ACE18A17}"/>
                </c:ext>
              </c:extLst>
            </c:dLbl>
            <c:dLbl>
              <c:idx val="3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2AAB-46EA-9941-24AE8D2604CE}"/>
                </c:ext>
              </c:extLst>
            </c:dLbl>
            <c:dLbl>
              <c:idx val="3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87D-41B4-8170-72BB4E1ACB9A}"/>
                </c:ext>
              </c:extLst>
            </c:dLbl>
            <c:dLbl>
              <c:idx val="3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B6F-4267-9C25-13619BB05DB9}"/>
                </c:ext>
              </c:extLst>
            </c:dLbl>
            <c:dLbl>
              <c:idx val="3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221-4513-8228-9E95A76331B5}"/>
                </c:ext>
              </c:extLst>
            </c:dLbl>
            <c:dLbl>
              <c:idx val="38"/>
              <c:delete val="1"/>
              <c:extLst>
                <c:ext xmlns:c15="http://schemas.microsoft.com/office/drawing/2012/chart" uri="{CE6537A1-D6FC-4f65-9D91-7224C49458BB}">
                  <c15:layout>
                    <c:manualLayout>
                      <c:w val="3.0274382095514484E-2"/>
                      <c:h val="7.931029872807209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4-E221-4513-8228-9E95A76331B5}"/>
                </c:ext>
              </c:extLst>
            </c:dLbl>
            <c:dLbl>
              <c:idx val="39"/>
              <c:layout>
                <c:manualLayout>
                  <c:x val="-2.2260575070231236E-3"/>
                  <c:y val="-1.872281245633373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221-4513-8228-9E95A76331B5}"/>
                </c:ext>
              </c:extLst>
            </c:dLbl>
            <c:dLbl>
              <c:idx val="4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AEA-47B4-B0B1-D78E35789768}"/>
                </c:ext>
              </c:extLst>
            </c:dLbl>
            <c:dLbl>
              <c:idx val="4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AEA-47B4-B0B1-D78E35789768}"/>
                </c:ext>
              </c:extLst>
            </c:dLbl>
            <c:dLbl>
              <c:idx val="4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9D5-4F74-96B1-C2F606D41C6A}"/>
                </c:ext>
              </c:extLst>
            </c:dLbl>
            <c:dLbl>
              <c:idx val="4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160-43CB-A470-DA2AC75D2015}"/>
                </c:ext>
              </c:extLst>
            </c:dLbl>
            <c:dLbl>
              <c:idx val="4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9F6-440B-8B5C-6C86CA217B75}"/>
                </c:ext>
              </c:extLst>
            </c:dLbl>
            <c:dLbl>
              <c:idx val="4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BDA-49F6-B636-3CDAE0DD155E}"/>
                </c:ext>
              </c:extLst>
            </c:dLbl>
            <c:dLbl>
              <c:idx val="4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56C8-48B3-9817-F252ACE18A17}"/>
                </c:ext>
              </c:extLst>
            </c:dLbl>
            <c:dLbl>
              <c:idx val="4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56C8-48B3-9817-F252ACE18A17}"/>
                </c:ext>
              </c:extLst>
            </c:dLbl>
            <c:numFmt formatCode="[$$-C09]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rgbClr val="FF3399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'Ma trận giá bán rPP'!$AX$5:$GT$5</c:f>
              <c:strCache>
                <c:ptCount val="51"/>
                <c:pt idx="0">
                  <c:v> 01 </c:v>
                </c:pt>
                <c:pt idx="1">
                  <c:v> 02 </c:v>
                </c:pt>
                <c:pt idx="2">
                  <c:v> 03 </c:v>
                </c:pt>
                <c:pt idx="3">
                  <c:v> 04 </c:v>
                </c:pt>
                <c:pt idx="4">
                  <c:v> 06 </c:v>
                </c:pt>
                <c:pt idx="5">
                  <c:v> 07 </c:v>
                </c:pt>
                <c:pt idx="6">
                  <c:v> 08 </c:v>
                </c:pt>
                <c:pt idx="7">
                  <c:v> 09 </c:v>
                </c:pt>
                <c:pt idx="8">
                  <c:v> 10 </c:v>
                </c:pt>
                <c:pt idx="9">
                  <c:v> 11 </c:v>
                </c:pt>
                <c:pt idx="10">
                  <c:v> 12 </c:v>
                </c:pt>
                <c:pt idx="11">
                  <c:v> 13 </c:v>
                </c:pt>
                <c:pt idx="12">
                  <c:v> 14 </c:v>
                </c:pt>
                <c:pt idx="13">
                  <c:v> 15 </c:v>
                </c:pt>
                <c:pt idx="14">
                  <c:v> 16 </c:v>
                </c:pt>
                <c:pt idx="15">
                  <c:v> 17 </c:v>
                </c:pt>
                <c:pt idx="16">
                  <c:v> 18 </c:v>
                </c:pt>
                <c:pt idx="17">
                  <c:v> 19 </c:v>
                </c:pt>
                <c:pt idx="18">
                  <c:v> 20 </c:v>
                </c:pt>
                <c:pt idx="19">
                  <c:v> 21 </c:v>
                </c:pt>
                <c:pt idx="20">
                  <c:v> 22 </c:v>
                </c:pt>
                <c:pt idx="21">
                  <c:v> 23 </c:v>
                </c:pt>
                <c:pt idx="22">
                  <c:v> 24 </c:v>
                </c:pt>
                <c:pt idx="23">
                  <c:v> 25 </c:v>
                </c:pt>
                <c:pt idx="24">
                  <c:v> 26 </c:v>
                </c:pt>
                <c:pt idx="25">
                  <c:v> 27 </c:v>
                </c:pt>
                <c:pt idx="26">
                  <c:v> 28 </c:v>
                </c:pt>
                <c:pt idx="27">
                  <c:v> 29 </c:v>
                </c:pt>
                <c:pt idx="28">
                  <c:v> 30 </c:v>
                </c:pt>
                <c:pt idx="29">
                  <c:v> 31 </c:v>
                </c:pt>
                <c:pt idx="30">
                  <c:v> 32 </c:v>
                </c:pt>
                <c:pt idx="31">
                  <c:v> 33 </c:v>
                </c:pt>
                <c:pt idx="32">
                  <c:v> 34 </c:v>
                </c:pt>
                <c:pt idx="33">
                  <c:v> 35 </c:v>
                </c:pt>
                <c:pt idx="34">
                  <c:v> 36 </c:v>
                </c:pt>
                <c:pt idx="35">
                  <c:v> 37 </c:v>
                </c:pt>
                <c:pt idx="36">
                  <c:v> 38 </c:v>
                </c:pt>
                <c:pt idx="37">
                  <c:v> 39 </c:v>
                </c:pt>
                <c:pt idx="38">
                  <c:v> 40 </c:v>
                </c:pt>
                <c:pt idx="39">
                  <c:v> 41 </c:v>
                </c:pt>
                <c:pt idx="40">
                  <c:v> 42 </c:v>
                </c:pt>
                <c:pt idx="41">
                  <c:v> 43 </c:v>
                </c:pt>
                <c:pt idx="42">
                  <c:v> 44 </c:v>
                </c:pt>
                <c:pt idx="43">
                  <c:v> 45 </c:v>
                </c:pt>
                <c:pt idx="44">
                  <c:v> 46 </c:v>
                </c:pt>
                <c:pt idx="45">
                  <c:v> 47 </c:v>
                </c:pt>
                <c:pt idx="46">
                  <c:v> 48 </c:v>
                </c:pt>
                <c:pt idx="47">
                  <c:v> 49 </c:v>
                </c:pt>
                <c:pt idx="48">
                  <c:v> 50 </c:v>
                </c:pt>
                <c:pt idx="49">
                  <c:v> 51 </c:v>
                </c:pt>
                <c:pt idx="50">
                  <c:v> 52 </c:v>
                </c:pt>
              </c:strCache>
            </c:strRef>
          </c:cat>
          <c:val>
            <c:numRef>
              <c:f>'Ma trận giá bán rPP'!$AX$13:$GT$13</c:f>
              <c:numCache>
                <c:formatCode>"$"#,##0_);\("$"#,##0\)</c:formatCode>
                <c:ptCount val="51"/>
                <c:pt idx="0">
                  <c:v>960</c:v>
                </c:pt>
                <c:pt idx="1">
                  <c:v>970</c:v>
                </c:pt>
                <c:pt idx="2">
                  <c:v>970</c:v>
                </c:pt>
                <c:pt idx="3">
                  <c:v>980</c:v>
                </c:pt>
                <c:pt idx="4">
                  <c:v>970</c:v>
                </c:pt>
                <c:pt idx="5">
                  <c:v>1000</c:v>
                </c:pt>
                <c:pt idx="6">
                  <c:v>990</c:v>
                </c:pt>
                <c:pt idx="7">
                  <c:v>980</c:v>
                </c:pt>
                <c:pt idx="8">
                  <c:v>980</c:v>
                </c:pt>
                <c:pt idx="9">
                  <c:v>980</c:v>
                </c:pt>
                <c:pt idx="10">
                  <c:v>980</c:v>
                </c:pt>
                <c:pt idx="11">
                  <c:v>980</c:v>
                </c:pt>
                <c:pt idx="12">
                  <c:v>980</c:v>
                </c:pt>
                <c:pt idx="13">
                  <c:v>970</c:v>
                </c:pt>
                <c:pt idx="14">
                  <c:v>960</c:v>
                </c:pt>
                <c:pt idx="15">
                  <c:v>950</c:v>
                </c:pt>
                <c:pt idx="16">
                  <c:v>950</c:v>
                </c:pt>
                <c:pt idx="17">
                  <c:v>930</c:v>
                </c:pt>
                <c:pt idx="18">
                  <c:v>930</c:v>
                </c:pt>
                <c:pt idx="19">
                  <c:v>930</c:v>
                </c:pt>
                <c:pt idx="20">
                  <c:v>920</c:v>
                </c:pt>
                <c:pt idx="21">
                  <c:v>920</c:v>
                </c:pt>
                <c:pt idx="22">
                  <c:v>910</c:v>
                </c:pt>
                <c:pt idx="23">
                  <c:v>930</c:v>
                </c:pt>
                <c:pt idx="24">
                  <c:v>930</c:v>
                </c:pt>
                <c:pt idx="25">
                  <c:v>930</c:v>
                </c:pt>
                <c:pt idx="26">
                  <c:v>930</c:v>
                </c:pt>
                <c:pt idx="27">
                  <c:v>930</c:v>
                </c:pt>
                <c:pt idx="28">
                  <c:v>900</c:v>
                </c:pt>
                <c:pt idx="29">
                  <c:v>900</c:v>
                </c:pt>
                <c:pt idx="30">
                  <c:v>900</c:v>
                </c:pt>
                <c:pt idx="31">
                  <c:v>900</c:v>
                </c:pt>
                <c:pt idx="32">
                  <c:v>890</c:v>
                </c:pt>
                <c:pt idx="33">
                  <c:v>890</c:v>
                </c:pt>
                <c:pt idx="34">
                  <c:v>890</c:v>
                </c:pt>
                <c:pt idx="35">
                  <c:v>870</c:v>
                </c:pt>
                <c:pt idx="36">
                  <c:v>870</c:v>
                </c:pt>
                <c:pt idx="37">
                  <c:v>850</c:v>
                </c:pt>
                <c:pt idx="38">
                  <c:v>850</c:v>
                </c:pt>
                <c:pt idx="39">
                  <c:v>850</c:v>
                </c:pt>
                <c:pt idx="40">
                  <c:v>840</c:v>
                </c:pt>
                <c:pt idx="41">
                  <c:v>840</c:v>
                </c:pt>
                <c:pt idx="42">
                  <c:v>830</c:v>
                </c:pt>
                <c:pt idx="43">
                  <c:v>830</c:v>
                </c:pt>
                <c:pt idx="44">
                  <c:v>830</c:v>
                </c:pt>
                <c:pt idx="45">
                  <c:v>830</c:v>
                </c:pt>
                <c:pt idx="46">
                  <c:v>820</c:v>
                </c:pt>
                <c:pt idx="47">
                  <c:v>820</c:v>
                </c:pt>
                <c:pt idx="48">
                  <c:v>820</c:v>
                </c:pt>
                <c:pt idx="49">
                  <c:v>820</c:v>
                </c:pt>
                <c:pt idx="50">
                  <c:v>820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5D-B92D-4F4B-99DE-3C531E2FE68B}"/>
            </c:ext>
          </c:extLst>
        </c:ser>
        <c:ser>
          <c:idx val="4"/>
          <c:order val="4"/>
          <c:tx>
            <c:strRef>
              <c:f>'Ma trận giá bán rPP'!$AW$8</c:f>
              <c:strCache>
                <c:ptCount val="1"/>
                <c:pt idx="0">
                  <c:v>Vảy PP tuyển mua ngoài - ICIS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'Ma trận giá bán rPP'!$AX$5:$GT$5</c:f>
              <c:strCache>
                <c:ptCount val="51"/>
                <c:pt idx="0">
                  <c:v> 01 </c:v>
                </c:pt>
                <c:pt idx="1">
                  <c:v> 02 </c:v>
                </c:pt>
                <c:pt idx="2">
                  <c:v> 03 </c:v>
                </c:pt>
                <c:pt idx="3">
                  <c:v> 04 </c:v>
                </c:pt>
                <c:pt idx="4">
                  <c:v> 06 </c:v>
                </c:pt>
                <c:pt idx="5">
                  <c:v> 07 </c:v>
                </c:pt>
                <c:pt idx="6">
                  <c:v> 08 </c:v>
                </c:pt>
                <c:pt idx="7">
                  <c:v> 09 </c:v>
                </c:pt>
                <c:pt idx="8">
                  <c:v> 10 </c:v>
                </c:pt>
                <c:pt idx="9">
                  <c:v> 11 </c:v>
                </c:pt>
                <c:pt idx="10">
                  <c:v> 12 </c:v>
                </c:pt>
                <c:pt idx="11">
                  <c:v> 13 </c:v>
                </c:pt>
                <c:pt idx="12">
                  <c:v> 14 </c:v>
                </c:pt>
                <c:pt idx="13">
                  <c:v> 15 </c:v>
                </c:pt>
                <c:pt idx="14">
                  <c:v> 16 </c:v>
                </c:pt>
                <c:pt idx="15">
                  <c:v> 17 </c:v>
                </c:pt>
                <c:pt idx="16">
                  <c:v> 18 </c:v>
                </c:pt>
                <c:pt idx="17">
                  <c:v> 19 </c:v>
                </c:pt>
                <c:pt idx="18">
                  <c:v> 20 </c:v>
                </c:pt>
                <c:pt idx="19">
                  <c:v> 21 </c:v>
                </c:pt>
                <c:pt idx="20">
                  <c:v> 22 </c:v>
                </c:pt>
                <c:pt idx="21">
                  <c:v> 23 </c:v>
                </c:pt>
                <c:pt idx="22">
                  <c:v> 24 </c:v>
                </c:pt>
                <c:pt idx="23">
                  <c:v> 25 </c:v>
                </c:pt>
                <c:pt idx="24">
                  <c:v> 26 </c:v>
                </c:pt>
                <c:pt idx="25">
                  <c:v> 27 </c:v>
                </c:pt>
                <c:pt idx="26">
                  <c:v> 28 </c:v>
                </c:pt>
                <c:pt idx="27">
                  <c:v> 29 </c:v>
                </c:pt>
                <c:pt idx="28">
                  <c:v> 30 </c:v>
                </c:pt>
                <c:pt idx="29">
                  <c:v> 31 </c:v>
                </c:pt>
                <c:pt idx="30">
                  <c:v> 32 </c:v>
                </c:pt>
                <c:pt idx="31">
                  <c:v> 33 </c:v>
                </c:pt>
                <c:pt idx="32">
                  <c:v> 34 </c:v>
                </c:pt>
                <c:pt idx="33">
                  <c:v> 35 </c:v>
                </c:pt>
                <c:pt idx="34">
                  <c:v> 36 </c:v>
                </c:pt>
                <c:pt idx="35">
                  <c:v> 37 </c:v>
                </c:pt>
                <c:pt idx="36">
                  <c:v> 38 </c:v>
                </c:pt>
                <c:pt idx="37">
                  <c:v> 39 </c:v>
                </c:pt>
                <c:pt idx="38">
                  <c:v> 40 </c:v>
                </c:pt>
                <c:pt idx="39">
                  <c:v> 41 </c:v>
                </c:pt>
                <c:pt idx="40">
                  <c:v> 42 </c:v>
                </c:pt>
                <c:pt idx="41">
                  <c:v> 43 </c:v>
                </c:pt>
                <c:pt idx="42">
                  <c:v> 44 </c:v>
                </c:pt>
                <c:pt idx="43">
                  <c:v> 45 </c:v>
                </c:pt>
                <c:pt idx="44">
                  <c:v> 46 </c:v>
                </c:pt>
                <c:pt idx="45">
                  <c:v> 47 </c:v>
                </c:pt>
                <c:pt idx="46">
                  <c:v> 48 </c:v>
                </c:pt>
                <c:pt idx="47">
                  <c:v> 49 </c:v>
                </c:pt>
                <c:pt idx="48">
                  <c:v> 50 </c:v>
                </c:pt>
                <c:pt idx="49">
                  <c:v> 51 </c:v>
                </c:pt>
                <c:pt idx="50">
                  <c:v> 52 </c:v>
                </c:pt>
              </c:strCache>
            </c:strRef>
          </c:cat>
          <c:val>
            <c:numRef>
              <c:f>'Ma trận giá bán rPP'!$AX$8:$BJ$8</c:f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27-B92D-4F4B-99DE-3C531E2FE68B}"/>
            </c:ext>
          </c:extLst>
        </c:ser>
        <c:ser>
          <c:idx val="1"/>
          <c:order val="5"/>
          <c:tx>
            <c:strRef>
              <c:f>'Ma trận giá bán rPP'!$AW$12</c:f>
              <c:strCache>
                <c:ptCount val="1"/>
                <c:pt idx="0">
                  <c:v>Hạt màu (Châu Âu) - ICIS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numFmt formatCode="[$$-C09]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accent2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'Ma trận giá bán rPP'!$AX$5:$GT$5</c:f>
              <c:strCache>
                <c:ptCount val="51"/>
                <c:pt idx="0">
                  <c:v> 01 </c:v>
                </c:pt>
                <c:pt idx="1">
                  <c:v> 02 </c:v>
                </c:pt>
                <c:pt idx="2">
                  <c:v> 03 </c:v>
                </c:pt>
                <c:pt idx="3">
                  <c:v> 04 </c:v>
                </c:pt>
                <c:pt idx="4">
                  <c:v> 06 </c:v>
                </c:pt>
                <c:pt idx="5">
                  <c:v> 07 </c:v>
                </c:pt>
                <c:pt idx="6">
                  <c:v> 08 </c:v>
                </c:pt>
                <c:pt idx="7">
                  <c:v> 09 </c:v>
                </c:pt>
                <c:pt idx="8">
                  <c:v> 10 </c:v>
                </c:pt>
                <c:pt idx="9">
                  <c:v> 11 </c:v>
                </c:pt>
                <c:pt idx="10">
                  <c:v> 12 </c:v>
                </c:pt>
                <c:pt idx="11">
                  <c:v> 13 </c:v>
                </c:pt>
                <c:pt idx="12">
                  <c:v> 14 </c:v>
                </c:pt>
                <c:pt idx="13">
                  <c:v> 15 </c:v>
                </c:pt>
                <c:pt idx="14">
                  <c:v> 16 </c:v>
                </c:pt>
                <c:pt idx="15">
                  <c:v> 17 </c:v>
                </c:pt>
                <c:pt idx="16">
                  <c:v> 18 </c:v>
                </c:pt>
                <c:pt idx="17">
                  <c:v> 19 </c:v>
                </c:pt>
                <c:pt idx="18">
                  <c:v> 20 </c:v>
                </c:pt>
                <c:pt idx="19">
                  <c:v> 21 </c:v>
                </c:pt>
                <c:pt idx="20">
                  <c:v> 22 </c:v>
                </c:pt>
                <c:pt idx="21">
                  <c:v> 23 </c:v>
                </c:pt>
                <c:pt idx="22">
                  <c:v> 24 </c:v>
                </c:pt>
                <c:pt idx="23">
                  <c:v> 25 </c:v>
                </c:pt>
                <c:pt idx="24">
                  <c:v> 26 </c:v>
                </c:pt>
                <c:pt idx="25">
                  <c:v> 27 </c:v>
                </c:pt>
                <c:pt idx="26">
                  <c:v> 28 </c:v>
                </c:pt>
                <c:pt idx="27">
                  <c:v> 29 </c:v>
                </c:pt>
                <c:pt idx="28">
                  <c:v> 30 </c:v>
                </c:pt>
                <c:pt idx="29">
                  <c:v> 31 </c:v>
                </c:pt>
                <c:pt idx="30">
                  <c:v> 32 </c:v>
                </c:pt>
                <c:pt idx="31">
                  <c:v> 33 </c:v>
                </c:pt>
                <c:pt idx="32">
                  <c:v> 34 </c:v>
                </c:pt>
                <c:pt idx="33">
                  <c:v> 35 </c:v>
                </c:pt>
                <c:pt idx="34">
                  <c:v> 36 </c:v>
                </c:pt>
                <c:pt idx="35">
                  <c:v> 37 </c:v>
                </c:pt>
                <c:pt idx="36">
                  <c:v> 38 </c:v>
                </c:pt>
                <c:pt idx="37">
                  <c:v> 39 </c:v>
                </c:pt>
                <c:pt idx="38">
                  <c:v> 40 </c:v>
                </c:pt>
                <c:pt idx="39">
                  <c:v> 41 </c:v>
                </c:pt>
                <c:pt idx="40">
                  <c:v> 42 </c:v>
                </c:pt>
                <c:pt idx="41">
                  <c:v> 43 </c:v>
                </c:pt>
                <c:pt idx="42">
                  <c:v> 44 </c:v>
                </c:pt>
                <c:pt idx="43">
                  <c:v> 45 </c:v>
                </c:pt>
                <c:pt idx="44">
                  <c:v> 46 </c:v>
                </c:pt>
                <c:pt idx="45">
                  <c:v> 47 </c:v>
                </c:pt>
                <c:pt idx="46">
                  <c:v> 48 </c:v>
                </c:pt>
                <c:pt idx="47">
                  <c:v> 49 </c:v>
                </c:pt>
                <c:pt idx="48">
                  <c:v> 50 </c:v>
                </c:pt>
                <c:pt idx="49">
                  <c:v> 51 </c:v>
                </c:pt>
                <c:pt idx="50">
                  <c:v> 52 </c:v>
                </c:pt>
              </c:strCache>
            </c:strRef>
          </c:cat>
          <c:val>
            <c:numRef>
              <c:f>'Ma trận giá bán rPP'!$AX$12:$DR$12</c:f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5C-B92D-4F4B-99DE-3C531E2FE68B}"/>
            </c:ext>
          </c:extLst>
        </c:ser>
        <c:ser>
          <c:idx val="11"/>
          <c:order val="6"/>
          <c:tx>
            <c:strRef>
              <c:f>'Ma trận giá bán rPP'!$AW$9</c:f>
              <c:strCache>
                <c:ptCount val="1"/>
                <c:pt idx="0">
                  <c:v>DTR </c:v>
                </c:pt>
              </c:strCache>
            </c:strRef>
          </c:tx>
          <c:spPr>
            <a:ln w="571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8-BB2D-422A-BCBF-914858BE8505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6-BB2D-422A-BCBF-914858BE8505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4-BB2D-422A-BCBF-914858BE8505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B-BB2D-422A-BCBF-914858BE8505}"/>
                </c:ext>
              </c:extLst>
            </c:dLbl>
            <c:dLbl>
              <c:idx val="6"/>
              <c:layout>
                <c:manualLayout>
                  <c:x val="-2.3596209574445078E-2"/>
                  <c:y val="2.779349178300465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18F-41C1-A4DB-4600C51DFE66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18F-41C1-A4DB-4600C51DFE66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6-BB2D-422A-BCBF-914858BE8505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0-BB2D-422A-BCBF-914858BE8505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7-BB2D-422A-BCBF-914858BE8505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905-4779-B7D6-48E6775B371C}"/>
                </c:ext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D905-4779-B7D6-48E6775B371C}"/>
                </c:ext>
              </c:extLst>
            </c:dLbl>
            <c:dLbl>
              <c:idx val="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2973-4A68-8A4B-97F6F786CE47}"/>
                </c:ext>
              </c:extLst>
            </c:dLbl>
            <c:dLbl>
              <c:idx val="17"/>
              <c:layout>
                <c:manualLayout>
                  <c:x val="-2.119624821080086E-2"/>
                  <c:y val="3.709675263087243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824D-4742-A781-994B191CDA53}"/>
                </c:ext>
              </c:extLst>
            </c:dLbl>
            <c:dLbl>
              <c:idx val="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508-4083-870B-4D9DCAD52E2E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905-4779-B7D6-48E6775B371C}"/>
                </c:ext>
              </c:extLst>
            </c:dLbl>
            <c:dLbl>
              <c:idx val="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8CE6-437D-B7DE-66FE9A7CDB67}"/>
                </c:ext>
              </c:extLst>
            </c:dLbl>
            <c:dLbl>
              <c:idx val="21"/>
              <c:layout>
                <c:manualLayout>
                  <c:x val="-2.0924940566017493E-2"/>
                  <c:y val="3.477093741890542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CE6-437D-B7DE-66FE9A7CDB67}"/>
                </c:ext>
              </c:extLst>
            </c:dLbl>
            <c:dLbl>
              <c:idx val="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318F-41C1-A4DB-4600C51DFE66}"/>
                </c:ext>
              </c:extLst>
            </c:dLbl>
            <c:dLbl>
              <c:idx val="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318F-41C1-A4DB-4600C51DFE66}"/>
                </c:ext>
              </c:extLst>
            </c:dLbl>
            <c:dLbl>
              <c:idx val="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318F-41C1-A4DB-4600C51DFE66}"/>
                </c:ext>
              </c:extLst>
            </c:dLbl>
            <c:dLbl>
              <c:idx val="25"/>
              <c:layout>
                <c:manualLayout>
                  <c:x val="-1.7363248554780365E-2"/>
                  <c:y val="3.011930699497165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9E7-43E1-B99E-9F6ACF7811F4}"/>
                </c:ext>
              </c:extLst>
            </c:dLbl>
            <c:dLbl>
              <c:idx val="2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9E7-43E1-B99E-9F6ACF7811F4}"/>
                </c:ext>
              </c:extLst>
            </c:dLbl>
            <c:dLbl>
              <c:idx val="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C751-4361-84E5-6C2C5FD7ECD4}"/>
                </c:ext>
              </c:extLst>
            </c:dLbl>
            <c:dLbl>
              <c:idx val="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9A5-4EB7-80A8-2DAFF36EC1DC}"/>
                </c:ext>
              </c:extLst>
            </c:dLbl>
            <c:dLbl>
              <c:idx val="29"/>
              <c:layout>
                <c:manualLayout>
                  <c:x val="-2.9829170594109989E-2"/>
                  <c:y val="3.011930699497148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3EF-42C8-A9B5-FBED30C0A33B}"/>
                </c:ext>
              </c:extLst>
            </c:dLbl>
            <c:dLbl>
              <c:idx val="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2AAB-46EA-9941-24AE8D2604CE}"/>
                </c:ext>
              </c:extLst>
            </c:dLbl>
            <c:dLbl>
              <c:idx val="3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2AAB-46EA-9941-24AE8D2604CE}"/>
                </c:ext>
              </c:extLst>
            </c:dLbl>
            <c:dLbl>
              <c:idx val="3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87D-41B4-8170-72BB4E1ACB9A}"/>
                </c:ext>
              </c:extLst>
            </c:dLbl>
            <c:dLbl>
              <c:idx val="3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B6F-4267-9C25-13619BB05DB9}"/>
                </c:ext>
              </c:extLst>
            </c:dLbl>
            <c:dLbl>
              <c:idx val="3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56C8-48B3-9817-F252ACE18A17}"/>
                </c:ext>
              </c:extLst>
            </c:dLbl>
            <c:dLbl>
              <c:idx val="3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E221-4513-8228-9E95A76331B5}"/>
                </c:ext>
              </c:extLst>
            </c:dLbl>
            <c:dLbl>
              <c:idx val="4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4AEA-47B4-B0B1-D78E35789768}"/>
                </c:ext>
              </c:extLst>
            </c:dLbl>
            <c:dLbl>
              <c:idx val="4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56C8-48B3-9817-F252ACE18A17}"/>
                </c:ext>
              </c:extLst>
            </c:dLbl>
            <c:dLbl>
              <c:idx val="4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9D5-4F74-96B1-C2F606D41C6A}"/>
                </c:ext>
              </c:extLst>
            </c:dLbl>
            <c:dLbl>
              <c:idx val="4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A9D5-4F74-96B1-C2F606D41C6A}"/>
                </c:ext>
              </c:extLst>
            </c:dLbl>
            <c:dLbl>
              <c:idx val="4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160-43CB-A470-DA2AC75D2015}"/>
                </c:ext>
              </c:extLst>
            </c:dLbl>
            <c:dLbl>
              <c:idx val="4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BDA-49F6-B636-3CDAE0DD155E}"/>
                </c:ext>
              </c:extLst>
            </c:dLbl>
            <c:dLbl>
              <c:idx val="4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56C8-48B3-9817-F252ACE18A17}"/>
                </c:ext>
              </c:extLst>
            </c:dLbl>
            <c:dLbl>
              <c:idx val="4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56C8-48B3-9817-F252ACE18A17}"/>
                </c:ext>
              </c:extLst>
            </c:dLbl>
            <c:numFmt formatCode="[$$-C09]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rgbClr val="00B05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'Ma trận giá bán rPP'!$AX$5:$GT$5</c:f>
              <c:strCache>
                <c:ptCount val="51"/>
                <c:pt idx="0">
                  <c:v> 01 </c:v>
                </c:pt>
                <c:pt idx="1">
                  <c:v> 02 </c:v>
                </c:pt>
                <c:pt idx="2">
                  <c:v> 03 </c:v>
                </c:pt>
                <c:pt idx="3">
                  <c:v> 04 </c:v>
                </c:pt>
                <c:pt idx="4">
                  <c:v> 06 </c:v>
                </c:pt>
                <c:pt idx="5">
                  <c:v> 07 </c:v>
                </c:pt>
                <c:pt idx="6">
                  <c:v> 08 </c:v>
                </c:pt>
                <c:pt idx="7">
                  <c:v> 09 </c:v>
                </c:pt>
                <c:pt idx="8">
                  <c:v> 10 </c:v>
                </c:pt>
                <c:pt idx="9">
                  <c:v> 11 </c:v>
                </c:pt>
                <c:pt idx="10">
                  <c:v> 12 </c:v>
                </c:pt>
                <c:pt idx="11">
                  <c:v> 13 </c:v>
                </c:pt>
                <c:pt idx="12">
                  <c:v> 14 </c:v>
                </c:pt>
                <c:pt idx="13">
                  <c:v> 15 </c:v>
                </c:pt>
                <c:pt idx="14">
                  <c:v> 16 </c:v>
                </c:pt>
                <c:pt idx="15">
                  <c:v> 17 </c:v>
                </c:pt>
                <c:pt idx="16">
                  <c:v> 18 </c:v>
                </c:pt>
                <c:pt idx="17">
                  <c:v> 19 </c:v>
                </c:pt>
                <c:pt idx="18">
                  <c:v> 20 </c:v>
                </c:pt>
                <c:pt idx="19">
                  <c:v> 21 </c:v>
                </c:pt>
                <c:pt idx="20">
                  <c:v> 22 </c:v>
                </c:pt>
                <c:pt idx="21">
                  <c:v> 23 </c:v>
                </c:pt>
                <c:pt idx="22">
                  <c:v> 24 </c:v>
                </c:pt>
                <c:pt idx="23">
                  <c:v> 25 </c:v>
                </c:pt>
                <c:pt idx="24">
                  <c:v> 26 </c:v>
                </c:pt>
                <c:pt idx="25">
                  <c:v> 27 </c:v>
                </c:pt>
                <c:pt idx="26">
                  <c:v> 28 </c:v>
                </c:pt>
                <c:pt idx="27">
                  <c:v> 29 </c:v>
                </c:pt>
                <c:pt idx="28">
                  <c:v> 30 </c:v>
                </c:pt>
                <c:pt idx="29">
                  <c:v> 31 </c:v>
                </c:pt>
                <c:pt idx="30">
                  <c:v> 32 </c:v>
                </c:pt>
                <c:pt idx="31">
                  <c:v> 33 </c:v>
                </c:pt>
                <c:pt idx="32">
                  <c:v> 34 </c:v>
                </c:pt>
                <c:pt idx="33">
                  <c:v> 35 </c:v>
                </c:pt>
                <c:pt idx="34">
                  <c:v> 36 </c:v>
                </c:pt>
                <c:pt idx="35">
                  <c:v> 37 </c:v>
                </c:pt>
                <c:pt idx="36">
                  <c:v> 38 </c:v>
                </c:pt>
                <c:pt idx="37">
                  <c:v> 39 </c:v>
                </c:pt>
                <c:pt idx="38">
                  <c:v> 40 </c:v>
                </c:pt>
                <c:pt idx="39">
                  <c:v> 41 </c:v>
                </c:pt>
                <c:pt idx="40">
                  <c:v> 42 </c:v>
                </c:pt>
                <c:pt idx="41">
                  <c:v> 43 </c:v>
                </c:pt>
                <c:pt idx="42">
                  <c:v> 44 </c:v>
                </c:pt>
                <c:pt idx="43">
                  <c:v> 45 </c:v>
                </c:pt>
                <c:pt idx="44">
                  <c:v> 46 </c:v>
                </c:pt>
                <c:pt idx="45">
                  <c:v> 47 </c:v>
                </c:pt>
                <c:pt idx="46">
                  <c:v> 48 </c:v>
                </c:pt>
                <c:pt idx="47">
                  <c:v> 49 </c:v>
                </c:pt>
                <c:pt idx="48">
                  <c:v> 50 </c:v>
                </c:pt>
                <c:pt idx="49">
                  <c:v> 51 </c:v>
                </c:pt>
                <c:pt idx="50">
                  <c:v> 52 </c:v>
                </c:pt>
              </c:strCache>
            </c:strRef>
          </c:cat>
          <c:val>
            <c:numRef>
              <c:f>'Ma trận giá bán rPP'!$AX$9:$GT$9</c:f>
              <c:numCache>
                <c:formatCode>"$"#,##0_);\("$"#,##0\)</c:formatCode>
                <c:ptCount val="51"/>
                <c:pt idx="0">
                  <c:v>900</c:v>
                </c:pt>
                <c:pt idx="1">
                  <c:v>900</c:v>
                </c:pt>
                <c:pt idx="2">
                  <c:v>900</c:v>
                </c:pt>
                <c:pt idx="3">
                  <c:v>900</c:v>
                </c:pt>
                <c:pt idx="4">
                  <c:v>820</c:v>
                </c:pt>
                <c:pt idx="5">
                  <c:v>820</c:v>
                </c:pt>
                <c:pt idx="6">
                  <c:v>820</c:v>
                </c:pt>
                <c:pt idx="7">
                  <c:v>820</c:v>
                </c:pt>
                <c:pt idx="8">
                  <c:v>840</c:v>
                </c:pt>
                <c:pt idx="9">
                  <c:v>840</c:v>
                </c:pt>
                <c:pt idx="10">
                  <c:v>840</c:v>
                </c:pt>
                <c:pt idx="11">
                  <c:v>840</c:v>
                </c:pt>
                <c:pt idx="12">
                  <c:v>835</c:v>
                </c:pt>
                <c:pt idx="13">
                  <c:v>835</c:v>
                </c:pt>
                <c:pt idx="14">
                  <c:v>835</c:v>
                </c:pt>
                <c:pt idx="15">
                  <c:v>835</c:v>
                </c:pt>
                <c:pt idx="16">
                  <c:v>815</c:v>
                </c:pt>
                <c:pt idx="17">
                  <c:v>815</c:v>
                </c:pt>
                <c:pt idx="18">
                  <c:v>815</c:v>
                </c:pt>
                <c:pt idx="19">
                  <c:v>815</c:v>
                </c:pt>
                <c:pt idx="20">
                  <c:v>815</c:v>
                </c:pt>
                <c:pt idx="21">
                  <c:v>815</c:v>
                </c:pt>
                <c:pt idx="22">
                  <c:v>815</c:v>
                </c:pt>
                <c:pt idx="23">
                  <c:v>815</c:v>
                </c:pt>
                <c:pt idx="24">
                  <c:v>815</c:v>
                </c:pt>
                <c:pt idx="25">
                  <c:v>789.5</c:v>
                </c:pt>
                <c:pt idx="26">
                  <c:v>789.5</c:v>
                </c:pt>
                <c:pt idx="27">
                  <c:v>789.5</c:v>
                </c:pt>
                <c:pt idx="28">
                  <c:v>789.5</c:v>
                </c:pt>
                <c:pt idx="29">
                  <c:v>789.5</c:v>
                </c:pt>
                <c:pt idx="30">
                  <c:v>769.5</c:v>
                </c:pt>
                <c:pt idx="31">
                  <c:v>769.5</c:v>
                </c:pt>
                <c:pt idx="32">
                  <c:v>769.5</c:v>
                </c:pt>
                <c:pt idx="33">
                  <c:v>769.5</c:v>
                </c:pt>
                <c:pt idx="34">
                  <c:v>754.5</c:v>
                </c:pt>
                <c:pt idx="35">
                  <c:v>754.5</c:v>
                </c:pt>
                <c:pt idx="36">
                  <c:v>754.5</c:v>
                </c:pt>
                <c:pt idx="37">
                  <c:v>754.5</c:v>
                </c:pt>
                <c:pt idx="38">
                  <c:v>740</c:v>
                </c:pt>
                <c:pt idx="39">
                  <c:v>740</c:v>
                </c:pt>
                <c:pt idx="40">
                  <c:v>740</c:v>
                </c:pt>
                <c:pt idx="41">
                  <c:v>740</c:v>
                </c:pt>
                <c:pt idx="42">
                  <c:v>740</c:v>
                </c:pt>
                <c:pt idx="43">
                  <c:v>715</c:v>
                </c:pt>
                <c:pt idx="44">
                  <c:v>715</c:v>
                </c:pt>
                <c:pt idx="45">
                  <c:v>715</c:v>
                </c:pt>
                <c:pt idx="46">
                  <c:v>715</c:v>
                </c:pt>
                <c:pt idx="47">
                  <c:v>705</c:v>
                </c:pt>
                <c:pt idx="48">
                  <c:v>705</c:v>
                </c:pt>
                <c:pt idx="49">
                  <c:v>705</c:v>
                </c:pt>
                <c:pt idx="50">
                  <c:v>705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B92D-4F4B-99DE-3C531E2FE68B}"/>
            </c:ext>
          </c:extLst>
        </c:ser>
        <c:ser>
          <c:idx val="6"/>
          <c:order val="7"/>
          <c:tx>
            <c:strRef>
              <c:f>'Ma trận giá bán rPP'!$AW$17</c:f>
              <c:strCache>
                <c:ptCount val="1"/>
                <c:pt idx="0">
                  <c:v>Điểm hòa vốn</c:v>
                </c:pt>
              </c:strCache>
              <c:extLst xmlns:c15="http://schemas.microsoft.com/office/drawing/2012/chart"/>
            </c:strRef>
          </c:tx>
          <c:spPr>
            <a:ln w="5080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72DC-4132-BCBD-0FA764C54003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B2D-422A-BCBF-914858BE8505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0-BB2D-422A-BCBF-914858BE8505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BB2D-422A-BCBF-914858BE8505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1-BB2D-422A-BCBF-914858BE8505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BB2D-422A-BCBF-914858BE8505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B2D-422A-BCBF-914858BE8505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8-BB2D-422A-BCBF-914858BE8505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BB2D-422A-BCBF-914858BE8505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BB2D-422A-BCBF-914858BE8505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56C8-48B3-9817-F252ACE18A17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D905-4779-B7D6-48E6775B371C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C751-4361-84E5-6C2C5FD7ECD4}"/>
                </c:ext>
              </c:extLst>
            </c:dLbl>
            <c:dLbl>
              <c:idx val="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D20-438E-8E87-F672D612C2C5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24D-4742-A781-994B191CDA53}"/>
                </c:ext>
              </c:extLst>
            </c:dLbl>
            <c:dLbl>
              <c:idx val="18"/>
              <c:layout>
                <c:manualLayout>
                  <c:x val="-2.448663257725436E-2"/>
                  <c:y val="-2.779349178300473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508-4083-870B-4D9DCAD52E2E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D905-4779-B7D6-48E6775B371C}"/>
                </c:ext>
              </c:extLst>
            </c:dLbl>
            <c:dLbl>
              <c:idx val="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8CE6-437D-B7DE-66FE9A7CDB67}"/>
                </c:ext>
              </c:extLst>
            </c:dLbl>
            <c:dLbl>
              <c:idx val="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CE6-437D-B7DE-66FE9A7CDB67}"/>
                </c:ext>
              </c:extLst>
            </c:dLbl>
            <c:dLbl>
              <c:idx val="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C94-4EB1-BAFA-C4474E6FE939}"/>
                </c:ext>
              </c:extLst>
            </c:dLbl>
            <c:dLbl>
              <c:idx val="23"/>
              <c:layout>
                <c:manualLayout>
                  <c:x val="-2.4486632577254492E-2"/>
                  <c:y val="-3.011930699497174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C94-4EB1-BAFA-C4474E6FE939}"/>
                </c:ext>
              </c:extLst>
            </c:dLbl>
            <c:dLbl>
              <c:idx val="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18F-41C1-A4DB-4600C51DFE66}"/>
                </c:ext>
              </c:extLst>
            </c:dLbl>
            <c:dLbl>
              <c:idx val="25"/>
              <c:layout>
                <c:manualLayout>
                  <c:x val="-1.7363248554780365E-2"/>
                  <c:y val="-3.011930699497174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9E7-43E1-B99E-9F6ACF7811F4}"/>
                </c:ext>
              </c:extLst>
            </c:dLbl>
            <c:dLbl>
              <c:idx val="2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9E7-43E1-B99E-9F6ACF7811F4}"/>
                </c:ext>
              </c:extLst>
            </c:dLbl>
            <c:dLbl>
              <c:idx val="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C751-4361-84E5-6C2C5FD7ECD4}"/>
                </c:ext>
              </c:extLst>
            </c:dLbl>
            <c:dLbl>
              <c:idx val="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29A5-4EB7-80A8-2DAFF36EC1DC}"/>
                </c:ext>
              </c:extLst>
            </c:dLbl>
            <c:dLbl>
              <c:idx val="29"/>
              <c:layout>
                <c:manualLayout>
                  <c:x val="-2.0924940566017493E-2"/>
                  <c:y val="-2.54676765710378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96C-41BC-95EE-0A44D52F79B7}"/>
                </c:ext>
              </c:extLst>
            </c:dLbl>
            <c:dLbl>
              <c:idx val="3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D3EF-42C8-A9B5-FBED30C0A33B}"/>
                </c:ext>
              </c:extLst>
            </c:dLbl>
            <c:dLbl>
              <c:idx val="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AAB-46EA-9941-24AE8D2604CE}"/>
                </c:ext>
              </c:extLst>
            </c:dLbl>
            <c:dLbl>
              <c:idx val="3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AAB-46EA-9941-24AE8D2604CE}"/>
                </c:ext>
              </c:extLst>
            </c:dLbl>
            <c:dLbl>
              <c:idx val="3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AAB-46EA-9941-24AE8D2604CE}"/>
                </c:ext>
              </c:extLst>
            </c:dLbl>
            <c:dLbl>
              <c:idx val="3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87D-41B4-8170-72BB4E1ACB9A}"/>
                </c:ext>
              </c:extLst>
            </c:dLbl>
            <c:dLbl>
              <c:idx val="3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56C8-48B3-9817-F252ACE18A17}"/>
                </c:ext>
              </c:extLst>
            </c:dLbl>
            <c:dLbl>
              <c:idx val="3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B6F-4267-9C25-13619BB05DB9}"/>
                </c:ext>
              </c:extLst>
            </c:dLbl>
            <c:dLbl>
              <c:idx val="3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E221-4513-8228-9E95A76331B5}"/>
                </c:ext>
              </c:extLst>
            </c:dLbl>
            <c:dLbl>
              <c:idx val="38"/>
              <c:layout>
                <c:manualLayout>
                  <c:x val="-2.0924940566017364E-2"/>
                  <c:y val="-2.779349178300473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E221-4513-8228-9E95A76331B5}"/>
                </c:ext>
              </c:extLst>
            </c:dLbl>
            <c:dLbl>
              <c:idx val="3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221-4513-8228-9E95A76331B5}"/>
                </c:ext>
              </c:extLst>
            </c:dLbl>
            <c:dLbl>
              <c:idx val="40"/>
              <c:layout>
                <c:manualLayout>
                  <c:x val="-1.4691979546352617E-2"/>
                  <c:y val="-2.779349178300473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4AEA-47B4-B0B1-D78E35789768}"/>
                </c:ext>
              </c:extLst>
            </c:dLbl>
            <c:dLbl>
              <c:idx val="4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4AEA-47B4-B0B1-D78E35789768}"/>
                </c:ext>
              </c:extLst>
            </c:dLbl>
            <c:dLbl>
              <c:idx val="4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A9D5-4F74-96B1-C2F606D41C6A}"/>
                </c:ext>
              </c:extLst>
            </c:dLbl>
            <c:dLbl>
              <c:idx val="43"/>
              <c:layout>
                <c:manualLayout>
                  <c:x val="-2.0034517563208114E-2"/>
                  <c:y val="-2.54676765710378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A9D5-4F74-96B1-C2F606D41C6A}"/>
                </c:ext>
              </c:extLst>
            </c:dLbl>
            <c:dLbl>
              <c:idx val="4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160-43CB-A470-DA2AC75D2015}"/>
                </c:ext>
              </c:extLst>
            </c:dLbl>
            <c:dLbl>
              <c:idx val="45"/>
              <c:layout>
                <c:manualLayout>
                  <c:x val="-1.5582402549161867E-2"/>
                  <c:y val="-3.244512220693866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9F6-440B-8B5C-6C86CA217B75}"/>
                </c:ext>
              </c:extLst>
            </c:dLbl>
            <c:dLbl>
              <c:idx val="4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BDA-49F6-B636-3CDAE0DD155E}"/>
                </c:ext>
              </c:extLst>
            </c:dLbl>
            <c:dLbl>
              <c:idx val="47"/>
              <c:layout>
                <c:manualLayout>
                  <c:x val="-9.3494415294972499E-3"/>
                  <c:y val="-2.546767657103789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BDA-49F6-B636-3CDAE0DD155E}"/>
                </c:ext>
              </c:extLst>
            </c:dLbl>
            <c:dLbl>
              <c:idx val="4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56C8-48B3-9817-F252ACE18A17}"/>
                </c:ext>
              </c:extLst>
            </c:dLbl>
            <c:dLbl>
              <c:idx val="4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56C8-48B3-9817-F252ACE18A17}"/>
                </c:ext>
              </c:extLst>
            </c:dLbl>
            <c:dLbl>
              <c:idx val="50"/>
              <c:layout>
                <c:manualLayout>
                  <c:x val="-1.2911133540734117E-2"/>
                  <c:y val="-3.011930699497165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82FA-4D2C-9A5E-F0DAD945CC38}"/>
                </c:ext>
              </c:extLst>
            </c:dLbl>
            <c:numFmt formatCode="[$$-C09]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rgbClr val="FF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'Ma trận giá bán rPP'!$AX$5:$GT$5</c:f>
              <c:strCache>
                <c:ptCount val="51"/>
                <c:pt idx="0">
                  <c:v> 01 </c:v>
                </c:pt>
                <c:pt idx="1">
                  <c:v> 02 </c:v>
                </c:pt>
                <c:pt idx="2">
                  <c:v> 03 </c:v>
                </c:pt>
                <c:pt idx="3">
                  <c:v> 04 </c:v>
                </c:pt>
                <c:pt idx="4">
                  <c:v> 06 </c:v>
                </c:pt>
                <c:pt idx="5">
                  <c:v> 07 </c:v>
                </c:pt>
                <c:pt idx="6">
                  <c:v> 08 </c:v>
                </c:pt>
                <c:pt idx="7">
                  <c:v> 09 </c:v>
                </c:pt>
                <c:pt idx="8">
                  <c:v> 10 </c:v>
                </c:pt>
                <c:pt idx="9">
                  <c:v> 11 </c:v>
                </c:pt>
                <c:pt idx="10">
                  <c:v> 12 </c:v>
                </c:pt>
                <c:pt idx="11">
                  <c:v> 13 </c:v>
                </c:pt>
                <c:pt idx="12">
                  <c:v> 14 </c:v>
                </c:pt>
                <c:pt idx="13">
                  <c:v> 15 </c:v>
                </c:pt>
                <c:pt idx="14">
                  <c:v> 16 </c:v>
                </c:pt>
                <c:pt idx="15">
                  <c:v> 17 </c:v>
                </c:pt>
                <c:pt idx="16">
                  <c:v> 18 </c:v>
                </c:pt>
                <c:pt idx="17">
                  <c:v> 19 </c:v>
                </c:pt>
                <c:pt idx="18">
                  <c:v> 20 </c:v>
                </c:pt>
                <c:pt idx="19">
                  <c:v> 21 </c:v>
                </c:pt>
                <c:pt idx="20">
                  <c:v> 22 </c:v>
                </c:pt>
                <c:pt idx="21">
                  <c:v> 23 </c:v>
                </c:pt>
                <c:pt idx="22">
                  <c:v> 24 </c:v>
                </c:pt>
                <c:pt idx="23">
                  <c:v> 25 </c:v>
                </c:pt>
                <c:pt idx="24">
                  <c:v> 26 </c:v>
                </c:pt>
                <c:pt idx="25">
                  <c:v> 27 </c:v>
                </c:pt>
                <c:pt idx="26">
                  <c:v> 28 </c:v>
                </c:pt>
                <c:pt idx="27">
                  <c:v> 29 </c:v>
                </c:pt>
                <c:pt idx="28">
                  <c:v> 30 </c:v>
                </c:pt>
                <c:pt idx="29">
                  <c:v> 31 </c:v>
                </c:pt>
                <c:pt idx="30">
                  <c:v> 32 </c:v>
                </c:pt>
                <c:pt idx="31">
                  <c:v> 33 </c:v>
                </c:pt>
                <c:pt idx="32">
                  <c:v> 34 </c:v>
                </c:pt>
                <c:pt idx="33">
                  <c:v> 35 </c:v>
                </c:pt>
                <c:pt idx="34">
                  <c:v> 36 </c:v>
                </c:pt>
                <c:pt idx="35">
                  <c:v> 37 </c:v>
                </c:pt>
                <c:pt idx="36">
                  <c:v> 38 </c:v>
                </c:pt>
                <c:pt idx="37">
                  <c:v> 39 </c:v>
                </c:pt>
                <c:pt idx="38">
                  <c:v> 40 </c:v>
                </c:pt>
                <c:pt idx="39">
                  <c:v> 41 </c:v>
                </c:pt>
                <c:pt idx="40">
                  <c:v> 42 </c:v>
                </c:pt>
                <c:pt idx="41">
                  <c:v> 43 </c:v>
                </c:pt>
                <c:pt idx="42">
                  <c:v> 44 </c:v>
                </c:pt>
                <c:pt idx="43">
                  <c:v> 45 </c:v>
                </c:pt>
                <c:pt idx="44">
                  <c:v> 46 </c:v>
                </c:pt>
                <c:pt idx="45">
                  <c:v> 47 </c:v>
                </c:pt>
                <c:pt idx="46">
                  <c:v> 48 </c:v>
                </c:pt>
                <c:pt idx="47">
                  <c:v> 49 </c:v>
                </c:pt>
                <c:pt idx="48">
                  <c:v> 50 </c:v>
                </c:pt>
                <c:pt idx="49">
                  <c:v> 51 </c:v>
                </c:pt>
                <c:pt idx="50">
                  <c:v> 52 </c:v>
                </c:pt>
              </c:strCache>
            </c:strRef>
          </c:cat>
          <c:val>
            <c:numRef>
              <c:f>'Ma trận giá bán rPP'!$AX$17:$GT$17</c:f>
              <c:numCache>
                <c:formatCode>"$"#,##0_);\("$"#,##0\)</c:formatCode>
                <c:ptCount val="51"/>
                <c:pt idx="0">
                  <c:v>842.58758463763786</c:v>
                </c:pt>
                <c:pt idx="1">
                  <c:v>842.58758463763786</c:v>
                </c:pt>
                <c:pt idx="2">
                  <c:v>842.58758463763786</c:v>
                </c:pt>
                <c:pt idx="3">
                  <c:v>842.58758463763786</c:v>
                </c:pt>
                <c:pt idx="4">
                  <c:v>835.02956014903214</c:v>
                </c:pt>
                <c:pt idx="5">
                  <c:v>835.02956014903214</c:v>
                </c:pt>
                <c:pt idx="6">
                  <c:v>835.02956014903214</c:v>
                </c:pt>
                <c:pt idx="7">
                  <c:v>835.02956014903214</c:v>
                </c:pt>
                <c:pt idx="8">
                  <c:v>835.02956014903214</c:v>
                </c:pt>
                <c:pt idx="9">
                  <c:v>835.02956014903214</c:v>
                </c:pt>
                <c:pt idx="10">
                  <c:v>835.02956014903214</c:v>
                </c:pt>
                <c:pt idx="11">
                  <c:v>835.02956014903214</c:v>
                </c:pt>
                <c:pt idx="12">
                  <c:v>821.92388317274299</c:v>
                </c:pt>
                <c:pt idx="13">
                  <c:v>821.92388317274299</c:v>
                </c:pt>
                <c:pt idx="14">
                  <c:v>821.92388317274299</c:v>
                </c:pt>
                <c:pt idx="15">
                  <c:v>821.92388317274299</c:v>
                </c:pt>
                <c:pt idx="16">
                  <c:v>838</c:v>
                </c:pt>
                <c:pt idx="17">
                  <c:v>838</c:v>
                </c:pt>
                <c:pt idx="18">
                  <c:v>838</c:v>
                </c:pt>
                <c:pt idx="19">
                  <c:v>838</c:v>
                </c:pt>
                <c:pt idx="20">
                  <c:v>838</c:v>
                </c:pt>
                <c:pt idx="21">
                  <c:v>863.68590309795047</c:v>
                </c:pt>
                <c:pt idx="22">
                  <c:v>863.68590309795047</c:v>
                </c:pt>
                <c:pt idx="23">
                  <c:v>863.68590309795047</c:v>
                </c:pt>
                <c:pt idx="24">
                  <c:v>863.68590309795047</c:v>
                </c:pt>
                <c:pt idx="25">
                  <c:v>864.84654926023097</c:v>
                </c:pt>
                <c:pt idx="26">
                  <c:v>864.84654926023097</c:v>
                </c:pt>
                <c:pt idx="27">
                  <c:v>864.84654926023097</c:v>
                </c:pt>
                <c:pt idx="28">
                  <c:v>864.84654926023097</c:v>
                </c:pt>
                <c:pt idx="29">
                  <c:v>864.84654926023097</c:v>
                </c:pt>
                <c:pt idx="30">
                  <c:v>864.84654926023097</c:v>
                </c:pt>
                <c:pt idx="31">
                  <c:v>864.84654926023097</c:v>
                </c:pt>
                <c:pt idx="32">
                  <c:v>864.84654926023097</c:v>
                </c:pt>
                <c:pt idx="33">
                  <c:v>864.84654926023097</c:v>
                </c:pt>
                <c:pt idx="34">
                  <c:v>864.84654926023097</c:v>
                </c:pt>
                <c:pt idx="35">
                  <c:v>864.84654926023097</c:v>
                </c:pt>
                <c:pt idx="36">
                  <c:v>864.84654926023097</c:v>
                </c:pt>
                <c:pt idx="37">
                  <c:v>864.84654926023097</c:v>
                </c:pt>
                <c:pt idx="38">
                  <c:v>877</c:v>
                </c:pt>
                <c:pt idx="39">
                  <c:v>877</c:v>
                </c:pt>
                <c:pt idx="40">
                  <c:v>877</c:v>
                </c:pt>
                <c:pt idx="41">
                  <c:v>877</c:v>
                </c:pt>
                <c:pt idx="42">
                  <c:v>877</c:v>
                </c:pt>
                <c:pt idx="43">
                  <c:v>899.20414893105215</c:v>
                </c:pt>
                <c:pt idx="44">
                  <c:v>899.20414893105215</c:v>
                </c:pt>
                <c:pt idx="45">
                  <c:v>899.20414893105215</c:v>
                </c:pt>
                <c:pt idx="46">
                  <c:v>899.20414893105215</c:v>
                </c:pt>
                <c:pt idx="47">
                  <c:v>896.54965726587238</c:v>
                </c:pt>
                <c:pt idx="48">
                  <c:v>896.54965726587238</c:v>
                </c:pt>
                <c:pt idx="49">
                  <c:v>896.54965726587238</c:v>
                </c:pt>
                <c:pt idx="50">
                  <c:v>896.54965726587238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4-30E7-448D-A15E-C846A7826003}"/>
            </c:ext>
          </c:extLst>
        </c:ser>
        <c:ser>
          <c:idx val="14"/>
          <c:order val="8"/>
          <c:tx>
            <c:strRef>
              <c:f>'Ma trận giá bán rPP'!$AW$11</c:f>
              <c:strCache>
                <c:ptCount val="1"/>
                <c:pt idx="0">
                  <c:v>Hạt đen (Châu Âu) - ICIS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accent5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'Ma trận giá bán rPP'!$AX$5:$GT$5</c:f>
              <c:strCache>
                <c:ptCount val="51"/>
                <c:pt idx="0">
                  <c:v> 01 </c:v>
                </c:pt>
                <c:pt idx="1">
                  <c:v> 02 </c:v>
                </c:pt>
                <c:pt idx="2">
                  <c:v> 03 </c:v>
                </c:pt>
                <c:pt idx="3">
                  <c:v> 04 </c:v>
                </c:pt>
                <c:pt idx="4">
                  <c:v> 06 </c:v>
                </c:pt>
                <c:pt idx="5">
                  <c:v> 07 </c:v>
                </c:pt>
                <c:pt idx="6">
                  <c:v> 08 </c:v>
                </c:pt>
                <c:pt idx="7">
                  <c:v> 09 </c:v>
                </c:pt>
                <c:pt idx="8">
                  <c:v> 10 </c:v>
                </c:pt>
                <c:pt idx="9">
                  <c:v> 11 </c:v>
                </c:pt>
                <c:pt idx="10">
                  <c:v> 12 </c:v>
                </c:pt>
                <c:pt idx="11">
                  <c:v> 13 </c:v>
                </c:pt>
                <c:pt idx="12">
                  <c:v> 14 </c:v>
                </c:pt>
                <c:pt idx="13">
                  <c:v> 15 </c:v>
                </c:pt>
                <c:pt idx="14">
                  <c:v> 16 </c:v>
                </c:pt>
                <c:pt idx="15">
                  <c:v> 17 </c:v>
                </c:pt>
                <c:pt idx="16">
                  <c:v> 18 </c:v>
                </c:pt>
                <c:pt idx="17">
                  <c:v> 19 </c:v>
                </c:pt>
                <c:pt idx="18">
                  <c:v> 20 </c:v>
                </c:pt>
                <c:pt idx="19">
                  <c:v> 21 </c:v>
                </c:pt>
                <c:pt idx="20">
                  <c:v> 22 </c:v>
                </c:pt>
                <c:pt idx="21">
                  <c:v> 23 </c:v>
                </c:pt>
                <c:pt idx="22">
                  <c:v> 24 </c:v>
                </c:pt>
                <c:pt idx="23">
                  <c:v> 25 </c:v>
                </c:pt>
                <c:pt idx="24">
                  <c:v> 26 </c:v>
                </c:pt>
                <c:pt idx="25">
                  <c:v> 27 </c:v>
                </c:pt>
                <c:pt idx="26">
                  <c:v> 28 </c:v>
                </c:pt>
                <c:pt idx="27">
                  <c:v> 29 </c:v>
                </c:pt>
                <c:pt idx="28">
                  <c:v> 30 </c:v>
                </c:pt>
                <c:pt idx="29">
                  <c:v> 31 </c:v>
                </c:pt>
                <c:pt idx="30">
                  <c:v> 32 </c:v>
                </c:pt>
                <c:pt idx="31">
                  <c:v> 33 </c:v>
                </c:pt>
                <c:pt idx="32">
                  <c:v> 34 </c:v>
                </c:pt>
                <c:pt idx="33">
                  <c:v> 35 </c:v>
                </c:pt>
                <c:pt idx="34">
                  <c:v> 36 </c:v>
                </c:pt>
                <c:pt idx="35">
                  <c:v> 37 </c:v>
                </c:pt>
                <c:pt idx="36">
                  <c:v> 38 </c:v>
                </c:pt>
                <c:pt idx="37">
                  <c:v> 39 </c:v>
                </c:pt>
                <c:pt idx="38">
                  <c:v> 40 </c:v>
                </c:pt>
                <c:pt idx="39">
                  <c:v> 41 </c:v>
                </c:pt>
                <c:pt idx="40">
                  <c:v> 42 </c:v>
                </c:pt>
                <c:pt idx="41">
                  <c:v> 43 </c:v>
                </c:pt>
                <c:pt idx="42">
                  <c:v> 44 </c:v>
                </c:pt>
                <c:pt idx="43">
                  <c:v> 45 </c:v>
                </c:pt>
                <c:pt idx="44">
                  <c:v> 46 </c:v>
                </c:pt>
                <c:pt idx="45">
                  <c:v> 47 </c:v>
                </c:pt>
                <c:pt idx="46">
                  <c:v> 48 </c:v>
                </c:pt>
                <c:pt idx="47">
                  <c:v> 49 </c:v>
                </c:pt>
                <c:pt idx="48">
                  <c:v> 50 </c:v>
                </c:pt>
                <c:pt idx="49">
                  <c:v> 51 </c:v>
                </c:pt>
                <c:pt idx="50">
                  <c:v> 52 </c:v>
                </c:pt>
              </c:strCache>
            </c:strRef>
          </c:cat>
          <c:val>
            <c:numRef>
              <c:f>'Ma trận giá bán rPP'!$AX$11:$DW$11</c:f>
            </c:numRef>
          </c:val>
          <c:smooth val="0"/>
          <c:extLst>
            <c:ext xmlns:c16="http://schemas.microsoft.com/office/drawing/2014/chart" uri="{C3380CC4-5D6E-409C-BE32-E72D297353CC}">
              <c16:uniqueId val="{00000037-B92D-4F4B-99DE-3C531E2FE6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12700" cap="flat" cmpd="sng" algn="ctr">
              <a:solidFill>
                <a:schemeClr val="bg2"/>
              </a:solidFill>
              <a:round/>
            </a:ln>
            <a:effectLst/>
          </c:spPr>
        </c:dropLines>
        <c:marker val="1"/>
        <c:smooth val="0"/>
        <c:axId val="1917916735"/>
        <c:axId val="1917910079"/>
        <c:extLst/>
      </c:lineChart>
      <c:lineChart>
        <c:grouping val="standard"/>
        <c:varyColors val="0"/>
        <c:ser>
          <c:idx val="5"/>
          <c:order val="11"/>
          <c:tx>
            <c:strRef>
              <c:f>'Ma trận giá bán rPP'!$AW$16</c:f>
              <c:strCache>
                <c:ptCount val="1"/>
                <c:pt idx="0">
                  <c:v>%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'Ma trận giá bán rPP'!$AX$16:$DK$16</c:f>
            </c:numRef>
          </c:val>
          <c:smooth val="0"/>
          <c:extLst>
            <c:ext xmlns:c16="http://schemas.microsoft.com/office/drawing/2014/chart" uri="{C3380CC4-5D6E-409C-BE32-E72D297353CC}">
              <c16:uniqueId val="{0000008A-B92D-4F4B-99DE-3C531E2FE68B}"/>
            </c:ext>
          </c:extLst>
        </c:ser>
        <c:ser>
          <c:idx val="8"/>
          <c:order val="12"/>
          <c:tx>
            <c:strRef>
              <c:f>'Ma trận giá bán rPP'!$AW$18</c:f>
              <c:strCache>
                <c:ptCount val="1"/>
                <c:pt idx="0">
                  <c:v>Giá bán vảy PP</c:v>
                </c:pt>
              </c:strCache>
            </c:strRef>
          </c:tx>
          <c:spPr>
            <a:ln w="44450" cap="rnd">
              <a:solidFill>
                <a:srgbClr val="0000FF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1.7363248554780372E-2"/>
                  <c:y val="-2.814236406479977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2233-4B01-A01C-68F29E9BFE33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F00E-4651-BD86-D30F107F863B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F00E-4651-BD86-D30F107F863B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F00E-4651-BD86-D30F107F863B}"/>
                </c:ext>
              </c:extLst>
            </c:dLbl>
            <c:dLbl>
              <c:idx val="6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2D2E-42D9-9EA5-2E6A20DF9C75}"/>
                </c:ext>
              </c:extLst>
            </c:dLbl>
            <c:dLbl>
              <c:idx val="10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00E-4651-BD86-D30F107F863B}"/>
                </c:ext>
              </c:extLst>
            </c:dLbl>
            <c:dLbl>
              <c:idx val="14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ED20-438E-8E87-F672D612C2C5}"/>
                </c:ext>
              </c:extLst>
            </c:dLbl>
            <c:dLbl>
              <c:idx val="18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508-4083-870B-4D9DCAD52E2E}"/>
                </c:ext>
              </c:extLst>
            </c:dLbl>
            <c:dLbl>
              <c:idx val="21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8CE6-437D-B7DE-66FE9A7CDB67}"/>
                </c:ext>
              </c:extLst>
            </c:dLbl>
            <c:dLbl>
              <c:idx val="26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B9E7-43E1-B99E-9F6ACF7811F4}"/>
                </c:ext>
              </c:extLst>
            </c:dLbl>
            <c:dLbl>
              <c:idx val="29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896C-41BC-95EE-0A44D52F79B7}"/>
                </c:ext>
              </c:extLst>
            </c:dLbl>
            <c:dLbl>
              <c:idx val="33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2AAB-46EA-9941-24AE8D2604CE}"/>
                </c:ext>
              </c:extLst>
            </c:dLbl>
            <c:dLbl>
              <c:idx val="37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B6F-4267-9C25-13619BB05DB9}"/>
                </c:ext>
              </c:extLst>
            </c:dLbl>
            <c:dLbl>
              <c:idx val="39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E221-4513-8228-9E95A76331B5}"/>
                </c:ext>
              </c:extLst>
            </c:dLbl>
            <c:dLbl>
              <c:idx val="43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A9D5-4F74-96B1-C2F606D41C6A}"/>
                </c:ext>
              </c:extLst>
            </c:dLbl>
            <c:dLbl>
              <c:idx val="47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1BDA-49F6-B636-3CDAE0DD155E}"/>
                </c:ext>
              </c:extLst>
            </c:dLbl>
            <c:dLbl>
              <c:idx val="49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56C8-48B3-9817-F252ACE18A17}"/>
                </c:ext>
              </c:extLst>
            </c:dLbl>
            <c:numFmt formatCode="[$$-C09]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rgbClr val="0000FF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b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'Ma trận giá bán rPP'!$AX$18:$GT$18</c:f>
              <c:numCache>
                <c:formatCode>General</c:formatCode>
                <c:ptCount val="51"/>
                <c:pt idx="0">
                  <c:v>855</c:v>
                </c:pt>
                <c:pt idx="1">
                  <c:v>855</c:v>
                </c:pt>
                <c:pt idx="2">
                  <c:v>855</c:v>
                </c:pt>
                <c:pt idx="3">
                  <c:v>855</c:v>
                </c:pt>
                <c:pt idx="4">
                  <c:v>780</c:v>
                </c:pt>
                <c:pt idx="5">
                  <c:v>780</c:v>
                </c:pt>
                <c:pt idx="6">
                  <c:v>780</c:v>
                </c:pt>
                <c:pt idx="7">
                  <c:v>780</c:v>
                </c:pt>
                <c:pt idx="8">
                  <c:v>790</c:v>
                </c:pt>
                <c:pt idx="9">
                  <c:v>790</c:v>
                </c:pt>
                <c:pt idx="10">
                  <c:v>790</c:v>
                </c:pt>
                <c:pt idx="11">
                  <c:v>790</c:v>
                </c:pt>
                <c:pt idx="12">
                  <c:v>785</c:v>
                </c:pt>
                <c:pt idx="13">
                  <c:v>785</c:v>
                </c:pt>
                <c:pt idx="14">
                  <c:v>785</c:v>
                </c:pt>
                <c:pt idx="15">
                  <c:v>785</c:v>
                </c:pt>
                <c:pt idx="16">
                  <c:v>765</c:v>
                </c:pt>
                <c:pt idx="17">
                  <c:v>765</c:v>
                </c:pt>
                <c:pt idx="18">
                  <c:v>765</c:v>
                </c:pt>
                <c:pt idx="19">
                  <c:v>765</c:v>
                </c:pt>
                <c:pt idx="20">
                  <c:v>765</c:v>
                </c:pt>
                <c:pt idx="21">
                  <c:v>765</c:v>
                </c:pt>
                <c:pt idx="22">
                  <c:v>765</c:v>
                </c:pt>
                <c:pt idx="23">
                  <c:v>765</c:v>
                </c:pt>
                <c:pt idx="24">
                  <c:v>765</c:v>
                </c:pt>
                <c:pt idx="25">
                  <c:v>680</c:v>
                </c:pt>
                <c:pt idx="26">
                  <c:v>680</c:v>
                </c:pt>
                <c:pt idx="27">
                  <c:v>680</c:v>
                </c:pt>
                <c:pt idx="28">
                  <c:v>680</c:v>
                </c:pt>
                <c:pt idx="29">
                  <c:v>680</c:v>
                </c:pt>
                <c:pt idx="30">
                  <c:v>660</c:v>
                </c:pt>
                <c:pt idx="31">
                  <c:v>660</c:v>
                </c:pt>
                <c:pt idx="32">
                  <c:v>660</c:v>
                </c:pt>
                <c:pt idx="33">
                  <c:v>660</c:v>
                </c:pt>
                <c:pt idx="34">
                  <c:v>660</c:v>
                </c:pt>
                <c:pt idx="35">
                  <c:v>660</c:v>
                </c:pt>
                <c:pt idx="36">
                  <c:v>660</c:v>
                </c:pt>
                <c:pt idx="37">
                  <c:v>660</c:v>
                </c:pt>
                <c:pt idx="38">
                  <c:v>650</c:v>
                </c:pt>
                <c:pt idx="39">
                  <c:v>650</c:v>
                </c:pt>
                <c:pt idx="40">
                  <c:v>650</c:v>
                </c:pt>
                <c:pt idx="41">
                  <c:v>650</c:v>
                </c:pt>
                <c:pt idx="42">
                  <c:v>650</c:v>
                </c:pt>
                <c:pt idx="43">
                  <c:v>650</c:v>
                </c:pt>
                <c:pt idx="44">
                  <c:v>650</c:v>
                </c:pt>
                <c:pt idx="45">
                  <c:v>650</c:v>
                </c:pt>
                <c:pt idx="46">
                  <c:v>650</c:v>
                </c:pt>
                <c:pt idx="47">
                  <c:v>650</c:v>
                </c:pt>
                <c:pt idx="48">
                  <c:v>650</c:v>
                </c:pt>
                <c:pt idx="49">
                  <c:v>650</c:v>
                </c:pt>
                <c:pt idx="50">
                  <c:v>650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594-4C75-9D40-FE3212E754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66633151"/>
        <c:axId val="1366632735"/>
      </c:lineChart>
      <c:catAx>
        <c:axId val="1917916735"/>
        <c:scaling>
          <c:orientation val="minMax"/>
        </c:scaling>
        <c:delete val="0"/>
        <c:axPos val="b"/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917910079"/>
        <c:crosses val="autoZero"/>
        <c:auto val="1"/>
        <c:lblAlgn val="ctr"/>
        <c:lblOffset val="100"/>
        <c:noMultiLvlLbl val="0"/>
      </c:catAx>
      <c:valAx>
        <c:axId val="1917910079"/>
        <c:scaling>
          <c:orientation val="minMax"/>
          <c:min val="600"/>
        </c:scaling>
        <c:delete val="0"/>
        <c:axPos val="l"/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917916735"/>
        <c:crosses val="autoZero"/>
        <c:crossBetween val="between"/>
        <c:majorUnit val="100"/>
      </c:valAx>
      <c:valAx>
        <c:axId val="1366632735"/>
        <c:scaling>
          <c:orientation val="minMax"/>
        </c:scaling>
        <c:delete val="1"/>
        <c:axPos val="r"/>
        <c:numFmt formatCode="General" sourceLinked="1"/>
        <c:majorTickMark val="out"/>
        <c:minorTickMark val="none"/>
        <c:tickLblPos val="nextTo"/>
        <c:crossAx val="1366633151"/>
        <c:crosses val="max"/>
        <c:crossBetween val="between"/>
      </c:valAx>
      <c:catAx>
        <c:axId val="1366633151"/>
        <c:scaling>
          <c:orientation val="minMax"/>
        </c:scaling>
        <c:delete val="1"/>
        <c:axPos val="b"/>
        <c:majorTickMark val="out"/>
        <c:minorTickMark val="none"/>
        <c:tickLblPos val="nextTo"/>
        <c:crossAx val="136663273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legendEntry>
        <c:idx val="0"/>
        <c:delete val="1"/>
      </c:legendEntry>
      <c:legendEntry>
        <c:idx val="1"/>
        <c:delete val="1"/>
      </c:legendEntry>
      <c:legendEntry>
        <c:idx val="2"/>
        <c:txPr>
          <a:bodyPr rot="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rgbClr val="FF3399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legendEntry>
      <c:legendEntry>
        <c:idx val="3"/>
        <c:txPr>
          <a:bodyPr rot="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accent6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legendEntry>
      <c:legendEntry>
        <c:idx val="4"/>
        <c:txPr>
          <a:bodyPr rot="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rgbClr val="FF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legendEntry>
      <c:legendEntry>
        <c:idx val="5"/>
        <c:txPr>
          <a:bodyPr rot="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rgbClr val="0000FF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legendEntry>
      <c:layout>
        <c:manualLayout>
          <c:xMode val="edge"/>
          <c:yMode val="edge"/>
          <c:x val="0.88659700616124171"/>
          <c:y val="0.25120672266814587"/>
          <c:w val="0.11340299383875832"/>
          <c:h val="0.586298274629696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0" baseline="0">
                <a:solidFill>
                  <a:srgbClr val="0000FF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2400" b="1" baseline="0">
                <a:solidFill>
                  <a:srgbClr val="0000FF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GIÁ </a:t>
            </a:r>
            <a:r>
              <a:rPr lang="en-US" sz="2400" b="1" baseline="0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VẢY </a:t>
            </a:r>
            <a:r>
              <a:rPr lang="en-US" sz="24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PP</a:t>
            </a:r>
            <a:r>
              <a:rPr lang="en-US" sz="2400" b="1" baseline="0">
                <a:solidFill>
                  <a:srgbClr val="0000FF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NĂM 2024 &amp;2025 (USD/tấn)</a:t>
            </a:r>
            <a:endParaRPr lang="en-US" sz="2400" b="1">
              <a:solidFill>
                <a:srgbClr val="0000FF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0" baseline="0">
              <a:solidFill>
                <a:srgbClr val="0000FF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6050113415520691E-2"/>
          <c:y val="0.12606143734533315"/>
          <c:w val="0.82500047697884893"/>
          <c:h val="0.78219318345479416"/>
        </c:manualLayout>
      </c:layout>
      <c:areaChart>
        <c:grouping val="stacked"/>
        <c:varyColors val="0"/>
        <c:ser>
          <c:idx val="0"/>
          <c:order val="3"/>
          <c:tx>
            <c:strRef>
              <c:f>'Ma trận giá bán vảy PP'!$H$8</c:f>
              <c:strCache>
                <c:ptCount val="1"/>
                <c:pt idx="0">
                  <c:v>TTCP</c:v>
                </c:pt>
              </c:strCache>
            </c:strRef>
          </c:tx>
          <c:spPr>
            <a:noFill/>
            <a:ln w="25400">
              <a:noFill/>
            </a:ln>
            <a:effectLst/>
          </c:spPr>
          <c:val>
            <c:numRef>
              <c:f>'Ma trận giá bán vảy PP'!$I$8:$AH$8</c:f>
              <c:numCache>
                <c:formatCode>_(* #,##0_);_(* \(#,##0\);_(* "-"??_);_(@_)</c:formatCode>
                <c:ptCount val="25"/>
                <c:pt idx="0">
                  <c:v>962.5</c:v>
                </c:pt>
                <c:pt idx="1">
                  <c:v>986.66666666666663</c:v>
                </c:pt>
                <c:pt idx="2">
                  <c:v>990</c:v>
                </c:pt>
                <c:pt idx="3">
                  <c:v>992.5</c:v>
                </c:pt>
                <c:pt idx="4">
                  <c:v>1002</c:v>
                </c:pt>
                <c:pt idx="5">
                  <c:v>1025</c:v>
                </c:pt>
                <c:pt idx="6">
                  <c:v>1020</c:v>
                </c:pt>
                <c:pt idx="7">
                  <c:v>970</c:v>
                </c:pt>
                <c:pt idx="8">
                  <c:v>955</c:v>
                </c:pt>
                <c:pt idx="9">
                  <c:v>955</c:v>
                </c:pt>
                <c:pt idx="10">
                  <c:v>968</c:v>
                </c:pt>
                <c:pt idx="11">
                  <c:v>960</c:v>
                </c:pt>
                <c:pt idx="12">
                  <c:v>970</c:v>
                </c:pt>
                <c:pt idx="13">
                  <c:v>985</c:v>
                </c:pt>
                <c:pt idx="14">
                  <c:v>980</c:v>
                </c:pt>
                <c:pt idx="15">
                  <c:v>965</c:v>
                </c:pt>
                <c:pt idx="16">
                  <c:v>932</c:v>
                </c:pt>
                <c:pt idx="17">
                  <c:v>922.5</c:v>
                </c:pt>
                <c:pt idx="18">
                  <c:v>918</c:v>
                </c:pt>
                <c:pt idx="19">
                  <c:v>895</c:v>
                </c:pt>
                <c:pt idx="20">
                  <c:v>870</c:v>
                </c:pt>
                <c:pt idx="21">
                  <c:v>842</c:v>
                </c:pt>
                <c:pt idx="22">
                  <c:v>827.5</c:v>
                </c:pt>
                <c:pt idx="23">
                  <c:v>820</c:v>
                </c:pt>
                <c:pt idx="24">
                  <c:v>820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3D-4BC9-B726-DB0F4A67ED34}"/>
            </c:ext>
          </c:extLst>
        </c:ser>
        <c:ser>
          <c:idx val="3"/>
          <c:order val="4"/>
          <c:tx>
            <c:strRef>
              <c:f>'Ma trận giá bán vảy PP'!$H$9</c:f>
              <c:strCache>
                <c:ptCount val="1"/>
                <c:pt idx="0">
                  <c:v>CL</c:v>
                </c:pt>
              </c:strCache>
            </c:strRef>
          </c:tx>
          <c:spPr>
            <a:solidFill>
              <a:schemeClr val="accent4">
                <a:lumMod val="20000"/>
                <a:lumOff val="80000"/>
              </a:schemeClr>
            </a:solidFill>
            <a:ln w="25400">
              <a:noFill/>
            </a:ln>
            <a:effectLst/>
          </c:spPr>
          <c:val>
            <c:numRef>
              <c:f>'Ma trận giá bán vảy PP'!$I$9:$AH$9</c:f>
              <c:numCache>
                <c:formatCode>"$"#,##0_);\("$"#,##0\)</c:formatCode>
                <c:ptCount val="25"/>
                <c:pt idx="0">
                  <c:v>-152.5</c:v>
                </c:pt>
                <c:pt idx="1">
                  <c:v>-146.66666666666663</c:v>
                </c:pt>
                <c:pt idx="2">
                  <c:v>-110</c:v>
                </c:pt>
                <c:pt idx="3">
                  <c:v>-92.5</c:v>
                </c:pt>
                <c:pt idx="4">
                  <c:v>-102</c:v>
                </c:pt>
                <c:pt idx="5">
                  <c:v>-125</c:v>
                </c:pt>
                <c:pt idx="6">
                  <c:v>-120</c:v>
                </c:pt>
                <c:pt idx="7">
                  <c:v>-70</c:v>
                </c:pt>
                <c:pt idx="8">
                  <c:v>-95</c:v>
                </c:pt>
                <c:pt idx="9">
                  <c:v>-100</c:v>
                </c:pt>
                <c:pt idx="10">
                  <c:v>-113</c:v>
                </c:pt>
                <c:pt idx="11">
                  <c:v>-105</c:v>
                </c:pt>
                <c:pt idx="12">
                  <c:v>-115</c:v>
                </c:pt>
                <c:pt idx="13">
                  <c:v>-205</c:v>
                </c:pt>
                <c:pt idx="14">
                  <c:v>-190</c:v>
                </c:pt>
                <c:pt idx="15">
                  <c:v>-180</c:v>
                </c:pt>
                <c:pt idx="16">
                  <c:v>-167</c:v>
                </c:pt>
                <c:pt idx="17">
                  <c:v>-157.5</c:v>
                </c:pt>
                <c:pt idx="18">
                  <c:v>-238</c:v>
                </c:pt>
                <c:pt idx="19">
                  <c:v>-235</c:v>
                </c:pt>
                <c:pt idx="20">
                  <c:v>-210</c:v>
                </c:pt>
                <c:pt idx="21">
                  <c:v>-192</c:v>
                </c:pt>
                <c:pt idx="22">
                  <c:v>-177.5</c:v>
                </c:pt>
                <c:pt idx="23">
                  <c:v>-170</c:v>
                </c:pt>
                <c:pt idx="24">
                  <c:v>-170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93D-4BC9-B726-DB0F4A67ED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17916735"/>
        <c:axId val="1917910079"/>
      </c:areaChart>
      <c:lineChart>
        <c:grouping val="standard"/>
        <c:varyColors val="0"/>
        <c:ser>
          <c:idx val="13"/>
          <c:order val="0"/>
          <c:tx>
            <c:strRef>
              <c:f>'Ma trận giá bán rPP'!$AW$5</c:f>
              <c:strCache>
                <c:ptCount val="1"/>
                <c:pt idx="0">
                  <c:v>Diễn giải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'Ma trận giá bán vảy PP'!$I$5:$AH$5</c:f>
              <c:strCache>
                <c:ptCount val="25"/>
                <c:pt idx="0">
                  <c:v>T1.24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T1.25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  <c:pt idx="16">
                  <c:v>5</c:v>
                </c:pt>
                <c:pt idx="17">
                  <c:v>6</c:v>
                </c:pt>
                <c:pt idx="18">
                  <c:v>7</c:v>
                </c:pt>
                <c:pt idx="19">
                  <c:v>8</c:v>
                </c:pt>
                <c:pt idx="20">
                  <c:v>9</c:v>
                </c:pt>
                <c:pt idx="21">
                  <c:v>10</c:v>
                </c:pt>
                <c:pt idx="22">
                  <c:v>11</c:v>
                </c:pt>
                <c:pt idx="23">
                  <c:v>12</c:v>
                </c:pt>
                <c:pt idx="24">
                  <c:v>T1.26</c:v>
                </c:pt>
              </c:strCache>
            </c:strRef>
          </c:cat>
          <c:val>
            <c:numRef>
              <c:f>'Ma trận giá bán rPP'!$AX$5:$BJ$5</c:f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93D-4BC9-B726-DB0F4A67ED34}"/>
            </c:ext>
          </c:extLst>
        </c:ser>
        <c:ser>
          <c:idx val="2"/>
          <c:order val="1"/>
          <c:tx>
            <c:strRef>
              <c:f>'Ma trận giá bán vảy PP'!$H$7</c:f>
              <c:strCache>
                <c:ptCount val="1"/>
                <c:pt idx="0">
                  <c:v>RESIN</c:v>
                </c:pt>
              </c:strCache>
            </c:strRef>
          </c:tx>
          <c:spPr>
            <a:ln w="50800" cap="rnd">
              <a:solidFill>
                <a:srgbClr val="FF3399"/>
              </a:solidFill>
              <a:round/>
            </a:ln>
            <a:effectLst/>
          </c:spPr>
          <c:marker>
            <c:symbol val="none"/>
          </c:marker>
          <c:dLbls>
            <c:numFmt formatCode="[$$-C09]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rgbClr val="FF3399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'Ma trận giá bán vảy PP'!$I$5:$AH$5</c:f>
              <c:strCache>
                <c:ptCount val="25"/>
                <c:pt idx="0">
                  <c:v>T1.24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T1.25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  <c:pt idx="16">
                  <c:v>5</c:v>
                </c:pt>
                <c:pt idx="17">
                  <c:v>6</c:v>
                </c:pt>
                <c:pt idx="18">
                  <c:v>7</c:v>
                </c:pt>
                <c:pt idx="19">
                  <c:v>8</c:v>
                </c:pt>
                <c:pt idx="20">
                  <c:v>9</c:v>
                </c:pt>
                <c:pt idx="21">
                  <c:v>10</c:v>
                </c:pt>
                <c:pt idx="22">
                  <c:v>11</c:v>
                </c:pt>
                <c:pt idx="23">
                  <c:v>12</c:v>
                </c:pt>
                <c:pt idx="24">
                  <c:v>T1.26</c:v>
                </c:pt>
              </c:strCache>
            </c:strRef>
          </c:cat>
          <c:val>
            <c:numRef>
              <c:f>'Ma trận giá bán vảy PP'!$I$7:$AH$7</c:f>
              <c:numCache>
                <c:formatCode>_(* #,##0_);_(* \(#,##0\);_(* "-"??_);_(@_)</c:formatCode>
                <c:ptCount val="25"/>
                <c:pt idx="0">
                  <c:v>962.5</c:v>
                </c:pt>
                <c:pt idx="1">
                  <c:v>986.66666666666663</c:v>
                </c:pt>
                <c:pt idx="2">
                  <c:v>990</c:v>
                </c:pt>
                <c:pt idx="3">
                  <c:v>992.5</c:v>
                </c:pt>
                <c:pt idx="4">
                  <c:v>1002</c:v>
                </c:pt>
                <c:pt idx="5">
                  <c:v>1025</c:v>
                </c:pt>
                <c:pt idx="6">
                  <c:v>1020</c:v>
                </c:pt>
                <c:pt idx="7">
                  <c:v>970</c:v>
                </c:pt>
                <c:pt idx="8">
                  <c:v>955</c:v>
                </c:pt>
                <c:pt idx="9">
                  <c:v>955</c:v>
                </c:pt>
                <c:pt idx="10">
                  <c:v>968</c:v>
                </c:pt>
                <c:pt idx="11">
                  <c:v>960</c:v>
                </c:pt>
                <c:pt idx="12">
                  <c:v>970</c:v>
                </c:pt>
                <c:pt idx="13">
                  <c:v>985</c:v>
                </c:pt>
                <c:pt idx="14">
                  <c:v>980</c:v>
                </c:pt>
                <c:pt idx="15">
                  <c:v>965</c:v>
                </c:pt>
                <c:pt idx="16">
                  <c:v>932</c:v>
                </c:pt>
                <c:pt idx="17">
                  <c:v>922.5</c:v>
                </c:pt>
                <c:pt idx="18">
                  <c:v>918</c:v>
                </c:pt>
                <c:pt idx="19">
                  <c:v>895</c:v>
                </c:pt>
                <c:pt idx="20">
                  <c:v>870</c:v>
                </c:pt>
                <c:pt idx="21">
                  <c:v>842</c:v>
                </c:pt>
                <c:pt idx="22">
                  <c:v>827.5</c:v>
                </c:pt>
                <c:pt idx="23">
                  <c:v>820</c:v>
                </c:pt>
                <c:pt idx="24">
                  <c:v>820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F-893D-4BC9-B726-DB0F4A67ED34}"/>
            </c:ext>
          </c:extLst>
        </c:ser>
        <c:ser>
          <c:idx val="11"/>
          <c:order val="2"/>
          <c:tx>
            <c:strRef>
              <c:f>'Ma trận giá bán vảy PP'!$H$6</c:f>
              <c:strCache>
                <c:ptCount val="1"/>
                <c:pt idx="0">
                  <c:v>DTR </c:v>
                </c:pt>
              </c:strCache>
            </c:strRef>
          </c:tx>
          <c:spPr>
            <a:ln w="5080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13"/>
              <c:layout>
                <c:manualLayout>
                  <c:x val="-4.883436188450439E-3"/>
                  <c:y val="-2.569205618462859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F0C-40D8-B104-9E0BB316F7DC}"/>
                </c:ext>
              </c:extLst>
            </c:dLbl>
            <c:dLbl>
              <c:idx val="14"/>
              <c:layout>
                <c:manualLayout>
                  <c:x val="-1.731400103177896E-2"/>
                  <c:y val="-2.569205618462867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2B8-4690-AA0A-48484FDD59D9}"/>
                </c:ext>
              </c:extLst>
            </c:dLbl>
            <c:dLbl>
              <c:idx val="15"/>
              <c:layout>
                <c:manualLayout>
                  <c:x val="-1.6472825551971246E-2"/>
                  <c:y val="-3.046817927676678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124-4163-AFDF-B0DF1D4EB3BB}"/>
                </c:ext>
              </c:extLst>
            </c:dLbl>
            <c:dLbl>
              <c:idx val="16"/>
              <c:layout>
                <c:manualLayout>
                  <c:x val="-1.5582402549161867E-2"/>
                  <c:y val="-2.34907336408659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79FC-4F05-9DD0-969952E0F6AA}"/>
                </c:ext>
              </c:extLst>
            </c:dLbl>
            <c:dLbl>
              <c:idx val="17"/>
              <c:layout>
                <c:manualLayout>
                  <c:x val="-2.0034517563208114E-2"/>
                  <c:y val="-2.34907336408659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812F-419B-8E1E-D64675A6569D}"/>
                </c:ext>
              </c:extLst>
            </c:dLbl>
            <c:numFmt formatCode="[$$-C09]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accent6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'Ma trận giá bán vảy PP'!$I$5:$AH$5</c:f>
              <c:strCache>
                <c:ptCount val="25"/>
                <c:pt idx="0">
                  <c:v>T1.24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T1.25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  <c:pt idx="16">
                  <c:v>5</c:v>
                </c:pt>
                <c:pt idx="17">
                  <c:v>6</c:v>
                </c:pt>
                <c:pt idx="18">
                  <c:v>7</c:v>
                </c:pt>
                <c:pt idx="19">
                  <c:v>8</c:v>
                </c:pt>
                <c:pt idx="20">
                  <c:v>9</c:v>
                </c:pt>
                <c:pt idx="21">
                  <c:v>10</c:v>
                </c:pt>
                <c:pt idx="22">
                  <c:v>11</c:v>
                </c:pt>
                <c:pt idx="23">
                  <c:v>12</c:v>
                </c:pt>
                <c:pt idx="24">
                  <c:v>T1.26</c:v>
                </c:pt>
              </c:strCache>
            </c:strRef>
          </c:cat>
          <c:val>
            <c:numRef>
              <c:f>'Ma trận giá bán vảy PP'!$I$6:$AH$6</c:f>
              <c:numCache>
                <c:formatCode>"$"#,##0_);\("$"#,##0\)</c:formatCode>
                <c:ptCount val="25"/>
                <c:pt idx="0">
                  <c:v>810</c:v>
                </c:pt>
                <c:pt idx="1">
                  <c:v>840</c:v>
                </c:pt>
                <c:pt idx="2">
                  <c:v>880</c:v>
                </c:pt>
                <c:pt idx="3">
                  <c:v>900</c:v>
                </c:pt>
                <c:pt idx="4">
                  <c:v>900</c:v>
                </c:pt>
                <c:pt idx="5">
                  <c:v>900</c:v>
                </c:pt>
                <c:pt idx="6">
                  <c:v>900</c:v>
                </c:pt>
                <c:pt idx="7">
                  <c:v>900</c:v>
                </c:pt>
                <c:pt idx="8">
                  <c:v>860</c:v>
                </c:pt>
                <c:pt idx="9">
                  <c:v>855</c:v>
                </c:pt>
                <c:pt idx="10">
                  <c:v>855</c:v>
                </c:pt>
                <c:pt idx="11">
                  <c:v>855</c:v>
                </c:pt>
                <c:pt idx="12">
                  <c:v>855</c:v>
                </c:pt>
                <c:pt idx="13">
                  <c:v>780</c:v>
                </c:pt>
                <c:pt idx="14">
                  <c:v>790</c:v>
                </c:pt>
                <c:pt idx="15">
                  <c:v>785</c:v>
                </c:pt>
                <c:pt idx="16">
                  <c:v>765</c:v>
                </c:pt>
                <c:pt idx="17">
                  <c:v>765</c:v>
                </c:pt>
                <c:pt idx="18">
                  <c:v>680</c:v>
                </c:pt>
                <c:pt idx="19">
                  <c:v>660</c:v>
                </c:pt>
                <c:pt idx="20">
                  <c:v>660</c:v>
                </c:pt>
                <c:pt idx="21">
                  <c:v>650</c:v>
                </c:pt>
                <c:pt idx="22">
                  <c:v>650</c:v>
                </c:pt>
                <c:pt idx="23">
                  <c:v>650</c:v>
                </c:pt>
                <c:pt idx="24">
                  <c:v>650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893D-4BC9-B726-DB0F4A67ED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12700" cap="flat" cmpd="sng" algn="ctr">
              <a:solidFill>
                <a:schemeClr val="bg2"/>
              </a:solidFill>
              <a:round/>
            </a:ln>
            <a:effectLst/>
          </c:spPr>
        </c:dropLines>
        <c:marker val="1"/>
        <c:smooth val="0"/>
        <c:axId val="1917916735"/>
        <c:axId val="1917910079"/>
        <c:extLst/>
      </c:lineChart>
      <c:lineChart>
        <c:grouping val="standard"/>
        <c:varyColors val="0"/>
        <c:ser>
          <c:idx val="5"/>
          <c:order val="5"/>
          <c:tx>
            <c:strRef>
              <c:f>'Ma trận giá bán vảy PP'!$AK$10</c:f>
              <c:strCache>
                <c:ptCount val="1"/>
                <c:pt idx="0">
                  <c:v>%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'Ma trận giá bán vảy PP'!$I$5:$P$5</c:f>
              <c:strCache>
                <c:ptCount val="7"/>
                <c:pt idx="0">
                  <c:v>T1.24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</c:strCache>
            </c:strRef>
          </c:cat>
          <c:val>
            <c:numRef>
              <c:f>'Ma trận giá bán vảy PP'!$AL$10:$AT$10</c:f>
            </c:numRef>
          </c:val>
          <c:smooth val="0"/>
          <c:extLst>
            <c:ext xmlns:c16="http://schemas.microsoft.com/office/drawing/2014/chart" uri="{C3380CC4-5D6E-409C-BE32-E72D297353CC}">
              <c16:uniqueId val="{00000023-893D-4BC9-B726-DB0F4A67ED34}"/>
            </c:ext>
          </c:extLst>
        </c:ser>
        <c:ser>
          <c:idx val="1"/>
          <c:order val="6"/>
          <c:tx>
            <c:strRef>
              <c:f>'Ma trận giá bán vảy PP'!$H$11</c:f>
              <c:strCache>
                <c:ptCount val="1"/>
                <c:pt idx="0">
                  <c:v>Điểm hòa vốn</c:v>
                </c:pt>
              </c:strCache>
            </c:strRef>
          </c:tx>
          <c:spPr>
            <a:ln w="5080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dLbls>
            <c:dLbl>
              <c:idx val="13"/>
              <c:layout>
                <c:manualLayout>
                  <c:x val="-1.3762411076542146E-2"/>
                  <c:y val="2.522913625337402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4F0C-40D8-B104-9E0BB316F7DC}"/>
                </c:ext>
              </c:extLst>
            </c:dLbl>
            <c:dLbl>
              <c:idx val="15"/>
              <c:layout>
                <c:manualLayout>
                  <c:x val="-2.1995481418764957E-2"/>
                  <c:y val="2.781290409894713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FAE-4FA0-BFC9-50BAC9B85F64}"/>
                </c:ext>
              </c:extLst>
            </c:dLbl>
            <c:numFmt formatCode="[$$-C09]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rgbClr val="FF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'Ma trận giá bán vảy PP'!$I$5:$P$5</c:f>
              <c:strCache>
                <c:ptCount val="7"/>
                <c:pt idx="0">
                  <c:v>T1.24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</c:strCache>
            </c:strRef>
          </c:cat>
          <c:val>
            <c:numRef>
              <c:f>'Ma trận giá bán vảy PP'!$I$11:$AH$11</c:f>
              <c:numCache>
                <c:formatCode>General</c:formatCode>
                <c:ptCount val="25"/>
                <c:pt idx="0">
                  <c:v>772</c:v>
                </c:pt>
                <c:pt idx="1">
                  <c:v>772</c:v>
                </c:pt>
                <c:pt idx="2">
                  <c:v>772</c:v>
                </c:pt>
                <c:pt idx="3">
                  <c:v>772</c:v>
                </c:pt>
                <c:pt idx="4">
                  <c:v>772</c:v>
                </c:pt>
                <c:pt idx="5">
                  <c:v>772</c:v>
                </c:pt>
                <c:pt idx="6">
                  <c:v>738</c:v>
                </c:pt>
                <c:pt idx="7" formatCode="0">
                  <c:v>780.1665026220935</c:v>
                </c:pt>
                <c:pt idx="8" formatCode="0">
                  <c:v>790.84736542275789</c:v>
                </c:pt>
                <c:pt idx="9" formatCode="0">
                  <c:v>794.61882076959819</c:v>
                </c:pt>
                <c:pt idx="10" formatCode="0">
                  <c:v>794.61882076959819</c:v>
                </c:pt>
                <c:pt idx="11" formatCode="0">
                  <c:v>772.61324687952413</c:v>
                </c:pt>
                <c:pt idx="12" formatCode="0">
                  <c:v>790.71342693105714</c:v>
                </c:pt>
                <c:pt idx="13" formatCode="0">
                  <c:v>780.14594515953695</c:v>
                </c:pt>
                <c:pt idx="14" formatCode="0">
                  <c:v>780.14594515953695</c:v>
                </c:pt>
                <c:pt idx="15" formatCode="0">
                  <c:v>767.45783789288964</c:v>
                </c:pt>
                <c:pt idx="16" formatCode="0">
                  <c:v>720.25560128568611</c:v>
                </c:pt>
                <c:pt idx="17" formatCode="0">
                  <c:v>754.85044113798847</c:v>
                </c:pt>
                <c:pt idx="18" formatCode="0">
                  <c:v>757.17190222429883</c:v>
                </c:pt>
                <c:pt idx="19" formatCode="0">
                  <c:v>757.17190222429883</c:v>
                </c:pt>
                <c:pt idx="20" formatCode="0">
                  <c:v>757.17190222429883</c:v>
                </c:pt>
                <c:pt idx="21" formatCode="0">
                  <c:v>760.07393351542305</c:v>
                </c:pt>
                <c:pt idx="22" formatCode="0">
                  <c:v>760.79553063281901</c:v>
                </c:pt>
                <c:pt idx="23" formatCode="0">
                  <c:v>765.98333885599538</c:v>
                </c:pt>
                <c:pt idx="24" formatCode="0">
                  <c:v>765.98333885599538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8-893D-4BC9-B726-DB0F4A67ED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66633151"/>
        <c:axId val="1366632735"/>
      </c:lineChart>
      <c:catAx>
        <c:axId val="1917916735"/>
        <c:scaling>
          <c:orientation val="minMax"/>
        </c:scaling>
        <c:delete val="0"/>
        <c:axPos val="b"/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917910079"/>
        <c:crosses val="autoZero"/>
        <c:auto val="1"/>
        <c:lblAlgn val="ctr"/>
        <c:lblOffset val="100"/>
        <c:noMultiLvlLbl val="0"/>
      </c:catAx>
      <c:valAx>
        <c:axId val="1917910079"/>
        <c:scaling>
          <c:orientation val="minMax"/>
          <c:max val="1100"/>
          <c:min val="600"/>
        </c:scaling>
        <c:delete val="0"/>
        <c:axPos val="l"/>
        <c:numFmt formatCode="[$$-C09]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917916735"/>
        <c:crosses val="autoZero"/>
        <c:crossBetween val="between"/>
        <c:majorUnit val="100"/>
      </c:valAx>
      <c:valAx>
        <c:axId val="1366632735"/>
        <c:scaling>
          <c:orientation val="minMax"/>
        </c:scaling>
        <c:delete val="1"/>
        <c:axPos val="r"/>
        <c:numFmt formatCode="General" sourceLinked="1"/>
        <c:majorTickMark val="out"/>
        <c:minorTickMark val="none"/>
        <c:tickLblPos val="nextTo"/>
        <c:crossAx val="1366633151"/>
        <c:crosses val="max"/>
        <c:crossBetween val="between"/>
      </c:valAx>
      <c:catAx>
        <c:axId val="136663315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36663273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legendEntry>
        <c:idx val="0"/>
        <c:delete val="1"/>
      </c:legendEntry>
      <c:legendEntry>
        <c:idx val="1"/>
        <c:delete val="1"/>
      </c:legendEntry>
      <c:legendEntry>
        <c:idx val="2"/>
        <c:txPr>
          <a:bodyPr rot="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rgbClr val="FF3399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legendEntry>
      <c:legendEntry>
        <c:idx val="3"/>
        <c:txPr>
          <a:bodyPr rot="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accent6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legendEntry>
      <c:legendEntry>
        <c:idx val="4"/>
        <c:txPr>
          <a:bodyPr rot="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rgbClr val="FF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legendEntry>
      <c:layout>
        <c:manualLayout>
          <c:xMode val="edge"/>
          <c:yMode val="edge"/>
          <c:x val="0.88659698837906831"/>
          <c:y val="0.36360311629936792"/>
          <c:w val="0.11340299383875832"/>
          <c:h val="0.4639838357674118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0" baseline="0">
                <a:solidFill>
                  <a:srgbClr val="0000FF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2400" b="1" baseline="0">
                <a:solidFill>
                  <a:srgbClr val="0000FF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GIÁ </a:t>
            </a:r>
            <a:r>
              <a:rPr lang="en-US" sz="2400" b="1" baseline="0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VẢY </a:t>
            </a:r>
            <a:r>
              <a:rPr lang="en-US" sz="24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PP</a:t>
            </a:r>
            <a:r>
              <a:rPr lang="en-US" sz="2400" b="1" baseline="0">
                <a:solidFill>
                  <a:srgbClr val="0000FF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NĂM 2025 (USD/tấn)</a:t>
            </a:r>
            <a:endParaRPr lang="en-US" sz="2400" b="1">
              <a:solidFill>
                <a:srgbClr val="0000FF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0" baseline="0">
              <a:solidFill>
                <a:srgbClr val="0000FF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6050113415520691E-2"/>
          <c:y val="0.12606143734533315"/>
          <c:w val="0.82500047697884893"/>
          <c:h val="0.78219318345479416"/>
        </c:manualLayout>
      </c:layout>
      <c:areaChart>
        <c:grouping val="stacked"/>
        <c:varyColors val="0"/>
        <c:ser>
          <c:idx val="0"/>
          <c:order val="3"/>
          <c:tx>
            <c:strRef>
              <c:f>'Ma trận giá bán vảy PP'!$AK$8</c:f>
              <c:strCache>
                <c:ptCount val="1"/>
                <c:pt idx="0">
                  <c:v>TTCP</c:v>
                </c:pt>
              </c:strCache>
            </c:strRef>
          </c:tx>
          <c:spPr>
            <a:noFill/>
            <a:ln>
              <a:noFill/>
            </a:ln>
            <a:effectLst/>
          </c:spPr>
          <c:val>
            <c:numRef>
              <c:f>'Ma trận giá bán vảy PP'!$AL$8:$EM$8</c:f>
              <c:numCache>
                <c:formatCode>"$"#,##0_);\("$"#,##0\)</c:formatCode>
                <c:ptCount val="51"/>
                <c:pt idx="0">
                  <c:v>960</c:v>
                </c:pt>
                <c:pt idx="1">
                  <c:v>970</c:v>
                </c:pt>
                <c:pt idx="2">
                  <c:v>970</c:v>
                </c:pt>
                <c:pt idx="3">
                  <c:v>980</c:v>
                </c:pt>
                <c:pt idx="4">
                  <c:v>970</c:v>
                </c:pt>
                <c:pt idx="5">
                  <c:v>1000</c:v>
                </c:pt>
                <c:pt idx="6">
                  <c:v>990</c:v>
                </c:pt>
                <c:pt idx="7">
                  <c:v>980</c:v>
                </c:pt>
                <c:pt idx="8">
                  <c:v>980</c:v>
                </c:pt>
                <c:pt idx="9">
                  <c:v>980</c:v>
                </c:pt>
                <c:pt idx="10">
                  <c:v>980</c:v>
                </c:pt>
                <c:pt idx="11">
                  <c:v>980</c:v>
                </c:pt>
                <c:pt idx="12">
                  <c:v>980</c:v>
                </c:pt>
                <c:pt idx="13">
                  <c:v>970</c:v>
                </c:pt>
                <c:pt idx="14">
                  <c:v>960</c:v>
                </c:pt>
                <c:pt idx="15">
                  <c:v>950</c:v>
                </c:pt>
                <c:pt idx="16">
                  <c:v>950</c:v>
                </c:pt>
                <c:pt idx="17">
                  <c:v>930</c:v>
                </c:pt>
                <c:pt idx="18">
                  <c:v>930</c:v>
                </c:pt>
                <c:pt idx="19">
                  <c:v>930</c:v>
                </c:pt>
                <c:pt idx="20">
                  <c:v>920</c:v>
                </c:pt>
                <c:pt idx="21">
                  <c:v>920</c:v>
                </c:pt>
                <c:pt idx="22">
                  <c:v>910</c:v>
                </c:pt>
                <c:pt idx="23">
                  <c:v>930</c:v>
                </c:pt>
                <c:pt idx="24">
                  <c:v>930</c:v>
                </c:pt>
                <c:pt idx="25">
                  <c:v>930</c:v>
                </c:pt>
                <c:pt idx="26">
                  <c:v>930</c:v>
                </c:pt>
                <c:pt idx="27">
                  <c:v>930</c:v>
                </c:pt>
                <c:pt idx="28">
                  <c:v>900</c:v>
                </c:pt>
                <c:pt idx="29">
                  <c:v>900</c:v>
                </c:pt>
                <c:pt idx="30">
                  <c:v>900</c:v>
                </c:pt>
                <c:pt idx="31">
                  <c:v>900</c:v>
                </c:pt>
                <c:pt idx="32">
                  <c:v>890</c:v>
                </c:pt>
                <c:pt idx="33">
                  <c:v>890</c:v>
                </c:pt>
                <c:pt idx="34">
                  <c:v>890</c:v>
                </c:pt>
                <c:pt idx="35">
                  <c:v>870</c:v>
                </c:pt>
                <c:pt idx="36">
                  <c:v>870</c:v>
                </c:pt>
                <c:pt idx="37">
                  <c:v>850</c:v>
                </c:pt>
                <c:pt idx="38">
                  <c:v>850</c:v>
                </c:pt>
                <c:pt idx="39">
                  <c:v>850</c:v>
                </c:pt>
                <c:pt idx="40">
                  <c:v>840</c:v>
                </c:pt>
                <c:pt idx="41">
                  <c:v>840</c:v>
                </c:pt>
                <c:pt idx="42">
                  <c:v>830</c:v>
                </c:pt>
                <c:pt idx="43">
                  <c:v>830</c:v>
                </c:pt>
                <c:pt idx="44">
                  <c:v>830</c:v>
                </c:pt>
                <c:pt idx="45">
                  <c:v>830</c:v>
                </c:pt>
                <c:pt idx="46">
                  <c:v>820</c:v>
                </c:pt>
                <c:pt idx="47">
                  <c:v>820</c:v>
                </c:pt>
                <c:pt idx="48">
                  <c:v>820</c:v>
                </c:pt>
                <c:pt idx="49">
                  <c:v>820</c:v>
                </c:pt>
                <c:pt idx="50">
                  <c:v>820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79-4260-A703-FCB7718B0DF0}"/>
            </c:ext>
          </c:extLst>
        </c:ser>
        <c:ser>
          <c:idx val="3"/>
          <c:order val="4"/>
          <c:tx>
            <c:strRef>
              <c:f>'Ma trận giá bán vảy PP'!$AK$9</c:f>
              <c:strCache>
                <c:ptCount val="1"/>
                <c:pt idx="0">
                  <c:v>CL</c:v>
                </c:pt>
              </c:strCache>
            </c:strRef>
          </c:tx>
          <c:spPr>
            <a:solidFill>
              <a:schemeClr val="accent4">
                <a:lumMod val="20000"/>
                <a:lumOff val="80000"/>
              </a:schemeClr>
            </a:solidFill>
            <a:ln w="25400">
              <a:noFill/>
            </a:ln>
            <a:effectLst/>
          </c:spPr>
          <c:val>
            <c:numRef>
              <c:f>'Ma trận giá bán vảy PP'!$AL$9:$EM$9</c:f>
              <c:numCache>
                <c:formatCode>"$"#,##0_);\("$"#,##0\)</c:formatCode>
                <c:ptCount val="51"/>
                <c:pt idx="0">
                  <c:v>-105</c:v>
                </c:pt>
                <c:pt idx="1">
                  <c:v>-115</c:v>
                </c:pt>
                <c:pt idx="2">
                  <c:v>-115</c:v>
                </c:pt>
                <c:pt idx="3">
                  <c:v>-125</c:v>
                </c:pt>
                <c:pt idx="4">
                  <c:v>-190</c:v>
                </c:pt>
                <c:pt idx="5">
                  <c:v>-220</c:v>
                </c:pt>
                <c:pt idx="6">
                  <c:v>-210</c:v>
                </c:pt>
                <c:pt idx="7">
                  <c:v>-200</c:v>
                </c:pt>
                <c:pt idx="8">
                  <c:v>-190</c:v>
                </c:pt>
                <c:pt idx="9">
                  <c:v>-190</c:v>
                </c:pt>
                <c:pt idx="10">
                  <c:v>-190</c:v>
                </c:pt>
                <c:pt idx="11">
                  <c:v>-190</c:v>
                </c:pt>
                <c:pt idx="12">
                  <c:v>-195</c:v>
                </c:pt>
                <c:pt idx="13">
                  <c:v>-185</c:v>
                </c:pt>
                <c:pt idx="14">
                  <c:v>-175</c:v>
                </c:pt>
                <c:pt idx="15">
                  <c:v>-165</c:v>
                </c:pt>
                <c:pt idx="16">
                  <c:v>-185</c:v>
                </c:pt>
                <c:pt idx="17">
                  <c:v>-165</c:v>
                </c:pt>
                <c:pt idx="18">
                  <c:v>-165</c:v>
                </c:pt>
                <c:pt idx="19">
                  <c:v>-165</c:v>
                </c:pt>
                <c:pt idx="20">
                  <c:v>-155</c:v>
                </c:pt>
                <c:pt idx="21">
                  <c:v>-155</c:v>
                </c:pt>
                <c:pt idx="22">
                  <c:v>-145</c:v>
                </c:pt>
                <c:pt idx="23">
                  <c:v>-165</c:v>
                </c:pt>
                <c:pt idx="24">
                  <c:v>-165</c:v>
                </c:pt>
                <c:pt idx="25">
                  <c:v>-250</c:v>
                </c:pt>
                <c:pt idx="26">
                  <c:v>-250</c:v>
                </c:pt>
                <c:pt idx="27">
                  <c:v>-250</c:v>
                </c:pt>
                <c:pt idx="28">
                  <c:v>-220</c:v>
                </c:pt>
                <c:pt idx="29">
                  <c:v>-220</c:v>
                </c:pt>
                <c:pt idx="30">
                  <c:v>-240</c:v>
                </c:pt>
                <c:pt idx="31">
                  <c:v>-240</c:v>
                </c:pt>
                <c:pt idx="32">
                  <c:v>-230</c:v>
                </c:pt>
                <c:pt idx="33">
                  <c:v>-230</c:v>
                </c:pt>
                <c:pt idx="34">
                  <c:v>-230</c:v>
                </c:pt>
                <c:pt idx="35">
                  <c:v>-210</c:v>
                </c:pt>
                <c:pt idx="36">
                  <c:v>-210</c:v>
                </c:pt>
                <c:pt idx="37">
                  <c:v>-190</c:v>
                </c:pt>
                <c:pt idx="38">
                  <c:v>-200</c:v>
                </c:pt>
                <c:pt idx="39">
                  <c:v>-200</c:v>
                </c:pt>
                <c:pt idx="40">
                  <c:v>-190</c:v>
                </c:pt>
                <c:pt idx="41">
                  <c:v>-190</c:v>
                </c:pt>
                <c:pt idx="42">
                  <c:v>-180</c:v>
                </c:pt>
                <c:pt idx="43">
                  <c:v>-180</c:v>
                </c:pt>
                <c:pt idx="44">
                  <c:v>-180</c:v>
                </c:pt>
                <c:pt idx="45">
                  <c:v>-180</c:v>
                </c:pt>
                <c:pt idx="46">
                  <c:v>-170</c:v>
                </c:pt>
                <c:pt idx="47">
                  <c:v>-170</c:v>
                </c:pt>
                <c:pt idx="48">
                  <c:v>-170</c:v>
                </c:pt>
                <c:pt idx="49">
                  <c:v>-170</c:v>
                </c:pt>
                <c:pt idx="50">
                  <c:v>-170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A79-4260-A703-FCB7718B0D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17916735"/>
        <c:axId val="1917910079"/>
      </c:areaChart>
      <c:lineChart>
        <c:grouping val="standard"/>
        <c:varyColors val="0"/>
        <c:ser>
          <c:idx val="13"/>
          <c:order val="0"/>
          <c:tx>
            <c:strRef>
              <c:f>'Ma trận giá bán rPP'!$AW$5</c:f>
              <c:strCache>
                <c:ptCount val="1"/>
                <c:pt idx="0">
                  <c:v>Diễn giải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'Ma trận giá bán vảy PP'!$AL$5:$EM$5</c:f>
              <c:strCache>
                <c:ptCount val="51"/>
                <c:pt idx="0">
                  <c:v> 01 </c:v>
                </c:pt>
                <c:pt idx="1">
                  <c:v> 02 </c:v>
                </c:pt>
                <c:pt idx="2">
                  <c:v> 03 </c:v>
                </c:pt>
                <c:pt idx="3">
                  <c:v> 04 </c:v>
                </c:pt>
                <c:pt idx="4">
                  <c:v> 06 </c:v>
                </c:pt>
                <c:pt idx="5">
                  <c:v> 07 </c:v>
                </c:pt>
                <c:pt idx="6">
                  <c:v> 08 </c:v>
                </c:pt>
                <c:pt idx="7">
                  <c:v> 09 </c:v>
                </c:pt>
                <c:pt idx="8">
                  <c:v> 10 </c:v>
                </c:pt>
                <c:pt idx="9">
                  <c:v> 11 </c:v>
                </c:pt>
                <c:pt idx="10">
                  <c:v> 12 </c:v>
                </c:pt>
                <c:pt idx="11">
                  <c:v> 13 </c:v>
                </c:pt>
                <c:pt idx="12">
                  <c:v> 14 </c:v>
                </c:pt>
                <c:pt idx="13">
                  <c:v> 15 </c:v>
                </c:pt>
                <c:pt idx="14">
                  <c:v> 16 </c:v>
                </c:pt>
                <c:pt idx="15">
                  <c:v> 17 </c:v>
                </c:pt>
                <c:pt idx="16">
                  <c:v> 18 </c:v>
                </c:pt>
                <c:pt idx="17">
                  <c:v> 19 </c:v>
                </c:pt>
                <c:pt idx="18">
                  <c:v> 20 </c:v>
                </c:pt>
                <c:pt idx="19">
                  <c:v> 21 </c:v>
                </c:pt>
                <c:pt idx="20">
                  <c:v> 22 </c:v>
                </c:pt>
                <c:pt idx="21">
                  <c:v> 23 </c:v>
                </c:pt>
                <c:pt idx="22">
                  <c:v> 24 </c:v>
                </c:pt>
                <c:pt idx="23">
                  <c:v> 25 </c:v>
                </c:pt>
                <c:pt idx="24">
                  <c:v> 26 </c:v>
                </c:pt>
                <c:pt idx="25">
                  <c:v> 27 </c:v>
                </c:pt>
                <c:pt idx="26">
                  <c:v> 28 </c:v>
                </c:pt>
                <c:pt idx="27">
                  <c:v> 29 </c:v>
                </c:pt>
                <c:pt idx="28">
                  <c:v> 30 </c:v>
                </c:pt>
                <c:pt idx="29">
                  <c:v> 31 </c:v>
                </c:pt>
                <c:pt idx="30">
                  <c:v> 32 </c:v>
                </c:pt>
                <c:pt idx="31">
                  <c:v> 33 </c:v>
                </c:pt>
                <c:pt idx="32">
                  <c:v> 34 </c:v>
                </c:pt>
                <c:pt idx="33">
                  <c:v> 35 </c:v>
                </c:pt>
                <c:pt idx="34">
                  <c:v> 36 </c:v>
                </c:pt>
                <c:pt idx="35">
                  <c:v> 37 </c:v>
                </c:pt>
                <c:pt idx="36">
                  <c:v> 38 </c:v>
                </c:pt>
                <c:pt idx="37">
                  <c:v> 39 </c:v>
                </c:pt>
                <c:pt idx="38">
                  <c:v> 40 </c:v>
                </c:pt>
                <c:pt idx="39">
                  <c:v> 41 </c:v>
                </c:pt>
                <c:pt idx="40">
                  <c:v> 42 </c:v>
                </c:pt>
                <c:pt idx="41">
                  <c:v> 43 </c:v>
                </c:pt>
                <c:pt idx="42">
                  <c:v> 44 </c:v>
                </c:pt>
                <c:pt idx="43">
                  <c:v> 45 </c:v>
                </c:pt>
                <c:pt idx="44">
                  <c:v> 46 </c:v>
                </c:pt>
                <c:pt idx="45">
                  <c:v> 47 </c:v>
                </c:pt>
                <c:pt idx="46">
                  <c:v> 48 </c:v>
                </c:pt>
                <c:pt idx="47">
                  <c:v> 49 </c:v>
                </c:pt>
                <c:pt idx="48">
                  <c:v> 50 </c:v>
                </c:pt>
                <c:pt idx="49">
                  <c:v> 51 </c:v>
                </c:pt>
                <c:pt idx="50">
                  <c:v> 52 </c:v>
                </c:pt>
              </c:strCache>
            </c:strRef>
          </c:cat>
          <c:val>
            <c:numRef>
              <c:f>'Ma trận giá bán rPP'!$AX$5:$BJ$5</c:f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EF-1A79-4260-A703-FCB7718B0DF0}"/>
            </c:ext>
          </c:extLst>
        </c:ser>
        <c:ser>
          <c:idx val="2"/>
          <c:order val="1"/>
          <c:tx>
            <c:strRef>
              <c:f>'Ma trận giá bán vảy PP'!$AK$7</c:f>
              <c:strCache>
                <c:ptCount val="1"/>
                <c:pt idx="0">
                  <c:v>RESIN</c:v>
                </c:pt>
              </c:strCache>
            </c:strRef>
          </c:tx>
          <c:spPr>
            <a:ln w="50800" cap="rnd">
              <a:solidFill>
                <a:srgbClr val="FF3399"/>
              </a:solidFill>
              <a:round/>
            </a:ln>
            <a:effectLst/>
          </c:spPr>
          <c:marker>
            <c:symbol val="none"/>
          </c:marke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4439-4F16-8B9F-9EABD0221A54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8517-4CBF-B0D3-4A0C619DCD52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8517-4CBF-B0D3-4A0C619DCD52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8517-4CBF-B0D3-4A0C619DCD52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439-4F16-8B9F-9EABD0221A54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4439-4F16-8B9F-9EABD0221A54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439-4F16-8B9F-9EABD0221A54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8517-4CBF-B0D3-4A0C619DCD52}"/>
                </c:ext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FB7-4CFA-A893-46EC40C22F5A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146-498C-820E-9EFC028D3B62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4C0-4849-8591-37E782A995D2}"/>
                </c:ext>
              </c:extLst>
            </c:dLbl>
            <c:dLbl>
              <c:idx val="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4439-4F16-8B9F-9EABD0221A54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8517-4CBF-B0D3-4A0C619DCD52}"/>
                </c:ext>
              </c:extLst>
            </c:dLbl>
            <c:dLbl>
              <c:idx val="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4439-4F16-8B9F-9EABD0221A54}"/>
                </c:ext>
              </c:extLst>
            </c:dLbl>
            <c:dLbl>
              <c:idx val="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8517-4CBF-B0D3-4A0C619DCD52}"/>
                </c:ext>
              </c:extLst>
            </c:dLbl>
            <c:dLbl>
              <c:idx val="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4439-4F16-8B9F-9EABD0221A54}"/>
                </c:ext>
              </c:extLst>
            </c:dLbl>
            <c:dLbl>
              <c:idx val="2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4439-4F16-8B9F-9EABD0221A54}"/>
                </c:ext>
              </c:extLst>
            </c:dLbl>
            <c:dLbl>
              <c:idx val="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74C0-4849-8591-37E782A995D2}"/>
                </c:ext>
              </c:extLst>
            </c:dLbl>
            <c:dLbl>
              <c:idx val="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74B1-4472-BA2F-6B41C25B6234}"/>
                </c:ext>
              </c:extLst>
            </c:dLbl>
            <c:dLbl>
              <c:idx val="3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4E0D-4E4C-895C-8D0F297199C4}"/>
                </c:ext>
              </c:extLst>
            </c:dLbl>
            <c:dLbl>
              <c:idx val="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74C0-4849-8591-37E782A995D2}"/>
                </c:ext>
              </c:extLst>
            </c:dLbl>
            <c:dLbl>
              <c:idx val="3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8517-4CBF-B0D3-4A0C619DCD52}"/>
                </c:ext>
              </c:extLst>
            </c:dLbl>
            <c:dLbl>
              <c:idx val="3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FB7-4CFA-A893-46EC40C22F5A}"/>
                </c:ext>
              </c:extLst>
            </c:dLbl>
            <c:dLbl>
              <c:idx val="3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BF0-4110-B91A-6B807DF4CB82}"/>
                </c:ext>
              </c:extLst>
            </c:dLbl>
            <c:dLbl>
              <c:idx val="3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82D-452E-83C4-C59B26763BBD}"/>
                </c:ext>
              </c:extLst>
            </c:dLbl>
            <c:dLbl>
              <c:idx val="3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82D-452E-83C4-C59B26763BBD}"/>
                </c:ext>
              </c:extLst>
            </c:dLbl>
            <c:dLbl>
              <c:idx val="4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4A52-4744-B67B-DC5FBCE4A763}"/>
                </c:ext>
              </c:extLst>
            </c:dLbl>
            <c:dLbl>
              <c:idx val="4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3AE-4ED1-BAAA-8FEB5904F493}"/>
                </c:ext>
              </c:extLst>
            </c:dLbl>
            <c:dLbl>
              <c:idx val="4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D4D-422A-8989-C02FD96E6DB7}"/>
                </c:ext>
              </c:extLst>
            </c:dLbl>
            <c:dLbl>
              <c:idx val="4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A265-4E61-8275-F7F988C7480C}"/>
                </c:ext>
              </c:extLst>
            </c:dLbl>
            <c:dLbl>
              <c:idx val="4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21BF-4764-8135-CAAB41D60D78}"/>
                </c:ext>
              </c:extLst>
            </c:dLbl>
            <c:dLbl>
              <c:idx val="4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74C0-4849-8591-37E782A995D2}"/>
                </c:ext>
              </c:extLst>
            </c:dLbl>
            <c:dLbl>
              <c:idx val="4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74C0-4849-8591-37E782A995D2}"/>
                </c:ext>
              </c:extLst>
            </c:dLbl>
            <c:dLbl>
              <c:idx val="5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FE4-4D40-973F-F168430BE87A}"/>
                </c:ext>
              </c:extLst>
            </c:dLbl>
            <c:numFmt formatCode="[$$-C09]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rgbClr val="FF3399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'Ma trận giá bán vảy PP'!$AL$5:$EM$5</c:f>
              <c:strCache>
                <c:ptCount val="51"/>
                <c:pt idx="0">
                  <c:v> 01 </c:v>
                </c:pt>
                <c:pt idx="1">
                  <c:v> 02 </c:v>
                </c:pt>
                <c:pt idx="2">
                  <c:v> 03 </c:v>
                </c:pt>
                <c:pt idx="3">
                  <c:v> 04 </c:v>
                </c:pt>
                <c:pt idx="4">
                  <c:v> 06 </c:v>
                </c:pt>
                <c:pt idx="5">
                  <c:v> 07 </c:v>
                </c:pt>
                <c:pt idx="6">
                  <c:v> 08 </c:v>
                </c:pt>
                <c:pt idx="7">
                  <c:v> 09 </c:v>
                </c:pt>
                <c:pt idx="8">
                  <c:v> 10 </c:v>
                </c:pt>
                <c:pt idx="9">
                  <c:v> 11 </c:v>
                </c:pt>
                <c:pt idx="10">
                  <c:v> 12 </c:v>
                </c:pt>
                <c:pt idx="11">
                  <c:v> 13 </c:v>
                </c:pt>
                <c:pt idx="12">
                  <c:v> 14 </c:v>
                </c:pt>
                <c:pt idx="13">
                  <c:v> 15 </c:v>
                </c:pt>
                <c:pt idx="14">
                  <c:v> 16 </c:v>
                </c:pt>
                <c:pt idx="15">
                  <c:v> 17 </c:v>
                </c:pt>
                <c:pt idx="16">
                  <c:v> 18 </c:v>
                </c:pt>
                <c:pt idx="17">
                  <c:v> 19 </c:v>
                </c:pt>
                <c:pt idx="18">
                  <c:v> 20 </c:v>
                </c:pt>
                <c:pt idx="19">
                  <c:v> 21 </c:v>
                </c:pt>
                <c:pt idx="20">
                  <c:v> 22 </c:v>
                </c:pt>
                <c:pt idx="21">
                  <c:v> 23 </c:v>
                </c:pt>
                <c:pt idx="22">
                  <c:v> 24 </c:v>
                </c:pt>
                <c:pt idx="23">
                  <c:v> 25 </c:v>
                </c:pt>
                <c:pt idx="24">
                  <c:v> 26 </c:v>
                </c:pt>
                <c:pt idx="25">
                  <c:v> 27 </c:v>
                </c:pt>
                <c:pt idx="26">
                  <c:v> 28 </c:v>
                </c:pt>
                <c:pt idx="27">
                  <c:v> 29 </c:v>
                </c:pt>
                <c:pt idx="28">
                  <c:v> 30 </c:v>
                </c:pt>
                <c:pt idx="29">
                  <c:v> 31 </c:v>
                </c:pt>
                <c:pt idx="30">
                  <c:v> 32 </c:v>
                </c:pt>
                <c:pt idx="31">
                  <c:v> 33 </c:v>
                </c:pt>
                <c:pt idx="32">
                  <c:v> 34 </c:v>
                </c:pt>
                <c:pt idx="33">
                  <c:v> 35 </c:v>
                </c:pt>
                <c:pt idx="34">
                  <c:v> 36 </c:v>
                </c:pt>
                <c:pt idx="35">
                  <c:v> 37 </c:v>
                </c:pt>
                <c:pt idx="36">
                  <c:v> 38 </c:v>
                </c:pt>
                <c:pt idx="37">
                  <c:v> 39 </c:v>
                </c:pt>
                <c:pt idx="38">
                  <c:v> 40 </c:v>
                </c:pt>
                <c:pt idx="39">
                  <c:v> 41 </c:v>
                </c:pt>
                <c:pt idx="40">
                  <c:v> 42 </c:v>
                </c:pt>
                <c:pt idx="41">
                  <c:v> 43 </c:v>
                </c:pt>
                <c:pt idx="42">
                  <c:v> 44 </c:v>
                </c:pt>
                <c:pt idx="43">
                  <c:v> 45 </c:v>
                </c:pt>
                <c:pt idx="44">
                  <c:v> 46 </c:v>
                </c:pt>
                <c:pt idx="45">
                  <c:v> 47 </c:v>
                </c:pt>
                <c:pt idx="46">
                  <c:v> 48 </c:v>
                </c:pt>
                <c:pt idx="47">
                  <c:v> 49 </c:v>
                </c:pt>
                <c:pt idx="48">
                  <c:v> 50 </c:v>
                </c:pt>
                <c:pt idx="49">
                  <c:v> 51 </c:v>
                </c:pt>
                <c:pt idx="50">
                  <c:v> 52 </c:v>
                </c:pt>
              </c:strCache>
            </c:strRef>
          </c:cat>
          <c:val>
            <c:numRef>
              <c:f>'Ma trận giá bán vảy PP'!$AL$7:$EM$7</c:f>
              <c:numCache>
                <c:formatCode>"$"#,##0_);\("$"#,##0\)</c:formatCode>
                <c:ptCount val="51"/>
                <c:pt idx="0">
                  <c:v>960</c:v>
                </c:pt>
                <c:pt idx="1">
                  <c:v>970</c:v>
                </c:pt>
                <c:pt idx="2">
                  <c:v>970</c:v>
                </c:pt>
                <c:pt idx="3">
                  <c:v>980</c:v>
                </c:pt>
                <c:pt idx="4">
                  <c:v>970</c:v>
                </c:pt>
                <c:pt idx="5">
                  <c:v>1000</c:v>
                </c:pt>
                <c:pt idx="6">
                  <c:v>990</c:v>
                </c:pt>
                <c:pt idx="7">
                  <c:v>980</c:v>
                </c:pt>
                <c:pt idx="8">
                  <c:v>980</c:v>
                </c:pt>
                <c:pt idx="9">
                  <c:v>980</c:v>
                </c:pt>
                <c:pt idx="10">
                  <c:v>980</c:v>
                </c:pt>
                <c:pt idx="11">
                  <c:v>980</c:v>
                </c:pt>
                <c:pt idx="12">
                  <c:v>980</c:v>
                </c:pt>
                <c:pt idx="13">
                  <c:v>970</c:v>
                </c:pt>
                <c:pt idx="14">
                  <c:v>960</c:v>
                </c:pt>
                <c:pt idx="15">
                  <c:v>950</c:v>
                </c:pt>
                <c:pt idx="16">
                  <c:v>950</c:v>
                </c:pt>
                <c:pt idx="17">
                  <c:v>930</c:v>
                </c:pt>
                <c:pt idx="18">
                  <c:v>930</c:v>
                </c:pt>
                <c:pt idx="19">
                  <c:v>930</c:v>
                </c:pt>
                <c:pt idx="20">
                  <c:v>920</c:v>
                </c:pt>
                <c:pt idx="21">
                  <c:v>920</c:v>
                </c:pt>
                <c:pt idx="22">
                  <c:v>910</c:v>
                </c:pt>
                <c:pt idx="23">
                  <c:v>930</c:v>
                </c:pt>
                <c:pt idx="24">
                  <c:v>930</c:v>
                </c:pt>
                <c:pt idx="25">
                  <c:v>930</c:v>
                </c:pt>
                <c:pt idx="26">
                  <c:v>930</c:v>
                </c:pt>
                <c:pt idx="27">
                  <c:v>930</c:v>
                </c:pt>
                <c:pt idx="28">
                  <c:v>900</c:v>
                </c:pt>
                <c:pt idx="29">
                  <c:v>900</c:v>
                </c:pt>
                <c:pt idx="30">
                  <c:v>900</c:v>
                </c:pt>
                <c:pt idx="31">
                  <c:v>900</c:v>
                </c:pt>
                <c:pt idx="32">
                  <c:v>890</c:v>
                </c:pt>
                <c:pt idx="33">
                  <c:v>890</c:v>
                </c:pt>
                <c:pt idx="34">
                  <c:v>890</c:v>
                </c:pt>
                <c:pt idx="35">
                  <c:v>870</c:v>
                </c:pt>
                <c:pt idx="36">
                  <c:v>870</c:v>
                </c:pt>
                <c:pt idx="37">
                  <c:v>850</c:v>
                </c:pt>
                <c:pt idx="38">
                  <c:v>850</c:v>
                </c:pt>
                <c:pt idx="39">
                  <c:v>850</c:v>
                </c:pt>
                <c:pt idx="40">
                  <c:v>840</c:v>
                </c:pt>
                <c:pt idx="41">
                  <c:v>840</c:v>
                </c:pt>
                <c:pt idx="42">
                  <c:v>830</c:v>
                </c:pt>
                <c:pt idx="43">
                  <c:v>830</c:v>
                </c:pt>
                <c:pt idx="44">
                  <c:v>830</c:v>
                </c:pt>
                <c:pt idx="45">
                  <c:v>830</c:v>
                </c:pt>
                <c:pt idx="46">
                  <c:v>820</c:v>
                </c:pt>
                <c:pt idx="47">
                  <c:v>820</c:v>
                </c:pt>
                <c:pt idx="48">
                  <c:v>820</c:v>
                </c:pt>
                <c:pt idx="49">
                  <c:v>820</c:v>
                </c:pt>
                <c:pt idx="50">
                  <c:v>820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EB-1A79-4260-A703-FCB7718B0DF0}"/>
            </c:ext>
          </c:extLst>
        </c:ser>
        <c:ser>
          <c:idx val="11"/>
          <c:order val="2"/>
          <c:tx>
            <c:strRef>
              <c:f>'Ma trận giá bán vảy PP'!$AK$6</c:f>
              <c:strCache>
                <c:ptCount val="1"/>
                <c:pt idx="0">
                  <c:v>DTR </c:v>
                </c:pt>
              </c:strCache>
            </c:strRef>
          </c:tx>
          <c:spPr>
            <a:ln w="50800" cap="rnd">
              <a:solidFill>
                <a:srgbClr val="92D050"/>
              </a:solidFill>
              <a:round/>
            </a:ln>
            <a:effectLst/>
          </c:spPr>
          <c:marker>
            <c:symbol val="none"/>
          </c:marke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9DD-43A9-BEFF-B016EF086044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1117-447D-BD24-5AEF1BCD1B7B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1117-447D-BD24-5AEF1BCD1B7B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F03-4650-A710-1B5DC92DF559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527E-44E4-8A02-371D29375DCA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4097-4716-9E38-8846B2ED6BE5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74C0-4849-8591-37E782A995D2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CE17-4712-8E7E-B84E14CFA582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D2C-4B97-8D3E-F2763751BC94}"/>
                </c:ext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D2C-4B97-8D3E-F2763751BC94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74C0-4849-8591-37E782A995D2}"/>
                </c:ext>
              </c:extLst>
            </c:dLbl>
            <c:dLbl>
              <c:idx val="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D2C-4B97-8D3E-F2763751BC94}"/>
                </c:ext>
              </c:extLst>
            </c:dLbl>
            <c:dLbl>
              <c:idx val="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D2C-4B97-8D3E-F2763751BC94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74C0-4849-8591-37E782A995D2}"/>
                </c:ext>
              </c:extLst>
            </c:dLbl>
            <c:dLbl>
              <c:idx val="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80B7-49B6-A629-8349450A754D}"/>
                </c:ext>
              </c:extLst>
            </c:dLbl>
            <c:dLbl>
              <c:idx val="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276-4422-87DF-99AC5D9B2431}"/>
                </c:ext>
              </c:extLst>
            </c:dLbl>
            <c:dLbl>
              <c:idx val="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146-498C-820E-9EFC028D3B62}"/>
                </c:ext>
              </c:extLst>
            </c:dLbl>
            <c:dLbl>
              <c:idx val="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4439-4F16-8B9F-9EABD0221A54}"/>
                </c:ext>
              </c:extLst>
            </c:dLbl>
            <c:dLbl>
              <c:idx val="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F4A-4E31-A0E6-0DBA63C375E8}"/>
                </c:ext>
              </c:extLst>
            </c:dLbl>
            <c:dLbl>
              <c:idx val="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E0D-4E4C-895C-8D0F297199C4}"/>
                </c:ext>
              </c:extLst>
            </c:dLbl>
            <c:dLbl>
              <c:idx val="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517-4CBF-B0D3-4A0C619DCD52}"/>
                </c:ext>
              </c:extLst>
            </c:dLbl>
            <c:dLbl>
              <c:idx val="3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8517-4CBF-B0D3-4A0C619DCD52}"/>
                </c:ext>
              </c:extLst>
            </c:dLbl>
            <c:dLbl>
              <c:idx val="3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FB7-4CFA-A893-46EC40C22F5A}"/>
                </c:ext>
              </c:extLst>
            </c:dLbl>
            <c:dLbl>
              <c:idx val="3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74C0-4849-8591-37E782A995D2}"/>
                </c:ext>
              </c:extLst>
            </c:dLbl>
            <c:dLbl>
              <c:idx val="3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BF0-4110-B91A-6B807DF4CB82}"/>
                </c:ext>
              </c:extLst>
            </c:dLbl>
            <c:dLbl>
              <c:idx val="3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82D-452E-83C4-C59B26763BBD}"/>
                </c:ext>
              </c:extLst>
            </c:dLbl>
            <c:dLbl>
              <c:idx val="3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74C0-4849-8591-37E782A995D2}"/>
                </c:ext>
              </c:extLst>
            </c:dLbl>
            <c:dLbl>
              <c:idx val="4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4A52-4744-B67B-DC5FBCE4A763}"/>
                </c:ext>
              </c:extLst>
            </c:dLbl>
            <c:dLbl>
              <c:idx val="4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3AE-4ED1-BAAA-8FEB5904F493}"/>
                </c:ext>
              </c:extLst>
            </c:dLbl>
            <c:dLbl>
              <c:idx val="4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D4D-422A-8989-C02FD96E6DB7}"/>
                </c:ext>
              </c:extLst>
            </c:dLbl>
            <c:dLbl>
              <c:idx val="4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A265-4E61-8275-F7F988C7480C}"/>
                </c:ext>
              </c:extLst>
            </c:dLbl>
            <c:dLbl>
              <c:idx val="4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1BF-4764-8135-CAAB41D60D78}"/>
                </c:ext>
              </c:extLst>
            </c:dLbl>
            <c:dLbl>
              <c:idx val="4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4C0-4849-8591-37E782A995D2}"/>
                </c:ext>
              </c:extLst>
            </c:dLbl>
            <c:dLbl>
              <c:idx val="4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74C0-4849-8591-37E782A995D2}"/>
                </c:ext>
              </c:extLst>
            </c:dLbl>
            <c:numFmt formatCode="[$$-C09]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rgbClr val="92D05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'Ma trận giá bán vảy PP'!$AL$5:$EM$5</c:f>
              <c:strCache>
                <c:ptCount val="51"/>
                <c:pt idx="0">
                  <c:v> 01 </c:v>
                </c:pt>
                <c:pt idx="1">
                  <c:v> 02 </c:v>
                </c:pt>
                <c:pt idx="2">
                  <c:v> 03 </c:v>
                </c:pt>
                <c:pt idx="3">
                  <c:v> 04 </c:v>
                </c:pt>
                <c:pt idx="4">
                  <c:v> 06 </c:v>
                </c:pt>
                <c:pt idx="5">
                  <c:v> 07 </c:v>
                </c:pt>
                <c:pt idx="6">
                  <c:v> 08 </c:v>
                </c:pt>
                <c:pt idx="7">
                  <c:v> 09 </c:v>
                </c:pt>
                <c:pt idx="8">
                  <c:v> 10 </c:v>
                </c:pt>
                <c:pt idx="9">
                  <c:v> 11 </c:v>
                </c:pt>
                <c:pt idx="10">
                  <c:v> 12 </c:v>
                </c:pt>
                <c:pt idx="11">
                  <c:v> 13 </c:v>
                </c:pt>
                <c:pt idx="12">
                  <c:v> 14 </c:v>
                </c:pt>
                <c:pt idx="13">
                  <c:v> 15 </c:v>
                </c:pt>
                <c:pt idx="14">
                  <c:v> 16 </c:v>
                </c:pt>
                <c:pt idx="15">
                  <c:v> 17 </c:v>
                </c:pt>
                <c:pt idx="16">
                  <c:v> 18 </c:v>
                </c:pt>
                <c:pt idx="17">
                  <c:v> 19 </c:v>
                </c:pt>
                <c:pt idx="18">
                  <c:v> 20 </c:v>
                </c:pt>
                <c:pt idx="19">
                  <c:v> 21 </c:v>
                </c:pt>
                <c:pt idx="20">
                  <c:v> 22 </c:v>
                </c:pt>
                <c:pt idx="21">
                  <c:v> 23 </c:v>
                </c:pt>
                <c:pt idx="22">
                  <c:v> 24 </c:v>
                </c:pt>
                <c:pt idx="23">
                  <c:v> 25 </c:v>
                </c:pt>
                <c:pt idx="24">
                  <c:v> 26 </c:v>
                </c:pt>
                <c:pt idx="25">
                  <c:v> 27 </c:v>
                </c:pt>
                <c:pt idx="26">
                  <c:v> 28 </c:v>
                </c:pt>
                <c:pt idx="27">
                  <c:v> 29 </c:v>
                </c:pt>
                <c:pt idx="28">
                  <c:v> 30 </c:v>
                </c:pt>
                <c:pt idx="29">
                  <c:v> 31 </c:v>
                </c:pt>
                <c:pt idx="30">
                  <c:v> 32 </c:v>
                </c:pt>
                <c:pt idx="31">
                  <c:v> 33 </c:v>
                </c:pt>
                <c:pt idx="32">
                  <c:v> 34 </c:v>
                </c:pt>
                <c:pt idx="33">
                  <c:v> 35 </c:v>
                </c:pt>
                <c:pt idx="34">
                  <c:v> 36 </c:v>
                </c:pt>
                <c:pt idx="35">
                  <c:v> 37 </c:v>
                </c:pt>
                <c:pt idx="36">
                  <c:v> 38 </c:v>
                </c:pt>
                <c:pt idx="37">
                  <c:v> 39 </c:v>
                </c:pt>
                <c:pt idx="38">
                  <c:v> 40 </c:v>
                </c:pt>
                <c:pt idx="39">
                  <c:v> 41 </c:v>
                </c:pt>
                <c:pt idx="40">
                  <c:v> 42 </c:v>
                </c:pt>
                <c:pt idx="41">
                  <c:v> 43 </c:v>
                </c:pt>
                <c:pt idx="42">
                  <c:v> 44 </c:v>
                </c:pt>
                <c:pt idx="43">
                  <c:v> 45 </c:v>
                </c:pt>
                <c:pt idx="44">
                  <c:v> 46 </c:v>
                </c:pt>
                <c:pt idx="45">
                  <c:v> 47 </c:v>
                </c:pt>
                <c:pt idx="46">
                  <c:v> 48 </c:v>
                </c:pt>
                <c:pt idx="47">
                  <c:v> 49 </c:v>
                </c:pt>
                <c:pt idx="48">
                  <c:v> 50 </c:v>
                </c:pt>
                <c:pt idx="49">
                  <c:v> 51 </c:v>
                </c:pt>
                <c:pt idx="50">
                  <c:v> 52 </c:v>
                </c:pt>
              </c:strCache>
            </c:strRef>
          </c:cat>
          <c:val>
            <c:numRef>
              <c:f>'Ma trận giá bán vảy PP'!$AL$6:$EM$6</c:f>
              <c:numCache>
                <c:formatCode>"$"#,##0_);\("$"#,##0\)</c:formatCode>
                <c:ptCount val="51"/>
                <c:pt idx="0">
                  <c:v>855</c:v>
                </c:pt>
                <c:pt idx="1">
                  <c:v>855</c:v>
                </c:pt>
                <c:pt idx="2">
                  <c:v>855</c:v>
                </c:pt>
                <c:pt idx="3">
                  <c:v>855</c:v>
                </c:pt>
                <c:pt idx="4">
                  <c:v>780</c:v>
                </c:pt>
                <c:pt idx="5">
                  <c:v>780</c:v>
                </c:pt>
                <c:pt idx="6">
                  <c:v>780</c:v>
                </c:pt>
                <c:pt idx="7">
                  <c:v>780</c:v>
                </c:pt>
                <c:pt idx="8">
                  <c:v>790</c:v>
                </c:pt>
                <c:pt idx="9">
                  <c:v>790</c:v>
                </c:pt>
                <c:pt idx="10">
                  <c:v>790</c:v>
                </c:pt>
                <c:pt idx="11">
                  <c:v>790</c:v>
                </c:pt>
                <c:pt idx="12">
                  <c:v>785</c:v>
                </c:pt>
                <c:pt idx="13">
                  <c:v>785</c:v>
                </c:pt>
                <c:pt idx="14">
                  <c:v>785</c:v>
                </c:pt>
                <c:pt idx="15">
                  <c:v>785</c:v>
                </c:pt>
                <c:pt idx="16">
                  <c:v>765</c:v>
                </c:pt>
                <c:pt idx="17">
                  <c:v>765</c:v>
                </c:pt>
                <c:pt idx="18">
                  <c:v>765</c:v>
                </c:pt>
                <c:pt idx="19">
                  <c:v>765</c:v>
                </c:pt>
                <c:pt idx="20">
                  <c:v>765</c:v>
                </c:pt>
                <c:pt idx="21">
                  <c:v>765</c:v>
                </c:pt>
                <c:pt idx="22">
                  <c:v>765</c:v>
                </c:pt>
                <c:pt idx="23">
                  <c:v>765</c:v>
                </c:pt>
                <c:pt idx="24">
                  <c:v>765</c:v>
                </c:pt>
                <c:pt idx="25">
                  <c:v>680</c:v>
                </c:pt>
                <c:pt idx="26">
                  <c:v>680</c:v>
                </c:pt>
                <c:pt idx="27">
                  <c:v>680</c:v>
                </c:pt>
                <c:pt idx="28">
                  <c:v>680</c:v>
                </c:pt>
                <c:pt idx="29">
                  <c:v>680</c:v>
                </c:pt>
                <c:pt idx="30">
                  <c:v>660</c:v>
                </c:pt>
                <c:pt idx="31">
                  <c:v>660</c:v>
                </c:pt>
                <c:pt idx="32">
                  <c:v>660</c:v>
                </c:pt>
                <c:pt idx="33">
                  <c:v>660</c:v>
                </c:pt>
                <c:pt idx="34">
                  <c:v>660</c:v>
                </c:pt>
                <c:pt idx="35">
                  <c:v>660</c:v>
                </c:pt>
                <c:pt idx="36">
                  <c:v>660</c:v>
                </c:pt>
                <c:pt idx="37">
                  <c:v>660</c:v>
                </c:pt>
                <c:pt idx="38">
                  <c:v>650</c:v>
                </c:pt>
                <c:pt idx="39">
                  <c:v>650</c:v>
                </c:pt>
                <c:pt idx="40">
                  <c:v>650</c:v>
                </c:pt>
                <c:pt idx="41">
                  <c:v>650</c:v>
                </c:pt>
                <c:pt idx="42">
                  <c:v>650</c:v>
                </c:pt>
                <c:pt idx="43">
                  <c:v>650</c:v>
                </c:pt>
                <c:pt idx="44">
                  <c:v>650</c:v>
                </c:pt>
                <c:pt idx="45">
                  <c:v>650</c:v>
                </c:pt>
                <c:pt idx="46">
                  <c:v>650</c:v>
                </c:pt>
                <c:pt idx="47">
                  <c:v>650</c:v>
                </c:pt>
                <c:pt idx="48">
                  <c:v>650</c:v>
                </c:pt>
                <c:pt idx="49">
                  <c:v>650</c:v>
                </c:pt>
                <c:pt idx="50">
                  <c:v>650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7-1A79-4260-A703-FCB7718B0D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12700" cap="flat" cmpd="sng" algn="ctr">
              <a:solidFill>
                <a:schemeClr val="bg2"/>
              </a:solidFill>
              <a:round/>
            </a:ln>
            <a:effectLst/>
          </c:spPr>
        </c:dropLines>
        <c:marker val="1"/>
        <c:smooth val="0"/>
        <c:axId val="1917916735"/>
        <c:axId val="1917910079"/>
        <c:extLst/>
      </c:lineChart>
      <c:lineChart>
        <c:grouping val="standard"/>
        <c:varyColors val="0"/>
        <c:ser>
          <c:idx val="5"/>
          <c:order val="5"/>
          <c:tx>
            <c:strRef>
              <c:f>'Ma trận giá bán vảy PP'!$AK$10</c:f>
              <c:strCache>
                <c:ptCount val="1"/>
                <c:pt idx="0">
                  <c:v>%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multiLvlStrRef>
              <c:f>'Ma trận giá bán vảy PP'!$AL$5:$AO$5</c:f>
            </c:multiLvlStrRef>
          </c:cat>
          <c:val>
            <c:numRef>
              <c:f>'Ma trận giá bán vảy PP'!$AL$10:$AT$10</c:f>
            </c:numRef>
          </c:val>
          <c:smooth val="0"/>
          <c:extLst>
            <c:ext xmlns:c16="http://schemas.microsoft.com/office/drawing/2014/chart" uri="{C3380CC4-5D6E-409C-BE32-E72D297353CC}">
              <c16:uniqueId val="{000000EC-1A79-4260-A703-FCB7718B0DF0}"/>
            </c:ext>
          </c:extLst>
        </c:ser>
        <c:ser>
          <c:idx val="1"/>
          <c:order val="6"/>
          <c:tx>
            <c:strRef>
              <c:f>'Ma trận giá bán vảy PP'!$AK$11</c:f>
              <c:strCache>
                <c:ptCount val="1"/>
                <c:pt idx="0">
                  <c:v>Điểm hòa vốn</c:v>
                </c:pt>
              </c:strCache>
            </c:strRef>
          </c:tx>
          <c:spPr>
            <a:ln w="5080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6F03-4650-A710-1B5DC92DF559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3B09-4ABF-A50A-FEBCD4216305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4097-4716-9E38-8846B2ED6BE5}"/>
                </c:ext>
              </c:extLst>
            </c:dLbl>
            <c:dLbl>
              <c:idx val="4"/>
              <c:layout>
                <c:manualLayout>
                  <c:x val="-1.7174818920609965E-2"/>
                  <c:y val="2.82017671645443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29DD-43A9-BEFF-B016EF086044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CE17-4712-8E7E-B84E14CFA582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8614-4F2A-A70F-DA3BCC96DCFA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D503-45DB-98A9-B93594281AAE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3B09-4ABF-A50A-FEBCD4216305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279E-4C40-A104-4AE989D342AA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8517-4CBF-B0D3-4A0C619DCD52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1D2C-4B97-8D3E-F2763751BC94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1D2C-4B97-8D3E-F2763751BC94}"/>
                </c:ext>
              </c:extLst>
            </c:dLbl>
            <c:dLbl>
              <c:idx val="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1D2C-4B97-8D3E-F2763751BC94}"/>
                </c:ext>
              </c:extLst>
            </c:dLbl>
            <c:dLbl>
              <c:idx val="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1D2C-4B97-8D3E-F2763751BC94}"/>
                </c:ext>
              </c:extLst>
            </c:dLbl>
            <c:dLbl>
              <c:idx val="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E0D-4E4C-895C-8D0F297199C4}"/>
                </c:ext>
              </c:extLst>
            </c:dLbl>
            <c:dLbl>
              <c:idx val="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276-4422-87DF-99AC5D9B2431}"/>
                </c:ext>
              </c:extLst>
            </c:dLbl>
            <c:dLbl>
              <c:idx val="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276-4422-87DF-99AC5D9B2431}"/>
                </c:ext>
              </c:extLst>
            </c:dLbl>
            <c:dLbl>
              <c:idx val="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74C0-4849-8591-37E782A995D2}"/>
                </c:ext>
              </c:extLst>
            </c:dLbl>
            <c:dLbl>
              <c:idx val="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146-498C-820E-9EFC028D3B62}"/>
                </c:ext>
              </c:extLst>
            </c:dLbl>
            <c:dLbl>
              <c:idx val="2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146-498C-820E-9EFC028D3B62}"/>
                </c:ext>
              </c:extLst>
            </c:dLbl>
            <c:dLbl>
              <c:idx val="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F4A-4E31-A0E6-0DBA63C375E8}"/>
                </c:ext>
              </c:extLst>
            </c:dLbl>
            <c:dLbl>
              <c:idx val="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4E0D-4E4C-895C-8D0F297199C4}"/>
                </c:ext>
              </c:extLst>
            </c:dLbl>
            <c:dLbl>
              <c:idx val="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517-4CBF-B0D3-4A0C619DCD52}"/>
                </c:ext>
              </c:extLst>
            </c:dLbl>
            <c:dLbl>
              <c:idx val="3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8517-4CBF-B0D3-4A0C619DCD52}"/>
                </c:ext>
              </c:extLst>
            </c:dLbl>
            <c:dLbl>
              <c:idx val="3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FB7-4CFA-A893-46EC40C22F5A}"/>
                </c:ext>
              </c:extLst>
            </c:dLbl>
            <c:dLbl>
              <c:idx val="3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74C0-4849-8591-37E782A995D2}"/>
                </c:ext>
              </c:extLst>
            </c:dLbl>
            <c:dLbl>
              <c:idx val="3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BF0-4110-B91A-6B807DF4CB82}"/>
                </c:ext>
              </c:extLst>
            </c:dLbl>
            <c:dLbl>
              <c:idx val="3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82D-452E-83C4-C59B26763BBD}"/>
                </c:ext>
              </c:extLst>
            </c:dLbl>
            <c:dLbl>
              <c:idx val="3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74C0-4849-8591-37E782A995D2}"/>
                </c:ext>
              </c:extLst>
            </c:dLbl>
            <c:dLbl>
              <c:idx val="4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A52-4744-B67B-DC5FBCE4A763}"/>
                </c:ext>
              </c:extLst>
            </c:dLbl>
            <c:dLbl>
              <c:idx val="4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3AE-4ED1-BAAA-8FEB5904F493}"/>
                </c:ext>
              </c:extLst>
            </c:dLbl>
            <c:dLbl>
              <c:idx val="4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D4D-422A-8989-C02FD96E6DB7}"/>
                </c:ext>
              </c:extLst>
            </c:dLbl>
            <c:dLbl>
              <c:idx val="4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265-4E61-8275-F7F988C7480C}"/>
                </c:ext>
              </c:extLst>
            </c:dLbl>
            <c:dLbl>
              <c:idx val="4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1BF-4764-8135-CAAB41D60D78}"/>
                </c:ext>
              </c:extLst>
            </c:dLbl>
            <c:dLbl>
              <c:idx val="4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74C0-4849-8591-37E782A995D2}"/>
                </c:ext>
              </c:extLst>
            </c:dLbl>
            <c:dLbl>
              <c:idx val="4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74C0-4849-8591-37E782A995D2}"/>
                </c:ext>
              </c:extLst>
            </c:dLbl>
            <c:dLbl>
              <c:idx val="5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FE4-4D40-973F-F168430BE87A}"/>
                </c:ext>
              </c:extLst>
            </c:dLbl>
            <c:numFmt formatCode="[$$-C09]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rgbClr val="FF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'Ma trận giá bán vảy PP'!$AL$11:$EM$11</c:f>
              <c:numCache>
                <c:formatCode>0</c:formatCode>
                <c:ptCount val="51"/>
                <c:pt idx="0">
                  <c:v>790.71342693105714</c:v>
                </c:pt>
                <c:pt idx="1">
                  <c:v>790.71342693105714</c:v>
                </c:pt>
                <c:pt idx="2">
                  <c:v>790.71342693105714</c:v>
                </c:pt>
                <c:pt idx="3">
                  <c:v>790.71342693105714</c:v>
                </c:pt>
                <c:pt idx="4">
                  <c:v>780.14594515953695</c:v>
                </c:pt>
                <c:pt idx="5">
                  <c:v>780.14594515953695</c:v>
                </c:pt>
                <c:pt idx="6">
                  <c:v>780.14594515953695</c:v>
                </c:pt>
                <c:pt idx="7">
                  <c:v>780.14594515953695</c:v>
                </c:pt>
                <c:pt idx="8">
                  <c:v>780.14594515953695</c:v>
                </c:pt>
                <c:pt idx="9">
                  <c:v>780.14594515953695</c:v>
                </c:pt>
                <c:pt idx="10">
                  <c:v>780.14594515953695</c:v>
                </c:pt>
                <c:pt idx="11">
                  <c:v>780.14594515953695</c:v>
                </c:pt>
                <c:pt idx="12">
                  <c:v>767.45783789288964</c:v>
                </c:pt>
                <c:pt idx="13">
                  <c:v>767.45783789288964</c:v>
                </c:pt>
                <c:pt idx="14">
                  <c:v>767.45783789288964</c:v>
                </c:pt>
                <c:pt idx="15">
                  <c:v>767.45783789288964</c:v>
                </c:pt>
                <c:pt idx="16">
                  <c:v>720.25560128568611</c:v>
                </c:pt>
                <c:pt idx="17">
                  <c:v>720.25560128568611</c:v>
                </c:pt>
                <c:pt idx="18">
                  <c:v>720.25560128568611</c:v>
                </c:pt>
                <c:pt idx="19">
                  <c:v>720.25560128568611</c:v>
                </c:pt>
                <c:pt idx="20">
                  <c:v>720.25560128568611</c:v>
                </c:pt>
                <c:pt idx="21">
                  <c:v>754.85044113798847</c:v>
                </c:pt>
                <c:pt idx="22">
                  <c:v>754.85044113798847</c:v>
                </c:pt>
                <c:pt idx="23">
                  <c:v>754.85044113798847</c:v>
                </c:pt>
                <c:pt idx="24">
                  <c:v>754.85044113798847</c:v>
                </c:pt>
                <c:pt idx="25">
                  <c:v>757.17190222429883</c:v>
                </c:pt>
                <c:pt idx="26">
                  <c:v>757.17190222429883</c:v>
                </c:pt>
                <c:pt idx="27">
                  <c:v>757.17190222429883</c:v>
                </c:pt>
                <c:pt idx="28">
                  <c:v>757.17190222429883</c:v>
                </c:pt>
                <c:pt idx="29">
                  <c:v>757.17190222429883</c:v>
                </c:pt>
                <c:pt idx="30">
                  <c:v>757.17190222429883</c:v>
                </c:pt>
                <c:pt idx="31">
                  <c:v>757.17190222429883</c:v>
                </c:pt>
                <c:pt idx="32">
                  <c:v>757.17190222429883</c:v>
                </c:pt>
                <c:pt idx="33">
                  <c:v>757.17190222429883</c:v>
                </c:pt>
                <c:pt idx="34">
                  <c:v>757.17190222429883</c:v>
                </c:pt>
                <c:pt idx="35">
                  <c:v>757.17190222429883</c:v>
                </c:pt>
                <c:pt idx="36">
                  <c:v>757.17190222429883</c:v>
                </c:pt>
                <c:pt idx="37">
                  <c:v>757.17190222429883</c:v>
                </c:pt>
                <c:pt idx="38">
                  <c:v>760.07393351542305</c:v>
                </c:pt>
                <c:pt idx="39">
                  <c:v>760.07393351542305</c:v>
                </c:pt>
                <c:pt idx="40">
                  <c:v>760.07393351542305</c:v>
                </c:pt>
                <c:pt idx="41">
                  <c:v>760.07393351542305</c:v>
                </c:pt>
                <c:pt idx="42">
                  <c:v>760.07393351542305</c:v>
                </c:pt>
                <c:pt idx="43">
                  <c:v>760.79553063281901</c:v>
                </c:pt>
                <c:pt idx="44">
                  <c:v>760.79553063281901</c:v>
                </c:pt>
                <c:pt idx="45">
                  <c:v>760.79553063281901</c:v>
                </c:pt>
                <c:pt idx="46">
                  <c:v>760.79553063281901</c:v>
                </c:pt>
                <c:pt idx="47">
                  <c:v>765.98333885599538</c:v>
                </c:pt>
                <c:pt idx="48">
                  <c:v>765.98333885599538</c:v>
                </c:pt>
                <c:pt idx="49">
                  <c:v>765.98333885599538</c:v>
                </c:pt>
                <c:pt idx="50">
                  <c:v>765.98333885599538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D35-4AEC-9C56-A6D2B2FAAB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66633151"/>
        <c:axId val="1366632735"/>
      </c:lineChart>
      <c:catAx>
        <c:axId val="1917916735"/>
        <c:scaling>
          <c:orientation val="minMax"/>
        </c:scaling>
        <c:delete val="0"/>
        <c:axPos val="b"/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917910079"/>
        <c:crosses val="autoZero"/>
        <c:auto val="1"/>
        <c:lblAlgn val="ctr"/>
        <c:lblOffset val="100"/>
        <c:noMultiLvlLbl val="0"/>
      </c:catAx>
      <c:valAx>
        <c:axId val="1917910079"/>
        <c:scaling>
          <c:orientation val="minMax"/>
          <c:max val="1100"/>
          <c:min val="600"/>
        </c:scaling>
        <c:delete val="0"/>
        <c:axPos val="l"/>
        <c:numFmt formatCode="[$$-C09]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917916735"/>
        <c:crosses val="autoZero"/>
        <c:crossBetween val="between"/>
        <c:majorUnit val="100"/>
      </c:valAx>
      <c:valAx>
        <c:axId val="1366632735"/>
        <c:scaling>
          <c:orientation val="minMax"/>
        </c:scaling>
        <c:delete val="1"/>
        <c:axPos val="r"/>
        <c:numFmt formatCode="0" sourceLinked="1"/>
        <c:majorTickMark val="out"/>
        <c:minorTickMark val="none"/>
        <c:tickLblPos val="nextTo"/>
        <c:crossAx val="1366633151"/>
        <c:crosses val="max"/>
        <c:crossBetween val="between"/>
      </c:valAx>
      <c:catAx>
        <c:axId val="136663315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36663273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legendEntry>
        <c:idx val="0"/>
        <c:delete val="1"/>
      </c:legendEntry>
      <c:legendEntry>
        <c:idx val="1"/>
        <c:delete val="1"/>
      </c:legendEntry>
      <c:legendEntry>
        <c:idx val="2"/>
        <c:txPr>
          <a:bodyPr rot="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rgbClr val="FF3399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legendEntry>
      <c:legendEntry>
        <c:idx val="3"/>
        <c:txPr>
          <a:bodyPr rot="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accent6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legendEntry>
      <c:legendEntry>
        <c:idx val="4"/>
        <c:txPr>
          <a:bodyPr rot="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rgbClr val="FF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legendEntry>
      <c:layout>
        <c:manualLayout>
          <c:xMode val="edge"/>
          <c:yMode val="edge"/>
          <c:x val="0.88659697328559572"/>
          <c:y val="0.38258870974726861"/>
          <c:w val="0.11340299383875832"/>
          <c:h val="0.4783324515386074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0" baseline="0">
                <a:solidFill>
                  <a:srgbClr val="0000FF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2400" b="1" baseline="0">
                <a:solidFill>
                  <a:srgbClr val="0000FF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GIÁ </a:t>
            </a:r>
            <a:r>
              <a:rPr lang="en-US" sz="2400" b="1" baseline="0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VẢY </a:t>
            </a:r>
            <a:r>
              <a:rPr lang="en-US" sz="24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HDPE ÉP</a:t>
            </a:r>
            <a:r>
              <a:rPr lang="en-US" sz="2400" b="1" baseline="0">
                <a:solidFill>
                  <a:srgbClr val="0000FF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NĂM 2024 &amp;2025 (USD/tấn)</a:t>
            </a:r>
            <a:endParaRPr lang="en-US" sz="2400" b="1">
              <a:solidFill>
                <a:srgbClr val="0000FF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0" baseline="0">
              <a:solidFill>
                <a:srgbClr val="0000FF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6050096997686023E-2"/>
          <c:y val="0.12606144141801962"/>
          <c:w val="0.82500047697884893"/>
          <c:h val="0.78219318345479416"/>
        </c:manualLayout>
      </c:layout>
      <c:areaChart>
        <c:grouping val="stacked"/>
        <c:varyColors val="0"/>
        <c:ser>
          <c:idx val="0"/>
          <c:order val="2"/>
          <c:tx>
            <c:strRef>
              <c:f>'Ma trận giá bán vảy HDPE ÉP'!$D$8</c:f>
              <c:strCache>
                <c:ptCount val="1"/>
                <c:pt idx="0">
                  <c:v>TTCP</c:v>
                </c:pt>
              </c:strCache>
            </c:strRef>
          </c:tx>
          <c:spPr>
            <a:noFill/>
            <a:ln w="25400">
              <a:noFill/>
            </a:ln>
            <a:effectLst/>
          </c:spPr>
          <c:val>
            <c:numRef>
              <c:f>'Ma trận giá bán vảy HDPE ÉP'!$E$8:$AD$8</c:f>
              <c:numCache>
                <c:formatCode>_(* #,##0_);_(* \(#,##0\);_(* "-"??_);_(@_)</c:formatCode>
                <c:ptCount val="25"/>
                <c:pt idx="0">
                  <c:v>947.5</c:v>
                </c:pt>
                <c:pt idx="1">
                  <c:v>1010</c:v>
                </c:pt>
                <c:pt idx="2">
                  <c:v>995</c:v>
                </c:pt>
                <c:pt idx="3">
                  <c:v>975</c:v>
                </c:pt>
                <c:pt idx="4">
                  <c:v>956</c:v>
                </c:pt>
                <c:pt idx="5">
                  <c:v>980</c:v>
                </c:pt>
                <c:pt idx="6">
                  <c:v>975</c:v>
                </c:pt>
                <c:pt idx="7">
                  <c:v>946</c:v>
                </c:pt>
                <c:pt idx="8">
                  <c:v>932.5</c:v>
                </c:pt>
                <c:pt idx="9">
                  <c:v>925</c:v>
                </c:pt>
                <c:pt idx="10">
                  <c:v>940</c:v>
                </c:pt>
                <c:pt idx="11">
                  <c:v>940</c:v>
                </c:pt>
                <c:pt idx="12">
                  <c:v>940</c:v>
                </c:pt>
                <c:pt idx="13">
                  <c:v>945</c:v>
                </c:pt>
                <c:pt idx="14">
                  <c:v>940</c:v>
                </c:pt>
                <c:pt idx="15">
                  <c:v>905</c:v>
                </c:pt>
                <c:pt idx="16">
                  <c:v>908</c:v>
                </c:pt>
                <c:pt idx="17">
                  <c:v>915</c:v>
                </c:pt>
                <c:pt idx="18">
                  <c:v>930</c:v>
                </c:pt>
                <c:pt idx="19">
                  <c:v>930</c:v>
                </c:pt>
                <c:pt idx="20">
                  <c:v>915</c:v>
                </c:pt>
                <c:pt idx="21">
                  <c:v>870</c:v>
                </c:pt>
                <c:pt idx="22">
                  <c:v>840</c:v>
                </c:pt>
                <c:pt idx="23">
                  <c:v>830</c:v>
                </c:pt>
                <c:pt idx="24">
                  <c:v>830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78-4B6E-B6F0-2DBBB1791223}"/>
            </c:ext>
          </c:extLst>
        </c:ser>
        <c:ser>
          <c:idx val="3"/>
          <c:order val="3"/>
          <c:tx>
            <c:strRef>
              <c:f>'Ma trận giá bán vảy HDPE ÉP'!$AF$9</c:f>
              <c:strCache>
                <c:ptCount val="1"/>
                <c:pt idx="0">
                  <c:v>CL</c:v>
                </c:pt>
              </c:strCache>
            </c:strRef>
          </c:tx>
          <c:spPr>
            <a:solidFill>
              <a:schemeClr val="accent4">
                <a:lumMod val="20000"/>
                <a:lumOff val="80000"/>
              </a:schemeClr>
            </a:solidFill>
            <a:ln w="25400">
              <a:noFill/>
            </a:ln>
            <a:effectLst/>
          </c:spPr>
          <c:val>
            <c:numRef>
              <c:f>'Ma trận giá bán vảy HDPE ÉP'!$E$9:$AD$9</c:f>
              <c:numCache>
                <c:formatCode>"$"#,##0_);\("$"#,##0\)</c:formatCode>
                <c:ptCount val="25"/>
                <c:pt idx="0">
                  <c:v>-137.5</c:v>
                </c:pt>
                <c:pt idx="1">
                  <c:v>-130</c:v>
                </c:pt>
                <c:pt idx="2">
                  <c:v>-95</c:v>
                </c:pt>
                <c:pt idx="3">
                  <c:v>-75</c:v>
                </c:pt>
                <c:pt idx="4">
                  <c:v>-86</c:v>
                </c:pt>
                <c:pt idx="5">
                  <c:v>-110</c:v>
                </c:pt>
                <c:pt idx="6">
                  <c:v>-105</c:v>
                </c:pt>
                <c:pt idx="7">
                  <c:v>-76</c:v>
                </c:pt>
                <c:pt idx="8">
                  <c:v>-82.5</c:v>
                </c:pt>
                <c:pt idx="9">
                  <c:v>-85</c:v>
                </c:pt>
                <c:pt idx="10">
                  <c:v>-115</c:v>
                </c:pt>
                <c:pt idx="11">
                  <c:v>-115</c:v>
                </c:pt>
                <c:pt idx="12">
                  <c:v>-115</c:v>
                </c:pt>
                <c:pt idx="13">
                  <c:v>-195</c:v>
                </c:pt>
                <c:pt idx="14">
                  <c:v>-190</c:v>
                </c:pt>
                <c:pt idx="15">
                  <c:v>-155</c:v>
                </c:pt>
                <c:pt idx="16">
                  <c:v>-188</c:v>
                </c:pt>
                <c:pt idx="17">
                  <c:v>-195</c:v>
                </c:pt>
                <c:pt idx="18">
                  <c:v>-210</c:v>
                </c:pt>
                <c:pt idx="19">
                  <c:v>-230</c:v>
                </c:pt>
                <c:pt idx="20">
                  <c:v>-215</c:v>
                </c:pt>
                <c:pt idx="21">
                  <c:v>-170</c:v>
                </c:pt>
                <c:pt idx="22">
                  <c:v>-150</c:v>
                </c:pt>
                <c:pt idx="23">
                  <c:v>-165</c:v>
                </c:pt>
                <c:pt idx="24">
                  <c:v>-165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B78-4B6E-B6F0-2DBBB17912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tx1">
                  <a:lumMod val="35000"/>
                  <a:lumOff val="65000"/>
                </a:schemeClr>
              </a:solidFill>
              <a:round/>
            </a:ln>
            <a:effectLst/>
          </c:spPr>
        </c:dropLines>
        <c:axId val="1917916735"/>
        <c:axId val="1917910079"/>
      </c:areaChart>
      <c:lineChart>
        <c:grouping val="standard"/>
        <c:varyColors val="0"/>
        <c:ser>
          <c:idx val="2"/>
          <c:order val="0"/>
          <c:tx>
            <c:strRef>
              <c:f>'Ma trận giá bán vảy HDPE ÉP'!$D$7</c:f>
              <c:strCache>
                <c:ptCount val="1"/>
                <c:pt idx="0">
                  <c:v>RESIN</c:v>
                </c:pt>
              </c:strCache>
            </c:strRef>
          </c:tx>
          <c:spPr>
            <a:ln w="50800" cap="rnd">
              <a:solidFill>
                <a:srgbClr val="FF3399"/>
              </a:solidFill>
              <a:round/>
            </a:ln>
            <a:effectLst/>
          </c:spPr>
          <c:marker>
            <c:symbol val="none"/>
          </c:marker>
          <c:dLbls>
            <c:numFmt formatCode="&quot;$&quot;#,##0_);\(&quot;$&quot;#,##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rgbClr val="FF3399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'Ma trận giá bán vảy HDPE ÉP'!$E$5:$AD$5</c:f>
              <c:strCache>
                <c:ptCount val="25"/>
                <c:pt idx="0">
                  <c:v>T1.24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T1.25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  <c:pt idx="16">
                  <c:v>5</c:v>
                </c:pt>
                <c:pt idx="17">
                  <c:v>6</c:v>
                </c:pt>
                <c:pt idx="18">
                  <c:v>7</c:v>
                </c:pt>
                <c:pt idx="19">
                  <c:v>8</c:v>
                </c:pt>
                <c:pt idx="20">
                  <c:v>9</c:v>
                </c:pt>
                <c:pt idx="21">
                  <c:v>10</c:v>
                </c:pt>
                <c:pt idx="22">
                  <c:v>11</c:v>
                </c:pt>
                <c:pt idx="23">
                  <c:v>12</c:v>
                </c:pt>
                <c:pt idx="24">
                  <c:v>T1.26</c:v>
                </c:pt>
              </c:strCache>
            </c:strRef>
          </c:cat>
          <c:val>
            <c:numRef>
              <c:f>'Ma trận giá bán vảy HDPE ÉP'!$E$7:$AD$7</c:f>
              <c:numCache>
                <c:formatCode>_(* #,##0_);_(* \(#,##0\);_(* "-"??_);_(@_)</c:formatCode>
                <c:ptCount val="25"/>
                <c:pt idx="0">
                  <c:v>947.5</c:v>
                </c:pt>
                <c:pt idx="1">
                  <c:v>1010</c:v>
                </c:pt>
                <c:pt idx="2">
                  <c:v>995</c:v>
                </c:pt>
                <c:pt idx="3">
                  <c:v>975</c:v>
                </c:pt>
                <c:pt idx="4">
                  <c:v>956</c:v>
                </c:pt>
                <c:pt idx="5">
                  <c:v>980</c:v>
                </c:pt>
                <c:pt idx="6">
                  <c:v>975</c:v>
                </c:pt>
                <c:pt idx="7">
                  <c:v>946</c:v>
                </c:pt>
                <c:pt idx="8">
                  <c:v>932.5</c:v>
                </c:pt>
                <c:pt idx="9">
                  <c:v>925</c:v>
                </c:pt>
                <c:pt idx="10">
                  <c:v>940</c:v>
                </c:pt>
                <c:pt idx="11">
                  <c:v>940</c:v>
                </c:pt>
                <c:pt idx="12">
                  <c:v>940</c:v>
                </c:pt>
                <c:pt idx="13">
                  <c:v>945</c:v>
                </c:pt>
                <c:pt idx="14">
                  <c:v>940</c:v>
                </c:pt>
                <c:pt idx="15">
                  <c:v>905</c:v>
                </c:pt>
                <c:pt idx="16">
                  <c:v>908</c:v>
                </c:pt>
                <c:pt idx="17">
                  <c:v>915</c:v>
                </c:pt>
                <c:pt idx="18">
                  <c:v>930</c:v>
                </c:pt>
                <c:pt idx="19">
                  <c:v>930</c:v>
                </c:pt>
                <c:pt idx="20">
                  <c:v>915</c:v>
                </c:pt>
                <c:pt idx="21">
                  <c:v>870</c:v>
                </c:pt>
                <c:pt idx="22">
                  <c:v>840</c:v>
                </c:pt>
                <c:pt idx="23">
                  <c:v>830</c:v>
                </c:pt>
                <c:pt idx="24">
                  <c:v>830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5B78-4B6E-B6F0-2DBBB1791223}"/>
            </c:ext>
          </c:extLst>
        </c:ser>
        <c:ser>
          <c:idx val="11"/>
          <c:order val="1"/>
          <c:tx>
            <c:strRef>
              <c:f>'Ma trận giá bán vảy HDPE ÉP'!$D$6</c:f>
              <c:strCache>
                <c:ptCount val="1"/>
                <c:pt idx="0">
                  <c:v>DTR </c:v>
                </c:pt>
              </c:strCache>
            </c:strRef>
          </c:tx>
          <c:spPr>
            <a:ln w="5080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13"/>
              <c:layout>
                <c:manualLayout>
                  <c:x val="-1.2020710537924868E-2"/>
                  <c:y val="-2.814236406479985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2FA8-4134-B5C5-C0FC18DB8CCB}"/>
                </c:ext>
              </c:extLst>
            </c:dLbl>
            <c:dLbl>
              <c:idx val="14"/>
              <c:layout>
                <c:manualLayout>
                  <c:x val="-1.8253671557589616E-2"/>
                  <c:y val="-2.814236406479985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741D-41C7-A7DC-A99B6E150944}"/>
                </c:ext>
              </c:extLst>
            </c:dLbl>
            <c:dLbl>
              <c:idx val="15"/>
              <c:layout>
                <c:manualLayout>
                  <c:x val="-1.8253671557589616E-2"/>
                  <c:y val="-2.814236406479985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5DD4-493D-9928-0BA27670F1F3}"/>
                </c:ext>
              </c:extLst>
            </c:dLbl>
            <c:dLbl>
              <c:idx val="16"/>
              <c:layout>
                <c:manualLayout>
                  <c:x val="-3.1164805098323734E-3"/>
                  <c:y val="-1.883910321693216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FAB-4145-B469-CE010CDECFF9}"/>
                </c:ext>
              </c:extLst>
            </c:dLbl>
            <c:dLbl>
              <c:idx val="17"/>
              <c:layout>
                <c:manualLayout>
                  <c:x val="-1.2911133540734117E-2"/>
                  <c:y val="-3.046817927676661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1B5-49E6-8973-6FDE6C49EC05}"/>
                </c:ext>
              </c:extLst>
            </c:dLbl>
            <c:dLbl>
              <c:idx val="18"/>
              <c:layout>
                <c:manualLayout>
                  <c:x val="-1.7363248554780365E-2"/>
                  <c:y val="-2.581654885283276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D0E3-40DE-AE95-A51EA1353045}"/>
                </c:ext>
              </c:extLst>
            </c:dLbl>
            <c:dLbl>
              <c:idx val="19"/>
              <c:layout>
                <c:manualLayout>
                  <c:x val="-1.6472825551971246E-2"/>
                  <c:y val="-2.581654885283285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578-4BAB-9460-363AED396C69}"/>
                </c:ext>
              </c:extLst>
            </c:dLbl>
            <c:dLbl>
              <c:idx val="20"/>
              <c:layout>
                <c:manualLayout>
                  <c:x val="-1.8253671557589616E-2"/>
                  <c:y val="-2.814236406479977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4493-49D9-BA0A-6B6F58668209}"/>
                </c:ext>
              </c:extLst>
            </c:dLbl>
            <c:dLbl>
              <c:idx val="21"/>
              <c:layout>
                <c:manualLayout>
                  <c:x val="-1.5582402549161998E-2"/>
                  <c:y val="-2.116491842889909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07BF-4147-BB20-B1725D9D61F0}"/>
                </c:ext>
              </c:extLst>
            </c:dLbl>
            <c:dLbl>
              <c:idx val="22"/>
              <c:layout>
                <c:manualLayout>
                  <c:x val="-1.8253671557589616E-2"/>
                  <c:y val="-3.279399448873362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7038-4A36-B426-47D531CD46D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accent6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'Ma trận giá bán vảy HDPE ÉP'!$E$5:$AD$5</c:f>
              <c:strCache>
                <c:ptCount val="25"/>
                <c:pt idx="0">
                  <c:v>T1.24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T1.25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  <c:pt idx="16">
                  <c:v>5</c:v>
                </c:pt>
                <c:pt idx="17">
                  <c:v>6</c:v>
                </c:pt>
                <c:pt idx="18">
                  <c:v>7</c:v>
                </c:pt>
                <c:pt idx="19">
                  <c:v>8</c:v>
                </c:pt>
                <c:pt idx="20">
                  <c:v>9</c:v>
                </c:pt>
                <c:pt idx="21">
                  <c:v>10</c:v>
                </c:pt>
                <c:pt idx="22">
                  <c:v>11</c:v>
                </c:pt>
                <c:pt idx="23">
                  <c:v>12</c:v>
                </c:pt>
                <c:pt idx="24">
                  <c:v>T1.26</c:v>
                </c:pt>
              </c:strCache>
            </c:strRef>
          </c:cat>
          <c:val>
            <c:numRef>
              <c:f>'Ma trận giá bán vảy HDPE ÉP'!$E$6:$AD$6</c:f>
              <c:numCache>
                <c:formatCode>"$"#,##0_);\("$"#,##0\)</c:formatCode>
                <c:ptCount val="25"/>
                <c:pt idx="0">
                  <c:v>810</c:v>
                </c:pt>
                <c:pt idx="1">
                  <c:v>880</c:v>
                </c:pt>
                <c:pt idx="2">
                  <c:v>900</c:v>
                </c:pt>
                <c:pt idx="3">
                  <c:v>900</c:v>
                </c:pt>
                <c:pt idx="4">
                  <c:v>870</c:v>
                </c:pt>
                <c:pt idx="5">
                  <c:v>870</c:v>
                </c:pt>
                <c:pt idx="6">
                  <c:v>870</c:v>
                </c:pt>
                <c:pt idx="7">
                  <c:v>870</c:v>
                </c:pt>
                <c:pt idx="8">
                  <c:v>850</c:v>
                </c:pt>
                <c:pt idx="9">
                  <c:v>840</c:v>
                </c:pt>
                <c:pt idx="10">
                  <c:v>825</c:v>
                </c:pt>
                <c:pt idx="11">
                  <c:v>825</c:v>
                </c:pt>
                <c:pt idx="12">
                  <c:v>825</c:v>
                </c:pt>
                <c:pt idx="13">
                  <c:v>750</c:v>
                </c:pt>
                <c:pt idx="14">
                  <c:v>750</c:v>
                </c:pt>
                <c:pt idx="15">
                  <c:v>750</c:v>
                </c:pt>
                <c:pt idx="16">
                  <c:v>720</c:v>
                </c:pt>
                <c:pt idx="17">
                  <c:v>720</c:v>
                </c:pt>
                <c:pt idx="18">
                  <c:v>720</c:v>
                </c:pt>
                <c:pt idx="19">
                  <c:v>700</c:v>
                </c:pt>
                <c:pt idx="20">
                  <c:v>700</c:v>
                </c:pt>
                <c:pt idx="21">
                  <c:v>700</c:v>
                </c:pt>
                <c:pt idx="22">
                  <c:v>690</c:v>
                </c:pt>
                <c:pt idx="23">
                  <c:v>665</c:v>
                </c:pt>
                <c:pt idx="24">
                  <c:v>665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B78-4B6E-B6F0-2DBBB1791223}"/>
            </c:ext>
          </c:extLst>
        </c:ser>
        <c:ser>
          <c:idx val="1"/>
          <c:order val="5"/>
          <c:tx>
            <c:strRef>
              <c:f>'Ma trận giá bán vảy HDPE ÉP'!$AF$11</c:f>
              <c:strCache>
                <c:ptCount val="1"/>
                <c:pt idx="0">
                  <c:v>Điểm hòa vốn</c:v>
                </c:pt>
              </c:strCache>
            </c:strRef>
          </c:tx>
          <c:spPr>
            <a:ln w="5080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dLbls>
            <c:dLbl>
              <c:idx val="20"/>
              <c:layout>
                <c:manualLayout>
                  <c:x val="-2.8048324588491359E-2"/>
                  <c:y val="3.232883144634015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E0D-489A-81C5-EABC8E4DF28A}"/>
                </c:ext>
              </c:extLst>
            </c:dLbl>
            <c:numFmt formatCode="[$$-C09]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rgbClr val="FF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'Ma trận giá bán vảy HDPE ÉP'!$E$5:$AD$5</c:f>
              <c:strCache>
                <c:ptCount val="25"/>
                <c:pt idx="0">
                  <c:v>T1.24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T1.25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  <c:pt idx="16">
                  <c:v>5</c:v>
                </c:pt>
                <c:pt idx="17">
                  <c:v>6</c:v>
                </c:pt>
                <c:pt idx="18">
                  <c:v>7</c:v>
                </c:pt>
                <c:pt idx="19">
                  <c:v>8</c:v>
                </c:pt>
                <c:pt idx="20">
                  <c:v>9</c:v>
                </c:pt>
                <c:pt idx="21">
                  <c:v>10</c:v>
                </c:pt>
                <c:pt idx="22">
                  <c:v>11</c:v>
                </c:pt>
                <c:pt idx="23">
                  <c:v>12</c:v>
                </c:pt>
                <c:pt idx="24">
                  <c:v>T1.26</c:v>
                </c:pt>
              </c:strCache>
            </c:strRef>
          </c:cat>
          <c:val>
            <c:numRef>
              <c:f>'Ma trận giá bán vảy HDPE ÉP'!$E$11:$AD$11</c:f>
              <c:numCache>
                <c:formatCode>General</c:formatCode>
                <c:ptCount val="25"/>
                <c:pt idx="0">
                  <c:v>607</c:v>
                </c:pt>
                <c:pt idx="1">
                  <c:v>603</c:v>
                </c:pt>
                <c:pt idx="2">
                  <c:v>603</c:v>
                </c:pt>
                <c:pt idx="3">
                  <c:v>595</c:v>
                </c:pt>
                <c:pt idx="4">
                  <c:v>595</c:v>
                </c:pt>
                <c:pt idx="5">
                  <c:v>595</c:v>
                </c:pt>
                <c:pt idx="6">
                  <c:v>656</c:v>
                </c:pt>
                <c:pt idx="7">
                  <c:v>661</c:v>
                </c:pt>
                <c:pt idx="8">
                  <c:v>664</c:v>
                </c:pt>
                <c:pt idx="9" formatCode="0">
                  <c:v>665.95976317843451</c:v>
                </c:pt>
                <c:pt idx="10" formatCode="0">
                  <c:v>662.45159124912914</c:v>
                </c:pt>
                <c:pt idx="11" formatCode="0">
                  <c:v>666.2008844592176</c:v>
                </c:pt>
                <c:pt idx="12" formatCode="0">
                  <c:v>673.72306796354871</c:v>
                </c:pt>
                <c:pt idx="13" formatCode="0">
                  <c:v>686.58247571857055</c:v>
                </c:pt>
                <c:pt idx="14" formatCode="0">
                  <c:v>717.72825827070665</c:v>
                </c:pt>
                <c:pt idx="15" formatCode="0">
                  <c:v>706.65663489602741</c:v>
                </c:pt>
                <c:pt idx="16" formatCode="0">
                  <c:v>684.45465379202574</c:v>
                </c:pt>
                <c:pt idx="17" formatCode="0">
                  <c:v>669.97726780885682</c:v>
                </c:pt>
                <c:pt idx="18" formatCode="0">
                  <c:v>676.40258353637296</c:v>
                </c:pt>
                <c:pt idx="19" formatCode="0">
                  <c:v>675.58305269623997</c:v>
                </c:pt>
                <c:pt idx="20" formatCode="0">
                  <c:v>690.17868644421151</c:v>
                </c:pt>
                <c:pt idx="21" formatCode="0">
                  <c:v>524.58051926145572</c:v>
                </c:pt>
                <c:pt idx="22" formatCode="0">
                  <c:v>523.8036567901039</c:v>
                </c:pt>
                <c:pt idx="23" formatCode="0">
                  <c:v>541.07580104033718</c:v>
                </c:pt>
                <c:pt idx="24" formatCode="0">
                  <c:v>570.49450264840164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FD2-4BBD-82B5-6A5721AEDE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bg2"/>
              </a:solidFill>
              <a:round/>
            </a:ln>
            <a:effectLst/>
          </c:spPr>
        </c:dropLines>
        <c:marker val="1"/>
        <c:smooth val="0"/>
        <c:axId val="1917916735"/>
        <c:axId val="1917910079"/>
      </c:lineChart>
      <c:lineChart>
        <c:grouping val="standard"/>
        <c:varyColors val="0"/>
        <c:ser>
          <c:idx val="5"/>
          <c:order val="4"/>
          <c:tx>
            <c:strRef>
              <c:f>'Ma trận giá bán vảy HDPE ÉP'!$AF$10</c:f>
              <c:strCache>
                <c:ptCount val="1"/>
                <c:pt idx="0">
                  <c:v>%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none"/>
          </c:marker>
          <c:cat>
            <c:multiLvlStrRef>
              <c:f>'Ma trận giá bán vảy HDPE ÉP'!$AG$5:$AK$5</c:f>
            </c:multiLvlStrRef>
          </c:cat>
          <c:val>
            <c:numRef>
              <c:f>'Ma trận giá bán vảy HDPE ÉP'!$E$10:$L$10</c:f>
              <c:numCache>
                <c:formatCode>0%</c:formatCode>
                <c:ptCount val="7"/>
                <c:pt idx="0">
                  <c:v>-0.14511873350923482</c:v>
                </c:pt>
                <c:pt idx="1">
                  <c:v>-0.12871287128712872</c:v>
                </c:pt>
                <c:pt idx="2">
                  <c:v>-9.5477386934673364E-2</c:v>
                </c:pt>
                <c:pt idx="3">
                  <c:v>-7.6923076923076927E-2</c:v>
                </c:pt>
                <c:pt idx="4">
                  <c:v>-8.9958158995815898E-2</c:v>
                </c:pt>
                <c:pt idx="5">
                  <c:v>-0.11224489795918367</c:v>
                </c:pt>
                <c:pt idx="6">
                  <c:v>-0.1076923076923077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B78-4B6E-B6F0-2DBBB17912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tx1">
                  <a:lumMod val="35000"/>
                  <a:lumOff val="65000"/>
                </a:schemeClr>
              </a:solidFill>
              <a:round/>
            </a:ln>
            <a:effectLst/>
          </c:spPr>
        </c:dropLines>
        <c:marker val="1"/>
        <c:smooth val="0"/>
        <c:axId val="1366633151"/>
        <c:axId val="1366632735"/>
      </c:lineChart>
      <c:catAx>
        <c:axId val="1917916735"/>
        <c:scaling>
          <c:orientation val="minMax"/>
        </c:scaling>
        <c:delete val="0"/>
        <c:axPos val="b"/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917910079"/>
        <c:crosses val="autoZero"/>
        <c:auto val="1"/>
        <c:lblAlgn val="ctr"/>
        <c:lblOffset val="100"/>
        <c:noMultiLvlLbl val="0"/>
      </c:catAx>
      <c:valAx>
        <c:axId val="1917910079"/>
        <c:scaling>
          <c:orientation val="minMax"/>
          <c:min val="500"/>
        </c:scaling>
        <c:delete val="0"/>
        <c:axPos val="l"/>
        <c:numFmt formatCode="[$$-C09]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917916735"/>
        <c:crosses val="autoZero"/>
        <c:crossBetween val="between"/>
        <c:majorUnit val="100"/>
      </c:valAx>
      <c:valAx>
        <c:axId val="1366632735"/>
        <c:scaling>
          <c:orientation val="minMax"/>
        </c:scaling>
        <c:delete val="1"/>
        <c:axPos val="r"/>
        <c:numFmt formatCode="0%" sourceLinked="1"/>
        <c:majorTickMark val="out"/>
        <c:minorTickMark val="none"/>
        <c:tickLblPos val="nextTo"/>
        <c:crossAx val="1366633151"/>
        <c:crosses val="max"/>
        <c:crossBetween val="between"/>
      </c:valAx>
      <c:catAx>
        <c:axId val="1366633151"/>
        <c:scaling>
          <c:orientation val="minMax"/>
        </c:scaling>
        <c:delete val="1"/>
        <c:axPos val="b"/>
        <c:numFmt formatCode="_(* #,##0_);_(* \(#,##0\);_(* &quot;-&quot;??_);_(@_)" sourceLinked="1"/>
        <c:majorTickMark val="out"/>
        <c:minorTickMark val="none"/>
        <c:tickLblPos val="nextTo"/>
        <c:crossAx val="136663273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legendEntry>
        <c:idx val="0"/>
        <c:delete val="1"/>
      </c:legendEntry>
      <c:legendEntry>
        <c:idx val="1"/>
        <c:delete val="1"/>
      </c:legendEntry>
      <c:legendEntry>
        <c:idx val="2"/>
        <c:txPr>
          <a:bodyPr rot="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rgbClr val="FF3399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legendEntry>
      <c:legendEntry>
        <c:idx val="3"/>
        <c:txPr>
          <a:bodyPr rot="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accent6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legendEntry>
      <c:legendEntry>
        <c:idx val="4"/>
        <c:txPr>
          <a:bodyPr rot="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rgbClr val="FF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legendEntry>
      <c:legendEntry>
        <c:idx val="5"/>
        <c:delete val="1"/>
      </c:legendEntry>
      <c:layout>
        <c:manualLayout>
          <c:xMode val="edge"/>
          <c:yMode val="edge"/>
          <c:x val="0.88659700616124171"/>
          <c:y val="0.27793007939614484"/>
          <c:w val="0.11340299383875832"/>
          <c:h val="0.4970882441761678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0" baseline="0">
                <a:solidFill>
                  <a:srgbClr val="0000FF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2400" b="1" baseline="0">
                <a:solidFill>
                  <a:srgbClr val="0000FF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GIÁ </a:t>
            </a:r>
            <a:r>
              <a:rPr lang="en-US" sz="2400" b="1" baseline="0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VẢY </a:t>
            </a:r>
            <a:r>
              <a:rPr lang="en-US" sz="24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HDPE ÉP</a:t>
            </a:r>
            <a:r>
              <a:rPr lang="en-US" sz="2400" b="1" baseline="0">
                <a:solidFill>
                  <a:srgbClr val="0000FF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NĂM 2025 (USD/tấn)</a:t>
            </a:r>
            <a:endParaRPr lang="en-US" sz="2400" b="1">
              <a:solidFill>
                <a:srgbClr val="0000FF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0" baseline="0">
              <a:solidFill>
                <a:srgbClr val="0000FF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6050113415520691E-2"/>
          <c:y val="0.12606143734533315"/>
          <c:w val="0.82500047697884893"/>
          <c:h val="0.78219318345479416"/>
        </c:manualLayout>
      </c:layout>
      <c:areaChart>
        <c:grouping val="stacked"/>
        <c:varyColors val="0"/>
        <c:ser>
          <c:idx val="0"/>
          <c:order val="2"/>
          <c:tx>
            <c:strRef>
              <c:f>'Ma trận giá bán vảy HDPE ÉP'!$AF$8</c:f>
              <c:strCache>
                <c:ptCount val="1"/>
                <c:pt idx="0">
                  <c:v>TTCP</c:v>
                </c:pt>
              </c:strCache>
            </c:strRef>
          </c:tx>
          <c:spPr>
            <a:noFill/>
            <a:ln w="25400">
              <a:noFill/>
            </a:ln>
            <a:effectLst/>
          </c:spPr>
          <c:val>
            <c:numRef>
              <c:f>'Ma trận giá bán vảy HDPE ÉP'!$AG$8:$EH$8</c:f>
              <c:numCache>
                <c:formatCode>"$"#,##0_);\("$"#,##0\)</c:formatCode>
                <c:ptCount val="51"/>
                <c:pt idx="0">
                  <c:v>940</c:v>
                </c:pt>
                <c:pt idx="1">
                  <c:v>940</c:v>
                </c:pt>
                <c:pt idx="2">
                  <c:v>940</c:v>
                </c:pt>
                <c:pt idx="3">
                  <c:v>940</c:v>
                </c:pt>
                <c:pt idx="4">
                  <c:v>940</c:v>
                </c:pt>
                <c:pt idx="5">
                  <c:v>940</c:v>
                </c:pt>
                <c:pt idx="6">
                  <c:v>950</c:v>
                </c:pt>
                <c:pt idx="7">
                  <c:v>950</c:v>
                </c:pt>
                <c:pt idx="8">
                  <c:v>950</c:v>
                </c:pt>
                <c:pt idx="9">
                  <c:v>950</c:v>
                </c:pt>
                <c:pt idx="10">
                  <c:v>950</c:v>
                </c:pt>
                <c:pt idx="11">
                  <c:v>910</c:v>
                </c:pt>
                <c:pt idx="12">
                  <c:v>910</c:v>
                </c:pt>
                <c:pt idx="13">
                  <c:v>900</c:v>
                </c:pt>
                <c:pt idx="14">
                  <c:v>900</c:v>
                </c:pt>
                <c:pt idx="15">
                  <c:v>910</c:v>
                </c:pt>
                <c:pt idx="16">
                  <c:v>910</c:v>
                </c:pt>
                <c:pt idx="17">
                  <c:v>910</c:v>
                </c:pt>
                <c:pt idx="18">
                  <c:v>910</c:v>
                </c:pt>
                <c:pt idx="19">
                  <c:v>910</c:v>
                </c:pt>
                <c:pt idx="20">
                  <c:v>900</c:v>
                </c:pt>
                <c:pt idx="21">
                  <c:v>900</c:v>
                </c:pt>
                <c:pt idx="22">
                  <c:v>900</c:v>
                </c:pt>
                <c:pt idx="23">
                  <c:v>930</c:v>
                </c:pt>
                <c:pt idx="24">
                  <c:v>930</c:v>
                </c:pt>
                <c:pt idx="25">
                  <c:v>930</c:v>
                </c:pt>
                <c:pt idx="26">
                  <c:v>930</c:v>
                </c:pt>
                <c:pt idx="27">
                  <c:v>930</c:v>
                </c:pt>
                <c:pt idx="28">
                  <c:v>930</c:v>
                </c:pt>
                <c:pt idx="29">
                  <c:v>930</c:v>
                </c:pt>
                <c:pt idx="30">
                  <c:v>930</c:v>
                </c:pt>
                <c:pt idx="31">
                  <c:v>930</c:v>
                </c:pt>
                <c:pt idx="32">
                  <c:v>930</c:v>
                </c:pt>
                <c:pt idx="33">
                  <c:v>930</c:v>
                </c:pt>
                <c:pt idx="34">
                  <c:v>930</c:v>
                </c:pt>
                <c:pt idx="35">
                  <c:v>930</c:v>
                </c:pt>
                <c:pt idx="36">
                  <c:v>930</c:v>
                </c:pt>
                <c:pt idx="37">
                  <c:v>870</c:v>
                </c:pt>
                <c:pt idx="38">
                  <c:v>870</c:v>
                </c:pt>
                <c:pt idx="39">
                  <c:v>870</c:v>
                </c:pt>
                <c:pt idx="40">
                  <c:v>870</c:v>
                </c:pt>
                <c:pt idx="41">
                  <c:v>870</c:v>
                </c:pt>
                <c:pt idx="42">
                  <c:v>870</c:v>
                </c:pt>
                <c:pt idx="43">
                  <c:v>870</c:v>
                </c:pt>
                <c:pt idx="44">
                  <c:v>830</c:v>
                </c:pt>
                <c:pt idx="45">
                  <c:v>830</c:v>
                </c:pt>
                <c:pt idx="46">
                  <c:v>830</c:v>
                </c:pt>
                <c:pt idx="47">
                  <c:v>830</c:v>
                </c:pt>
                <c:pt idx="48">
                  <c:v>830</c:v>
                </c:pt>
                <c:pt idx="49">
                  <c:v>830</c:v>
                </c:pt>
                <c:pt idx="50">
                  <c:v>830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FB-4C32-A439-D8A97D3FD026}"/>
            </c:ext>
          </c:extLst>
        </c:ser>
        <c:ser>
          <c:idx val="3"/>
          <c:order val="3"/>
          <c:tx>
            <c:strRef>
              <c:f>'Ma trận giá bán vảy HDPE ÉP'!$AF$9</c:f>
              <c:strCache>
                <c:ptCount val="1"/>
                <c:pt idx="0">
                  <c:v>CL</c:v>
                </c:pt>
              </c:strCache>
            </c:strRef>
          </c:tx>
          <c:spPr>
            <a:solidFill>
              <a:schemeClr val="accent4">
                <a:lumMod val="20000"/>
                <a:lumOff val="80000"/>
              </a:schemeClr>
            </a:solidFill>
            <a:ln w="25400">
              <a:noFill/>
            </a:ln>
            <a:effectLst/>
          </c:spPr>
          <c:val>
            <c:numRef>
              <c:f>'Ma trận giá bán vảy HDPE ÉP'!$AM$9:$EH$9</c:f>
              <c:numCache>
                <c:formatCode>"$"#,##0_);\("$"#,##0\)</c:formatCode>
                <c:ptCount val="51"/>
                <c:pt idx="0">
                  <c:v>-115</c:v>
                </c:pt>
                <c:pt idx="1">
                  <c:v>-115</c:v>
                </c:pt>
                <c:pt idx="2">
                  <c:v>-115</c:v>
                </c:pt>
                <c:pt idx="3">
                  <c:v>-115</c:v>
                </c:pt>
                <c:pt idx="4">
                  <c:v>-190</c:v>
                </c:pt>
                <c:pt idx="5">
                  <c:v>-190</c:v>
                </c:pt>
                <c:pt idx="6">
                  <c:v>-200</c:v>
                </c:pt>
                <c:pt idx="7">
                  <c:v>-200</c:v>
                </c:pt>
                <c:pt idx="8">
                  <c:v>-200</c:v>
                </c:pt>
                <c:pt idx="9">
                  <c:v>-200</c:v>
                </c:pt>
                <c:pt idx="10">
                  <c:v>-200</c:v>
                </c:pt>
                <c:pt idx="11">
                  <c:v>-160</c:v>
                </c:pt>
                <c:pt idx="12">
                  <c:v>-160</c:v>
                </c:pt>
                <c:pt idx="13">
                  <c:v>-150</c:v>
                </c:pt>
                <c:pt idx="14">
                  <c:v>-150</c:v>
                </c:pt>
                <c:pt idx="15">
                  <c:v>-160</c:v>
                </c:pt>
                <c:pt idx="16">
                  <c:v>-190</c:v>
                </c:pt>
                <c:pt idx="17">
                  <c:v>-190</c:v>
                </c:pt>
                <c:pt idx="18">
                  <c:v>-190</c:v>
                </c:pt>
                <c:pt idx="19">
                  <c:v>-190</c:v>
                </c:pt>
                <c:pt idx="20">
                  <c:v>-180</c:v>
                </c:pt>
                <c:pt idx="21">
                  <c:v>-180</c:v>
                </c:pt>
                <c:pt idx="22">
                  <c:v>-180</c:v>
                </c:pt>
                <c:pt idx="23">
                  <c:v>-210</c:v>
                </c:pt>
                <c:pt idx="24">
                  <c:v>-210</c:v>
                </c:pt>
                <c:pt idx="25">
                  <c:v>-210</c:v>
                </c:pt>
                <c:pt idx="26">
                  <c:v>-210</c:v>
                </c:pt>
                <c:pt idx="27">
                  <c:v>-210</c:v>
                </c:pt>
                <c:pt idx="28">
                  <c:v>-210</c:v>
                </c:pt>
                <c:pt idx="29">
                  <c:v>-210</c:v>
                </c:pt>
                <c:pt idx="30">
                  <c:v>-230</c:v>
                </c:pt>
                <c:pt idx="31">
                  <c:v>-230</c:v>
                </c:pt>
                <c:pt idx="32">
                  <c:v>-230</c:v>
                </c:pt>
                <c:pt idx="33">
                  <c:v>-230</c:v>
                </c:pt>
                <c:pt idx="34">
                  <c:v>-230</c:v>
                </c:pt>
                <c:pt idx="35">
                  <c:v>-230</c:v>
                </c:pt>
                <c:pt idx="36">
                  <c:v>-230</c:v>
                </c:pt>
                <c:pt idx="37">
                  <c:v>-170</c:v>
                </c:pt>
                <c:pt idx="38">
                  <c:v>-170</c:v>
                </c:pt>
                <c:pt idx="39">
                  <c:v>-170</c:v>
                </c:pt>
                <c:pt idx="40">
                  <c:v>-170</c:v>
                </c:pt>
                <c:pt idx="41">
                  <c:v>-170</c:v>
                </c:pt>
                <c:pt idx="42">
                  <c:v>-170</c:v>
                </c:pt>
                <c:pt idx="43">
                  <c:v>-180</c:v>
                </c:pt>
                <c:pt idx="44">
                  <c:v>-140</c:v>
                </c:pt>
                <c:pt idx="45">
                  <c:v>-140</c:v>
                </c:pt>
                <c:pt idx="46">
                  <c:v>-140</c:v>
                </c:pt>
                <c:pt idx="47">
                  <c:v>-165</c:v>
                </c:pt>
                <c:pt idx="48">
                  <c:v>-165</c:v>
                </c:pt>
                <c:pt idx="49">
                  <c:v>-165</c:v>
                </c:pt>
                <c:pt idx="50">
                  <c:v>-165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EFB-4C32-A439-D8A97D3FD0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tx1">
                  <a:lumMod val="35000"/>
                  <a:lumOff val="65000"/>
                </a:schemeClr>
              </a:solidFill>
              <a:round/>
            </a:ln>
            <a:effectLst/>
          </c:spPr>
        </c:dropLines>
        <c:axId val="1917916735"/>
        <c:axId val="1917910079"/>
      </c:areaChart>
      <c:lineChart>
        <c:grouping val="standard"/>
        <c:varyColors val="0"/>
        <c:ser>
          <c:idx val="2"/>
          <c:order val="0"/>
          <c:tx>
            <c:strRef>
              <c:f>'Ma trận giá bán vảy HDPE ÉP'!$AF$7</c:f>
              <c:strCache>
                <c:ptCount val="1"/>
                <c:pt idx="0">
                  <c:v>RESIN</c:v>
                </c:pt>
              </c:strCache>
            </c:strRef>
          </c:tx>
          <c:spPr>
            <a:ln w="50800" cap="rnd">
              <a:solidFill>
                <a:srgbClr val="FF3399"/>
              </a:solidFill>
              <a:round/>
            </a:ln>
            <a:effectLst/>
          </c:spPr>
          <c:marker>
            <c:symbol val="none"/>
          </c:marke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0FA8-4D5C-BAF4-82E4B9B84056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72C7-4C7F-81C9-F6F892A61630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FA8-4D5C-BAF4-82E4B9B84056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2C7-4C7F-81C9-F6F892A61630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0FA8-4D5C-BAF4-82E4B9B84056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83C-4269-B43C-A86AC2EB119D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72C7-4C7F-81C9-F6F892A61630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FA8-4D5C-BAF4-82E4B9B84056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2C7-4C7F-81C9-F6F892A61630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72C7-4C7F-81C9-F6F892A61630}"/>
                </c:ext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208E-4C40-8EC8-7732487A742B}"/>
                </c:ext>
              </c:extLst>
            </c:dLbl>
            <c:dLbl>
              <c:idx val="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08E-4C40-8EC8-7732487A742B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C32-46CB-B5FE-75F49223B932}"/>
                </c:ext>
              </c:extLst>
            </c:dLbl>
            <c:dLbl>
              <c:idx val="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08E-4C40-8EC8-7732487A742B}"/>
                </c:ext>
              </c:extLst>
            </c:dLbl>
            <c:dLbl>
              <c:idx val="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5C1C-45AA-931E-5EBAE374A021}"/>
                </c:ext>
              </c:extLst>
            </c:dLbl>
            <c:dLbl>
              <c:idx val="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5EE0-42E0-A3E3-76BCB91984C6}"/>
                </c:ext>
              </c:extLst>
            </c:dLbl>
            <c:dLbl>
              <c:idx val="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EE0-42E0-A3E3-76BCB91984C6}"/>
                </c:ext>
              </c:extLst>
            </c:dLbl>
            <c:dLbl>
              <c:idx val="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EE0-42E0-A3E3-76BCB91984C6}"/>
                </c:ext>
              </c:extLst>
            </c:dLbl>
            <c:dLbl>
              <c:idx val="2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818-4657-972A-22D6341C17B8}"/>
                </c:ext>
              </c:extLst>
            </c:dLbl>
            <c:dLbl>
              <c:idx val="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DB5-4F4A-A40B-6FF71602AA3F}"/>
                </c:ext>
              </c:extLst>
            </c:dLbl>
            <c:dLbl>
              <c:idx val="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8B0B-4ADD-94D3-DE4E68187559}"/>
                </c:ext>
              </c:extLst>
            </c:dLbl>
            <c:dLbl>
              <c:idx val="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111-4810-A902-6BB330A7708C}"/>
                </c:ext>
              </c:extLst>
            </c:dLbl>
            <c:dLbl>
              <c:idx val="3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111-4810-A902-6BB330A7708C}"/>
                </c:ext>
              </c:extLst>
            </c:dLbl>
            <c:dLbl>
              <c:idx val="3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BC32-46CB-B5FE-75F49223B932}"/>
                </c:ext>
              </c:extLst>
            </c:dLbl>
            <c:dLbl>
              <c:idx val="3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2F3A-4473-AAC1-772368C7ED22}"/>
                </c:ext>
              </c:extLst>
            </c:dLbl>
            <c:dLbl>
              <c:idx val="3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1BF-4913-9E02-956618407592}"/>
                </c:ext>
              </c:extLst>
            </c:dLbl>
            <c:dLbl>
              <c:idx val="3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1BF-4913-9E02-956618407592}"/>
                </c:ext>
              </c:extLst>
            </c:dLbl>
            <c:dLbl>
              <c:idx val="3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91C-4ADC-AF49-432FE2989B23}"/>
                </c:ext>
              </c:extLst>
            </c:dLbl>
            <c:dLbl>
              <c:idx val="4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5399-4F06-A107-2B03783E18B6}"/>
                </c:ext>
              </c:extLst>
            </c:dLbl>
            <c:dLbl>
              <c:idx val="4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7AA-401E-A4FA-641154EA82AC}"/>
                </c:ext>
              </c:extLst>
            </c:dLbl>
            <c:dLbl>
              <c:idx val="4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C32-46CB-B5FE-75F49223B932}"/>
                </c:ext>
              </c:extLst>
            </c:dLbl>
            <c:dLbl>
              <c:idx val="4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C4E-4D95-9BCD-5CD4594B0BB4}"/>
                </c:ext>
              </c:extLst>
            </c:dLbl>
            <c:dLbl>
              <c:idx val="4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75C3-4DB2-9D88-2B9C9B0917C4}"/>
                </c:ext>
              </c:extLst>
            </c:dLbl>
            <c:dLbl>
              <c:idx val="4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C32-46CB-B5FE-75F49223B932}"/>
                </c:ext>
              </c:extLst>
            </c:dLbl>
            <c:dLbl>
              <c:idx val="4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C32-46CB-B5FE-75F49223B932}"/>
                </c:ext>
              </c:extLst>
            </c:dLbl>
            <c:dLbl>
              <c:idx val="4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8E2-48F4-A72D-BB5B07B22E3A}"/>
                </c:ext>
              </c:extLst>
            </c:dLbl>
            <c:numFmt formatCode="[$$-C09]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rgbClr val="FF3399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'Ma trận giá bán vảy HDPE ÉP'!$AG$5:$EH$5</c:f>
              <c:strCache>
                <c:ptCount val="51"/>
                <c:pt idx="0">
                  <c:v> 01 </c:v>
                </c:pt>
                <c:pt idx="1">
                  <c:v> 02 </c:v>
                </c:pt>
                <c:pt idx="2">
                  <c:v> 03 </c:v>
                </c:pt>
                <c:pt idx="3">
                  <c:v> 04 </c:v>
                </c:pt>
                <c:pt idx="4">
                  <c:v> 06 </c:v>
                </c:pt>
                <c:pt idx="5">
                  <c:v> 07 </c:v>
                </c:pt>
                <c:pt idx="6">
                  <c:v> 08 </c:v>
                </c:pt>
                <c:pt idx="7">
                  <c:v> 09 </c:v>
                </c:pt>
                <c:pt idx="8">
                  <c:v> 10 </c:v>
                </c:pt>
                <c:pt idx="9">
                  <c:v> 11 </c:v>
                </c:pt>
                <c:pt idx="10">
                  <c:v> 12 </c:v>
                </c:pt>
                <c:pt idx="11">
                  <c:v> 13 </c:v>
                </c:pt>
                <c:pt idx="12">
                  <c:v> 14 </c:v>
                </c:pt>
                <c:pt idx="13">
                  <c:v> 15 </c:v>
                </c:pt>
                <c:pt idx="14">
                  <c:v> 16 </c:v>
                </c:pt>
                <c:pt idx="15">
                  <c:v> 17 </c:v>
                </c:pt>
                <c:pt idx="16">
                  <c:v> 18 </c:v>
                </c:pt>
                <c:pt idx="17">
                  <c:v> 19 </c:v>
                </c:pt>
                <c:pt idx="18">
                  <c:v> 20 </c:v>
                </c:pt>
                <c:pt idx="19">
                  <c:v> 21 </c:v>
                </c:pt>
                <c:pt idx="20">
                  <c:v> 22 </c:v>
                </c:pt>
                <c:pt idx="21">
                  <c:v> 23 </c:v>
                </c:pt>
                <c:pt idx="22">
                  <c:v> 24 </c:v>
                </c:pt>
                <c:pt idx="23">
                  <c:v> 25 </c:v>
                </c:pt>
                <c:pt idx="24">
                  <c:v> 26 </c:v>
                </c:pt>
                <c:pt idx="25">
                  <c:v> 27 </c:v>
                </c:pt>
                <c:pt idx="26">
                  <c:v> 28 </c:v>
                </c:pt>
                <c:pt idx="27">
                  <c:v> 29 </c:v>
                </c:pt>
                <c:pt idx="28">
                  <c:v> 30 </c:v>
                </c:pt>
                <c:pt idx="29">
                  <c:v> 31 </c:v>
                </c:pt>
                <c:pt idx="30">
                  <c:v> 32 </c:v>
                </c:pt>
                <c:pt idx="31">
                  <c:v> 33 </c:v>
                </c:pt>
                <c:pt idx="32">
                  <c:v> 34 </c:v>
                </c:pt>
                <c:pt idx="33">
                  <c:v> 35 </c:v>
                </c:pt>
                <c:pt idx="34">
                  <c:v> 36 </c:v>
                </c:pt>
                <c:pt idx="35">
                  <c:v> 37 </c:v>
                </c:pt>
                <c:pt idx="36">
                  <c:v> 38 </c:v>
                </c:pt>
                <c:pt idx="37">
                  <c:v> 39 </c:v>
                </c:pt>
                <c:pt idx="38">
                  <c:v> 40 </c:v>
                </c:pt>
                <c:pt idx="39">
                  <c:v> 41 </c:v>
                </c:pt>
                <c:pt idx="40">
                  <c:v> 42 </c:v>
                </c:pt>
                <c:pt idx="41">
                  <c:v> 43 </c:v>
                </c:pt>
                <c:pt idx="42">
                  <c:v> 44 </c:v>
                </c:pt>
                <c:pt idx="43">
                  <c:v> 45 </c:v>
                </c:pt>
                <c:pt idx="44">
                  <c:v> 46 </c:v>
                </c:pt>
                <c:pt idx="45">
                  <c:v> 47 </c:v>
                </c:pt>
                <c:pt idx="46">
                  <c:v> 48 </c:v>
                </c:pt>
                <c:pt idx="47">
                  <c:v> 49 </c:v>
                </c:pt>
                <c:pt idx="48">
                  <c:v> 50 </c:v>
                </c:pt>
                <c:pt idx="49">
                  <c:v> 51 </c:v>
                </c:pt>
                <c:pt idx="50">
                  <c:v> 52 </c:v>
                </c:pt>
              </c:strCache>
            </c:strRef>
          </c:cat>
          <c:val>
            <c:numRef>
              <c:f>'Ma trận giá bán vảy HDPE ÉP'!$AG$7:$EH$7</c:f>
              <c:numCache>
                <c:formatCode>"$"#,##0_);\("$"#,##0\)</c:formatCode>
                <c:ptCount val="51"/>
                <c:pt idx="0">
                  <c:v>940</c:v>
                </c:pt>
                <c:pt idx="1">
                  <c:v>940</c:v>
                </c:pt>
                <c:pt idx="2">
                  <c:v>940</c:v>
                </c:pt>
                <c:pt idx="3">
                  <c:v>940</c:v>
                </c:pt>
                <c:pt idx="4">
                  <c:v>940</c:v>
                </c:pt>
                <c:pt idx="5">
                  <c:v>940</c:v>
                </c:pt>
                <c:pt idx="6">
                  <c:v>950</c:v>
                </c:pt>
                <c:pt idx="7">
                  <c:v>950</c:v>
                </c:pt>
                <c:pt idx="8">
                  <c:v>950</c:v>
                </c:pt>
                <c:pt idx="9">
                  <c:v>950</c:v>
                </c:pt>
                <c:pt idx="10">
                  <c:v>950</c:v>
                </c:pt>
                <c:pt idx="11">
                  <c:v>910</c:v>
                </c:pt>
                <c:pt idx="12">
                  <c:v>910</c:v>
                </c:pt>
                <c:pt idx="13">
                  <c:v>900</c:v>
                </c:pt>
                <c:pt idx="14">
                  <c:v>900</c:v>
                </c:pt>
                <c:pt idx="15">
                  <c:v>910</c:v>
                </c:pt>
                <c:pt idx="16">
                  <c:v>910</c:v>
                </c:pt>
                <c:pt idx="17">
                  <c:v>910</c:v>
                </c:pt>
                <c:pt idx="18">
                  <c:v>910</c:v>
                </c:pt>
                <c:pt idx="19">
                  <c:v>910</c:v>
                </c:pt>
                <c:pt idx="20">
                  <c:v>900</c:v>
                </c:pt>
                <c:pt idx="21">
                  <c:v>900</c:v>
                </c:pt>
                <c:pt idx="22">
                  <c:v>900</c:v>
                </c:pt>
                <c:pt idx="23">
                  <c:v>930</c:v>
                </c:pt>
                <c:pt idx="24">
                  <c:v>930</c:v>
                </c:pt>
                <c:pt idx="25">
                  <c:v>930</c:v>
                </c:pt>
                <c:pt idx="26">
                  <c:v>930</c:v>
                </c:pt>
                <c:pt idx="27">
                  <c:v>930</c:v>
                </c:pt>
                <c:pt idx="28">
                  <c:v>930</c:v>
                </c:pt>
                <c:pt idx="29">
                  <c:v>930</c:v>
                </c:pt>
                <c:pt idx="30">
                  <c:v>930</c:v>
                </c:pt>
                <c:pt idx="31">
                  <c:v>930</c:v>
                </c:pt>
                <c:pt idx="32">
                  <c:v>930</c:v>
                </c:pt>
                <c:pt idx="33">
                  <c:v>930</c:v>
                </c:pt>
                <c:pt idx="34">
                  <c:v>930</c:v>
                </c:pt>
                <c:pt idx="35">
                  <c:v>930</c:v>
                </c:pt>
                <c:pt idx="36">
                  <c:v>930</c:v>
                </c:pt>
                <c:pt idx="37">
                  <c:v>870</c:v>
                </c:pt>
                <c:pt idx="38">
                  <c:v>870</c:v>
                </c:pt>
                <c:pt idx="39">
                  <c:v>870</c:v>
                </c:pt>
                <c:pt idx="40">
                  <c:v>870</c:v>
                </c:pt>
                <c:pt idx="41">
                  <c:v>870</c:v>
                </c:pt>
                <c:pt idx="42">
                  <c:v>870</c:v>
                </c:pt>
                <c:pt idx="43">
                  <c:v>870</c:v>
                </c:pt>
                <c:pt idx="44">
                  <c:v>830</c:v>
                </c:pt>
                <c:pt idx="45">
                  <c:v>830</c:v>
                </c:pt>
                <c:pt idx="46">
                  <c:v>830</c:v>
                </c:pt>
                <c:pt idx="47">
                  <c:v>830</c:v>
                </c:pt>
                <c:pt idx="48">
                  <c:v>830</c:v>
                </c:pt>
                <c:pt idx="49">
                  <c:v>830</c:v>
                </c:pt>
                <c:pt idx="50">
                  <c:v>830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E-0EFB-4C32-A439-D8A97D3FD026}"/>
            </c:ext>
          </c:extLst>
        </c:ser>
        <c:ser>
          <c:idx val="11"/>
          <c:order val="1"/>
          <c:tx>
            <c:strRef>
              <c:f>'Ma trận giá bán vảy HDPE ÉP'!$AF$6</c:f>
              <c:strCache>
                <c:ptCount val="1"/>
                <c:pt idx="0">
                  <c:v>DTR </c:v>
                </c:pt>
              </c:strCache>
            </c:strRef>
          </c:tx>
          <c:spPr>
            <a:ln w="50800" cap="rnd">
              <a:solidFill>
                <a:srgbClr val="92D050"/>
              </a:solidFill>
              <a:round/>
            </a:ln>
            <a:effectLst/>
          </c:spPr>
          <c:marker>
            <c:symbol val="none"/>
          </c:marke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0FA8-4D5C-BAF4-82E4B9B84056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0194-402C-9FB9-50261C83D1B4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0FA8-4D5C-BAF4-82E4B9B84056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0FA8-4D5C-BAF4-82E4B9B84056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0194-402C-9FB9-50261C83D1B4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145A-4360-BE53-4D967D8E996E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72C7-4C7F-81C9-F6F892A61630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0FA8-4D5C-BAF4-82E4B9B84056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A83C-4269-B43C-A86AC2EB119D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145A-4360-BE53-4D967D8E996E}"/>
                </c:ext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08E-4C40-8EC8-7732487A742B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BC32-46CB-B5FE-75F49223B932}"/>
                </c:ext>
              </c:extLst>
            </c:dLbl>
            <c:dLbl>
              <c:idx val="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5869-4D98-A739-056A3D0C4D8F}"/>
                </c:ext>
              </c:extLst>
            </c:dLbl>
            <c:dLbl>
              <c:idx val="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208E-4C40-8EC8-7732487A742B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BC32-46CB-B5FE-75F49223B932}"/>
                </c:ext>
              </c:extLst>
            </c:dLbl>
            <c:dLbl>
              <c:idx val="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7DC8-4DB0-902A-F4B00AF513ED}"/>
                </c:ext>
              </c:extLst>
            </c:dLbl>
            <c:dLbl>
              <c:idx val="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DC8-4DB0-902A-F4B00AF513ED}"/>
                </c:ext>
              </c:extLst>
            </c:dLbl>
            <c:dLbl>
              <c:idx val="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BC32-46CB-B5FE-75F49223B932}"/>
                </c:ext>
              </c:extLst>
            </c:dLbl>
            <c:dLbl>
              <c:idx val="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EE0-42E0-A3E3-76BCB91984C6}"/>
                </c:ext>
              </c:extLst>
            </c:dLbl>
            <c:dLbl>
              <c:idx val="2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5EE0-42E0-A3E3-76BCB91984C6}"/>
                </c:ext>
              </c:extLst>
            </c:dLbl>
            <c:dLbl>
              <c:idx val="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BC32-46CB-B5FE-75F49223B932}"/>
                </c:ext>
              </c:extLst>
            </c:dLbl>
            <c:dLbl>
              <c:idx val="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DB5-4F4A-A40B-6FF71602AA3F}"/>
                </c:ext>
              </c:extLst>
            </c:dLbl>
            <c:dLbl>
              <c:idx val="3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B0B-4ADD-94D3-DE4E68187559}"/>
                </c:ext>
              </c:extLst>
            </c:dLbl>
            <c:dLbl>
              <c:idx val="3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111-4810-A902-6BB330A7708C}"/>
                </c:ext>
              </c:extLst>
            </c:dLbl>
            <c:dLbl>
              <c:idx val="3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BC32-46CB-B5FE-75F49223B932}"/>
                </c:ext>
              </c:extLst>
            </c:dLbl>
            <c:dLbl>
              <c:idx val="3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F3A-4473-AAC1-772368C7ED22}"/>
                </c:ext>
              </c:extLst>
            </c:dLbl>
            <c:dLbl>
              <c:idx val="3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71BF-4913-9E02-956618407592}"/>
                </c:ext>
              </c:extLst>
            </c:dLbl>
            <c:dLbl>
              <c:idx val="3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BC32-46CB-B5FE-75F49223B932}"/>
                </c:ext>
              </c:extLst>
            </c:dLbl>
            <c:dLbl>
              <c:idx val="3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91C-4ADC-AF49-432FE2989B23}"/>
                </c:ext>
              </c:extLst>
            </c:dLbl>
            <c:dLbl>
              <c:idx val="4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399-4F06-A107-2B03783E18B6}"/>
                </c:ext>
              </c:extLst>
            </c:dLbl>
            <c:dLbl>
              <c:idx val="4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7AA-401E-A4FA-641154EA82AC}"/>
                </c:ext>
              </c:extLst>
            </c:dLbl>
            <c:dLbl>
              <c:idx val="4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C4E-4D95-9BCD-5CD4594B0BB4}"/>
                </c:ext>
              </c:extLst>
            </c:dLbl>
            <c:dLbl>
              <c:idx val="4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06D8-40AD-9882-697EBD5C1701}"/>
                </c:ext>
              </c:extLst>
            </c:dLbl>
            <c:dLbl>
              <c:idx val="4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5C3-4DB2-9D88-2B9C9B0917C4}"/>
                </c:ext>
              </c:extLst>
            </c:dLbl>
            <c:dLbl>
              <c:idx val="47"/>
              <c:layout>
                <c:manualLayout>
                  <c:x val="-4.0069035126416228E-3"/>
                  <c:y val="-3.267770372813527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5C3-4DB2-9D88-2B9C9B0917C4}"/>
                </c:ext>
              </c:extLst>
            </c:dLbl>
            <c:dLbl>
              <c:idx val="4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BC32-46CB-B5FE-75F49223B932}"/>
                </c:ext>
              </c:extLst>
            </c:dLbl>
            <c:dLbl>
              <c:idx val="4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BC32-46CB-B5FE-75F49223B932}"/>
                </c:ext>
              </c:extLst>
            </c:dLbl>
            <c:numFmt formatCode="[$$-C09]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rgbClr val="92D05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'Ma trận giá bán vảy HDPE ÉP'!$AG$5:$EH$5</c:f>
              <c:strCache>
                <c:ptCount val="51"/>
                <c:pt idx="0">
                  <c:v> 01 </c:v>
                </c:pt>
                <c:pt idx="1">
                  <c:v> 02 </c:v>
                </c:pt>
                <c:pt idx="2">
                  <c:v> 03 </c:v>
                </c:pt>
                <c:pt idx="3">
                  <c:v> 04 </c:v>
                </c:pt>
                <c:pt idx="4">
                  <c:v> 06 </c:v>
                </c:pt>
                <c:pt idx="5">
                  <c:v> 07 </c:v>
                </c:pt>
                <c:pt idx="6">
                  <c:v> 08 </c:v>
                </c:pt>
                <c:pt idx="7">
                  <c:v> 09 </c:v>
                </c:pt>
                <c:pt idx="8">
                  <c:v> 10 </c:v>
                </c:pt>
                <c:pt idx="9">
                  <c:v> 11 </c:v>
                </c:pt>
                <c:pt idx="10">
                  <c:v> 12 </c:v>
                </c:pt>
                <c:pt idx="11">
                  <c:v> 13 </c:v>
                </c:pt>
                <c:pt idx="12">
                  <c:v> 14 </c:v>
                </c:pt>
                <c:pt idx="13">
                  <c:v> 15 </c:v>
                </c:pt>
                <c:pt idx="14">
                  <c:v> 16 </c:v>
                </c:pt>
                <c:pt idx="15">
                  <c:v> 17 </c:v>
                </c:pt>
                <c:pt idx="16">
                  <c:v> 18 </c:v>
                </c:pt>
                <c:pt idx="17">
                  <c:v> 19 </c:v>
                </c:pt>
                <c:pt idx="18">
                  <c:v> 20 </c:v>
                </c:pt>
                <c:pt idx="19">
                  <c:v> 21 </c:v>
                </c:pt>
                <c:pt idx="20">
                  <c:v> 22 </c:v>
                </c:pt>
                <c:pt idx="21">
                  <c:v> 23 </c:v>
                </c:pt>
                <c:pt idx="22">
                  <c:v> 24 </c:v>
                </c:pt>
                <c:pt idx="23">
                  <c:v> 25 </c:v>
                </c:pt>
                <c:pt idx="24">
                  <c:v> 26 </c:v>
                </c:pt>
                <c:pt idx="25">
                  <c:v> 27 </c:v>
                </c:pt>
                <c:pt idx="26">
                  <c:v> 28 </c:v>
                </c:pt>
                <c:pt idx="27">
                  <c:v> 29 </c:v>
                </c:pt>
                <c:pt idx="28">
                  <c:v> 30 </c:v>
                </c:pt>
                <c:pt idx="29">
                  <c:v> 31 </c:v>
                </c:pt>
                <c:pt idx="30">
                  <c:v> 32 </c:v>
                </c:pt>
                <c:pt idx="31">
                  <c:v> 33 </c:v>
                </c:pt>
                <c:pt idx="32">
                  <c:v> 34 </c:v>
                </c:pt>
                <c:pt idx="33">
                  <c:v> 35 </c:v>
                </c:pt>
                <c:pt idx="34">
                  <c:v> 36 </c:v>
                </c:pt>
                <c:pt idx="35">
                  <c:v> 37 </c:v>
                </c:pt>
                <c:pt idx="36">
                  <c:v> 38 </c:v>
                </c:pt>
                <c:pt idx="37">
                  <c:v> 39 </c:v>
                </c:pt>
                <c:pt idx="38">
                  <c:v> 40 </c:v>
                </c:pt>
                <c:pt idx="39">
                  <c:v> 41 </c:v>
                </c:pt>
                <c:pt idx="40">
                  <c:v> 42 </c:v>
                </c:pt>
                <c:pt idx="41">
                  <c:v> 43 </c:v>
                </c:pt>
                <c:pt idx="42">
                  <c:v> 44 </c:v>
                </c:pt>
                <c:pt idx="43">
                  <c:v> 45 </c:v>
                </c:pt>
                <c:pt idx="44">
                  <c:v> 46 </c:v>
                </c:pt>
                <c:pt idx="45">
                  <c:v> 47 </c:v>
                </c:pt>
                <c:pt idx="46">
                  <c:v> 48 </c:v>
                </c:pt>
                <c:pt idx="47">
                  <c:v> 49 </c:v>
                </c:pt>
                <c:pt idx="48">
                  <c:v> 50 </c:v>
                </c:pt>
                <c:pt idx="49">
                  <c:v> 51 </c:v>
                </c:pt>
                <c:pt idx="50">
                  <c:v> 52 </c:v>
                </c:pt>
              </c:strCache>
            </c:strRef>
          </c:cat>
          <c:val>
            <c:numRef>
              <c:f>'Ma trận giá bán vảy HDPE ÉP'!$AG$6:$EH$6</c:f>
              <c:numCache>
                <c:formatCode>"$"#,##0_);\("$"#,##0\)</c:formatCode>
                <c:ptCount val="51"/>
                <c:pt idx="0">
                  <c:v>825</c:v>
                </c:pt>
                <c:pt idx="1">
                  <c:v>825</c:v>
                </c:pt>
                <c:pt idx="2">
                  <c:v>825</c:v>
                </c:pt>
                <c:pt idx="3">
                  <c:v>825</c:v>
                </c:pt>
                <c:pt idx="4">
                  <c:v>750</c:v>
                </c:pt>
                <c:pt idx="5">
                  <c:v>750</c:v>
                </c:pt>
                <c:pt idx="6">
                  <c:v>750</c:v>
                </c:pt>
                <c:pt idx="7">
                  <c:v>750</c:v>
                </c:pt>
                <c:pt idx="8">
                  <c:v>750</c:v>
                </c:pt>
                <c:pt idx="9">
                  <c:v>750</c:v>
                </c:pt>
                <c:pt idx="10">
                  <c:v>750</c:v>
                </c:pt>
                <c:pt idx="11">
                  <c:v>750</c:v>
                </c:pt>
                <c:pt idx="12">
                  <c:v>750</c:v>
                </c:pt>
                <c:pt idx="13">
                  <c:v>750</c:v>
                </c:pt>
                <c:pt idx="14">
                  <c:v>750</c:v>
                </c:pt>
                <c:pt idx="15">
                  <c:v>750</c:v>
                </c:pt>
                <c:pt idx="16">
                  <c:v>720</c:v>
                </c:pt>
                <c:pt idx="17">
                  <c:v>720</c:v>
                </c:pt>
                <c:pt idx="18">
                  <c:v>720</c:v>
                </c:pt>
                <c:pt idx="19">
                  <c:v>720</c:v>
                </c:pt>
                <c:pt idx="20">
                  <c:v>720</c:v>
                </c:pt>
                <c:pt idx="21">
                  <c:v>720</c:v>
                </c:pt>
                <c:pt idx="22">
                  <c:v>720</c:v>
                </c:pt>
                <c:pt idx="23">
                  <c:v>720</c:v>
                </c:pt>
                <c:pt idx="24">
                  <c:v>720</c:v>
                </c:pt>
                <c:pt idx="25">
                  <c:v>720</c:v>
                </c:pt>
                <c:pt idx="26">
                  <c:v>720</c:v>
                </c:pt>
                <c:pt idx="27">
                  <c:v>720</c:v>
                </c:pt>
                <c:pt idx="28">
                  <c:v>720</c:v>
                </c:pt>
                <c:pt idx="29">
                  <c:v>720</c:v>
                </c:pt>
                <c:pt idx="30">
                  <c:v>700</c:v>
                </c:pt>
                <c:pt idx="31">
                  <c:v>700</c:v>
                </c:pt>
                <c:pt idx="32">
                  <c:v>700</c:v>
                </c:pt>
                <c:pt idx="33">
                  <c:v>700</c:v>
                </c:pt>
                <c:pt idx="34">
                  <c:v>700</c:v>
                </c:pt>
                <c:pt idx="35">
                  <c:v>700</c:v>
                </c:pt>
                <c:pt idx="36">
                  <c:v>700</c:v>
                </c:pt>
                <c:pt idx="37">
                  <c:v>700</c:v>
                </c:pt>
                <c:pt idx="38">
                  <c:v>700</c:v>
                </c:pt>
                <c:pt idx="39">
                  <c:v>700</c:v>
                </c:pt>
                <c:pt idx="40">
                  <c:v>700</c:v>
                </c:pt>
                <c:pt idx="41">
                  <c:v>700</c:v>
                </c:pt>
                <c:pt idx="42">
                  <c:v>700</c:v>
                </c:pt>
                <c:pt idx="43">
                  <c:v>690</c:v>
                </c:pt>
                <c:pt idx="44">
                  <c:v>690</c:v>
                </c:pt>
                <c:pt idx="45">
                  <c:v>690</c:v>
                </c:pt>
                <c:pt idx="46">
                  <c:v>690</c:v>
                </c:pt>
                <c:pt idx="47">
                  <c:v>665</c:v>
                </c:pt>
                <c:pt idx="48">
                  <c:v>665</c:v>
                </c:pt>
                <c:pt idx="49">
                  <c:v>665</c:v>
                </c:pt>
                <c:pt idx="50">
                  <c:v>665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0EFB-4C32-A439-D8A97D3FD026}"/>
            </c:ext>
          </c:extLst>
        </c:ser>
        <c:ser>
          <c:idx val="1"/>
          <c:order val="5"/>
          <c:tx>
            <c:strRef>
              <c:f>'Ma trận giá bán vảy HDPE ÉP'!$AF$11</c:f>
              <c:strCache>
                <c:ptCount val="1"/>
                <c:pt idx="0">
                  <c:v>Điểm hòa vốn</c:v>
                </c:pt>
              </c:strCache>
            </c:strRef>
          </c:tx>
          <c:spPr>
            <a:ln w="5080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58EF-4376-B8D1-5F2060A4A9E8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145A-4360-BE53-4D967D8E996E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8EF-4376-B8D1-5F2060A4A9E8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0FA8-4D5C-BAF4-82E4B9B84056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0194-402C-9FB9-50261C83D1B4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2B4D-4460-95FF-A81C8BE55E92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A83C-4269-B43C-A86AC2EB119D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208E-4C40-8EC8-7732487A742B}"/>
                </c:ext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208E-4C40-8EC8-7732487A742B}"/>
                </c:ext>
              </c:extLst>
            </c:dLbl>
            <c:dLbl>
              <c:idx val="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208E-4C40-8EC8-7732487A742B}"/>
                </c:ext>
              </c:extLst>
            </c:dLbl>
            <c:dLbl>
              <c:idx val="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208E-4C40-8EC8-7732487A742B}"/>
                </c:ext>
              </c:extLst>
            </c:dLbl>
            <c:dLbl>
              <c:idx val="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5EE0-42E0-A3E3-76BCB91984C6}"/>
                </c:ext>
              </c:extLst>
            </c:dLbl>
            <c:dLbl>
              <c:idx val="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5EE0-42E0-A3E3-76BCB91984C6}"/>
                </c:ext>
              </c:extLst>
            </c:dLbl>
            <c:dLbl>
              <c:idx val="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5EE0-42E0-A3E3-76BCB91984C6}"/>
                </c:ext>
              </c:extLst>
            </c:dLbl>
            <c:dLbl>
              <c:idx val="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5EE0-42E0-A3E3-76BCB91984C6}"/>
                </c:ext>
              </c:extLst>
            </c:dLbl>
            <c:dLbl>
              <c:idx val="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B111-4810-A902-6BB330A7708C}"/>
                </c:ext>
              </c:extLst>
            </c:dLbl>
            <c:dLbl>
              <c:idx val="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DB5-4F4A-A40B-6FF71602AA3F}"/>
                </c:ext>
              </c:extLst>
            </c:dLbl>
            <c:dLbl>
              <c:idx val="3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111-4810-A902-6BB330A7708C}"/>
                </c:ext>
              </c:extLst>
            </c:dLbl>
            <c:dLbl>
              <c:idx val="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B111-4810-A902-6BB330A7708C}"/>
                </c:ext>
              </c:extLst>
            </c:dLbl>
            <c:dLbl>
              <c:idx val="3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B111-4810-A902-6BB330A7708C}"/>
                </c:ext>
              </c:extLst>
            </c:dLbl>
            <c:dLbl>
              <c:idx val="3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F3A-4473-AAC1-772368C7ED22}"/>
                </c:ext>
              </c:extLst>
            </c:dLbl>
            <c:dLbl>
              <c:idx val="3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71BF-4913-9E02-956618407592}"/>
                </c:ext>
              </c:extLst>
            </c:dLbl>
            <c:dLbl>
              <c:idx val="3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E91C-4ADC-AF49-432FE2989B23}"/>
                </c:ext>
              </c:extLst>
            </c:dLbl>
            <c:dLbl>
              <c:idx val="3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91C-4ADC-AF49-432FE2989B23}"/>
                </c:ext>
              </c:extLst>
            </c:dLbl>
            <c:dLbl>
              <c:idx val="39"/>
              <c:layout>
                <c:manualLayout>
                  <c:x val="-1.2911133540734117E-2"/>
                  <c:y val="-2.581654885283268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BC32-46CB-B5FE-75F49223B932}"/>
                </c:ext>
              </c:extLst>
            </c:dLbl>
            <c:dLbl>
              <c:idx val="4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399-4F06-A107-2B03783E18B6}"/>
                </c:ext>
              </c:extLst>
            </c:dLbl>
            <c:dLbl>
              <c:idx val="41"/>
              <c:layout>
                <c:manualLayout>
                  <c:x val="-8.4590185266878708E-3"/>
                  <c:y val="-2.581654885283268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BC32-46CB-B5FE-75F49223B932}"/>
                </c:ext>
              </c:extLst>
            </c:dLbl>
            <c:dLbl>
              <c:idx val="4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7AA-401E-A4FA-641154EA82AC}"/>
                </c:ext>
              </c:extLst>
            </c:dLbl>
            <c:dLbl>
              <c:idx val="4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C4E-4D95-9BCD-5CD4594B0BB4}"/>
                </c:ext>
              </c:extLst>
            </c:dLbl>
            <c:dLbl>
              <c:idx val="4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6D8-40AD-9882-697EBD5C1701}"/>
                </c:ext>
              </c:extLst>
            </c:dLbl>
            <c:dLbl>
              <c:idx val="45"/>
              <c:layout>
                <c:manualLayout>
                  <c:x val="-1.8253671557589744E-2"/>
                  <c:y val="-2.581654885283285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BC32-46CB-B5FE-75F49223B932}"/>
                </c:ext>
              </c:extLst>
            </c:dLbl>
            <c:dLbl>
              <c:idx val="4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75C3-4DB2-9D88-2B9C9B0917C4}"/>
                </c:ext>
              </c:extLst>
            </c:dLbl>
            <c:dLbl>
              <c:idx val="4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BC32-46CB-B5FE-75F49223B932}"/>
                </c:ext>
              </c:extLst>
            </c:dLbl>
            <c:dLbl>
              <c:idx val="4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BC32-46CB-B5FE-75F49223B932}"/>
                </c:ext>
              </c:extLst>
            </c:dLbl>
            <c:dLbl>
              <c:idx val="49"/>
              <c:layout>
                <c:manualLayout>
                  <c:x val="-2.7157901585682109E-2"/>
                  <c:y val="-2.814236406479977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BC32-46CB-B5FE-75F49223B932}"/>
                </c:ext>
              </c:extLst>
            </c:dLbl>
            <c:dLbl>
              <c:idx val="5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8E2-48F4-A72D-BB5B07B22E3A}"/>
                </c:ext>
              </c:extLst>
            </c:dLbl>
            <c:numFmt formatCode="[$$-C09]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rgbClr val="FF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'Ma trận giá bán vảy HDPE ÉP'!$AG$5:$EH$5</c:f>
              <c:strCache>
                <c:ptCount val="51"/>
                <c:pt idx="0">
                  <c:v> 01 </c:v>
                </c:pt>
                <c:pt idx="1">
                  <c:v> 02 </c:v>
                </c:pt>
                <c:pt idx="2">
                  <c:v> 03 </c:v>
                </c:pt>
                <c:pt idx="3">
                  <c:v> 04 </c:v>
                </c:pt>
                <c:pt idx="4">
                  <c:v> 06 </c:v>
                </c:pt>
                <c:pt idx="5">
                  <c:v> 07 </c:v>
                </c:pt>
                <c:pt idx="6">
                  <c:v> 08 </c:v>
                </c:pt>
                <c:pt idx="7">
                  <c:v> 09 </c:v>
                </c:pt>
                <c:pt idx="8">
                  <c:v> 10 </c:v>
                </c:pt>
                <c:pt idx="9">
                  <c:v> 11 </c:v>
                </c:pt>
                <c:pt idx="10">
                  <c:v> 12 </c:v>
                </c:pt>
                <c:pt idx="11">
                  <c:v> 13 </c:v>
                </c:pt>
                <c:pt idx="12">
                  <c:v> 14 </c:v>
                </c:pt>
                <c:pt idx="13">
                  <c:v> 15 </c:v>
                </c:pt>
                <c:pt idx="14">
                  <c:v> 16 </c:v>
                </c:pt>
                <c:pt idx="15">
                  <c:v> 17 </c:v>
                </c:pt>
                <c:pt idx="16">
                  <c:v> 18 </c:v>
                </c:pt>
                <c:pt idx="17">
                  <c:v> 19 </c:v>
                </c:pt>
                <c:pt idx="18">
                  <c:v> 20 </c:v>
                </c:pt>
                <c:pt idx="19">
                  <c:v> 21 </c:v>
                </c:pt>
                <c:pt idx="20">
                  <c:v> 22 </c:v>
                </c:pt>
                <c:pt idx="21">
                  <c:v> 23 </c:v>
                </c:pt>
                <c:pt idx="22">
                  <c:v> 24 </c:v>
                </c:pt>
                <c:pt idx="23">
                  <c:v> 25 </c:v>
                </c:pt>
                <c:pt idx="24">
                  <c:v> 26 </c:v>
                </c:pt>
                <c:pt idx="25">
                  <c:v> 27 </c:v>
                </c:pt>
                <c:pt idx="26">
                  <c:v> 28 </c:v>
                </c:pt>
                <c:pt idx="27">
                  <c:v> 29 </c:v>
                </c:pt>
                <c:pt idx="28">
                  <c:v> 30 </c:v>
                </c:pt>
                <c:pt idx="29">
                  <c:v> 31 </c:v>
                </c:pt>
                <c:pt idx="30">
                  <c:v> 32 </c:v>
                </c:pt>
                <c:pt idx="31">
                  <c:v> 33 </c:v>
                </c:pt>
                <c:pt idx="32">
                  <c:v> 34 </c:v>
                </c:pt>
                <c:pt idx="33">
                  <c:v> 35 </c:v>
                </c:pt>
                <c:pt idx="34">
                  <c:v> 36 </c:v>
                </c:pt>
                <c:pt idx="35">
                  <c:v> 37 </c:v>
                </c:pt>
                <c:pt idx="36">
                  <c:v> 38 </c:v>
                </c:pt>
                <c:pt idx="37">
                  <c:v> 39 </c:v>
                </c:pt>
                <c:pt idx="38">
                  <c:v> 40 </c:v>
                </c:pt>
                <c:pt idx="39">
                  <c:v> 41 </c:v>
                </c:pt>
                <c:pt idx="40">
                  <c:v> 42 </c:v>
                </c:pt>
                <c:pt idx="41">
                  <c:v> 43 </c:v>
                </c:pt>
                <c:pt idx="42">
                  <c:v> 44 </c:v>
                </c:pt>
                <c:pt idx="43">
                  <c:v> 45 </c:v>
                </c:pt>
                <c:pt idx="44">
                  <c:v> 46 </c:v>
                </c:pt>
                <c:pt idx="45">
                  <c:v> 47 </c:v>
                </c:pt>
                <c:pt idx="46">
                  <c:v> 48 </c:v>
                </c:pt>
                <c:pt idx="47">
                  <c:v> 49 </c:v>
                </c:pt>
                <c:pt idx="48">
                  <c:v> 50 </c:v>
                </c:pt>
                <c:pt idx="49">
                  <c:v> 51 </c:v>
                </c:pt>
                <c:pt idx="50">
                  <c:v> 52 </c:v>
                </c:pt>
              </c:strCache>
            </c:strRef>
          </c:cat>
          <c:val>
            <c:numRef>
              <c:f>'Ma trận giá bán vảy HDPE ÉP'!$AG$11:$EH$11</c:f>
              <c:numCache>
                <c:formatCode>0</c:formatCode>
                <c:ptCount val="51"/>
                <c:pt idx="0">
                  <c:v>673.72306796354871</c:v>
                </c:pt>
                <c:pt idx="1">
                  <c:v>673.72306796354871</c:v>
                </c:pt>
                <c:pt idx="2">
                  <c:v>673.72306796354871</c:v>
                </c:pt>
                <c:pt idx="3">
                  <c:v>673.72306796354871</c:v>
                </c:pt>
                <c:pt idx="4">
                  <c:v>686.58247571857055</c:v>
                </c:pt>
                <c:pt idx="5">
                  <c:v>686.58247571857055</c:v>
                </c:pt>
                <c:pt idx="6">
                  <c:v>686.58247571857055</c:v>
                </c:pt>
                <c:pt idx="7">
                  <c:v>686.58247571857055</c:v>
                </c:pt>
                <c:pt idx="8">
                  <c:v>717.72825827070665</c:v>
                </c:pt>
                <c:pt idx="9">
                  <c:v>717.72825827070665</c:v>
                </c:pt>
                <c:pt idx="10">
                  <c:v>717.72825827070665</c:v>
                </c:pt>
                <c:pt idx="11">
                  <c:v>717.72825827070665</c:v>
                </c:pt>
                <c:pt idx="12">
                  <c:v>706.65663489602741</c:v>
                </c:pt>
                <c:pt idx="13">
                  <c:v>706.65663489602741</c:v>
                </c:pt>
                <c:pt idx="14">
                  <c:v>706.65663489602741</c:v>
                </c:pt>
                <c:pt idx="15">
                  <c:v>706.65663489602741</c:v>
                </c:pt>
                <c:pt idx="16">
                  <c:v>684.45465379202574</c:v>
                </c:pt>
                <c:pt idx="17">
                  <c:v>684.45465379202574</c:v>
                </c:pt>
                <c:pt idx="18">
                  <c:v>684.45465379202574</c:v>
                </c:pt>
                <c:pt idx="19">
                  <c:v>684.45465379202574</c:v>
                </c:pt>
                <c:pt idx="20">
                  <c:v>684.45465379202574</c:v>
                </c:pt>
                <c:pt idx="21">
                  <c:v>669.97726780885682</c:v>
                </c:pt>
                <c:pt idx="22">
                  <c:v>669.97726780885682</c:v>
                </c:pt>
                <c:pt idx="23">
                  <c:v>669.97726780885682</c:v>
                </c:pt>
                <c:pt idx="24">
                  <c:v>669.97726780885682</c:v>
                </c:pt>
                <c:pt idx="25">
                  <c:v>676.40258353637296</c:v>
                </c:pt>
                <c:pt idx="26">
                  <c:v>676.40258353637296</c:v>
                </c:pt>
                <c:pt idx="27">
                  <c:v>676.40258353637296</c:v>
                </c:pt>
                <c:pt idx="28">
                  <c:v>676.40258353637296</c:v>
                </c:pt>
                <c:pt idx="29">
                  <c:v>676.40258353637296</c:v>
                </c:pt>
                <c:pt idx="30">
                  <c:v>675.58305269623997</c:v>
                </c:pt>
                <c:pt idx="31">
                  <c:v>675.58305269623997</c:v>
                </c:pt>
                <c:pt idx="32">
                  <c:v>675.58305269623997</c:v>
                </c:pt>
                <c:pt idx="33">
                  <c:v>675.58305269623997</c:v>
                </c:pt>
                <c:pt idx="34">
                  <c:v>690.17868644421151</c:v>
                </c:pt>
                <c:pt idx="35">
                  <c:v>690.17868644421151</c:v>
                </c:pt>
                <c:pt idx="36">
                  <c:v>690.17868644421151</c:v>
                </c:pt>
                <c:pt idx="37">
                  <c:v>690.17868644421151</c:v>
                </c:pt>
                <c:pt idx="38">
                  <c:v>524.58051926145572</c:v>
                </c:pt>
                <c:pt idx="39">
                  <c:v>524.58051926145572</c:v>
                </c:pt>
                <c:pt idx="40">
                  <c:v>524.58051926145572</c:v>
                </c:pt>
                <c:pt idx="41">
                  <c:v>524.58051926145572</c:v>
                </c:pt>
                <c:pt idx="42">
                  <c:v>524.58051926145572</c:v>
                </c:pt>
                <c:pt idx="43">
                  <c:v>523.8036567901039</c:v>
                </c:pt>
                <c:pt idx="44">
                  <c:v>523.8036567901039</c:v>
                </c:pt>
                <c:pt idx="45">
                  <c:v>523.8036567901039</c:v>
                </c:pt>
                <c:pt idx="46">
                  <c:v>523.8036567901039</c:v>
                </c:pt>
                <c:pt idx="47">
                  <c:v>541.07580104033718</c:v>
                </c:pt>
                <c:pt idx="48">
                  <c:v>541.07580104033718</c:v>
                </c:pt>
                <c:pt idx="49">
                  <c:v>541.07580104033718</c:v>
                </c:pt>
                <c:pt idx="50">
                  <c:v>541.07580104033718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3-0EFB-4C32-A439-D8A97D3FD0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bg2"/>
              </a:solidFill>
              <a:round/>
            </a:ln>
            <a:effectLst/>
          </c:spPr>
        </c:dropLines>
        <c:marker val="1"/>
        <c:smooth val="0"/>
        <c:axId val="1917916735"/>
        <c:axId val="1917910079"/>
      </c:lineChart>
      <c:lineChart>
        <c:grouping val="standard"/>
        <c:varyColors val="0"/>
        <c:ser>
          <c:idx val="5"/>
          <c:order val="4"/>
          <c:tx>
            <c:strRef>
              <c:f>'Ma trận giá bán vảy HDPE ÉP'!$AF$10</c:f>
              <c:strCache>
                <c:ptCount val="1"/>
                <c:pt idx="0">
                  <c:v>%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multiLvlStrRef>
              <c:f>'Ma trận giá bán vảy HDPE ÉP'!$AG$5:$AK$5</c:f>
            </c:multiLvlStrRef>
          </c:cat>
          <c:val>
            <c:numRef>
              <c:f>'Ma trận giá bán vảy HDPE ÉP'!$AG$10:$BA$10</c:f>
            </c:numRef>
          </c:val>
          <c:smooth val="0"/>
          <c:extLst>
            <c:ext xmlns:c16="http://schemas.microsoft.com/office/drawing/2014/chart" uri="{C3380CC4-5D6E-409C-BE32-E72D297353CC}">
              <c16:uniqueId val="{00000034-0EFB-4C32-A439-D8A97D3FD0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66633151"/>
        <c:axId val="1366632735"/>
      </c:lineChart>
      <c:catAx>
        <c:axId val="1917916735"/>
        <c:scaling>
          <c:orientation val="minMax"/>
        </c:scaling>
        <c:delete val="0"/>
        <c:axPos val="b"/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917910079"/>
        <c:crosses val="autoZero"/>
        <c:auto val="1"/>
        <c:lblAlgn val="ctr"/>
        <c:lblOffset val="100"/>
        <c:noMultiLvlLbl val="0"/>
      </c:catAx>
      <c:valAx>
        <c:axId val="1917910079"/>
        <c:scaling>
          <c:orientation val="minMax"/>
          <c:min val="500"/>
        </c:scaling>
        <c:delete val="0"/>
        <c:axPos val="l"/>
        <c:numFmt formatCode="[$$-C09]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917916735"/>
        <c:crosses val="autoZero"/>
        <c:crossBetween val="between"/>
        <c:majorUnit val="100"/>
      </c:valAx>
      <c:valAx>
        <c:axId val="1366632735"/>
        <c:scaling>
          <c:orientation val="minMax"/>
        </c:scaling>
        <c:delete val="1"/>
        <c:axPos val="r"/>
        <c:numFmt formatCode="0%" sourceLinked="1"/>
        <c:majorTickMark val="out"/>
        <c:minorTickMark val="none"/>
        <c:tickLblPos val="nextTo"/>
        <c:crossAx val="1366633151"/>
        <c:crosses val="max"/>
        <c:crossBetween val="between"/>
      </c:valAx>
      <c:catAx>
        <c:axId val="136663315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36663273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legendEntry>
        <c:idx val="0"/>
        <c:delete val="1"/>
      </c:legendEntry>
      <c:legendEntry>
        <c:idx val="1"/>
        <c:delete val="1"/>
      </c:legendEntry>
      <c:legendEntry>
        <c:idx val="2"/>
        <c:txPr>
          <a:bodyPr rot="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rgbClr val="FF3399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legendEntry>
      <c:legendEntry>
        <c:idx val="3"/>
        <c:txPr>
          <a:bodyPr rot="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accent6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legendEntry>
      <c:legendEntry>
        <c:idx val="4"/>
        <c:txPr>
          <a:bodyPr rot="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rgbClr val="FF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legendEntry>
      <c:layout>
        <c:manualLayout>
          <c:xMode val="edge"/>
          <c:yMode val="edge"/>
          <c:x val="0.88659698837906831"/>
          <c:y val="0.2802559715305567"/>
          <c:w val="0.11340299383875832"/>
          <c:h val="0.4459203095128955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chart" Target="../charts/chart3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chart" Target="../charts/chart4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chart" Target="../charts/chart5.xml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chart" Target="../charts/chart6.xml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chart" Target="../charts/chart7.xml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png"/><Relationship Id="rId1" Type="http://schemas.openxmlformats.org/officeDocument/2006/relationships/chart" Target="../charts/chart8.xml"/></Relationships>
</file>

<file path=xl/drawings/_rels/drawing17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png"/><Relationship Id="rId2" Type="http://schemas.openxmlformats.org/officeDocument/2006/relationships/image" Target="../media/image10.png"/><Relationship Id="rId1" Type="http://schemas.openxmlformats.org/officeDocument/2006/relationships/chart" Target="../charts/chart9.xml"/></Relationships>
</file>

<file path=xl/drawings/_rels/drawing19.xml.rels><?xml version="1.0" encoding="UTF-8" standalone="yes"?>
<Relationships xmlns="http://schemas.openxmlformats.org/package/2006/relationships"><Relationship Id="rId3" Type="http://schemas.openxmlformats.org/officeDocument/2006/relationships/image" Target="../media/image12.png"/><Relationship Id="rId2" Type="http://schemas.openxmlformats.org/officeDocument/2006/relationships/image" Target="../media/image10.png"/><Relationship Id="rId1" Type="http://schemas.openxmlformats.org/officeDocument/2006/relationships/chart" Target="../charts/chart10.xml"/></Relationships>
</file>

<file path=xl/drawings/_rels/drawing2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3.png"/><Relationship Id="rId1" Type="http://schemas.openxmlformats.org/officeDocument/2006/relationships/chart" Target="../charts/chart11.xml"/></Relationships>
</file>

<file path=xl/drawings/_rels/drawing2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4.png"/><Relationship Id="rId2" Type="http://schemas.openxmlformats.org/officeDocument/2006/relationships/image" Target="../media/image10.png"/><Relationship Id="rId1" Type="http://schemas.openxmlformats.org/officeDocument/2006/relationships/chart" Target="../charts/chart12.xml"/></Relationships>
</file>

<file path=xl/drawings/_rels/drawing2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5.png"/><Relationship Id="rId2" Type="http://schemas.openxmlformats.org/officeDocument/2006/relationships/image" Target="../media/image10.png"/><Relationship Id="rId1" Type="http://schemas.openxmlformats.org/officeDocument/2006/relationships/chart" Target="../charts/chart13.xml"/></Relationships>
</file>

<file path=xl/drawings/_rels/drawing27.xml.rels><?xml version="1.0" encoding="UTF-8" standalone="yes"?>
<Relationships xmlns="http://schemas.openxmlformats.org/package/2006/relationships"><Relationship Id="rId3" Type="http://schemas.openxmlformats.org/officeDocument/2006/relationships/image" Target="../media/image16.png"/><Relationship Id="rId2" Type="http://schemas.openxmlformats.org/officeDocument/2006/relationships/image" Target="../media/image10.png"/><Relationship Id="rId1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106680</xdr:colOff>
      <xdr:row>51</xdr:row>
      <xdr:rowOff>15240</xdr:rowOff>
    </xdr:from>
    <xdr:to>
      <xdr:col>10</xdr:col>
      <xdr:colOff>15240</xdr:colOff>
      <xdr:row>52</xdr:row>
      <xdr:rowOff>121920</xdr:rowOff>
    </xdr:to>
    <xdr:sp macro="" textlink="">
      <xdr:nvSpPr>
        <xdr:cNvPr id="2" name="Oval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9692640" y="2026920"/>
          <a:ext cx="510540" cy="289560"/>
        </a:xfrm>
        <a:prstGeom prst="ellipse">
          <a:avLst/>
        </a:prstGeom>
        <a:solidFill>
          <a:schemeClr val="bg1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32757</xdr:colOff>
      <xdr:row>39</xdr:row>
      <xdr:rowOff>127952</xdr:rowOff>
    </xdr:from>
    <xdr:to>
      <xdr:col>15</xdr:col>
      <xdr:colOff>236220</xdr:colOff>
      <xdr:row>69</xdr:row>
      <xdr:rowOff>180974</xdr:rowOff>
    </xdr:to>
    <xdr:graphicFrame macro="">
      <xdr:nvGraphicFramePr>
        <xdr:cNvPr id="25" name="Chart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67</xdr:row>
      <xdr:rowOff>164353</xdr:rowOff>
    </xdr:from>
    <xdr:to>
      <xdr:col>1</xdr:col>
      <xdr:colOff>552823</xdr:colOff>
      <xdr:row>69</xdr:row>
      <xdr:rowOff>89648</xdr:rowOff>
    </xdr:to>
    <xdr:sp macro="" textlink="">
      <xdr:nvSpPr>
        <xdr:cNvPr id="3" name="TextBox 1">
          <a:extLst>
            <a:ext uri="{FF2B5EF4-FFF2-40B4-BE49-F238E27FC236}">
              <a16:creationId xmlns:a16="http://schemas.microsoft.com/office/drawing/2014/main" id="{DCFC9A62-E23D-DA2F-29E7-B11556F6422D}"/>
            </a:ext>
          </a:extLst>
        </xdr:cNvPr>
        <xdr:cNvSpPr txBox="1"/>
      </xdr:nvSpPr>
      <xdr:spPr>
        <a:xfrm>
          <a:off x="0" y="12685059"/>
          <a:ext cx="791882" cy="29882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600" b="1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Tháng</a:t>
          </a:r>
        </a:p>
      </xdr:txBody>
    </xdr:sp>
    <xdr:clientData/>
  </xdr:twoCellAnchor>
  <xdr:twoCellAnchor editAs="oneCell">
    <xdr:from>
      <xdr:col>0</xdr:col>
      <xdr:colOff>52294</xdr:colOff>
      <xdr:row>0</xdr:row>
      <xdr:rowOff>67235</xdr:rowOff>
    </xdr:from>
    <xdr:to>
      <xdr:col>15</xdr:col>
      <xdr:colOff>268742</xdr:colOff>
      <xdr:row>30</xdr:row>
      <xdr:rowOff>140162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503042C-A5E1-C09F-C572-B551C1C86E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2294" y="67235"/>
          <a:ext cx="14253683" cy="5675868"/>
        </a:xfrm>
        <a:prstGeom prst="rect">
          <a:avLst/>
        </a:prstGeom>
      </xdr:spPr>
    </xdr:pic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0.92636</cdr:x>
      <cdr:y>0.38231</cdr:y>
    </cdr:from>
    <cdr:to>
      <cdr:x>1</cdr:x>
      <cdr:y>0.42721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1978CC37-54AA-F233-B178-5EDACAA7E3FD}"/>
            </a:ext>
          </a:extLst>
        </cdr:cNvPr>
        <cdr:cNvSpPr txBox="1"/>
      </cdr:nvSpPr>
      <cdr:spPr>
        <a:xfrm xmlns:a="http://schemas.openxmlformats.org/drawingml/2006/main">
          <a:off x="11981815" y="1881822"/>
          <a:ext cx="952500" cy="22098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0.00357</cdr:x>
      <cdr:y>0.00929</cdr:y>
    </cdr:from>
    <cdr:to>
      <cdr:x>0.12649</cdr:x>
      <cdr:y>0.08319</cdr:y>
    </cdr:to>
    <cdr:sp macro="" textlink="">
      <cdr:nvSpPr>
        <cdr:cNvPr id="8" name="TextBox 5">
          <a:extLst xmlns:a="http://schemas.openxmlformats.org/drawingml/2006/main">
            <a:ext uri="{FF2B5EF4-FFF2-40B4-BE49-F238E27FC236}">
              <a16:creationId xmlns:a16="http://schemas.microsoft.com/office/drawing/2014/main" id="{453CAA98-2FDA-E320-5A36-8E26E8D377B4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1750006" cy="403974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solidFill>
            <a:schemeClr val="accent1"/>
          </a:solidFill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600" b="1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Báo</a:t>
          </a:r>
          <a:r>
            <a:rPr lang="en-US" sz="1600" b="1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cáo </a:t>
          </a:r>
          <a:r>
            <a:rPr lang="en-US" sz="1600" b="1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Tháng</a:t>
          </a: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106680</xdr:colOff>
      <xdr:row>49</xdr:row>
      <xdr:rowOff>15240</xdr:rowOff>
    </xdr:from>
    <xdr:to>
      <xdr:col>10</xdr:col>
      <xdr:colOff>15240</xdr:colOff>
      <xdr:row>50</xdr:row>
      <xdr:rowOff>121920</xdr:rowOff>
    </xdr:to>
    <xdr:sp macro="" textlink="">
      <xdr:nvSpPr>
        <xdr:cNvPr id="2" name="Oval 1">
          <a:extLst>
            <a:ext uri="{FF2B5EF4-FFF2-40B4-BE49-F238E27FC236}">
              <a16:creationId xmlns:a16="http://schemas.microsoft.com/office/drawing/2014/main" id="{66665EA8-707E-45E5-BFF2-33C024F7FC55}"/>
            </a:ext>
          </a:extLst>
        </xdr:cNvPr>
        <xdr:cNvSpPr/>
      </xdr:nvSpPr>
      <xdr:spPr>
        <a:xfrm>
          <a:off x="9692640" y="2026920"/>
          <a:ext cx="510540" cy="289560"/>
        </a:xfrm>
        <a:prstGeom prst="ellipse">
          <a:avLst/>
        </a:prstGeom>
        <a:solidFill>
          <a:schemeClr val="bg1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146916</xdr:colOff>
      <xdr:row>47</xdr:row>
      <xdr:rowOff>29155</xdr:rowOff>
    </xdr:from>
    <xdr:to>
      <xdr:col>15</xdr:col>
      <xdr:colOff>342265</xdr:colOff>
      <xdr:row>74</xdr:row>
      <xdr:rowOff>140335</xdr:rowOff>
    </xdr:to>
    <xdr:graphicFrame macro="">
      <xdr:nvGraphicFramePr>
        <xdr:cNvPr id="8" name="Chart 1">
          <a:extLst>
            <a:ext uri="{FF2B5EF4-FFF2-40B4-BE49-F238E27FC236}">
              <a16:creationId xmlns:a16="http://schemas.microsoft.com/office/drawing/2014/main" id="{D4FFDE34-B083-4952-8241-1A64E1264ED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79375</xdr:colOff>
      <xdr:row>0</xdr:row>
      <xdr:rowOff>87313</xdr:rowOff>
    </xdr:from>
    <xdr:to>
      <xdr:col>15</xdr:col>
      <xdr:colOff>273905</xdr:colOff>
      <xdr:row>30</xdr:row>
      <xdr:rowOff>11962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DA68BA3-3B07-DC74-C072-BD8202D0EC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9375" y="87313"/>
          <a:ext cx="14259780" cy="5401524"/>
        </a:xfrm>
        <a:prstGeom prst="rect">
          <a:avLst/>
        </a:prstGeom>
      </xdr:spPr>
    </xdr:pic>
    <xdr:clientData/>
  </xdr:twoCell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0.92636</cdr:x>
      <cdr:y>0.38231</cdr:y>
    </cdr:from>
    <cdr:to>
      <cdr:x>1</cdr:x>
      <cdr:y>0.42721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1978CC37-54AA-F233-B178-5EDACAA7E3FD}"/>
            </a:ext>
          </a:extLst>
        </cdr:cNvPr>
        <cdr:cNvSpPr txBox="1"/>
      </cdr:nvSpPr>
      <cdr:spPr>
        <a:xfrm xmlns:a="http://schemas.openxmlformats.org/drawingml/2006/main">
          <a:off x="11981815" y="1881822"/>
          <a:ext cx="952500" cy="22098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0.00357</cdr:x>
      <cdr:y>0.02408</cdr:y>
    </cdr:from>
    <cdr:to>
      <cdr:x>0.10708</cdr:x>
      <cdr:y>0.09959</cdr:y>
    </cdr:to>
    <cdr:sp macro="" textlink="">
      <cdr:nvSpPr>
        <cdr:cNvPr id="3" name="TextBox 5">
          <a:extLst xmlns:a="http://schemas.openxmlformats.org/drawingml/2006/main">
            <a:ext uri="{FF2B5EF4-FFF2-40B4-BE49-F238E27FC236}">
              <a16:creationId xmlns:a16="http://schemas.microsoft.com/office/drawing/2014/main" id="{F606B762-38CA-4FAE-8513-8C911B0BCEE2}"/>
            </a:ext>
          </a:extLst>
        </cdr:cNvPr>
        <cdr:cNvSpPr txBox="1"/>
      </cdr:nvSpPr>
      <cdr:spPr>
        <a:xfrm xmlns:a="http://schemas.openxmlformats.org/drawingml/2006/main">
          <a:off x="49827" y="130229"/>
          <a:ext cx="1444732" cy="408261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solidFill>
            <a:schemeClr val="accent1"/>
          </a:solidFill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600" b="1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Báo</a:t>
          </a:r>
          <a:r>
            <a:rPr lang="en-US" sz="1600" b="1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cáo </a:t>
          </a:r>
          <a:r>
            <a:rPr lang="en-US" sz="1600" b="1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Tuần</a:t>
          </a:r>
        </a:p>
      </cdr:txBody>
    </cdr:sp>
  </cdr:relSizeAnchor>
  <cdr:relSizeAnchor xmlns:cdr="http://schemas.openxmlformats.org/drawingml/2006/chartDrawing">
    <cdr:from>
      <cdr:x>0</cdr:x>
      <cdr:y>0.9232</cdr:y>
    </cdr:from>
    <cdr:to>
      <cdr:x>0.03884</cdr:x>
      <cdr:y>0.98965</cdr:y>
    </cdr:to>
    <cdr:sp macro="" textlink="">
      <cdr:nvSpPr>
        <cdr:cNvPr id="4" name="TextBox 5">
          <a:extLst xmlns:a="http://schemas.openxmlformats.org/drawingml/2006/main">
            <a:ext uri="{FF2B5EF4-FFF2-40B4-BE49-F238E27FC236}">
              <a16:creationId xmlns:a16="http://schemas.microsoft.com/office/drawing/2014/main" id="{6EAF4FAF-6BB6-6C35-3BCD-18B49BD38F96}"/>
            </a:ext>
          </a:extLst>
        </cdr:cNvPr>
        <cdr:cNvSpPr txBox="1"/>
      </cdr:nvSpPr>
      <cdr:spPr>
        <a:xfrm xmlns:a="http://schemas.openxmlformats.org/drawingml/2006/main">
          <a:off x="0" y="4991790"/>
          <a:ext cx="542059" cy="359311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200" b="1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Tuần</a:t>
          </a: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106680</xdr:colOff>
      <xdr:row>49</xdr:row>
      <xdr:rowOff>15240</xdr:rowOff>
    </xdr:from>
    <xdr:to>
      <xdr:col>10</xdr:col>
      <xdr:colOff>15240</xdr:colOff>
      <xdr:row>50</xdr:row>
      <xdr:rowOff>121920</xdr:rowOff>
    </xdr:to>
    <xdr:sp macro="" textlink="">
      <xdr:nvSpPr>
        <xdr:cNvPr id="2" name="Oval 1">
          <a:extLst>
            <a:ext uri="{FF2B5EF4-FFF2-40B4-BE49-F238E27FC236}">
              <a16:creationId xmlns:a16="http://schemas.microsoft.com/office/drawing/2014/main" id="{F888A144-5731-4D36-807B-DC680C09D852}"/>
            </a:ext>
          </a:extLst>
        </xdr:cNvPr>
        <xdr:cNvSpPr/>
      </xdr:nvSpPr>
      <xdr:spPr>
        <a:xfrm>
          <a:off x="9872980" y="9038590"/>
          <a:ext cx="524510" cy="373380"/>
        </a:xfrm>
        <a:prstGeom prst="ellipse">
          <a:avLst/>
        </a:prstGeom>
        <a:solidFill>
          <a:schemeClr val="bg1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118341</xdr:colOff>
      <xdr:row>47</xdr:row>
      <xdr:rowOff>25980</xdr:rowOff>
    </xdr:from>
    <xdr:to>
      <xdr:col>15</xdr:col>
      <xdr:colOff>297180</xdr:colOff>
      <xdr:row>74</xdr:row>
      <xdr:rowOff>137160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BD725A5E-65BE-4F91-9B14-56760890DC3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47625</xdr:colOff>
      <xdr:row>0</xdr:row>
      <xdr:rowOff>47625</xdr:rowOff>
    </xdr:from>
    <xdr:to>
      <xdr:col>15</xdr:col>
      <xdr:colOff>229962</xdr:colOff>
      <xdr:row>29</xdr:row>
      <xdr:rowOff>148740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F797A3E-F62F-1E7E-D52B-B54217A73E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7625" y="47625"/>
          <a:ext cx="14247587" cy="5395428"/>
        </a:xfrm>
        <a:prstGeom prst="rect">
          <a:avLst/>
        </a:prstGeom>
      </xdr:spPr>
    </xdr:pic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0.92636</cdr:x>
      <cdr:y>0.38231</cdr:y>
    </cdr:from>
    <cdr:to>
      <cdr:x>1</cdr:x>
      <cdr:y>0.42721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1978CC37-54AA-F233-B178-5EDACAA7E3FD}"/>
            </a:ext>
          </a:extLst>
        </cdr:cNvPr>
        <cdr:cNvSpPr txBox="1"/>
      </cdr:nvSpPr>
      <cdr:spPr>
        <a:xfrm xmlns:a="http://schemas.openxmlformats.org/drawingml/2006/main">
          <a:off x="11981815" y="1881822"/>
          <a:ext cx="952500" cy="22098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0.0048</cdr:x>
      <cdr:y>0.0265</cdr:y>
    </cdr:from>
    <cdr:to>
      <cdr:x>0.14877</cdr:x>
      <cdr:y>0.08821</cdr:y>
    </cdr:to>
    <cdr:sp macro="" textlink="">
      <cdr:nvSpPr>
        <cdr:cNvPr id="3" name="TextBox 5">
          <a:extLst xmlns:a="http://schemas.openxmlformats.org/drawingml/2006/main">
            <a:ext uri="{FF2B5EF4-FFF2-40B4-BE49-F238E27FC236}">
              <a16:creationId xmlns:a16="http://schemas.microsoft.com/office/drawing/2014/main" id="{EF47B612-4BD5-4B24-8A98-A5F5A7E2FDC3}"/>
            </a:ext>
          </a:extLst>
        </cdr:cNvPr>
        <cdr:cNvSpPr txBox="1"/>
      </cdr:nvSpPr>
      <cdr:spPr>
        <a:xfrm xmlns:a="http://schemas.openxmlformats.org/drawingml/2006/main">
          <a:off x="68117" y="140932"/>
          <a:ext cx="2043097" cy="328185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solidFill>
            <a:schemeClr val="accent1"/>
          </a:solidFill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600" b="1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BÁO</a:t>
          </a:r>
          <a:r>
            <a:rPr lang="en-US" sz="1600" b="1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CÁO THÁNG</a:t>
          </a:r>
          <a:endParaRPr lang="en-US" sz="1600" b="1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cdr:txBody>
    </cdr:sp>
  </cdr:relSizeAnchor>
  <cdr:relSizeAnchor xmlns:cdr="http://schemas.openxmlformats.org/drawingml/2006/chartDrawing">
    <cdr:from>
      <cdr:x>0.0021</cdr:x>
      <cdr:y>0.92683</cdr:y>
    </cdr:from>
    <cdr:to>
      <cdr:x>0.04635</cdr:x>
      <cdr:y>0.99328</cdr:y>
    </cdr:to>
    <cdr:sp macro="" textlink="">
      <cdr:nvSpPr>
        <cdr:cNvPr id="4" name="TextBox 5">
          <a:extLst xmlns:a="http://schemas.openxmlformats.org/drawingml/2006/main">
            <a:ext uri="{FF2B5EF4-FFF2-40B4-BE49-F238E27FC236}">
              <a16:creationId xmlns:a16="http://schemas.microsoft.com/office/drawing/2014/main" id="{F1E52F53-1CCF-9EED-E5C0-38C734972BC1}"/>
            </a:ext>
          </a:extLst>
        </cdr:cNvPr>
        <cdr:cNvSpPr txBox="1"/>
      </cdr:nvSpPr>
      <cdr:spPr>
        <a:xfrm xmlns:a="http://schemas.openxmlformats.org/drawingml/2006/main">
          <a:off x="29826" y="4929049"/>
          <a:ext cx="627935" cy="353393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200" b="1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Tháng</a:t>
          </a: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106680</xdr:colOff>
      <xdr:row>49</xdr:row>
      <xdr:rowOff>15240</xdr:rowOff>
    </xdr:from>
    <xdr:to>
      <xdr:col>10</xdr:col>
      <xdr:colOff>15240</xdr:colOff>
      <xdr:row>50</xdr:row>
      <xdr:rowOff>121920</xdr:rowOff>
    </xdr:to>
    <xdr:sp macro="" textlink="">
      <xdr:nvSpPr>
        <xdr:cNvPr id="2" name="Oval 1">
          <a:extLst>
            <a:ext uri="{FF2B5EF4-FFF2-40B4-BE49-F238E27FC236}">
              <a16:creationId xmlns:a16="http://schemas.microsoft.com/office/drawing/2014/main" id="{C4F1C112-E4D3-4ABB-B840-B6BFA202C6BC}"/>
            </a:ext>
          </a:extLst>
        </xdr:cNvPr>
        <xdr:cNvSpPr/>
      </xdr:nvSpPr>
      <xdr:spPr>
        <a:xfrm>
          <a:off x="9872980" y="9038590"/>
          <a:ext cx="524510" cy="373380"/>
        </a:xfrm>
        <a:prstGeom prst="ellipse">
          <a:avLst/>
        </a:prstGeom>
        <a:solidFill>
          <a:schemeClr val="bg1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97174</xdr:colOff>
      <xdr:row>47</xdr:row>
      <xdr:rowOff>25980</xdr:rowOff>
    </xdr:from>
    <xdr:to>
      <xdr:col>15</xdr:col>
      <xdr:colOff>276013</xdr:colOff>
      <xdr:row>74</xdr:row>
      <xdr:rowOff>137160</xdr:rowOff>
    </xdr:to>
    <xdr:graphicFrame macro="">
      <xdr:nvGraphicFramePr>
        <xdr:cNvPr id="12" name="Chart 1">
          <a:extLst>
            <a:ext uri="{FF2B5EF4-FFF2-40B4-BE49-F238E27FC236}">
              <a16:creationId xmlns:a16="http://schemas.microsoft.com/office/drawing/2014/main" id="{ADD24436-1A82-45D7-9783-364E523410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99785</xdr:colOff>
      <xdr:row>0</xdr:row>
      <xdr:rowOff>108857</xdr:rowOff>
    </xdr:from>
    <xdr:to>
      <xdr:col>15</xdr:col>
      <xdr:colOff>286658</xdr:colOff>
      <xdr:row>30</xdr:row>
      <xdr:rowOff>30945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435F01A-F69B-3059-514C-FC6FE34CA5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9785" y="108857"/>
          <a:ext cx="14247587" cy="5364945"/>
        </a:xfrm>
        <a:prstGeom prst="rect">
          <a:avLst/>
        </a:prstGeom>
      </xdr:spPr>
    </xdr:pic>
    <xdr:clientData/>
  </xdr:twoCellAnchor>
</xdr:wsDr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0.92636</cdr:x>
      <cdr:y>0.38231</cdr:y>
    </cdr:from>
    <cdr:to>
      <cdr:x>1</cdr:x>
      <cdr:y>0.42721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1978CC37-54AA-F233-B178-5EDACAA7E3FD}"/>
            </a:ext>
          </a:extLst>
        </cdr:cNvPr>
        <cdr:cNvSpPr txBox="1"/>
      </cdr:nvSpPr>
      <cdr:spPr>
        <a:xfrm xmlns:a="http://schemas.openxmlformats.org/drawingml/2006/main">
          <a:off x="11981815" y="1881822"/>
          <a:ext cx="952500" cy="22098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0.0048</cdr:x>
      <cdr:y>0.0265</cdr:y>
    </cdr:from>
    <cdr:to>
      <cdr:x>0.13254</cdr:x>
      <cdr:y>0.08821</cdr:y>
    </cdr:to>
    <cdr:sp macro="" textlink="">
      <cdr:nvSpPr>
        <cdr:cNvPr id="3" name="TextBox 5">
          <a:extLst xmlns:a="http://schemas.openxmlformats.org/drawingml/2006/main">
            <a:ext uri="{FF2B5EF4-FFF2-40B4-BE49-F238E27FC236}">
              <a16:creationId xmlns:a16="http://schemas.microsoft.com/office/drawing/2014/main" id="{EF47B612-4BD5-4B24-8A98-A5F5A7E2FDC3}"/>
            </a:ext>
          </a:extLst>
        </cdr:cNvPr>
        <cdr:cNvSpPr txBox="1"/>
      </cdr:nvSpPr>
      <cdr:spPr>
        <a:xfrm xmlns:a="http://schemas.openxmlformats.org/drawingml/2006/main">
          <a:off x="66854" y="143278"/>
          <a:ext cx="1780765" cy="333662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solidFill>
            <a:schemeClr val="accent1"/>
          </a:solidFill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600" b="1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BÁO</a:t>
          </a:r>
          <a:r>
            <a:rPr lang="en-US" sz="1600" b="1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CÁO TUẦN</a:t>
          </a:r>
          <a:endParaRPr lang="en-US" sz="1600" b="1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cdr:txBody>
    </cdr:sp>
  </cdr:relSizeAnchor>
  <cdr:relSizeAnchor xmlns:cdr="http://schemas.openxmlformats.org/drawingml/2006/chartDrawing">
    <cdr:from>
      <cdr:x>0.00747</cdr:x>
      <cdr:y>0.92683</cdr:y>
    </cdr:from>
    <cdr:to>
      <cdr:x>0.04635</cdr:x>
      <cdr:y>0.99328</cdr:y>
    </cdr:to>
    <cdr:sp macro="" textlink="">
      <cdr:nvSpPr>
        <cdr:cNvPr id="4" name="TextBox 5">
          <a:extLst xmlns:a="http://schemas.openxmlformats.org/drawingml/2006/main">
            <a:ext uri="{FF2B5EF4-FFF2-40B4-BE49-F238E27FC236}">
              <a16:creationId xmlns:a16="http://schemas.microsoft.com/office/drawing/2014/main" id="{F1E52F53-1CCF-9EED-E5C0-38C734972BC1}"/>
            </a:ext>
          </a:extLst>
        </cdr:cNvPr>
        <cdr:cNvSpPr txBox="1"/>
      </cdr:nvSpPr>
      <cdr:spPr>
        <a:xfrm xmlns:a="http://schemas.openxmlformats.org/drawingml/2006/main">
          <a:off x="104140" y="5011420"/>
          <a:ext cx="542059" cy="359311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200" b="1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Tuần</a:t>
          </a:r>
        </a:p>
      </cdr:txBody>
    </cdr:sp>
  </cdr:relSizeAnchor>
</c:userShapes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37701</xdr:colOff>
      <xdr:row>39</xdr:row>
      <xdr:rowOff>56148</xdr:rowOff>
    </xdr:from>
    <xdr:to>
      <xdr:col>22</xdr:col>
      <xdr:colOff>186266</xdr:colOff>
      <xdr:row>72</xdr:row>
      <xdr:rowOff>8467</xdr:rowOff>
    </xdr:to>
    <xdr:graphicFrame macro="">
      <xdr:nvGraphicFramePr>
        <xdr:cNvPr id="8" name="Chart 4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119062</xdr:colOff>
      <xdr:row>68</xdr:row>
      <xdr:rowOff>158750</xdr:rowOff>
    </xdr:from>
    <xdr:to>
      <xdr:col>2</xdr:col>
      <xdr:colOff>249517</xdr:colOff>
      <xdr:row>71</xdr:row>
      <xdr:rowOff>23812</xdr:rowOff>
    </xdr:to>
    <xdr:sp macro="" textlink="">
      <xdr:nvSpPr>
        <xdr:cNvPr id="2" name="TextBox 14">
          <a:extLst>
            <a:ext uri="{FF2B5EF4-FFF2-40B4-BE49-F238E27FC236}">
              <a16:creationId xmlns:a16="http://schemas.microsoft.com/office/drawing/2014/main" id="{BECCE8C7-D539-0A4D-B24C-E445EF475248}"/>
            </a:ext>
          </a:extLst>
        </xdr:cNvPr>
        <xdr:cNvSpPr txBox="1"/>
      </xdr:nvSpPr>
      <xdr:spPr>
        <a:xfrm>
          <a:off x="119062" y="12565063"/>
          <a:ext cx="773393" cy="38893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600" b="1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Tháng</a:t>
          </a:r>
        </a:p>
      </xdr:txBody>
    </xdr:sp>
    <xdr:clientData/>
  </xdr:twoCellAnchor>
  <xdr:twoCellAnchor editAs="oneCell">
    <xdr:from>
      <xdr:col>0</xdr:col>
      <xdr:colOff>63500</xdr:colOff>
      <xdr:row>0</xdr:row>
      <xdr:rowOff>71437</xdr:rowOff>
    </xdr:from>
    <xdr:to>
      <xdr:col>22</xdr:col>
      <xdr:colOff>227225</xdr:colOff>
      <xdr:row>33</xdr:row>
      <xdr:rowOff>3182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1440F86-6A09-272A-0151-B50898346F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3500" y="71437"/>
          <a:ext cx="15649788" cy="5956308"/>
        </a:xfrm>
        <a:prstGeom prst="rect">
          <a:avLst/>
        </a:prstGeom>
      </xdr:spPr>
    </xdr:pic>
    <xdr:clientData/>
  </xdr:twoCellAnchor>
</xdr:wsDr>
</file>

<file path=xl/drawings/drawing10.xml><?xml version="1.0" encoding="utf-8"?>
<c:userShapes xmlns:c="http://schemas.openxmlformats.org/drawingml/2006/chart">
  <cdr:relSizeAnchor xmlns:cdr="http://schemas.openxmlformats.org/drawingml/2006/chartDrawing">
    <cdr:from>
      <cdr:x>0.00325</cdr:x>
      <cdr:y>0.0253</cdr:y>
    </cdr:from>
    <cdr:to>
      <cdr:x>0.1153</cdr:x>
      <cdr:y>0.09215</cdr:y>
    </cdr:to>
    <cdr:sp macro="" textlink="">
      <cdr:nvSpPr>
        <cdr:cNvPr id="3" name="TextBox 5">
          <a:extLst xmlns:a="http://schemas.openxmlformats.org/drawingml/2006/main">
            <a:ext uri="{FF2B5EF4-FFF2-40B4-BE49-F238E27FC236}">
              <a16:creationId xmlns:a16="http://schemas.microsoft.com/office/drawing/2014/main" id="{87F31243-0BE0-8831-5DE6-0F9C67F80365}"/>
            </a:ext>
          </a:extLst>
        </cdr:cNvPr>
        <cdr:cNvSpPr txBox="1"/>
      </cdr:nvSpPr>
      <cdr:spPr>
        <a:xfrm xmlns:a="http://schemas.openxmlformats.org/drawingml/2006/main">
          <a:off x="50800" y="150226"/>
          <a:ext cx="1750006" cy="396875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solidFill>
            <a:schemeClr val="accent1"/>
          </a:solidFill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600" b="1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Báo</a:t>
          </a:r>
          <a:r>
            <a:rPr lang="en-US" sz="1600" b="1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cáo </a:t>
          </a:r>
          <a:r>
            <a:rPr lang="en-US" sz="1600" b="1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Tháng</a:t>
          </a:r>
        </a:p>
      </cdr:txBody>
    </cdr:sp>
  </cdr:relSizeAnchor>
</c:userShapes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49694</xdr:colOff>
      <xdr:row>41</xdr:row>
      <xdr:rowOff>253517</xdr:rowOff>
    </xdr:from>
    <xdr:to>
      <xdr:col>18</xdr:col>
      <xdr:colOff>1242060</xdr:colOff>
      <xdr:row>62</xdr:row>
      <xdr:rowOff>37148</xdr:rowOff>
    </xdr:to>
    <xdr:graphicFrame macro="">
      <xdr:nvGraphicFramePr>
        <xdr:cNvPr id="4" name="Chart 2">
          <a:extLst>
            <a:ext uri="{FF2B5EF4-FFF2-40B4-BE49-F238E27FC236}">
              <a16:creationId xmlns:a16="http://schemas.microsoft.com/office/drawing/2014/main" id="{98296BE9-2E7B-0B83-C54D-551D5A3756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146050</xdr:colOff>
      <xdr:row>60</xdr:row>
      <xdr:rowOff>107951</xdr:rowOff>
    </xdr:from>
    <xdr:to>
      <xdr:col>1</xdr:col>
      <xdr:colOff>482600</xdr:colOff>
      <xdr:row>62</xdr:row>
      <xdr:rowOff>12701</xdr:rowOff>
    </xdr:to>
    <xdr:sp macro="" textlink="">
      <xdr:nvSpPr>
        <xdr:cNvPr id="2" name="TextBox 5">
          <a:extLst>
            <a:ext uri="{FF2B5EF4-FFF2-40B4-BE49-F238E27FC236}">
              <a16:creationId xmlns:a16="http://schemas.microsoft.com/office/drawing/2014/main" id="{A981D273-ADEE-C909-2A38-798E854CFD2D}"/>
            </a:ext>
          </a:extLst>
        </xdr:cNvPr>
        <xdr:cNvSpPr txBox="1"/>
      </xdr:nvSpPr>
      <xdr:spPr>
        <a:xfrm>
          <a:off x="146050" y="12979401"/>
          <a:ext cx="577850" cy="2730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200" b="1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Tuần</a:t>
          </a:r>
        </a:p>
      </xdr:txBody>
    </xdr:sp>
    <xdr:clientData/>
  </xdr:twoCellAnchor>
  <xdr:twoCellAnchor editAs="oneCell">
    <xdr:from>
      <xdr:col>0</xdr:col>
      <xdr:colOff>71437</xdr:colOff>
      <xdr:row>0</xdr:row>
      <xdr:rowOff>79375</xdr:rowOff>
    </xdr:from>
    <xdr:to>
      <xdr:col>18</xdr:col>
      <xdr:colOff>1278165</xdr:colOff>
      <xdr:row>30</xdr:row>
      <xdr:rowOff>109506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A6B0749-D8A8-745D-8384-E63C9BE236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1437" y="79375"/>
          <a:ext cx="14351228" cy="5499069"/>
        </a:xfrm>
        <a:prstGeom prst="rect">
          <a:avLst/>
        </a:prstGeom>
      </xdr:spPr>
    </xdr:pic>
    <xdr:clientData/>
  </xdr:twoCellAnchor>
</xdr:wsDr>
</file>

<file path=xl/drawings/drawing12.xml><?xml version="1.0" encoding="utf-8"?>
<c:userShapes xmlns:c="http://schemas.openxmlformats.org/drawingml/2006/chart">
  <cdr:relSizeAnchor xmlns:cdr="http://schemas.openxmlformats.org/drawingml/2006/chartDrawing">
    <cdr:from>
      <cdr:x>0.00355</cdr:x>
      <cdr:y>0.00928</cdr:y>
    </cdr:from>
    <cdr:to>
      <cdr:x>0.10646</cdr:x>
      <cdr:y>0.06821</cdr:y>
    </cdr:to>
    <cdr:sp macro="" textlink="">
      <cdr:nvSpPr>
        <cdr:cNvPr id="3" name="TextBox 5">
          <a:extLst xmlns:a="http://schemas.openxmlformats.org/drawingml/2006/main">
            <a:ext uri="{FF2B5EF4-FFF2-40B4-BE49-F238E27FC236}">
              <a16:creationId xmlns:a16="http://schemas.microsoft.com/office/drawing/2014/main" id="{F8AB38DF-847C-8271-69C0-44AFEC9B5EE1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1472171" cy="322745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solidFill>
            <a:schemeClr val="accent1"/>
          </a:solidFill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600" b="1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Báo</a:t>
          </a:r>
          <a:r>
            <a:rPr lang="en-US" sz="1600" b="1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cáo </a:t>
          </a:r>
          <a:r>
            <a:rPr lang="en-US" sz="1600" b="1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Tuần</a:t>
          </a:r>
        </a:p>
      </cdr:txBody>
    </cdr:sp>
  </cdr:relSizeAnchor>
</c:userShapes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39370</xdr:colOff>
      <xdr:row>36</xdr:row>
      <xdr:rowOff>38100</xdr:rowOff>
    </xdr:from>
    <xdr:to>
      <xdr:col>22</xdr:col>
      <xdr:colOff>434340</xdr:colOff>
      <xdr:row>65</xdr:row>
      <xdr:rowOff>2540</xdr:rowOff>
    </xdr:to>
    <xdr:graphicFrame macro="">
      <xdr:nvGraphicFramePr>
        <xdr:cNvPr id="5" name="Chart 1">
          <a:extLst>
            <a:ext uri="{FF2B5EF4-FFF2-40B4-BE49-F238E27FC236}">
              <a16:creationId xmlns:a16="http://schemas.microsoft.com/office/drawing/2014/main" id="{F7AB3081-0BA0-A31C-AC13-D6B2D97DE6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76200</xdr:colOff>
      <xdr:row>62</xdr:row>
      <xdr:rowOff>120651</xdr:rowOff>
    </xdr:from>
    <xdr:to>
      <xdr:col>1</xdr:col>
      <xdr:colOff>279400</xdr:colOff>
      <xdr:row>64</xdr:row>
      <xdr:rowOff>107951</xdr:rowOff>
    </xdr:to>
    <xdr:sp macro="" textlink="">
      <xdr:nvSpPr>
        <xdr:cNvPr id="2" name="TextBox 14">
          <a:extLst>
            <a:ext uri="{FF2B5EF4-FFF2-40B4-BE49-F238E27FC236}">
              <a16:creationId xmlns:a16="http://schemas.microsoft.com/office/drawing/2014/main" id="{0F8682D4-A48C-40EF-9EA1-1A4CE9ECFF5F}"/>
            </a:ext>
          </a:extLst>
        </xdr:cNvPr>
        <xdr:cNvSpPr txBox="1"/>
      </xdr:nvSpPr>
      <xdr:spPr>
        <a:xfrm>
          <a:off x="76200" y="11537951"/>
          <a:ext cx="825500" cy="3556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600" b="1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Tháng</a:t>
          </a:r>
        </a:p>
      </xdr:txBody>
    </xdr:sp>
    <xdr:clientData/>
  </xdr:twoCellAnchor>
  <xdr:twoCellAnchor editAs="oneCell">
    <xdr:from>
      <xdr:col>0</xdr:col>
      <xdr:colOff>47625</xdr:colOff>
      <xdr:row>0</xdr:row>
      <xdr:rowOff>55563</xdr:rowOff>
    </xdr:from>
    <xdr:to>
      <xdr:col>22</xdr:col>
      <xdr:colOff>461083</xdr:colOff>
      <xdr:row>29</xdr:row>
      <xdr:rowOff>34747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98836BC-8927-FF06-F92F-1722DC6705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7625" y="55563"/>
          <a:ext cx="14034208" cy="5273497"/>
        </a:xfrm>
        <a:prstGeom prst="rect">
          <a:avLst/>
        </a:prstGeom>
      </xdr:spPr>
    </xdr:pic>
    <xdr:clientData/>
  </xdr:twoCellAnchor>
</xdr:wsDr>
</file>

<file path=xl/drawings/drawing14.xml><?xml version="1.0" encoding="utf-8"?>
<c:userShapes xmlns:c="http://schemas.openxmlformats.org/drawingml/2006/chart">
  <cdr:relSizeAnchor xmlns:cdr="http://schemas.openxmlformats.org/drawingml/2006/chartDrawing">
    <cdr:from>
      <cdr:x>0.00361</cdr:x>
      <cdr:y>0.00958</cdr:y>
    </cdr:from>
    <cdr:to>
      <cdr:x>0.12785</cdr:x>
      <cdr:y>0.08573</cdr:y>
    </cdr:to>
    <cdr:sp macro="" textlink="">
      <cdr:nvSpPr>
        <cdr:cNvPr id="2" name="TextBox 5">
          <a:extLst xmlns:a="http://schemas.openxmlformats.org/drawingml/2006/main">
            <a:ext uri="{FF2B5EF4-FFF2-40B4-BE49-F238E27FC236}">
              <a16:creationId xmlns:a16="http://schemas.microsoft.com/office/drawing/2014/main" id="{93E82521-5BAB-A6F4-A840-9BCCCCEFFCDF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1750006" cy="403974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solidFill>
            <a:schemeClr val="accent1"/>
          </a:solidFill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600" b="1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Báo</a:t>
          </a:r>
          <a:r>
            <a:rPr lang="en-US" sz="1600" b="1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cáo </a:t>
          </a:r>
          <a:r>
            <a:rPr lang="en-US" sz="1600" b="1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Tháng</a:t>
          </a:r>
        </a:p>
      </cdr:txBody>
    </cdr:sp>
  </cdr:relSizeAnchor>
</c:userShapes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21061</xdr:colOff>
      <xdr:row>42</xdr:row>
      <xdr:rowOff>3810</xdr:rowOff>
    </xdr:from>
    <xdr:to>
      <xdr:col>22</xdr:col>
      <xdr:colOff>554462</xdr:colOff>
      <xdr:row>72</xdr:row>
      <xdr:rowOff>64770</xdr:rowOff>
    </xdr:to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435AAE1E-D941-E436-B4F3-02D31FD217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76200</xdr:colOff>
      <xdr:row>69</xdr:row>
      <xdr:rowOff>177800</xdr:rowOff>
    </xdr:from>
    <xdr:to>
      <xdr:col>1</xdr:col>
      <xdr:colOff>31750</xdr:colOff>
      <xdr:row>71</xdr:row>
      <xdr:rowOff>63500</xdr:rowOff>
    </xdr:to>
    <xdr:sp macro="" textlink="">
      <xdr:nvSpPr>
        <xdr:cNvPr id="2" name="TextBox 5">
          <a:extLst>
            <a:ext uri="{FF2B5EF4-FFF2-40B4-BE49-F238E27FC236}">
              <a16:creationId xmlns:a16="http://schemas.microsoft.com/office/drawing/2014/main" id="{AEEDF998-4077-4AEF-BBCB-6DE93128F670}"/>
            </a:ext>
          </a:extLst>
        </xdr:cNvPr>
        <xdr:cNvSpPr txBox="1"/>
      </xdr:nvSpPr>
      <xdr:spPr>
        <a:xfrm>
          <a:off x="76200" y="12884150"/>
          <a:ext cx="577850" cy="2540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200" b="1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Tuần</a:t>
          </a:r>
        </a:p>
      </xdr:txBody>
    </xdr:sp>
    <xdr:clientData/>
  </xdr:twoCellAnchor>
  <xdr:twoCellAnchor editAs="oneCell">
    <xdr:from>
      <xdr:col>0</xdr:col>
      <xdr:colOff>47625</xdr:colOff>
      <xdr:row>0</xdr:row>
      <xdr:rowOff>79375</xdr:rowOff>
    </xdr:from>
    <xdr:to>
      <xdr:col>22</xdr:col>
      <xdr:colOff>597501</xdr:colOff>
      <xdr:row>30</xdr:row>
      <xdr:rowOff>156437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2EC0231-3341-85D7-C6D7-35AF1BBE7A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7625" y="79375"/>
          <a:ext cx="14265876" cy="5553937"/>
        </a:xfrm>
        <a:prstGeom prst="rect">
          <a:avLst/>
        </a:prstGeom>
      </xdr:spPr>
    </xdr:pic>
    <xdr:clientData/>
  </xdr:twoCellAnchor>
</xdr:wsDr>
</file>

<file path=xl/drawings/drawing16.xml><?xml version="1.0" encoding="utf-8"?>
<c:userShapes xmlns:c="http://schemas.openxmlformats.org/drawingml/2006/chart">
  <cdr:relSizeAnchor xmlns:cdr="http://schemas.openxmlformats.org/drawingml/2006/chartDrawing">
    <cdr:from>
      <cdr:x>0.00355</cdr:x>
      <cdr:y>0.0091</cdr:y>
    </cdr:from>
    <cdr:to>
      <cdr:x>0.10645</cdr:x>
      <cdr:y>0.06688</cdr:y>
    </cdr:to>
    <cdr:sp macro="" textlink="">
      <cdr:nvSpPr>
        <cdr:cNvPr id="3" name="TextBox 5">
          <a:extLst xmlns:a="http://schemas.openxmlformats.org/drawingml/2006/main">
            <a:ext uri="{FF2B5EF4-FFF2-40B4-BE49-F238E27FC236}">
              <a16:creationId xmlns:a16="http://schemas.microsoft.com/office/drawing/2014/main" id="{9D347CCA-8B3E-EA10-22F7-CFF6E28487A1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1472171" cy="322745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solidFill>
            <a:schemeClr val="accent1"/>
          </a:solidFill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600" b="1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Báo</a:t>
          </a:r>
          <a:r>
            <a:rPr lang="en-US" sz="1600" b="1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cáo </a:t>
          </a:r>
          <a:r>
            <a:rPr lang="en-US" sz="1600" b="1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Tuần</a:t>
          </a:r>
        </a:p>
      </cdr:txBody>
    </cdr:sp>
  </cdr:relSizeAnchor>
</c:userShapes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29883</xdr:colOff>
      <xdr:row>31</xdr:row>
      <xdr:rowOff>84681</xdr:rowOff>
    </xdr:from>
    <xdr:to>
      <xdr:col>22</xdr:col>
      <xdr:colOff>113304</xdr:colOff>
      <xdr:row>60</xdr:row>
      <xdr:rowOff>158129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8C698DB-1C2E-4926-A02B-BCB6654261D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9524</xdr:colOff>
      <xdr:row>0</xdr:row>
      <xdr:rowOff>133333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D8988A3-21E3-4DA2-9A8F-51BDEBF6C3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9524" cy="133333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57</xdr:row>
      <xdr:rowOff>59765</xdr:rowOff>
    </xdr:from>
    <xdr:to>
      <xdr:col>1</xdr:col>
      <xdr:colOff>205441</xdr:colOff>
      <xdr:row>59</xdr:row>
      <xdr:rowOff>104588</xdr:rowOff>
    </xdr:to>
    <xdr:sp macro="" textlink="">
      <xdr:nvSpPr>
        <xdr:cNvPr id="2" name="TextBox 14">
          <a:extLst>
            <a:ext uri="{FF2B5EF4-FFF2-40B4-BE49-F238E27FC236}">
              <a16:creationId xmlns:a16="http://schemas.microsoft.com/office/drawing/2014/main" id="{B33E0DDF-ECE2-4ADF-93A2-FF8F6AD9EEB5}"/>
            </a:ext>
          </a:extLst>
        </xdr:cNvPr>
        <xdr:cNvSpPr txBox="1"/>
      </xdr:nvSpPr>
      <xdr:spPr>
        <a:xfrm>
          <a:off x="0" y="10705353"/>
          <a:ext cx="825500" cy="41835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600" b="1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Tháng</a:t>
          </a:r>
        </a:p>
      </xdr:txBody>
    </xdr:sp>
    <xdr:clientData/>
  </xdr:twoCellAnchor>
  <xdr:twoCellAnchor editAs="oneCell">
    <xdr:from>
      <xdr:col>0</xdr:col>
      <xdr:colOff>44823</xdr:colOff>
      <xdr:row>0</xdr:row>
      <xdr:rowOff>52294</xdr:rowOff>
    </xdr:from>
    <xdr:to>
      <xdr:col>22</xdr:col>
      <xdr:colOff>138754</xdr:colOff>
      <xdr:row>29</xdr:row>
      <xdr:rowOff>135187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4C5A926-829D-6020-8466-C4FF62AB00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4823" y="52294"/>
          <a:ext cx="13570872" cy="5499069"/>
        </a:xfrm>
        <a:prstGeom prst="rect">
          <a:avLst/>
        </a:prstGeom>
      </xdr:spPr>
    </xdr:pic>
    <xdr:clientData/>
  </xdr:twoCellAnchor>
</xdr:wsDr>
</file>

<file path=xl/drawings/drawing18.xml><?xml version="1.0" encoding="utf-8"?>
<c:userShapes xmlns:c="http://schemas.openxmlformats.org/drawingml/2006/chart">
  <cdr:relSizeAnchor xmlns:cdr="http://schemas.openxmlformats.org/drawingml/2006/chartDrawing">
    <cdr:from>
      <cdr:x>0.0037</cdr:x>
      <cdr:y>0.00925</cdr:y>
    </cdr:from>
    <cdr:to>
      <cdr:x>0.13121</cdr:x>
      <cdr:y>0.08284</cdr:y>
    </cdr:to>
    <cdr:sp macro="" textlink="">
      <cdr:nvSpPr>
        <cdr:cNvPr id="2" name="TextBox 5">
          <a:extLst xmlns:a="http://schemas.openxmlformats.org/drawingml/2006/main">
            <a:ext uri="{FF2B5EF4-FFF2-40B4-BE49-F238E27FC236}">
              <a16:creationId xmlns:a16="http://schemas.microsoft.com/office/drawing/2014/main" id="{A5435E4B-B66F-CE51-BED8-6F916E1B8786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1750006" cy="403974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solidFill>
            <a:schemeClr val="accent1"/>
          </a:solidFill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600" b="1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Báo</a:t>
          </a:r>
          <a:r>
            <a:rPr lang="en-US" sz="1600" b="1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cáo </a:t>
          </a:r>
          <a:r>
            <a:rPr lang="en-US" sz="1600" b="1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Tháng</a:t>
          </a:r>
        </a:p>
      </cdr:txBody>
    </cdr:sp>
  </cdr:relSizeAnchor>
</c:userShapes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58270</xdr:colOff>
      <xdr:row>39</xdr:row>
      <xdr:rowOff>62144</xdr:rowOff>
    </xdr:from>
    <xdr:to>
      <xdr:col>23</xdr:col>
      <xdr:colOff>81279</xdr:colOff>
      <xdr:row>69</xdr:row>
      <xdr:rowOff>45720</xdr:rowOff>
    </xdr:to>
    <xdr:graphicFrame macro="">
      <xdr:nvGraphicFramePr>
        <xdr:cNvPr id="4" name="Chart 4">
          <a:extLst>
            <a:ext uri="{FF2B5EF4-FFF2-40B4-BE49-F238E27FC236}">
              <a16:creationId xmlns:a16="http://schemas.microsoft.com/office/drawing/2014/main" id="{F102FEF2-1EDE-4341-92B3-CF504E0FAC1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9524</xdr:colOff>
      <xdr:row>0</xdr:row>
      <xdr:rowOff>133333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0F445C0-A81B-9086-C4D5-8695665373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9524" cy="133333"/>
        </a:xfrm>
        <a:prstGeom prst="rect">
          <a:avLst/>
        </a:prstGeom>
      </xdr:spPr>
    </xdr:pic>
    <xdr:clientData/>
  </xdr:twoCellAnchor>
  <xdr:twoCellAnchor>
    <xdr:from>
      <xdr:col>0</xdr:col>
      <xdr:colOff>114300</xdr:colOff>
      <xdr:row>66</xdr:row>
      <xdr:rowOff>133350</xdr:rowOff>
    </xdr:from>
    <xdr:to>
      <xdr:col>1</xdr:col>
      <xdr:colOff>101600</xdr:colOff>
      <xdr:row>68</xdr:row>
      <xdr:rowOff>120650</xdr:rowOff>
    </xdr:to>
    <xdr:sp macro="" textlink="">
      <xdr:nvSpPr>
        <xdr:cNvPr id="3" name="TextBox 5">
          <a:extLst>
            <a:ext uri="{FF2B5EF4-FFF2-40B4-BE49-F238E27FC236}">
              <a16:creationId xmlns:a16="http://schemas.microsoft.com/office/drawing/2014/main" id="{18076F62-E9E0-4BDA-94A8-6F327147C465}"/>
            </a:ext>
          </a:extLst>
        </xdr:cNvPr>
        <xdr:cNvSpPr txBox="1"/>
      </xdr:nvSpPr>
      <xdr:spPr>
        <a:xfrm>
          <a:off x="114300" y="12287250"/>
          <a:ext cx="609600" cy="3556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400" b="1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Tuần</a:t>
          </a:r>
        </a:p>
      </xdr:txBody>
    </xdr:sp>
    <xdr:clientData/>
  </xdr:twoCellAnchor>
  <xdr:twoCellAnchor editAs="oneCell">
    <xdr:from>
      <xdr:col>0</xdr:col>
      <xdr:colOff>47625</xdr:colOff>
      <xdr:row>0</xdr:row>
      <xdr:rowOff>47625</xdr:rowOff>
    </xdr:from>
    <xdr:to>
      <xdr:col>23</xdr:col>
      <xdr:colOff>79723</xdr:colOff>
      <xdr:row>30</xdr:row>
      <xdr:rowOff>45432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BCF4781A-2620-7BC6-322E-E9897BE219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7625" y="47625"/>
          <a:ext cx="14271973" cy="5474682"/>
        </a:xfrm>
        <a:prstGeom prst="rect">
          <a:avLst/>
        </a:prstGeom>
      </xdr:spPr>
    </xdr:pic>
    <xdr:clientData/>
  </xdr:twoCellAnchor>
</xdr:wsDr>
</file>

<file path=xl/drawings/drawing20.xml><?xml version="1.0" encoding="utf-8"?>
<c:userShapes xmlns:c="http://schemas.openxmlformats.org/drawingml/2006/chart">
  <cdr:relSizeAnchor xmlns:cdr="http://schemas.openxmlformats.org/drawingml/2006/chartDrawing">
    <cdr:from>
      <cdr:x>0.00354</cdr:x>
      <cdr:y>0.00922</cdr:y>
    </cdr:from>
    <cdr:to>
      <cdr:x>0.10623</cdr:x>
      <cdr:y>0.06782</cdr:y>
    </cdr:to>
    <cdr:sp macro="" textlink="">
      <cdr:nvSpPr>
        <cdr:cNvPr id="2" name="TextBox 5">
          <a:extLst xmlns:a="http://schemas.openxmlformats.org/drawingml/2006/main">
            <a:ext uri="{FF2B5EF4-FFF2-40B4-BE49-F238E27FC236}">
              <a16:creationId xmlns:a16="http://schemas.microsoft.com/office/drawing/2014/main" id="{D4537744-D029-8E0C-A1CA-88B9CADAE2E5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1472171" cy="322745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solidFill>
            <a:schemeClr val="accent1"/>
          </a:solidFill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600" b="1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Báo</a:t>
          </a:r>
          <a:r>
            <a:rPr lang="en-US" sz="1600" b="1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cáo </a:t>
          </a:r>
          <a:r>
            <a:rPr lang="en-US" sz="1600" b="1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Tuần</a:t>
          </a:r>
        </a:p>
      </cdr:txBody>
    </cdr:sp>
  </cdr:relSizeAnchor>
</c:userShapes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39220</xdr:colOff>
      <xdr:row>39</xdr:row>
      <xdr:rowOff>62144</xdr:rowOff>
    </xdr:from>
    <xdr:to>
      <xdr:col>23</xdr:col>
      <xdr:colOff>62229</xdr:colOff>
      <xdr:row>69</xdr:row>
      <xdr:rowOff>45720</xdr:rowOff>
    </xdr:to>
    <xdr:graphicFrame macro="">
      <xdr:nvGraphicFramePr>
        <xdr:cNvPr id="2" name="Chart 4">
          <a:extLst>
            <a:ext uri="{FF2B5EF4-FFF2-40B4-BE49-F238E27FC236}">
              <a16:creationId xmlns:a16="http://schemas.microsoft.com/office/drawing/2014/main" id="{D3D15445-7E55-4ABA-BB02-DC004F4CAD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96763</xdr:colOff>
      <xdr:row>66</xdr:row>
      <xdr:rowOff>133350</xdr:rowOff>
    </xdr:from>
    <xdr:to>
      <xdr:col>1</xdr:col>
      <xdr:colOff>163285</xdr:colOff>
      <xdr:row>68</xdr:row>
      <xdr:rowOff>163286</xdr:rowOff>
    </xdr:to>
    <xdr:sp macro="" textlink="">
      <xdr:nvSpPr>
        <xdr:cNvPr id="4" name="TextBox 5">
          <a:extLst>
            <a:ext uri="{FF2B5EF4-FFF2-40B4-BE49-F238E27FC236}">
              <a16:creationId xmlns:a16="http://schemas.microsoft.com/office/drawing/2014/main" id="{F8C9E9EE-A30B-4FC6-ACC8-DDE3B5691798}"/>
            </a:ext>
          </a:extLst>
        </xdr:cNvPr>
        <xdr:cNvSpPr txBox="1"/>
      </xdr:nvSpPr>
      <xdr:spPr>
        <a:xfrm>
          <a:off x="96763" y="12287250"/>
          <a:ext cx="688822" cy="39823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400" b="1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Tháng</a:t>
          </a:r>
        </a:p>
      </xdr:txBody>
    </xdr:sp>
    <xdr:clientData/>
  </xdr:twoCellAnchor>
  <xdr:twoCellAnchor editAs="oneCell">
    <xdr:from>
      <xdr:col>0</xdr:col>
      <xdr:colOff>47625</xdr:colOff>
      <xdr:row>0</xdr:row>
      <xdr:rowOff>71438</xdr:rowOff>
    </xdr:from>
    <xdr:to>
      <xdr:col>23</xdr:col>
      <xdr:colOff>85819</xdr:colOff>
      <xdr:row>30</xdr:row>
      <xdr:rowOff>69245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5793352-12AC-07DB-443C-FC1A3076D1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7625" y="71438"/>
          <a:ext cx="14278069" cy="5474682"/>
        </a:xfrm>
        <a:prstGeom prst="rect">
          <a:avLst/>
        </a:prstGeom>
      </xdr:spPr>
    </xdr:pic>
    <xdr:clientData/>
  </xdr:twoCellAnchor>
</xdr:wsDr>
</file>

<file path=xl/drawings/drawing22.xml><?xml version="1.0" encoding="utf-8"?>
<c:userShapes xmlns:c="http://schemas.openxmlformats.org/drawingml/2006/chart">
  <cdr:relSizeAnchor xmlns:cdr="http://schemas.openxmlformats.org/drawingml/2006/chartDrawing">
    <cdr:from>
      <cdr:x>0.00354</cdr:x>
      <cdr:y>0.00922</cdr:y>
    </cdr:from>
    <cdr:to>
      <cdr:x>0.11466</cdr:x>
      <cdr:y>0.06782</cdr:y>
    </cdr:to>
    <cdr:sp macro="" textlink="">
      <cdr:nvSpPr>
        <cdr:cNvPr id="2" name="TextBox 5">
          <a:extLst xmlns:a="http://schemas.openxmlformats.org/drawingml/2006/main">
            <a:ext uri="{FF2B5EF4-FFF2-40B4-BE49-F238E27FC236}">
              <a16:creationId xmlns:a16="http://schemas.microsoft.com/office/drawing/2014/main" id="{D4537744-D029-8E0C-A1CA-88B9CADAE2E5}"/>
            </a:ext>
          </a:extLst>
        </cdr:cNvPr>
        <cdr:cNvSpPr txBox="1"/>
      </cdr:nvSpPr>
      <cdr:spPr>
        <a:xfrm xmlns:a="http://schemas.openxmlformats.org/drawingml/2006/main">
          <a:off x="50634" y="50589"/>
          <a:ext cx="1589368" cy="321533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solidFill>
            <a:schemeClr val="accent1"/>
          </a:solidFill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600" b="1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Báo</a:t>
          </a:r>
          <a:r>
            <a:rPr lang="en-US" sz="1600" b="1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cáo </a:t>
          </a:r>
          <a:r>
            <a:rPr lang="en-US" sz="1600" b="1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Tháng</a:t>
          </a:r>
        </a:p>
      </cdr:txBody>
    </cdr:sp>
  </cdr:relSizeAnchor>
</c:userShapes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39220</xdr:colOff>
      <xdr:row>39</xdr:row>
      <xdr:rowOff>62144</xdr:rowOff>
    </xdr:from>
    <xdr:to>
      <xdr:col>23</xdr:col>
      <xdr:colOff>62229</xdr:colOff>
      <xdr:row>69</xdr:row>
      <xdr:rowOff>45720</xdr:rowOff>
    </xdr:to>
    <xdr:graphicFrame macro="">
      <xdr:nvGraphicFramePr>
        <xdr:cNvPr id="10" name="Chart 4">
          <a:extLst>
            <a:ext uri="{FF2B5EF4-FFF2-40B4-BE49-F238E27FC236}">
              <a16:creationId xmlns:a16="http://schemas.microsoft.com/office/drawing/2014/main" id="{E2ABA9BD-FA2A-4882-ABF2-E55D11EE85C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9524</xdr:colOff>
      <xdr:row>0</xdr:row>
      <xdr:rowOff>133333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D80FEF9-358E-458F-91A1-D89A4BB65D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9524" cy="133333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66</xdr:row>
      <xdr:rowOff>133350</xdr:rowOff>
    </xdr:from>
    <xdr:to>
      <xdr:col>1</xdr:col>
      <xdr:colOff>163286</xdr:colOff>
      <xdr:row>68</xdr:row>
      <xdr:rowOff>163286</xdr:rowOff>
    </xdr:to>
    <xdr:sp macro="" textlink="">
      <xdr:nvSpPr>
        <xdr:cNvPr id="2" name="TextBox 5">
          <a:extLst>
            <a:ext uri="{FF2B5EF4-FFF2-40B4-BE49-F238E27FC236}">
              <a16:creationId xmlns:a16="http://schemas.microsoft.com/office/drawing/2014/main" id="{62336F63-8D6E-402E-B47C-B3E6C8731AC3}"/>
            </a:ext>
          </a:extLst>
        </xdr:cNvPr>
        <xdr:cNvSpPr txBox="1"/>
      </xdr:nvSpPr>
      <xdr:spPr>
        <a:xfrm>
          <a:off x="0" y="12107636"/>
          <a:ext cx="789215" cy="39279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400" b="1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Tuần</a:t>
          </a:r>
        </a:p>
      </xdr:txBody>
    </xdr:sp>
    <xdr:clientData/>
  </xdr:twoCellAnchor>
  <xdr:twoCellAnchor editAs="oneCell">
    <xdr:from>
      <xdr:col>0</xdr:col>
      <xdr:colOff>72572</xdr:colOff>
      <xdr:row>0</xdr:row>
      <xdr:rowOff>99785</xdr:rowOff>
    </xdr:from>
    <xdr:to>
      <xdr:col>23</xdr:col>
      <xdr:colOff>114155</xdr:colOff>
      <xdr:row>30</xdr:row>
      <xdr:rowOff>95031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9BDDA02-EC96-980B-FCCC-EC1D93A46B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2572" y="99785"/>
          <a:ext cx="14229297" cy="5438103"/>
        </a:xfrm>
        <a:prstGeom prst="rect">
          <a:avLst/>
        </a:prstGeom>
      </xdr:spPr>
    </xdr:pic>
    <xdr:clientData/>
  </xdr:twoCellAnchor>
</xdr:wsDr>
</file>

<file path=xl/drawings/drawing24.xml><?xml version="1.0" encoding="utf-8"?>
<c:userShapes xmlns:c="http://schemas.openxmlformats.org/drawingml/2006/chart">
  <cdr:relSizeAnchor xmlns:cdr="http://schemas.openxmlformats.org/drawingml/2006/chartDrawing">
    <cdr:from>
      <cdr:x>0.00354</cdr:x>
      <cdr:y>0.00922</cdr:y>
    </cdr:from>
    <cdr:to>
      <cdr:x>0.10623</cdr:x>
      <cdr:y>0.06782</cdr:y>
    </cdr:to>
    <cdr:sp macro="" textlink="">
      <cdr:nvSpPr>
        <cdr:cNvPr id="2" name="TextBox 5">
          <a:extLst xmlns:a="http://schemas.openxmlformats.org/drawingml/2006/main">
            <a:ext uri="{FF2B5EF4-FFF2-40B4-BE49-F238E27FC236}">
              <a16:creationId xmlns:a16="http://schemas.microsoft.com/office/drawing/2014/main" id="{D4537744-D029-8E0C-A1CA-88B9CADAE2E5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1472171" cy="322745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solidFill>
            <a:schemeClr val="accent1"/>
          </a:solidFill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600" b="1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Báo</a:t>
          </a:r>
          <a:r>
            <a:rPr lang="en-US" sz="1600" b="1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cáo </a:t>
          </a:r>
          <a:r>
            <a:rPr lang="en-US" sz="1600" b="1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Tuần</a:t>
          </a:r>
        </a:p>
      </cdr:txBody>
    </cdr:sp>
  </cdr:relSizeAnchor>
</c:userShapes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20170</xdr:colOff>
      <xdr:row>39</xdr:row>
      <xdr:rowOff>62144</xdr:rowOff>
    </xdr:from>
    <xdr:to>
      <xdr:col>23</xdr:col>
      <xdr:colOff>43179</xdr:colOff>
      <xdr:row>69</xdr:row>
      <xdr:rowOff>45720</xdr:rowOff>
    </xdr:to>
    <xdr:graphicFrame macro="">
      <xdr:nvGraphicFramePr>
        <xdr:cNvPr id="2" name="Chart 4">
          <a:extLst>
            <a:ext uri="{FF2B5EF4-FFF2-40B4-BE49-F238E27FC236}">
              <a16:creationId xmlns:a16="http://schemas.microsoft.com/office/drawing/2014/main" id="{54EFD6D8-099D-4448-BF63-82A9D895D7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9524</xdr:colOff>
      <xdr:row>0</xdr:row>
      <xdr:rowOff>133333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6A98222-458F-464E-997B-E27031AFBC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9524" cy="133333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67</xdr:row>
      <xdr:rowOff>0</xdr:rowOff>
    </xdr:from>
    <xdr:to>
      <xdr:col>1</xdr:col>
      <xdr:colOff>150815</xdr:colOff>
      <xdr:row>68</xdr:row>
      <xdr:rowOff>142875</xdr:rowOff>
    </xdr:to>
    <xdr:sp macro="" textlink="">
      <xdr:nvSpPr>
        <xdr:cNvPr id="4" name="TextBox 5">
          <a:extLst>
            <a:ext uri="{FF2B5EF4-FFF2-40B4-BE49-F238E27FC236}">
              <a16:creationId xmlns:a16="http://schemas.microsoft.com/office/drawing/2014/main" id="{885B55A3-DFAC-4BA9-939E-8E2E63B9FA6A}"/>
            </a:ext>
          </a:extLst>
        </xdr:cNvPr>
        <xdr:cNvSpPr txBox="1"/>
      </xdr:nvSpPr>
      <xdr:spPr>
        <a:xfrm>
          <a:off x="0" y="12231688"/>
          <a:ext cx="769940" cy="32543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400" b="1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Tháng</a:t>
          </a:r>
        </a:p>
      </xdr:txBody>
    </xdr:sp>
    <xdr:clientData/>
  </xdr:twoCellAnchor>
  <xdr:twoCellAnchor editAs="oneCell">
    <xdr:from>
      <xdr:col>0</xdr:col>
      <xdr:colOff>39688</xdr:colOff>
      <xdr:row>0</xdr:row>
      <xdr:rowOff>39687</xdr:rowOff>
    </xdr:from>
    <xdr:to>
      <xdr:col>23</xdr:col>
      <xdr:colOff>77882</xdr:colOff>
      <xdr:row>30</xdr:row>
      <xdr:rowOff>37494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AC541830-42F4-BB0E-F41A-089FA66F81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9688" y="39687"/>
          <a:ext cx="14278069" cy="5474682"/>
        </a:xfrm>
        <a:prstGeom prst="rect">
          <a:avLst/>
        </a:prstGeom>
      </xdr:spPr>
    </xdr:pic>
    <xdr:clientData/>
  </xdr:twoCellAnchor>
</xdr:wsDr>
</file>

<file path=xl/drawings/drawing26.xml><?xml version="1.0" encoding="utf-8"?>
<c:userShapes xmlns:c="http://schemas.openxmlformats.org/drawingml/2006/chart">
  <cdr:relSizeAnchor xmlns:cdr="http://schemas.openxmlformats.org/drawingml/2006/chartDrawing">
    <cdr:from>
      <cdr:x>0.00354</cdr:x>
      <cdr:y>0.00922</cdr:y>
    </cdr:from>
    <cdr:to>
      <cdr:x>0.11021</cdr:x>
      <cdr:y>0.06782</cdr:y>
    </cdr:to>
    <cdr:sp macro="" textlink="">
      <cdr:nvSpPr>
        <cdr:cNvPr id="2" name="TextBox 5">
          <a:extLst xmlns:a="http://schemas.openxmlformats.org/drawingml/2006/main">
            <a:ext uri="{FF2B5EF4-FFF2-40B4-BE49-F238E27FC236}">
              <a16:creationId xmlns:a16="http://schemas.microsoft.com/office/drawing/2014/main" id="{D4537744-D029-8E0C-A1CA-88B9CADAE2E5}"/>
            </a:ext>
          </a:extLst>
        </cdr:cNvPr>
        <cdr:cNvSpPr txBox="1"/>
      </cdr:nvSpPr>
      <cdr:spPr>
        <a:xfrm xmlns:a="http://schemas.openxmlformats.org/drawingml/2006/main">
          <a:off x="50749" y="50784"/>
          <a:ext cx="1529281" cy="322774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solidFill>
            <a:schemeClr val="accent1"/>
          </a:solidFill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600" b="1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Báo</a:t>
          </a:r>
          <a:r>
            <a:rPr lang="en-US" sz="1600" b="1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cáo </a:t>
          </a:r>
          <a:r>
            <a:rPr lang="en-US" sz="1600" b="1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Tháng</a:t>
          </a:r>
        </a:p>
      </cdr:txBody>
    </cdr:sp>
  </cdr:relSizeAnchor>
</c:userShapes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20170</xdr:colOff>
      <xdr:row>39</xdr:row>
      <xdr:rowOff>62144</xdr:rowOff>
    </xdr:from>
    <xdr:to>
      <xdr:col>23</xdr:col>
      <xdr:colOff>43179</xdr:colOff>
      <xdr:row>69</xdr:row>
      <xdr:rowOff>45720</xdr:rowOff>
    </xdr:to>
    <xdr:graphicFrame macro="">
      <xdr:nvGraphicFramePr>
        <xdr:cNvPr id="2" name="Chart 4">
          <a:extLst>
            <a:ext uri="{FF2B5EF4-FFF2-40B4-BE49-F238E27FC236}">
              <a16:creationId xmlns:a16="http://schemas.microsoft.com/office/drawing/2014/main" id="{94B33053-99F9-4B92-8D69-6C296F0A557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9524</xdr:colOff>
      <xdr:row>0</xdr:row>
      <xdr:rowOff>133333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3540806-80EF-4355-9B75-0CE1D42A5B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9524" cy="133333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67</xdr:row>
      <xdr:rowOff>1</xdr:rowOff>
    </xdr:from>
    <xdr:to>
      <xdr:col>1</xdr:col>
      <xdr:colOff>95251</xdr:colOff>
      <xdr:row>68</xdr:row>
      <xdr:rowOff>63500</xdr:rowOff>
    </xdr:to>
    <xdr:sp macro="" textlink="">
      <xdr:nvSpPr>
        <xdr:cNvPr id="4" name="TextBox 5">
          <a:extLst>
            <a:ext uri="{FF2B5EF4-FFF2-40B4-BE49-F238E27FC236}">
              <a16:creationId xmlns:a16="http://schemas.microsoft.com/office/drawing/2014/main" id="{562E2A0B-DD71-4662-84E1-F9F59AD4D9D4}"/>
            </a:ext>
          </a:extLst>
        </xdr:cNvPr>
        <xdr:cNvSpPr txBox="1"/>
      </xdr:nvSpPr>
      <xdr:spPr>
        <a:xfrm>
          <a:off x="0" y="12231689"/>
          <a:ext cx="714376" cy="24606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400" b="1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Tuần</a:t>
          </a:r>
        </a:p>
      </xdr:txBody>
    </xdr:sp>
    <xdr:clientData/>
  </xdr:twoCellAnchor>
  <xdr:twoCellAnchor editAs="oneCell">
    <xdr:from>
      <xdr:col>0</xdr:col>
      <xdr:colOff>47625</xdr:colOff>
      <xdr:row>0</xdr:row>
      <xdr:rowOff>39688</xdr:rowOff>
    </xdr:from>
    <xdr:to>
      <xdr:col>23</xdr:col>
      <xdr:colOff>85819</xdr:colOff>
      <xdr:row>30</xdr:row>
      <xdr:rowOff>37495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6A99D8D-A6C0-B50D-5112-28129DD232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7625" y="39688"/>
          <a:ext cx="14278069" cy="5474682"/>
        </a:xfrm>
        <a:prstGeom prst="rect">
          <a:avLst/>
        </a:prstGeom>
      </xdr:spPr>
    </xdr:pic>
    <xdr:clientData/>
  </xdr:twoCellAnchor>
</xdr:wsDr>
</file>

<file path=xl/drawings/drawing28.xml><?xml version="1.0" encoding="utf-8"?>
<c:userShapes xmlns:c="http://schemas.openxmlformats.org/drawingml/2006/chart">
  <cdr:relSizeAnchor xmlns:cdr="http://schemas.openxmlformats.org/drawingml/2006/chartDrawing">
    <cdr:from>
      <cdr:x>0.00354</cdr:x>
      <cdr:y>0.00922</cdr:y>
    </cdr:from>
    <cdr:to>
      <cdr:x>0.10623</cdr:x>
      <cdr:y>0.06782</cdr:y>
    </cdr:to>
    <cdr:sp macro="" textlink="">
      <cdr:nvSpPr>
        <cdr:cNvPr id="2" name="TextBox 5">
          <a:extLst xmlns:a="http://schemas.openxmlformats.org/drawingml/2006/main">
            <a:ext uri="{FF2B5EF4-FFF2-40B4-BE49-F238E27FC236}">
              <a16:creationId xmlns:a16="http://schemas.microsoft.com/office/drawing/2014/main" id="{D4537744-D029-8E0C-A1CA-88B9CADAE2E5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1472171" cy="322745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solidFill>
            <a:schemeClr val="accent1"/>
          </a:solidFill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600" b="1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Báo</a:t>
          </a:r>
          <a:r>
            <a:rPr lang="en-US" sz="1600" b="1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cáo </a:t>
          </a:r>
          <a:r>
            <a:rPr lang="en-US" sz="1600" b="1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Tuần</a:t>
          </a:r>
        </a:p>
      </cdr:txBody>
    </cdr:sp>
  </cdr:relSizeAnchor>
</c:userShapes>
</file>

<file path=xl/persons/person.xml><?xml version="1.0" encoding="utf-8"?>
<personList xmlns="http://schemas.microsoft.com/office/spreadsheetml/2018/threadedcomments" xmlns:x="http://schemas.openxmlformats.org/spreadsheetml/2006/main">
  <person displayName="Diễm, Nguyễn Thị Thanh" id="{E5586E81-B30F-48FD-B7B4-633A69150A0A}" userId="S::NguyenThiThanhDiem@duytanrecycling.com::a4911443-60e5-4065-81ee-41794ea83c81" providerId="AD"/>
</personList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O6" dT="2024-01-29T04:06:31.07" personId="{E5586E81-B30F-48FD-B7B4-633A69150A0A}" id="{E38F3020-B9E2-458C-8362-614AD84E00F2}">
    <text>Giá WSS01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6.bin"/><Relationship Id="rId4" Type="http://schemas.microsoft.com/office/2017/10/relationships/threadedComment" Target="../threadedComments/threadedComment1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11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D2F74-0272-4396-8CD6-FCFA23428F0D}">
  <sheetPr>
    <tabColor rgb="FFFFC000"/>
    <pageSetUpPr fitToPage="1"/>
  </sheetPr>
  <dimension ref="I10:W85"/>
  <sheetViews>
    <sheetView showGridLines="0" topLeftCell="A7" zoomScale="85" zoomScaleNormal="85" workbookViewId="0">
      <selection activeCell="B34" sqref="B34"/>
    </sheetView>
  </sheetViews>
  <sheetFormatPr defaultColWidth="8.81640625" defaultRowHeight="14.5"/>
  <cols>
    <col min="1" max="1" width="3.453125" bestFit="1" customWidth="1"/>
    <col min="2" max="2" width="50.81640625" customWidth="1"/>
    <col min="4" max="4" width="15.1796875" customWidth="1"/>
    <col min="5" max="5" width="12.1796875" bestFit="1" customWidth="1"/>
    <col min="6" max="6" width="14.1796875" bestFit="1" customWidth="1"/>
    <col min="7" max="7" width="17.81640625" customWidth="1"/>
    <col min="12" max="12" width="12.1796875" customWidth="1"/>
    <col min="14" max="14" width="9" customWidth="1"/>
    <col min="15" max="15" width="13.453125" customWidth="1"/>
    <col min="16" max="16" width="13.81640625" customWidth="1"/>
    <col min="19" max="19" width="10.1796875" bestFit="1" customWidth="1"/>
    <col min="20" max="20" width="13.54296875" customWidth="1"/>
    <col min="22" max="22" width="9.54296875" bestFit="1" customWidth="1"/>
    <col min="23" max="23" width="13.1796875" bestFit="1" customWidth="1"/>
    <col min="26" max="26" width="8.81640625" customWidth="1"/>
  </cols>
  <sheetData>
    <row r="10" spans="19:23">
      <c r="S10" s="98"/>
      <c r="T10" s="98"/>
      <c r="U10" s="179"/>
      <c r="V10" s="98"/>
    </row>
    <row r="11" spans="19:23">
      <c r="S11" s="180"/>
      <c r="T11" s="180"/>
      <c r="U11" s="179"/>
      <c r="V11" s="98"/>
      <c r="W11" s="180"/>
    </row>
    <row r="15" spans="19:23">
      <c r="W15" s="98"/>
    </row>
    <row r="53" spans="15:22" ht="14.9" customHeight="1">
      <c r="O53" s="182"/>
    </row>
    <row r="54" spans="15:22" ht="14.9" customHeight="1">
      <c r="O54" s="182"/>
      <c r="P54" s="85"/>
    </row>
    <row r="55" spans="15:22" ht="14.9" customHeight="1">
      <c r="O55" s="182"/>
    </row>
    <row r="56" spans="15:22" ht="14.9" customHeight="1">
      <c r="O56" s="182"/>
    </row>
    <row r="57" spans="15:22" ht="14.9" customHeight="1">
      <c r="V57" s="182"/>
    </row>
    <row r="58" spans="15:22">
      <c r="V58" s="182"/>
    </row>
    <row r="59" spans="15:22" ht="14.9" customHeight="1">
      <c r="V59" s="182"/>
    </row>
    <row r="61" spans="15:22">
      <c r="V61" s="182"/>
    </row>
    <row r="62" spans="15:22" ht="14.9" customHeight="1">
      <c r="P62" s="76"/>
      <c r="V62" s="182"/>
    </row>
    <row r="63" spans="15:22" ht="14.9" customHeight="1">
      <c r="P63" s="76"/>
      <c r="V63" s="182"/>
    </row>
    <row r="64" spans="15:22" ht="14.9" customHeight="1">
      <c r="T64" s="87"/>
    </row>
    <row r="67" spans="9:9" ht="15">
      <c r="I67" s="62"/>
    </row>
    <row r="72" spans="9:9" ht="15">
      <c r="I72" s="62"/>
    </row>
    <row r="82" spans="16:16" ht="15">
      <c r="P82" s="62"/>
    </row>
    <row r="83" spans="16:16" ht="15">
      <c r="P83" s="62"/>
    </row>
    <row r="84" spans="16:16" ht="15">
      <c r="P84" s="62"/>
    </row>
    <row r="85" spans="16:16" ht="15.5">
      <c r="P85" s="64"/>
    </row>
  </sheetData>
  <mergeCells count="3">
    <mergeCell ref="O53:O56"/>
    <mergeCell ref="V57:V59"/>
    <mergeCell ref="V61:V63"/>
  </mergeCells>
  <printOptions horizontalCentered="1"/>
  <pageMargins left="0.2" right="0.2" top="0.75" bottom="0.75" header="0.3" footer="0.3"/>
  <pageSetup paperSize="9" scale="56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0B30E-A266-4B3B-9CF9-57E76DD90B97}">
  <sheetPr>
    <tabColor theme="7"/>
  </sheetPr>
  <dimension ref="E48:T79"/>
  <sheetViews>
    <sheetView showGridLines="0" topLeftCell="A10" zoomScale="80" zoomScaleNormal="80" workbookViewId="0">
      <selection activeCell="C32" sqref="C32"/>
    </sheetView>
  </sheetViews>
  <sheetFormatPr defaultColWidth="8.81640625" defaultRowHeight="14.5"/>
  <cols>
    <col min="1" max="1" width="3.453125" bestFit="1" customWidth="1"/>
    <col min="2" max="2" width="50.81640625" customWidth="1"/>
    <col min="4" max="4" width="15.1796875" customWidth="1"/>
    <col min="5" max="5" width="12.1796875" bestFit="1" customWidth="1"/>
    <col min="6" max="6" width="14.1796875" bestFit="1" customWidth="1"/>
    <col min="7" max="7" width="17.81640625" customWidth="1"/>
    <col min="12" max="12" width="12.1796875" customWidth="1"/>
    <col min="14" max="14" width="9" customWidth="1"/>
    <col min="15" max="15" width="13.453125" customWidth="1"/>
    <col min="17" max="17" width="16.81640625" customWidth="1"/>
    <col min="18" max="18" width="13.54296875" customWidth="1"/>
  </cols>
  <sheetData>
    <row r="48" spans="17:17">
      <c r="Q48" s="184"/>
    </row>
    <row r="49" spans="15:20">
      <c r="Q49" s="184"/>
    </row>
    <row r="50" spans="15:20" ht="21" customHeight="1">
      <c r="Q50" s="184"/>
    </row>
    <row r="51" spans="15:20" ht="14.9" customHeight="1">
      <c r="O51" s="182"/>
      <c r="Q51" s="184"/>
    </row>
    <row r="52" spans="15:20" ht="14.9" customHeight="1">
      <c r="O52" s="182"/>
      <c r="Q52" s="184"/>
    </row>
    <row r="53" spans="15:20" ht="14.9" customHeight="1">
      <c r="O53" s="182"/>
      <c r="Q53" s="175"/>
    </row>
    <row r="54" spans="15:20" ht="14.9" customHeight="1">
      <c r="O54" s="182"/>
      <c r="Q54" s="88"/>
    </row>
    <row r="55" spans="15:20" ht="14.9" customHeight="1">
      <c r="Q55" s="185"/>
      <c r="T55" s="182"/>
    </row>
    <row r="56" spans="15:20" ht="14.9" customHeight="1">
      <c r="Q56" s="185"/>
      <c r="T56" s="182"/>
    </row>
    <row r="57" spans="15:20" ht="14.9" customHeight="1">
      <c r="T57" s="182"/>
    </row>
    <row r="59" spans="15:20" ht="14.9" customHeight="1">
      <c r="T59" s="182"/>
    </row>
    <row r="60" spans="15:20" ht="24" customHeight="1">
      <c r="T60" s="182"/>
    </row>
    <row r="61" spans="15:20" ht="14.9" customHeight="1">
      <c r="T61" s="182"/>
    </row>
    <row r="62" spans="15:20" ht="14.9" customHeight="1">
      <c r="R62" s="87"/>
    </row>
    <row r="63" spans="15:20" ht="18" customHeight="1"/>
    <row r="64" spans="15:20" ht="18" customHeight="1"/>
    <row r="65" spans="5:17" ht="18" customHeight="1">
      <c r="I65" s="62"/>
    </row>
    <row r="66" spans="5:17" ht="14.9" customHeight="1">
      <c r="Q66" s="76"/>
    </row>
    <row r="67" spans="5:17" ht="14.9" customHeight="1"/>
    <row r="70" spans="5:17" ht="15">
      <c r="I70" s="62"/>
    </row>
    <row r="71" spans="5:17">
      <c r="E71" s="98"/>
      <c r="G71" s="113"/>
    </row>
    <row r="72" spans="5:17">
      <c r="F72" s="76"/>
    </row>
    <row r="79" spans="5:17">
      <c r="M79" s="183"/>
      <c r="N79" s="183"/>
    </row>
  </sheetData>
  <mergeCells count="6">
    <mergeCell ref="M79:N79"/>
    <mergeCell ref="O51:O54"/>
    <mergeCell ref="T55:T57"/>
    <mergeCell ref="Q48:Q52"/>
    <mergeCell ref="T59:T61"/>
    <mergeCell ref="Q55:Q56"/>
  </mergeCells>
  <printOptions horizontalCentered="1"/>
  <pageMargins left="0.196850393700787" right="0.196850393700787" top="0" bottom="0" header="0.31496062992126" footer="0.31496062992126"/>
  <pageSetup paperSize="9" scale="8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A09608-68F9-4B19-A020-883A0124F48F}">
  <dimension ref="A1:KA46"/>
  <sheetViews>
    <sheetView showGridLines="0" topLeftCell="D3" zoomScale="90" zoomScaleNormal="90" workbookViewId="0">
      <pane xSplit="3" ySplit="3" topLeftCell="H6" activePane="bottomRight" state="frozen"/>
      <selection activeCell="I33" sqref="I33"/>
      <selection pane="topRight" activeCell="I33" sqref="I33"/>
      <selection pane="bottomLeft" activeCell="I33" sqref="I33"/>
      <selection pane="bottomRight" activeCell="JX30" sqref="JX30"/>
    </sheetView>
  </sheetViews>
  <sheetFormatPr defaultColWidth="9.1796875" defaultRowHeight="13"/>
  <cols>
    <col min="1" max="1" width="6.1796875" style="1" hidden="1" customWidth="1"/>
    <col min="2" max="2" width="10.1796875" style="1" hidden="1" customWidth="1"/>
    <col min="3" max="3" width="8.81640625" style="1" hidden="1" customWidth="1"/>
    <col min="4" max="4" width="11.453125" style="1" customWidth="1"/>
    <col min="5" max="5" width="33.1796875" style="1" hidden="1" customWidth="1"/>
    <col min="6" max="6" width="42.81640625" style="1" hidden="1" customWidth="1"/>
    <col min="7" max="7" width="10.54296875" style="1" hidden="1" customWidth="1"/>
    <col min="8" max="8" width="28.1796875" style="1" bestFit="1" customWidth="1"/>
    <col min="9" max="19" width="8.1796875" style="1" hidden="1" customWidth="1"/>
    <col min="20" max="20" width="9.81640625" style="1" hidden="1" customWidth="1"/>
    <col min="21" max="21" width="8.1796875" style="1" hidden="1" customWidth="1"/>
    <col min="22" max="22" width="9.1796875" style="1" hidden="1" customWidth="1"/>
    <col min="23" max="23" width="8.1796875" style="1" hidden="1" customWidth="1"/>
    <col min="24" max="28" width="8.453125" style="1" hidden="1" customWidth="1"/>
    <col min="29" max="29" width="12" style="1" hidden="1" customWidth="1"/>
    <col min="30" max="31" width="8.453125" style="1" hidden="1" customWidth="1"/>
    <col min="32" max="49" width="9" style="1" hidden="1" customWidth="1"/>
    <col min="50" max="50" width="9" style="1" customWidth="1"/>
    <col min="51" max="74" width="8.453125" style="1" customWidth="1"/>
    <col min="75" max="76" width="9.1796875" style="1"/>
    <col min="77" max="77" width="0" style="1" hidden="1" customWidth="1"/>
    <col min="78" max="78" width="26.1796875" style="1" customWidth="1"/>
    <col min="79" max="101" width="8.1796875" style="1" hidden="1" customWidth="1"/>
    <col min="102" max="130" width="9.1796875" style="1" hidden="1" customWidth="1"/>
    <col min="131" max="131" width="10.81640625" style="1" hidden="1" customWidth="1"/>
    <col min="132" max="132" width="10.1796875" style="1" hidden="1" customWidth="1"/>
    <col min="133" max="133" width="9.81640625" style="1" hidden="1" customWidth="1"/>
    <col min="134" max="186" width="0" style="1" hidden="1" customWidth="1"/>
    <col min="187" max="231" width="7.1796875" style="1" hidden="1" customWidth="1"/>
    <col min="232" max="287" width="7.81640625" style="1" customWidth="1"/>
    <col min="288" max="16384" width="9.1796875" style="1"/>
  </cols>
  <sheetData>
    <row r="1" spans="1:287" hidden="1"/>
    <row r="2" spans="1:287" hidden="1"/>
    <row r="3" spans="1:287" ht="19.399999999999999" customHeight="1">
      <c r="D3" s="15" t="s">
        <v>58</v>
      </c>
      <c r="F3" s="15"/>
      <c r="H3" s="15"/>
      <c r="AL3" s="170">
        <v>2023</v>
      </c>
      <c r="AX3" s="170">
        <v>2024</v>
      </c>
      <c r="BJ3" s="170">
        <v>2025</v>
      </c>
      <c r="BK3" s="32"/>
      <c r="BL3" s="32"/>
      <c r="BM3" s="32"/>
      <c r="BN3" s="32"/>
      <c r="BO3" s="32"/>
      <c r="BP3" s="32"/>
      <c r="BQ3" s="32"/>
      <c r="BR3" s="32"/>
      <c r="BS3" s="32"/>
      <c r="BT3" s="32"/>
      <c r="BU3" s="32"/>
      <c r="BV3" s="32"/>
      <c r="EA3" s="170">
        <v>2023</v>
      </c>
      <c r="EE3" s="116" t="s">
        <v>76</v>
      </c>
      <c r="EF3" s="116" t="s">
        <v>79</v>
      </c>
      <c r="EG3" s="116" t="s">
        <v>80</v>
      </c>
      <c r="EH3" s="116" t="s">
        <v>86</v>
      </c>
      <c r="EI3" s="116">
        <v>7.03</v>
      </c>
      <c r="EJ3" s="116">
        <v>14.03</v>
      </c>
      <c r="EK3" s="116">
        <v>21.03</v>
      </c>
      <c r="EL3" s="116">
        <v>28.03</v>
      </c>
      <c r="EM3" s="116">
        <v>4.04</v>
      </c>
      <c r="EN3" s="116">
        <v>11.04</v>
      </c>
      <c r="EO3" s="116">
        <v>18.04</v>
      </c>
      <c r="EP3" s="116">
        <v>25.04</v>
      </c>
      <c r="EQ3" s="116">
        <v>2.0499999999999998</v>
      </c>
      <c r="ER3" s="116">
        <v>9.0500000000000007</v>
      </c>
      <c r="ES3" s="1">
        <v>16.05</v>
      </c>
      <c r="ET3" s="116">
        <v>23.05</v>
      </c>
      <c r="EU3" s="116">
        <v>30.05</v>
      </c>
      <c r="EV3" s="116">
        <v>6.06</v>
      </c>
      <c r="EW3" s="116">
        <v>13.06</v>
      </c>
      <c r="EX3" s="116">
        <v>20.059999999999999</v>
      </c>
      <c r="EY3" s="116"/>
      <c r="EZ3" s="116"/>
      <c r="FZ3" s="170">
        <v>2024</v>
      </c>
      <c r="HX3" s="170">
        <v>2025</v>
      </c>
    </row>
    <row r="4" spans="1:287" s="61" customFormat="1" ht="17.5">
      <c r="A4" s="71"/>
      <c r="B4" s="71"/>
      <c r="C4" s="71"/>
      <c r="D4" s="72"/>
      <c r="E4" s="71"/>
      <c r="F4" s="73" t="s">
        <v>3</v>
      </c>
      <c r="G4" s="73"/>
      <c r="H4" s="73"/>
      <c r="I4" s="74">
        <v>23147</v>
      </c>
      <c r="J4" s="74">
        <v>23135</v>
      </c>
      <c r="K4" s="74">
        <v>23142</v>
      </c>
      <c r="L4" s="74">
        <v>23194</v>
      </c>
      <c r="M4" s="74">
        <v>23204</v>
      </c>
      <c r="N4" s="74">
        <v>23160</v>
      </c>
      <c r="O4" s="74">
        <v>23141</v>
      </c>
      <c r="P4" s="74">
        <v>23161</v>
      </c>
      <c r="Q4" s="74">
        <v>23161</v>
      </c>
      <c r="R4" s="74">
        <v>23123</v>
      </c>
      <c r="S4" s="74">
        <v>23156</v>
      </c>
      <c r="T4" s="74">
        <v>23126</v>
      </c>
      <c r="U4" s="74">
        <v>23180</v>
      </c>
      <c r="V4" s="74">
        <v>23108</v>
      </c>
      <c r="W4" s="74">
        <f>V4</f>
        <v>23108</v>
      </c>
      <c r="X4" s="74">
        <f>W4</f>
        <v>23108</v>
      </c>
      <c r="Y4" s="74">
        <f>X4</f>
        <v>23108</v>
      </c>
      <c r="Z4" s="74">
        <v>23150</v>
      </c>
      <c r="AA4" s="74">
        <v>23150</v>
      </c>
      <c r="AB4" s="74">
        <v>23150</v>
      </c>
      <c r="AC4" s="74">
        <v>23150</v>
      </c>
      <c r="AD4" s="74">
        <v>23500</v>
      </c>
      <c r="AE4" s="74">
        <v>23500</v>
      </c>
      <c r="AF4" s="74">
        <v>23500</v>
      </c>
      <c r="AG4" s="74">
        <v>23500</v>
      </c>
      <c r="AH4" s="74">
        <v>23500</v>
      </c>
      <c r="AI4" s="74">
        <v>23500</v>
      </c>
      <c r="AJ4" s="74">
        <v>24600</v>
      </c>
      <c r="AK4" s="74">
        <v>24000</v>
      </c>
      <c r="AL4" s="74">
        <v>24000</v>
      </c>
      <c r="AM4" s="74">
        <v>24000</v>
      </c>
      <c r="AN4" s="74">
        <v>24000</v>
      </c>
      <c r="AO4" s="74">
        <v>24000</v>
      </c>
      <c r="AP4" s="74">
        <v>24000</v>
      </c>
      <c r="AQ4" s="74">
        <v>24000</v>
      </c>
      <c r="AR4" s="74">
        <v>24000</v>
      </c>
      <c r="AS4" s="74">
        <v>24000</v>
      </c>
      <c r="AT4" s="74">
        <v>24000</v>
      </c>
      <c r="AU4" s="74">
        <v>24000</v>
      </c>
      <c r="AV4" s="74">
        <v>24000</v>
      </c>
      <c r="AW4" s="74">
        <v>24000</v>
      </c>
      <c r="AX4" s="74">
        <v>24000</v>
      </c>
      <c r="AY4" s="74">
        <v>24000</v>
      </c>
      <c r="AZ4" s="74">
        <v>24000</v>
      </c>
      <c r="BA4" s="74">
        <v>24000</v>
      </c>
      <c r="BB4" s="74">
        <v>24000</v>
      </c>
      <c r="BC4" s="74">
        <v>24000</v>
      </c>
      <c r="BD4" s="74">
        <v>24000</v>
      </c>
      <c r="BE4" s="74">
        <v>24000</v>
      </c>
      <c r="BF4" s="74">
        <v>24000</v>
      </c>
      <c r="BG4" s="74">
        <v>24000</v>
      </c>
      <c r="BH4" s="74">
        <v>24000</v>
      </c>
      <c r="BI4" s="74">
        <v>24000</v>
      </c>
      <c r="BJ4" s="74"/>
      <c r="BK4" s="74"/>
      <c r="BL4" s="74"/>
      <c r="BM4" s="74"/>
      <c r="BN4" s="74"/>
      <c r="BO4" s="74"/>
      <c r="BP4" s="74"/>
      <c r="BQ4" s="74"/>
      <c r="BR4" s="74"/>
      <c r="BS4" s="74"/>
      <c r="BT4" s="74"/>
      <c r="BU4" s="74"/>
      <c r="BV4" s="74"/>
      <c r="CX4" s="74">
        <v>23150</v>
      </c>
      <c r="CY4" s="74">
        <v>23150</v>
      </c>
      <c r="CZ4" s="74">
        <v>23150</v>
      </c>
      <c r="DA4" s="74">
        <v>23150</v>
      </c>
      <c r="DB4" s="74">
        <v>23150</v>
      </c>
      <c r="DC4" s="74">
        <v>23150</v>
      </c>
      <c r="DD4" s="74">
        <v>23150</v>
      </c>
      <c r="DE4" s="74">
        <v>23150</v>
      </c>
      <c r="DF4" s="74">
        <v>23150</v>
      </c>
      <c r="DG4" s="74">
        <v>23150</v>
      </c>
      <c r="DH4" s="74">
        <v>23150</v>
      </c>
      <c r="DI4" s="74">
        <v>23150</v>
      </c>
      <c r="DJ4" s="74">
        <v>23500</v>
      </c>
      <c r="DK4" s="74">
        <v>23500</v>
      </c>
      <c r="DL4" s="74">
        <v>23500</v>
      </c>
      <c r="DM4" s="74">
        <v>23500</v>
      </c>
      <c r="DN4" s="74">
        <v>23500</v>
      </c>
      <c r="DO4" s="74">
        <v>23500</v>
      </c>
      <c r="DP4" s="74">
        <v>23500</v>
      </c>
      <c r="DQ4" s="74">
        <v>23500</v>
      </c>
      <c r="DR4" s="74">
        <v>24600</v>
      </c>
      <c r="DS4" s="74">
        <v>24600</v>
      </c>
      <c r="DT4" s="74">
        <v>24600</v>
      </c>
      <c r="DU4" s="74">
        <v>24600</v>
      </c>
      <c r="DV4" s="74">
        <v>24600</v>
      </c>
      <c r="DW4" s="74">
        <v>24000</v>
      </c>
      <c r="DX4" s="74">
        <v>24000</v>
      </c>
      <c r="DY4" s="74">
        <v>24000</v>
      </c>
      <c r="DZ4" s="74">
        <v>24000</v>
      </c>
      <c r="EA4" s="74">
        <v>24000</v>
      </c>
      <c r="EB4" s="74">
        <v>24000</v>
      </c>
      <c r="EC4" s="74">
        <v>24000</v>
      </c>
      <c r="ED4" s="74">
        <v>24000</v>
      </c>
      <c r="EE4" s="74">
        <v>24000</v>
      </c>
      <c r="EF4" s="74">
        <v>24000</v>
      </c>
      <c r="EG4" s="74">
        <v>24000</v>
      </c>
      <c r="EH4" s="74">
        <v>24000</v>
      </c>
      <c r="EI4" s="74">
        <v>24000</v>
      </c>
      <c r="EJ4" s="74">
        <v>24000</v>
      </c>
      <c r="EK4" s="74">
        <v>24000</v>
      </c>
      <c r="EL4" s="74">
        <v>24000</v>
      </c>
      <c r="EM4" s="74">
        <v>24000</v>
      </c>
      <c r="EN4" s="74">
        <v>24000</v>
      </c>
      <c r="EO4" s="74">
        <v>24000</v>
      </c>
      <c r="EP4" s="74">
        <v>24000</v>
      </c>
      <c r="EQ4" s="74">
        <v>24000</v>
      </c>
      <c r="ER4" s="74">
        <v>24000</v>
      </c>
      <c r="ES4" s="74">
        <v>24000</v>
      </c>
      <c r="ET4" s="74">
        <v>24000</v>
      </c>
      <c r="EU4" s="74">
        <v>24000</v>
      </c>
      <c r="EV4" s="74">
        <v>24000</v>
      </c>
      <c r="EW4" s="74">
        <v>24000</v>
      </c>
      <c r="EX4" s="74">
        <v>24000</v>
      </c>
      <c r="EY4" s="74">
        <v>24000</v>
      </c>
      <c r="EZ4" s="74">
        <v>24000</v>
      </c>
      <c r="FA4" s="74">
        <v>24000</v>
      </c>
      <c r="FB4" s="74">
        <v>24000</v>
      </c>
      <c r="FC4" s="74">
        <v>24000</v>
      </c>
      <c r="FD4" s="74">
        <v>24000</v>
      </c>
      <c r="FE4" s="74">
        <v>24000</v>
      </c>
      <c r="FF4" s="74">
        <v>24000</v>
      </c>
      <c r="FG4" s="74">
        <v>24000</v>
      </c>
      <c r="FH4" s="74">
        <v>24000</v>
      </c>
      <c r="FI4" s="74">
        <v>24000</v>
      </c>
      <c r="FJ4" s="74">
        <v>24000</v>
      </c>
      <c r="FK4" s="74">
        <v>24000</v>
      </c>
      <c r="FL4" s="74">
        <v>24000</v>
      </c>
      <c r="FM4" s="74">
        <v>24000</v>
      </c>
      <c r="FN4" s="74">
        <v>24000</v>
      </c>
      <c r="FO4" s="74">
        <v>24000</v>
      </c>
      <c r="FP4" s="74">
        <v>24000</v>
      </c>
      <c r="FQ4" s="74">
        <v>24000</v>
      </c>
      <c r="FR4" s="74">
        <v>24000</v>
      </c>
      <c r="FS4" s="74">
        <v>24000</v>
      </c>
      <c r="FT4" s="74">
        <v>24000</v>
      </c>
      <c r="FU4" s="74">
        <v>24000</v>
      </c>
      <c r="FV4" s="74">
        <v>24000</v>
      </c>
      <c r="FW4" s="74">
        <v>24000</v>
      </c>
      <c r="FX4" s="74">
        <v>24000</v>
      </c>
      <c r="FY4" s="74">
        <v>24000</v>
      </c>
      <c r="FZ4" s="74">
        <v>24000</v>
      </c>
      <c r="GA4" s="74">
        <v>24000</v>
      </c>
      <c r="GB4" s="74">
        <v>24000</v>
      </c>
      <c r="GC4" s="74">
        <v>24000</v>
      </c>
      <c r="GD4" s="74">
        <v>24000</v>
      </c>
      <c r="GE4" s="74">
        <v>24000</v>
      </c>
      <c r="GF4" s="74">
        <v>24000</v>
      </c>
      <c r="GG4" s="74">
        <v>24000</v>
      </c>
      <c r="GH4" s="74">
        <v>24000</v>
      </c>
      <c r="GI4" s="74">
        <v>24000</v>
      </c>
      <c r="GJ4" s="74">
        <v>24000</v>
      </c>
      <c r="GK4" s="74">
        <v>24000</v>
      </c>
      <c r="GL4" s="74">
        <v>24000</v>
      </c>
      <c r="GM4" s="74">
        <v>24000</v>
      </c>
      <c r="GN4" s="74">
        <v>24000</v>
      </c>
      <c r="GO4" s="74"/>
      <c r="GP4" s="74"/>
      <c r="GQ4" s="74"/>
      <c r="GR4" s="74"/>
      <c r="JW4" s="178">
        <v>2026</v>
      </c>
    </row>
    <row r="5" spans="1:287" s="32" customFormat="1" ht="19.5" customHeight="1">
      <c r="A5" s="33" t="s">
        <v>0</v>
      </c>
      <c r="B5" s="33" t="s">
        <v>1</v>
      </c>
      <c r="C5" s="33" t="s">
        <v>4</v>
      </c>
      <c r="D5" s="34" t="s">
        <v>5</v>
      </c>
      <c r="E5" s="33" t="s">
        <v>6</v>
      </c>
      <c r="F5" s="33" t="s">
        <v>2</v>
      </c>
      <c r="G5" s="33" t="s">
        <v>7</v>
      </c>
      <c r="H5" s="33" t="s">
        <v>2</v>
      </c>
      <c r="I5" s="33" t="s">
        <v>8</v>
      </c>
      <c r="J5" s="33" t="s">
        <v>9</v>
      </c>
      <c r="K5" s="33" t="s">
        <v>10</v>
      </c>
      <c r="L5" s="33" t="s">
        <v>11</v>
      </c>
      <c r="M5" s="33" t="s">
        <v>12</v>
      </c>
      <c r="N5" s="33" t="s">
        <v>13</v>
      </c>
      <c r="O5" s="33" t="s">
        <v>14</v>
      </c>
      <c r="P5" s="33" t="s">
        <v>15</v>
      </c>
      <c r="Q5" s="33" t="s">
        <v>16</v>
      </c>
      <c r="R5" s="33" t="s">
        <v>17</v>
      </c>
      <c r="S5" s="33" t="s">
        <v>18</v>
      </c>
      <c r="T5" s="33" t="s">
        <v>19</v>
      </c>
      <c r="U5" s="33">
        <v>1</v>
      </c>
      <c r="V5" s="33">
        <v>2</v>
      </c>
      <c r="W5" s="33">
        <v>3</v>
      </c>
      <c r="X5" s="33">
        <v>4</v>
      </c>
      <c r="Y5" s="33">
        <v>5</v>
      </c>
      <c r="Z5" s="33">
        <v>6</v>
      </c>
      <c r="AA5" s="33">
        <v>7</v>
      </c>
      <c r="AB5" s="33">
        <v>8</v>
      </c>
      <c r="AC5" s="33" t="s">
        <v>63</v>
      </c>
      <c r="AD5" s="33">
        <v>9</v>
      </c>
      <c r="AE5" s="86">
        <v>10</v>
      </c>
      <c r="AF5" s="89" t="s">
        <v>65</v>
      </c>
      <c r="AG5" s="89" t="s">
        <v>66</v>
      </c>
      <c r="AH5" s="89" t="s">
        <v>67</v>
      </c>
      <c r="AI5" s="89" t="s">
        <v>68</v>
      </c>
      <c r="AJ5" s="86">
        <v>11</v>
      </c>
      <c r="AK5" s="86">
        <v>12</v>
      </c>
      <c r="AL5" s="86" t="s">
        <v>75</v>
      </c>
      <c r="AM5" s="86">
        <v>2</v>
      </c>
      <c r="AN5" s="86">
        <v>3</v>
      </c>
      <c r="AO5" s="86">
        <v>4</v>
      </c>
      <c r="AP5" s="86">
        <v>5</v>
      </c>
      <c r="AQ5" s="86">
        <v>6</v>
      </c>
      <c r="AR5" s="86">
        <v>7</v>
      </c>
      <c r="AS5" s="86">
        <v>8</v>
      </c>
      <c r="AT5" s="86">
        <v>9</v>
      </c>
      <c r="AU5" s="86">
        <v>10</v>
      </c>
      <c r="AV5" s="33">
        <v>11</v>
      </c>
      <c r="AW5" s="33">
        <v>12</v>
      </c>
      <c r="AX5" s="33" t="s">
        <v>122</v>
      </c>
      <c r="AY5" s="33">
        <v>2</v>
      </c>
      <c r="AZ5" s="33">
        <v>3</v>
      </c>
      <c r="BA5" s="33">
        <v>4</v>
      </c>
      <c r="BB5" s="33">
        <v>5</v>
      </c>
      <c r="BC5" s="33">
        <v>6</v>
      </c>
      <c r="BD5" s="33">
        <v>7</v>
      </c>
      <c r="BE5" s="33">
        <v>8</v>
      </c>
      <c r="BF5" s="33">
        <v>9</v>
      </c>
      <c r="BG5" s="33">
        <v>10</v>
      </c>
      <c r="BH5" s="33">
        <v>11</v>
      </c>
      <c r="BI5" s="33">
        <v>12</v>
      </c>
      <c r="BJ5" s="33" t="s">
        <v>174</v>
      </c>
      <c r="BK5" s="33">
        <v>2</v>
      </c>
      <c r="BL5" s="33">
        <v>3</v>
      </c>
      <c r="BM5" s="33">
        <v>4</v>
      </c>
      <c r="BN5" s="33">
        <v>5</v>
      </c>
      <c r="BO5" s="33">
        <v>6</v>
      </c>
      <c r="BP5" s="33">
        <v>7</v>
      </c>
      <c r="BQ5" s="33">
        <v>8</v>
      </c>
      <c r="BR5" s="33">
        <v>9</v>
      </c>
      <c r="BS5" s="33">
        <v>10</v>
      </c>
      <c r="BT5" s="33">
        <v>11</v>
      </c>
      <c r="BU5" s="33">
        <v>12</v>
      </c>
      <c r="BV5" s="33" t="s">
        <v>198</v>
      </c>
      <c r="BX5" s="34" t="s">
        <v>5</v>
      </c>
      <c r="BY5" s="33" t="s">
        <v>6</v>
      </c>
      <c r="BZ5" s="33" t="s">
        <v>2</v>
      </c>
      <c r="CA5" s="33">
        <v>1</v>
      </c>
      <c r="CB5" s="33">
        <f>+CA5+1</f>
        <v>2</v>
      </c>
      <c r="CC5" s="33">
        <f t="shared" ref="CC5:CW5" si="0">+CB5+1</f>
        <v>3</v>
      </c>
      <c r="CD5" s="33">
        <f t="shared" si="0"/>
        <v>4</v>
      </c>
      <c r="CE5" s="33">
        <f t="shared" si="0"/>
        <v>5</v>
      </c>
      <c r="CF5" s="33">
        <f t="shared" si="0"/>
        <v>6</v>
      </c>
      <c r="CG5" s="33">
        <f t="shared" si="0"/>
        <v>7</v>
      </c>
      <c r="CH5" s="33">
        <f t="shared" si="0"/>
        <v>8</v>
      </c>
      <c r="CI5" s="33">
        <f t="shared" si="0"/>
        <v>9</v>
      </c>
      <c r="CJ5" s="33">
        <f t="shared" si="0"/>
        <v>10</v>
      </c>
      <c r="CK5" s="33">
        <f t="shared" si="0"/>
        <v>11</v>
      </c>
      <c r="CL5" s="33">
        <f t="shared" si="0"/>
        <v>12</v>
      </c>
      <c r="CM5" s="33">
        <f t="shared" si="0"/>
        <v>13</v>
      </c>
      <c r="CN5" s="33">
        <f t="shared" si="0"/>
        <v>14</v>
      </c>
      <c r="CO5" s="33">
        <f t="shared" si="0"/>
        <v>15</v>
      </c>
      <c r="CP5" s="33">
        <f t="shared" si="0"/>
        <v>16</v>
      </c>
      <c r="CQ5" s="33">
        <f t="shared" si="0"/>
        <v>17</v>
      </c>
      <c r="CR5" s="33">
        <f t="shared" si="0"/>
        <v>18</v>
      </c>
      <c r="CS5" s="33">
        <f t="shared" si="0"/>
        <v>19</v>
      </c>
      <c r="CT5" s="33">
        <f t="shared" si="0"/>
        <v>20</v>
      </c>
      <c r="CU5" s="33">
        <f t="shared" si="0"/>
        <v>21</v>
      </c>
      <c r="CV5" s="33">
        <f t="shared" si="0"/>
        <v>22</v>
      </c>
      <c r="CW5" s="33">
        <f t="shared" si="0"/>
        <v>23</v>
      </c>
      <c r="CX5" s="90">
        <v>24</v>
      </c>
      <c r="CY5" s="90">
        <v>25</v>
      </c>
      <c r="CZ5" s="90">
        <v>26</v>
      </c>
      <c r="DA5" s="90">
        <v>27</v>
      </c>
      <c r="DB5" s="90">
        <v>28</v>
      </c>
      <c r="DC5" s="90">
        <v>29</v>
      </c>
      <c r="DD5" s="90">
        <v>30</v>
      </c>
      <c r="DE5" s="90">
        <v>31</v>
      </c>
      <c r="DF5" s="90">
        <v>32</v>
      </c>
      <c r="DG5" s="90">
        <v>33</v>
      </c>
      <c r="DH5" s="90">
        <v>34</v>
      </c>
      <c r="DI5" s="90">
        <v>35</v>
      </c>
      <c r="DJ5" s="90">
        <v>36</v>
      </c>
      <c r="DK5" s="90">
        <v>37</v>
      </c>
      <c r="DL5" s="90">
        <v>38</v>
      </c>
      <c r="DM5" s="90">
        <v>39</v>
      </c>
      <c r="DN5" s="90">
        <v>40</v>
      </c>
      <c r="DO5" s="90">
        <v>41</v>
      </c>
      <c r="DP5" s="90">
        <v>42</v>
      </c>
      <c r="DQ5" s="90">
        <v>43</v>
      </c>
      <c r="DR5" s="90">
        <v>44</v>
      </c>
      <c r="DS5" s="90">
        <v>45</v>
      </c>
      <c r="DT5" s="101">
        <v>46</v>
      </c>
      <c r="DU5" s="101">
        <v>47</v>
      </c>
      <c r="DV5" s="101">
        <v>48</v>
      </c>
      <c r="DW5" s="101">
        <v>49</v>
      </c>
      <c r="DX5" s="101">
        <v>50</v>
      </c>
      <c r="DY5" s="101">
        <v>51</v>
      </c>
      <c r="DZ5" s="101">
        <v>52</v>
      </c>
      <c r="EA5" s="90" t="s">
        <v>97</v>
      </c>
      <c r="EB5" s="90">
        <v>2</v>
      </c>
      <c r="EC5" s="90">
        <v>3</v>
      </c>
      <c r="ED5" s="90">
        <v>5</v>
      </c>
      <c r="EE5" s="90">
        <v>6</v>
      </c>
      <c r="EF5" s="90">
        <v>7</v>
      </c>
      <c r="EG5" s="90">
        <v>8</v>
      </c>
      <c r="EH5" s="90">
        <v>9</v>
      </c>
      <c r="EI5" s="90">
        <v>10</v>
      </c>
      <c r="EJ5" s="90">
        <v>11</v>
      </c>
      <c r="EK5" s="90">
        <v>12</v>
      </c>
      <c r="EL5" s="90">
        <v>13</v>
      </c>
      <c r="EM5" s="90">
        <v>14</v>
      </c>
      <c r="EN5" s="90">
        <v>15</v>
      </c>
      <c r="EO5" s="90">
        <v>16</v>
      </c>
      <c r="EP5" s="90">
        <v>17</v>
      </c>
      <c r="EQ5" s="90">
        <v>18</v>
      </c>
      <c r="ER5" s="90">
        <v>19</v>
      </c>
      <c r="ES5" s="90">
        <v>20</v>
      </c>
      <c r="ET5" s="90">
        <v>21</v>
      </c>
      <c r="EU5" s="90">
        <v>22</v>
      </c>
      <c r="EV5" s="90">
        <v>23</v>
      </c>
      <c r="EW5" s="90">
        <v>24</v>
      </c>
      <c r="EX5" s="90">
        <v>25</v>
      </c>
      <c r="EY5" s="90">
        <v>26</v>
      </c>
      <c r="EZ5" s="90">
        <v>27</v>
      </c>
      <c r="FA5" s="90">
        <v>28</v>
      </c>
      <c r="FB5" s="90">
        <v>29</v>
      </c>
      <c r="FC5" s="90">
        <v>30</v>
      </c>
      <c r="FD5" s="90">
        <v>31</v>
      </c>
      <c r="FE5" s="90">
        <v>32</v>
      </c>
      <c r="FF5" s="90">
        <v>33</v>
      </c>
      <c r="FG5" s="101">
        <v>34</v>
      </c>
      <c r="FH5" s="101">
        <v>35</v>
      </c>
      <c r="FI5" s="101">
        <v>36</v>
      </c>
      <c r="FJ5" s="101">
        <v>37</v>
      </c>
      <c r="FK5" s="101">
        <v>38</v>
      </c>
      <c r="FL5" s="101">
        <v>39</v>
      </c>
      <c r="FM5" s="101">
        <v>40</v>
      </c>
      <c r="FN5" s="101">
        <v>41</v>
      </c>
      <c r="FO5" s="101">
        <v>42</v>
      </c>
      <c r="FP5" s="101">
        <v>43</v>
      </c>
      <c r="FQ5" s="101">
        <v>44</v>
      </c>
      <c r="FR5" s="101">
        <v>45</v>
      </c>
      <c r="FS5" s="101">
        <v>46</v>
      </c>
      <c r="FT5" s="101">
        <v>47</v>
      </c>
      <c r="FU5" s="101">
        <v>48</v>
      </c>
      <c r="FV5" s="101">
        <v>49</v>
      </c>
      <c r="FW5" s="101">
        <v>50</v>
      </c>
      <c r="FX5" s="101">
        <v>51</v>
      </c>
      <c r="FY5" s="101">
        <v>52</v>
      </c>
      <c r="FZ5" s="101" t="s">
        <v>117</v>
      </c>
      <c r="GA5" s="90" t="s">
        <v>123</v>
      </c>
      <c r="GB5" s="90" t="s">
        <v>124</v>
      </c>
      <c r="GC5" s="90" t="s">
        <v>125</v>
      </c>
      <c r="GD5" s="90" t="s">
        <v>126</v>
      </c>
      <c r="GE5" s="90" t="s">
        <v>142</v>
      </c>
      <c r="GF5" s="90" t="s">
        <v>143</v>
      </c>
      <c r="GG5" s="90" t="s">
        <v>144</v>
      </c>
      <c r="GH5" s="90" t="s">
        <v>145</v>
      </c>
      <c r="GI5" s="90" t="s">
        <v>146</v>
      </c>
      <c r="GJ5" s="90" t="s">
        <v>147</v>
      </c>
      <c r="GK5" s="90" t="s">
        <v>148</v>
      </c>
      <c r="GL5" s="90" t="s">
        <v>149</v>
      </c>
      <c r="GM5" s="90" t="s">
        <v>150</v>
      </c>
      <c r="GN5" s="90" t="s">
        <v>151</v>
      </c>
      <c r="GO5" s="90" t="s">
        <v>152</v>
      </c>
      <c r="GP5" s="90" t="s">
        <v>153</v>
      </c>
      <c r="GQ5" s="90" t="s">
        <v>154</v>
      </c>
      <c r="GR5" s="90" t="s">
        <v>155</v>
      </c>
      <c r="GS5" s="90" t="s">
        <v>162</v>
      </c>
      <c r="GT5" s="90" t="s">
        <v>163</v>
      </c>
      <c r="GU5" s="90" t="s">
        <v>164</v>
      </c>
      <c r="GV5" s="90" t="s">
        <v>165</v>
      </c>
      <c r="GW5" s="90">
        <v>26</v>
      </c>
      <c r="GX5" s="90">
        <v>27</v>
      </c>
      <c r="GY5" s="90">
        <v>28</v>
      </c>
      <c r="GZ5" s="90">
        <v>29</v>
      </c>
      <c r="HA5" s="90">
        <v>30</v>
      </c>
      <c r="HB5" s="90">
        <v>31</v>
      </c>
      <c r="HC5" s="90">
        <v>32</v>
      </c>
      <c r="HD5" s="90">
        <v>33</v>
      </c>
      <c r="HE5" s="90">
        <v>34</v>
      </c>
      <c r="HF5" s="90">
        <v>35</v>
      </c>
      <c r="HG5" s="90">
        <v>36</v>
      </c>
      <c r="HH5" s="90">
        <v>37</v>
      </c>
      <c r="HI5" s="90">
        <v>38</v>
      </c>
      <c r="HJ5" s="90">
        <v>39</v>
      </c>
      <c r="HK5" s="90">
        <v>40</v>
      </c>
      <c r="HL5" s="90">
        <v>41</v>
      </c>
      <c r="HM5" s="90">
        <v>42</v>
      </c>
      <c r="HN5" s="90">
        <v>43</v>
      </c>
      <c r="HO5" s="90">
        <v>44</v>
      </c>
      <c r="HP5" s="90">
        <v>45</v>
      </c>
      <c r="HQ5" s="90">
        <v>46</v>
      </c>
      <c r="HR5" s="90">
        <v>47</v>
      </c>
      <c r="HS5" s="90">
        <v>48</v>
      </c>
      <c r="HT5" s="90">
        <v>49</v>
      </c>
      <c r="HU5" s="90">
        <v>50</v>
      </c>
      <c r="HV5" s="90">
        <v>51</v>
      </c>
      <c r="HW5" s="90">
        <v>52</v>
      </c>
      <c r="HX5" s="90" t="s">
        <v>121</v>
      </c>
      <c r="HY5" s="90" t="s">
        <v>123</v>
      </c>
      <c r="HZ5" s="90" t="s">
        <v>124</v>
      </c>
      <c r="IA5" s="90" t="s">
        <v>125</v>
      </c>
      <c r="IB5" s="90" t="s">
        <v>175</v>
      </c>
      <c r="IC5" s="90" t="s">
        <v>177</v>
      </c>
      <c r="ID5" s="90" t="s">
        <v>142</v>
      </c>
      <c r="IE5" s="90" t="s">
        <v>143</v>
      </c>
      <c r="IF5" s="90" t="s">
        <v>144</v>
      </c>
      <c r="IG5" s="90" t="s">
        <v>145</v>
      </c>
      <c r="IH5" s="90" t="s">
        <v>146</v>
      </c>
      <c r="II5" s="90" t="s">
        <v>147</v>
      </c>
      <c r="IJ5" s="90" t="s">
        <v>148</v>
      </c>
      <c r="IK5" s="90" t="s">
        <v>149</v>
      </c>
      <c r="IL5" s="90" t="s">
        <v>150</v>
      </c>
      <c r="IM5" s="90" t="s">
        <v>151</v>
      </c>
      <c r="IN5" s="90" t="s">
        <v>152</v>
      </c>
      <c r="IO5" s="90" t="s">
        <v>153</v>
      </c>
      <c r="IP5" s="90" t="s">
        <v>154</v>
      </c>
      <c r="IQ5" s="90" t="s">
        <v>155</v>
      </c>
      <c r="IR5" s="90" t="s">
        <v>162</v>
      </c>
      <c r="IS5" s="90" t="s">
        <v>163</v>
      </c>
      <c r="IT5" s="90" t="s">
        <v>164</v>
      </c>
      <c r="IU5" s="90" t="s">
        <v>165</v>
      </c>
      <c r="IV5" s="90" t="s">
        <v>166</v>
      </c>
      <c r="IW5" s="90" t="s">
        <v>167</v>
      </c>
      <c r="IX5" s="90" t="s">
        <v>168</v>
      </c>
      <c r="IY5" s="90" t="s">
        <v>169</v>
      </c>
      <c r="IZ5" s="90" t="s">
        <v>170</v>
      </c>
      <c r="JA5" s="90" t="s">
        <v>171</v>
      </c>
      <c r="JB5" s="90" t="s">
        <v>172</v>
      </c>
      <c r="JC5" s="90" t="s">
        <v>173</v>
      </c>
      <c r="JD5" s="90" t="s">
        <v>179</v>
      </c>
      <c r="JE5" s="90" t="s">
        <v>180</v>
      </c>
      <c r="JF5" s="90" t="s">
        <v>181</v>
      </c>
      <c r="JG5" s="90" t="s">
        <v>182</v>
      </c>
      <c r="JH5" s="90" t="s">
        <v>183</v>
      </c>
      <c r="JI5" s="90" t="s">
        <v>184</v>
      </c>
      <c r="JJ5" s="90" t="s">
        <v>185</v>
      </c>
      <c r="JK5" s="90" t="s">
        <v>186</v>
      </c>
      <c r="JL5" s="90" t="s">
        <v>187</v>
      </c>
      <c r="JM5" s="90" t="s">
        <v>188</v>
      </c>
      <c r="JN5" s="90" t="s">
        <v>189</v>
      </c>
      <c r="JO5" s="90" t="s">
        <v>190</v>
      </c>
      <c r="JP5" s="90" t="s">
        <v>191</v>
      </c>
      <c r="JQ5" s="90" t="s">
        <v>192</v>
      </c>
      <c r="JR5" s="90" t="s">
        <v>193</v>
      </c>
      <c r="JS5" s="90" t="s">
        <v>194</v>
      </c>
      <c r="JT5" s="90" t="s">
        <v>195</v>
      </c>
      <c r="JU5" s="90" t="s">
        <v>196</v>
      </c>
      <c r="JV5" s="90" t="s">
        <v>197</v>
      </c>
      <c r="JW5" s="90" t="s">
        <v>121</v>
      </c>
      <c r="JX5" s="90" t="s">
        <v>123</v>
      </c>
      <c r="JY5" s="90" t="s">
        <v>124</v>
      </c>
      <c r="JZ5" s="90" t="s">
        <v>125</v>
      </c>
      <c r="KA5" s="90" t="s">
        <v>126</v>
      </c>
    </row>
    <row r="6" spans="1:287" ht="14">
      <c r="A6" s="9">
        <v>5</v>
      </c>
      <c r="B6" s="11" t="s">
        <v>25</v>
      </c>
      <c r="C6" s="11" t="s">
        <v>26</v>
      </c>
      <c r="D6" s="9" t="s">
        <v>176</v>
      </c>
      <c r="E6" s="11" t="s">
        <v>28</v>
      </c>
      <c r="F6" s="11" t="s">
        <v>132</v>
      </c>
      <c r="G6" s="9" t="s">
        <v>24</v>
      </c>
      <c r="H6" s="11" t="s">
        <v>132</v>
      </c>
      <c r="I6" s="12">
        <f t="shared" ref="I6:V6" si="1">I7-20</f>
        <v>1230</v>
      </c>
      <c r="J6" s="12">
        <f t="shared" si="1"/>
        <v>1230</v>
      </c>
      <c r="K6" s="12">
        <f t="shared" si="1"/>
        <v>1230</v>
      </c>
      <c r="L6" s="12">
        <f t="shared" si="1"/>
        <v>1230</v>
      </c>
      <c r="M6" s="12">
        <f t="shared" si="1"/>
        <v>1230</v>
      </c>
      <c r="N6" s="12">
        <f t="shared" si="1"/>
        <v>1230</v>
      </c>
      <c r="O6" s="12">
        <f t="shared" si="1"/>
        <v>1250</v>
      </c>
      <c r="P6" s="12">
        <f t="shared" si="1"/>
        <v>1250</v>
      </c>
      <c r="Q6" s="12">
        <f t="shared" si="1"/>
        <v>1250</v>
      </c>
      <c r="R6" s="12">
        <f t="shared" si="1"/>
        <v>1250</v>
      </c>
      <c r="S6" s="12">
        <f t="shared" si="1"/>
        <v>1300</v>
      </c>
      <c r="T6" s="12">
        <f t="shared" si="1"/>
        <v>1300</v>
      </c>
      <c r="U6" s="12">
        <f t="shared" si="1"/>
        <v>1300</v>
      </c>
      <c r="V6" s="12">
        <f t="shared" si="1"/>
        <v>1300</v>
      </c>
      <c r="W6" s="36">
        <v>1450</v>
      </c>
      <c r="X6" s="36">
        <v>1550</v>
      </c>
      <c r="Y6" s="36">
        <v>1550</v>
      </c>
      <c r="Z6" s="36">
        <v>1550</v>
      </c>
      <c r="AA6" s="36">
        <v>1550</v>
      </c>
      <c r="AB6" s="12">
        <v>1480</v>
      </c>
      <c r="AC6" s="12">
        <v>1480</v>
      </c>
      <c r="AD6" s="50" t="e">
        <f>#REF!/AD4*1000</f>
        <v>#REF!</v>
      </c>
      <c r="AE6" s="50" t="e">
        <f>#REF!/AE4*1000</f>
        <v>#REF!</v>
      </c>
      <c r="AF6" s="50" t="e">
        <f>#REF!/AF4*1000</f>
        <v>#REF!</v>
      </c>
      <c r="AG6" s="50" t="e">
        <f>#REF!/AG4*1000</f>
        <v>#REF!</v>
      </c>
      <c r="AH6" s="50" t="e">
        <f>#REF!/AH4*1000</f>
        <v>#REF!</v>
      </c>
      <c r="AI6" s="50" t="e">
        <f>#REF!/AI4*1000</f>
        <v>#REF!</v>
      </c>
      <c r="AJ6" s="50" t="e">
        <f>#REF!/AJ4*1000</f>
        <v>#REF!</v>
      </c>
      <c r="AK6" s="50">
        <v>1330</v>
      </c>
      <c r="AL6" s="50">
        <f>+SUM(EA6:ED6)/4</f>
        <v>1330</v>
      </c>
      <c r="AM6" s="12">
        <f>+SUM(EE6:EH6)/4</f>
        <v>1330</v>
      </c>
      <c r="AN6" s="12">
        <f>+SUM(EI6:EK6)/COUNT(EI6:EK6)</f>
        <v>1380</v>
      </c>
      <c r="AO6" s="12">
        <f>+SUM(EM6:EP6)/COUNT(EM6:EP6)</f>
        <v>1380</v>
      </c>
      <c r="AP6" s="12">
        <f>+SUM(EQ6:EU6)/COUNT(EQ6:EU6)</f>
        <v>1380</v>
      </c>
      <c r="AQ6" s="12">
        <f>+SUM(EV6:EY6)/COUNT(EV6:EY6)</f>
        <v>1325</v>
      </c>
      <c r="AR6" s="12">
        <f>+SUM(EZ6:FC6)/COUNT(EZ6:FC6)</f>
        <v>1275</v>
      </c>
      <c r="AS6" s="50">
        <f>FD6</f>
        <v>1250</v>
      </c>
      <c r="AT6" s="50">
        <v>1250</v>
      </c>
      <c r="AU6" s="50">
        <v>1250</v>
      </c>
      <c r="AV6" s="50">
        <v>1250</v>
      </c>
      <c r="AW6" s="50">
        <v>1250</v>
      </c>
      <c r="AX6" s="50">
        <v>1250</v>
      </c>
      <c r="AY6" s="50">
        <v>1250</v>
      </c>
      <c r="AZ6" s="50">
        <v>1250</v>
      </c>
      <c r="BA6" s="50">
        <v>1250</v>
      </c>
      <c r="BB6" s="50">
        <v>1300</v>
      </c>
      <c r="BC6" s="50">
        <v>1300</v>
      </c>
      <c r="BD6" s="50">
        <v>1300</v>
      </c>
      <c r="BE6" s="50">
        <v>1300</v>
      </c>
      <c r="BF6" s="50">
        <v>1310</v>
      </c>
      <c r="BG6" s="50">
        <v>1325</v>
      </c>
      <c r="BH6" s="50">
        <v>1325</v>
      </c>
      <c r="BI6" s="50">
        <f>1325-50</f>
        <v>1275</v>
      </c>
      <c r="BJ6" s="50">
        <f>1325-50-45</f>
        <v>1230</v>
      </c>
      <c r="BK6" s="50">
        <f>1325-50-45</f>
        <v>1230</v>
      </c>
      <c r="BL6" s="50">
        <f>1325-50-45</f>
        <v>1230</v>
      </c>
      <c r="BM6" s="50">
        <f>1325-50-45+20</f>
        <v>1250</v>
      </c>
      <c r="BN6" s="50">
        <f>1325-50-45+20</f>
        <v>1250</v>
      </c>
      <c r="BO6" s="50">
        <f>1325-50-45+20</f>
        <v>1250</v>
      </c>
      <c r="BP6" s="50">
        <f>1325-50-45+20</f>
        <v>1250</v>
      </c>
      <c r="BQ6" s="50">
        <f>1325-50-45+20-30</f>
        <v>1220</v>
      </c>
      <c r="BR6" s="50">
        <f>1325-50-45+20-30</f>
        <v>1220</v>
      </c>
      <c r="BS6" s="50">
        <f>1325-50-45+20-30-10</f>
        <v>1210</v>
      </c>
      <c r="BT6" s="50">
        <f>1325-50-45+20-30-10-10</f>
        <v>1200</v>
      </c>
      <c r="BU6" s="50">
        <f>1325-50-45+20-30-10-10</f>
        <v>1200</v>
      </c>
      <c r="BV6" s="50">
        <f>1325-50-45+20-30-10-10-40</f>
        <v>1160</v>
      </c>
      <c r="BX6" s="9" t="s">
        <v>27</v>
      </c>
      <c r="BY6" s="11" t="s">
        <v>28</v>
      </c>
      <c r="BZ6" s="112" t="s">
        <v>132</v>
      </c>
      <c r="CA6" s="11"/>
      <c r="CB6" s="11"/>
      <c r="CC6" s="11"/>
      <c r="CD6" s="11"/>
      <c r="CE6" s="11"/>
      <c r="CF6" s="11"/>
      <c r="CG6" s="11"/>
      <c r="CH6" s="11"/>
      <c r="CI6" s="11"/>
      <c r="CJ6" s="11"/>
      <c r="CK6" s="11"/>
      <c r="CL6" s="11"/>
      <c r="CM6" s="11"/>
      <c r="CN6" s="11"/>
      <c r="CO6" s="11"/>
      <c r="CP6" s="11"/>
      <c r="CQ6" s="11"/>
      <c r="CR6" s="11"/>
      <c r="CS6" s="11"/>
      <c r="CT6" s="11"/>
      <c r="CU6" s="11"/>
      <c r="CV6" s="11"/>
      <c r="CW6" s="11"/>
      <c r="CX6" s="12">
        <v>1550</v>
      </c>
      <c r="CY6" s="12">
        <v>1550</v>
      </c>
      <c r="CZ6" s="12">
        <v>1550</v>
      </c>
      <c r="DA6" s="12">
        <v>1550</v>
      </c>
      <c r="DB6" s="12">
        <v>1550</v>
      </c>
      <c r="DC6" s="12">
        <v>1550</v>
      </c>
      <c r="DD6" s="12">
        <v>1550</v>
      </c>
      <c r="DE6" s="12">
        <v>1480</v>
      </c>
      <c r="DF6" s="12">
        <v>1480</v>
      </c>
      <c r="DG6" s="12">
        <v>1480</v>
      </c>
      <c r="DH6" s="12">
        <v>1480</v>
      </c>
      <c r="DI6" s="12">
        <v>1480</v>
      </c>
      <c r="DJ6" s="12">
        <v>1410</v>
      </c>
      <c r="DK6" s="12">
        <v>1410</v>
      </c>
      <c r="DL6" s="12">
        <v>1410</v>
      </c>
      <c r="DM6" s="12">
        <v>1410</v>
      </c>
      <c r="DN6" s="12" t="e">
        <f>#REF!/DN4*1000</f>
        <v>#REF!</v>
      </c>
      <c r="DO6" s="50" t="e">
        <f>#REF!/DO4*1000</f>
        <v>#REF!</v>
      </c>
      <c r="DP6" s="50" t="e">
        <f>#REF!/DP4*1000</f>
        <v>#REF!</v>
      </c>
      <c r="DQ6" s="50" t="e">
        <f>#REF!/DQ4*1000</f>
        <v>#REF!</v>
      </c>
      <c r="DR6" s="50">
        <v>1380</v>
      </c>
      <c r="DS6" s="50">
        <v>1380</v>
      </c>
      <c r="DT6" s="50">
        <v>1380</v>
      </c>
      <c r="DU6" s="50">
        <v>1380</v>
      </c>
      <c r="DV6" s="50">
        <v>1380</v>
      </c>
      <c r="DW6" s="50">
        <v>1380</v>
      </c>
      <c r="DX6" s="50">
        <v>1380</v>
      </c>
      <c r="DY6" s="50">
        <v>1330</v>
      </c>
      <c r="DZ6" s="50">
        <v>1330</v>
      </c>
      <c r="EA6" s="50">
        <v>1330</v>
      </c>
      <c r="EB6" s="50">
        <v>1330</v>
      </c>
      <c r="EC6" s="50">
        <v>1330</v>
      </c>
      <c r="ED6" s="50">
        <v>1330</v>
      </c>
      <c r="EE6" s="50">
        <v>1330</v>
      </c>
      <c r="EF6" s="50">
        <v>1330</v>
      </c>
      <c r="EG6" s="50">
        <v>1330</v>
      </c>
      <c r="EH6" s="50">
        <v>1330</v>
      </c>
      <c r="EI6" s="50">
        <v>1380</v>
      </c>
      <c r="EJ6" s="50">
        <v>1380</v>
      </c>
      <c r="EK6" s="50">
        <v>1380</v>
      </c>
      <c r="EL6" s="50">
        <v>1380</v>
      </c>
      <c r="EM6" s="50">
        <v>1380</v>
      </c>
      <c r="EN6" s="50">
        <v>1380</v>
      </c>
      <c r="EO6" s="50">
        <v>1380</v>
      </c>
      <c r="EP6" s="50">
        <v>1380</v>
      </c>
      <c r="EQ6" s="50">
        <v>1380</v>
      </c>
      <c r="ER6" s="50">
        <v>1380</v>
      </c>
      <c r="ES6" s="50">
        <v>1380</v>
      </c>
      <c r="ET6" s="50">
        <v>1380</v>
      </c>
      <c r="EU6" s="50">
        <v>1380</v>
      </c>
      <c r="EV6" s="50">
        <v>1350</v>
      </c>
      <c r="EW6" s="50">
        <v>1350</v>
      </c>
      <c r="EX6" s="50">
        <v>1300</v>
      </c>
      <c r="EY6" s="50">
        <v>1300</v>
      </c>
      <c r="EZ6" s="50">
        <v>1300</v>
      </c>
      <c r="FA6" s="50">
        <v>1300</v>
      </c>
      <c r="FB6" s="50">
        <v>1250</v>
      </c>
      <c r="FC6" s="50">
        <v>1250</v>
      </c>
      <c r="FD6" s="50">
        <v>1250</v>
      </c>
      <c r="FE6" s="50">
        <v>1250</v>
      </c>
      <c r="FF6" s="50">
        <v>1250</v>
      </c>
      <c r="FG6" s="50">
        <v>1250</v>
      </c>
      <c r="FH6" s="50">
        <v>1250</v>
      </c>
      <c r="FI6" s="50">
        <v>1250</v>
      </c>
      <c r="FJ6" s="50">
        <v>1250</v>
      </c>
      <c r="FK6" s="50">
        <v>1250</v>
      </c>
      <c r="FL6" s="50">
        <v>1250</v>
      </c>
      <c r="FM6" s="50">
        <v>1250</v>
      </c>
      <c r="FN6" s="50">
        <v>1250</v>
      </c>
      <c r="FO6" s="50">
        <v>1250</v>
      </c>
      <c r="FP6" s="50">
        <v>1250</v>
      </c>
      <c r="FQ6" s="50">
        <v>1250</v>
      </c>
      <c r="FR6" s="50">
        <v>1250</v>
      </c>
      <c r="FS6" s="50">
        <v>1250</v>
      </c>
      <c r="FT6" s="50">
        <v>1250</v>
      </c>
      <c r="FU6" s="50">
        <v>1250</v>
      </c>
      <c r="FV6" s="50">
        <v>1250</v>
      </c>
      <c r="FW6" s="50">
        <v>1250</v>
      </c>
      <c r="FX6" s="50">
        <v>1250</v>
      </c>
      <c r="FY6" s="50">
        <v>1250</v>
      </c>
      <c r="FZ6" s="50">
        <v>1250</v>
      </c>
      <c r="GA6" s="50">
        <v>1250</v>
      </c>
      <c r="GB6" s="50">
        <v>1250</v>
      </c>
      <c r="GC6" s="50">
        <v>1250</v>
      </c>
      <c r="GD6" s="50">
        <v>1250</v>
      </c>
      <c r="GE6" s="50">
        <v>1250</v>
      </c>
      <c r="GF6" s="50">
        <v>1250</v>
      </c>
      <c r="GG6" s="50">
        <v>1250</v>
      </c>
      <c r="GH6" s="50">
        <v>1250</v>
      </c>
      <c r="GI6" s="50">
        <v>1250</v>
      </c>
      <c r="GJ6" s="50">
        <v>1250</v>
      </c>
      <c r="GK6" s="50">
        <v>1250</v>
      </c>
      <c r="GL6" s="50">
        <v>1250</v>
      </c>
      <c r="GM6" s="50">
        <v>1250</v>
      </c>
      <c r="GN6" s="50">
        <v>1250</v>
      </c>
      <c r="GO6" s="50">
        <v>1300</v>
      </c>
      <c r="GP6" s="50">
        <v>1300</v>
      </c>
      <c r="GQ6" s="50">
        <v>1300</v>
      </c>
      <c r="GR6" s="50">
        <v>1300</v>
      </c>
      <c r="GS6" s="50">
        <v>1300</v>
      </c>
      <c r="GT6" s="50">
        <v>1300</v>
      </c>
      <c r="GU6" s="50">
        <v>1300</v>
      </c>
      <c r="GV6" s="50">
        <v>1300</v>
      </c>
      <c r="GW6" s="50">
        <v>1300</v>
      </c>
      <c r="GX6" s="50">
        <v>1300</v>
      </c>
      <c r="GY6" s="50">
        <v>1300</v>
      </c>
      <c r="GZ6" s="50">
        <v>1300</v>
      </c>
      <c r="HA6" s="50">
        <v>1300</v>
      </c>
      <c r="HB6" s="50">
        <v>1300</v>
      </c>
      <c r="HC6" s="50">
        <v>1300</v>
      </c>
      <c r="HD6" s="50">
        <v>1300</v>
      </c>
      <c r="HE6" s="50">
        <v>1300</v>
      </c>
      <c r="HF6" s="50">
        <v>1300</v>
      </c>
      <c r="HG6" s="50">
        <v>1310</v>
      </c>
      <c r="HH6" s="50">
        <v>1310</v>
      </c>
      <c r="HI6" s="50">
        <v>1310</v>
      </c>
      <c r="HJ6" s="50">
        <v>1310</v>
      </c>
      <c r="HK6" s="50">
        <v>1325</v>
      </c>
      <c r="HL6" s="50">
        <v>1325</v>
      </c>
      <c r="HM6" s="50">
        <v>1325</v>
      </c>
      <c r="HN6" s="50">
        <v>1325</v>
      </c>
      <c r="HO6" s="50">
        <v>1325</v>
      </c>
      <c r="HP6" s="50">
        <v>1325</v>
      </c>
      <c r="HQ6" s="50">
        <v>1325</v>
      </c>
      <c r="HR6" s="50">
        <v>1325</v>
      </c>
      <c r="HS6" s="50">
        <v>1325</v>
      </c>
      <c r="HT6" s="50">
        <f>1325-50</f>
        <v>1275</v>
      </c>
      <c r="HU6" s="50">
        <f>HT6</f>
        <v>1275</v>
      </c>
      <c r="HV6" s="50">
        <f t="shared" ref="HV6:HW6" si="2">HU6</f>
        <v>1275</v>
      </c>
      <c r="HW6" s="50">
        <f t="shared" si="2"/>
        <v>1275</v>
      </c>
      <c r="HX6" s="50">
        <v>1230</v>
      </c>
      <c r="HY6" s="50">
        <f t="shared" ref="HY6:IA6" si="3">HX6</f>
        <v>1230</v>
      </c>
      <c r="HZ6" s="50">
        <f t="shared" si="3"/>
        <v>1230</v>
      </c>
      <c r="IA6" s="50">
        <f t="shared" si="3"/>
        <v>1230</v>
      </c>
      <c r="IB6" s="50">
        <f>IA6</f>
        <v>1230</v>
      </c>
      <c r="IC6" s="50">
        <f t="shared" ref="IC6:IG6" si="4">IB6</f>
        <v>1230</v>
      </c>
      <c r="ID6" s="50">
        <f t="shared" si="4"/>
        <v>1230</v>
      </c>
      <c r="IE6" s="50">
        <f t="shared" si="4"/>
        <v>1230</v>
      </c>
      <c r="IF6" s="50">
        <f t="shared" si="4"/>
        <v>1230</v>
      </c>
      <c r="IG6" s="50">
        <f t="shared" si="4"/>
        <v>1230</v>
      </c>
      <c r="IH6" s="50">
        <f t="shared" ref="IH6" si="5">IG6</f>
        <v>1230</v>
      </c>
      <c r="II6" s="50">
        <f t="shared" ref="II6" si="6">IH6</f>
        <v>1230</v>
      </c>
      <c r="IJ6" s="50">
        <f>II6+20</f>
        <v>1250</v>
      </c>
      <c r="IK6" s="50">
        <f t="shared" ref="IK6" si="7">IJ6</f>
        <v>1250</v>
      </c>
      <c r="IL6" s="50">
        <f t="shared" ref="IL6" si="8">IK6</f>
        <v>1250</v>
      </c>
      <c r="IM6" s="50">
        <f t="shared" ref="IM6:IN6" si="9">IL6</f>
        <v>1250</v>
      </c>
      <c r="IN6" s="50">
        <f t="shared" si="9"/>
        <v>1250</v>
      </c>
      <c r="IO6" s="50">
        <f t="shared" ref="IO6" si="10">IN6</f>
        <v>1250</v>
      </c>
      <c r="IP6" s="50">
        <f t="shared" ref="IP6" si="11">IO6</f>
        <v>1250</v>
      </c>
      <c r="IQ6" s="50">
        <f t="shared" ref="IQ6" si="12">IP6</f>
        <v>1250</v>
      </c>
      <c r="IR6" s="50">
        <f t="shared" ref="IR6" si="13">IQ6</f>
        <v>1250</v>
      </c>
      <c r="IS6" s="181">
        <v>1223.0834518238944</v>
      </c>
      <c r="IT6" s="181">
        <v>1225.2286130144778</v>
      </c>
      <c r="IU6" s="181">
        <v>1219.8594659765122</v>
      </c>
      <c r="IV6" s="181">
        <v>1219.0530532801668</v>
      </c>
      <c r="IW6" s="181">
        <v>1215.2889161210533</v>
      </c>
      <c r="IX6" s="181">
        <v>1228.3131376081585</v>
      </c>
      <c r="IY6" s="181">
        <v>1216.0902473013</v>
      </c>
      <c r="IZ6" s="181">
        <v>1220.5681658529486</v>
      </c>
      <c r="JA6" s="181">
        <v>1216.9073448021679</v>
      </c>
      <c r="JB6" s="181">
        <v>1204.4734152440301</v>
      </c>
      <c r="JC6" s="181">
        <v>1187.6813772398909</v>
      </c>
      <c r="JD6" s="50">
        <v>1220</v>
      </c>
      <c r="JE6" s="50">
        <f t="shared" ref="JE6" si="14">JD6</f>
        <v>1220</v>
      </c>
      <c r="JF6" s="50">
        <f t="shared" ref="JF6" si="15">JE6</f>
        <v>1220</v>
      </c>
      <c r="JG6" s="50">
        <f t="shared" ref="JG6" si="16">JF6</f>
        <v>1220</v>
      </c>
      <c r="JH6" s="50">
        <f t="shared" ref="JH6" si="17">JG6</f>
        <v>1220</v>
      </c>
      <c r="JI6" s="50">
        <f t="shared" ref="JI6" si="18">JH6</f>
        <v>1220</v>
      </c>
      <c r="JJ6" s="50">
        <v>1210</v>
      </c>
      <c r="JK6" s="50">
        <f t="shared" ref="JK6" si="19">JJ6</f>
        <v>1210</v>
      </c>
      <c r="JL6" s="50">
        <f t="shared" ref="JL6" si="20">JK6</f>
        <v>1210</v>
      </c>
      <c r="JM6" s="50">
        <f t="shared" ref="JM6" si="21">JL6</f>
        <v>1210</v>
      </c>
      <c r="JN6" s="50">
        <v>1210</v>
      </c>
      <c r="JO6" s="50">
        <v>1200</v>
      </c>
      <c r="JP6" s="50">
        <v>1200</v>
      </c>
      <c r="JQ6" s="50">
        <v>1200</v>
      </c>
      <c r="JR6" s="50">
        <v>1200</v>
      </c>
      <c r="JS6" s="50">
        <v>1200</v>
      </c>
      <c r="JT6" s="50">
        <v>1200</v>
      </c>
      <c r="JU6" s="50">
        <v>1200</v>
      </c>
      <c r="JV6" s="50">
        <v>1200</v>
      </c>
      <c r="JW6" s="50">
        <v>1160</v>
      </c>
      <c r="JX6" s="50">
        <v>1160</v>
      </c>
      <c r="JY6" s="50">
        <v>1160</v>
      </c>
      <c r="JZ6" s="50">
        <v>1160</v>
      </c>
      <c r="KA6" s="50">
        <v>1160</v>
      </c>
    </row>
    <row r="7" spans="1:287" ht="14" hidden="1">
      <c r="A7" s="9">
        <v>6</v>
      </c>
      <c r="B7" s="11" t="s">
        <v>25</v>
      </c>
      <c r="C7" s="11" t="s">
        <v>26</v>
      </c>
      <c r="D7" s="9" t="s">
        <v>27</v>
      </c>
      <c r="E7" s="11" t="s">
        <v>28</v>
      </c>
      <c r="F7" s="11" t="s">
        <v>61</v>
      </c>
      <c r="G7" s="9" t="s">
        <v>24</v>
      </c>
      <c r="H7" s="112" t="s">
        <v>132</v>
      </c>
      <c r="I7" s="12">
        <v>1250</v>
      </c>
      <c r="J7" s="12">
        <v>1250</v>
      </c>
      <c r="K7" s="12">
        <v>1250</v>
      </c>
      <c r="L7" s="12">
        <v>1250</v>
      </c>
      <c r="M7" s="12">
        <v>1250</v>
      </c>
      <c r="N7" s="12">
        <v>1250</v>
      </c>
      <c r="O7" s="12">
        <v>1270</v>
      </c>
      <c r="P7" s="12">
        <v>1270</v>
      </c>
      <c r="Q7" s="12">
        <v>1270</v>
      </c>
      <c r="R7" s="12">
        <v>1270</v>
      </c>
      <c r="S7" s="12">
        <v>1320</v>
      </c>
      <c r="T7" s="12">
        <v>1320</v>
      </c>
      <c r="U7" s="12">
        <v>1320</v>
      </c>
      <c r="V7" s="12">
        <v>1320</v>
      </c>
      <c r="W7" s="36">
        <f>W6+20</f>
        <v>1470</v>
      </c>
      <c r="X7" s="36">
        <f>X6+20</f>
        <v>1570</v>
      </c>
      <c r="Y7" s="36">
        <f>Y6+20</f>
        <v>1570</v>
      </c>
      <c r="Z7" s="36">
        <f>Z6+20</f>
        <v>1570</v>
      </c>
      <c r="AA7" s="36">
        <f>AA6+20</f>
        <v>1570</v>
      </c>
      <c r="AB7" s="12">
        <v>1500</v>
      </c>
      <c r="AC7" s="12">
        <f t="shared" ref="AC7:AK7" si="22">AC6+20</f>
        <v>1500</v>
      </c>
      <c r="AD7" s="12" t="e">
        <f t="shared" si="22"/>
        <v>#REF!</v>
      </c>
      <c r="AE7" s="12" t="e">
        <f t="shared" si="22"/>
        <v>#REF!</v>
      </c>
      <c r="AF7" s="12" t="e">
        <f t="shared" si="22"/>
        <v>#REF!</v>
      </c>
      <c r="AG7" s="12" t="e">
        <f t="shared" si="22"/>
        <v>#REF!</v>
      </c>
      <c r="AH7" s="12" t="e">
        <f t="shared" si="22"/>
        <v>#REF!</v>
      </c>
      <c r="AI7" s="12" t="e">
        <f t="shared" si="22"/>
        <v>#REF!</v>
      </c>
      <c r="AJ7" s="12" t="e">
        <f t="shared" si="22"/>
        <v>#REF!</v>
      </c>
      <c r="AK7" s="12">
        <f t="shared" si="22"/>
        <v>1350</v>
      </c>
      <c r="AL7" s="12">
        <f>+SUM(EA7:ED7)/4</f>
        <v>1330</v>
      </c>
      <c r="AM7" s="12">
        <f>+SUM(EB7:EE7)/4</f>
        <v>1330</v>
      </c>
      <c r="AN7" s="12">
        <f>+SUM(EI7:EK7)/COUNT(EI7:EK7)</f>
        <v>1380</v>
      </c>
      <c r="AO7" s="12">
        <f>+SUM(EM7:EP7)/COUNT(EM7:EP7)</f>
        <v>1380</v>
      </c>
      <c r="AP7" s="12">
        <f>+SUM(EQ7:EU7)/COUNT(EQ7:EU7)</f>
        <v>1380</v>
      </c>
      <c r="AQ7" s="12">
        <f>+SUM(EV7:EY7)/COUNT(EV7:EY7)</f>
        <v>1325</v>
      </c>
      <c r="AR7" s="12">
        <f>+SUM(EZ7:FC7)/COUNT(EZ7:FC7)</f>
        <v>1275</v>
      </c>
      <c r="AS7" s="50">
        <f>+SUM(FD7:FH7)/COUNT(FD7:FH7)</f>
        <v>1250</v>
      </c>
      <c r="AT7" s="50">
        <f t="shared" ref="AT7:BV8" si="23">FI7</f>
        <v>1250</v>
      </c>
      <c r="AU7" s="50">
        <f t="shared" si="23"/>
        <v>1250</v>
      </c>
      <c r="AV7" s="50">
        <f t="shared" si="23"/>
        <v>1250</v>
      </c>
      <c r="AW7" s="50">
        <f t="shared" si="23"/>
        <v>1250</v>
      </c>
      <c r="AX7" s="50">
        <f t="shared" si="23"/>
        <v>1250</v>
      </c>
      <c r="AY7" s="50">
        <f t="shared" si="23"/>
        <v>1250</v>
      </c>
      <c r="AZ7" s="50">
        <f t="shared" si="23"/>
        <v>1250</v>
      </c>
      <c r="BA7" s="50">
        <f t="shared" si="23"/>
        <v>1250</v>
      </c>
      <c r="BB7" s="50">
        <v>1300</v>
      </c>
      <c r="BC7" s="50">
        <v>1300</v>
      </c>
      <c r="BD7" s="50">
        <v>1300</v>
      </c>
      <c r="BE7" s="50">
        <v>1300</v>
      </c>
      <c r="BF7" s="50">
        <v>1300</v>
      </c>
      <c r="BG7" s="50">
        <v>1300</v>
      </c>
      <c r="BH7" s="50">
        <v>1300</v>
      </c>
      <c r="BI7" s="50">
        <v>1300</v>
      </c>
      <c r="BJ7" s="50">
        <v>1300</v>
      </c>
      <c r="BK7" s="50">
        <v>1300</v>
      </c>
      <c r="BL7" s="50">
        <v>1300</v>
      </c>
      <c r="BM7" s="50">
        <v>1300</v>
      </c>
      <c r="BN7" s="50">
        <v>1300</v>
      </c>
      <c r="BO7" s="50">
        <v>1300</v>
      </c>
      <c r="BP7" s="50">
        <v>1300</v>
      </c>
      <c r="BQ7" s="50">
        <v>1300</v>
      </c>
      <c r="BR7" s="50">
        <v>1300</v>
      </c>
      <c r="BS7" s="50">
        <v>1300</v>
      </c>
      <c r="BT7" s="50">
        <v>1300</v>
      </c>
      <c r="BU7" s="50">
        <v>1300</v>
      </c>
      <c r="BV7" s="50">
        <v>1300</v>
      </c>
      <c r="BW7" s="51"/>
      <c r="BX7" s="9" t="s">
        <v>101</v>
      </c>
      <c r="BY7" s="11" t="s">
        <v>28</v>
      </c>
      <c r="BZ7" s="112" t="s">
        <v>132</v>
      </c>
      <c r="CA7" s="11"/>
      <c r="CB7" s="11"/>
      <c r="CC7" s="11"/>
      <c r="CD7" s="11"/>
      <c r="CE7" s="11"/>
      <c r="CF7" s="11"/>
      <c r="CG7" s="11"/>
      <c r="CH7" s="11"/>
      <c r="CI7" s="11"/>
      <c r="CJ7" s="11"/>
      <c r="CK7" s="11"/>
      <c r="CL7" s="11"/>
      <c r="CM7" s="11"/>
      <c r="CN7" s="11"/>
      <c r="CO7" s="11"/>
      <c r="CP7" s="11"/>
      <c r="CQ7" s="11"/>
      <c r="CR7" s="11"/>
      <c r="CS7" s="11"/>
      <c r="CT7" s="11"/>
      <c r="CU7" s="11"/>
      <c r="CV7" s="11"/>
      <c r="CW7" s="11"/>
      <c r="CX7" s="12">
        <f t="shared" ref="CX7:DQ7" si="24">CX6+20</f>
        <v>1570</v>
      </c>
      <c r="CY7" s="12">
        <f t="shared" si="24"/>
        <v>1570</v>
      </c>
      <c r="CZ7" s="12">
        <f t="shared" si="24"/>
        <v>1570</v>
      </c>
      <c r="DA7" s="12">
        <f t="shared" si="24"/>
        <v>1570</v>
      </c>
      <c r="DB7" s="12">
        <f t="shared" si="24"/>
        <v>1570</v>
      </c>
      <c r="DC7" s="12">
        <f t="shared" si="24"/>
        <v>1570</v>
      </c>
      <c r="DD7" s="12">
        <f t="shared" si="24"/>
        <v>1570</v>
      </c>
      <c r="DE7" s="12">
        <f t="shared" si="24"/>
        <v>1500</v>
      </c>
      <c r="DF7" s="12">
        <f t="shared" si="24"/>
        <v>1500</v>
      </c>
      <c r="DG7" s="12">
        <f t="shared" si="24"/>
        <v>1500</v>
      </c>
      <c r="DH7" s="12">
        <f t="shared" si="24"/>
        <v>1500</v>
      </c>
      <c r="DI7" s="12">
        <f t="shared" si="24"/>
        <v>1500</v>
      </c>
      <c r="DJ7" s="12">
        <f t="shared" si="24"/>
        <v>1430</v>
      </c>
      <c r="DK7" s="12">
        <f t="shared" si="24"/>
        <v>1430</v>
      </c>
      <c r="DL7" s="12">
        <f t="shared" si="24"/>
        <v>1430</v>
      </c>
      <c r="DM7" s="12">
        <f t="shared" si="24"/>
        <v>1430</v>
      </c>
      <c r="DN7" s="12" t="e">
        <f t="shared" si="24"/>
        <v>#REF!</v>
      </c>
      <c r="DO7" s="50" t="e">
        <f t="shared" si="24"/>
        <v>#REF!</v>
      </c>
      <c r="DP7" s="12" t="e">
        <f t="shared" si="24"/>
        <v>#REF!</v>
      </c>
      <c r="DQ7" s="12" t="e">
        <f t="shared" si="24"/>
        <v>#REF!</v>
      </c>
      <c r="DR7" s="12">
        <v>1400</v>
      </c>
      <c r="DS7" s="12">
        <v>1400</v>
      </c>
      <c r="DT7" s="12">
        <v>1400</v>
      </c>
      <c r="DU7" s="12">
        <v>1400</v>
      </c>
      <c r="DV7" s="12">
        <v>1400</v>
      </c>
      <c r="DW7" s="12">
        <v>1400</v>
      </c>
      <c r="DX7" s="12">
        <v>1400</v>
      </c>
      <c r="DY7" s="12">
        <v>1350</v>
      </c>
      <c r="DZ7" s="12">
        <v>1350</v>
      </c>
      <c r="EA7" s="12">
        <f t="shared" ref="EA7:FF7" si="25">EA6</f>
        <v>1330</v>
      </c>
      <c r="EB7" s="12">
        <f t="shared" si="25"/>
        <v>1330</v>
      </c>
      <c r="EC7" s="12">
        <f t="shared" si="25"/>
        <v>1330</v>
      </c>
      <c r="ED7" s="12">
        <f t="shared" si="25"/>
        <v>1330</v>
      </c>
      <c r="EE7" s="12">
        <f t="shared" si="25"/>
        <v>1330</v>
      </c>
      <c r="EF7" s="12">
        <f t="shared" si="25"/>
        <v>1330</v>
      </c>
      <c r="EG7" s="12">
        <f t="shared" si="25"/>
        <v>1330</v>
      </c>
      <c r="EH7" s="12">
        <f t="shared" si="25"/>
        <v>1330</v>
      </c>
      <c r="EI7" s="12">
        <f t="shared" si="25"/>
        <v>1380</v>
      </c>
      <c r="EJ7" s="12">
        <f t="shared" si="25"/>
        <v>1380</v>
      </c>
      <c r="EK7" s="12">
        <f t="shared" si="25"/>
        <v>1380</v>
      </c>
      <c r="EL7" s="12">
        <f t="shared" si="25"/>
        <v>1380</v>
      </c>
      <c r="EM7" s="12">
        <f t="shared" si="25"/>
        <v>1380</v>
      </c>
      <c r="EN7" s="12">
        <f t="shared" si="25"/>
        <v>1380</v>
      </c>
      <c r="EO7" s="12">
        <f t="shared" si="25"/>
        <v>1380</v>
      </c>
      <c r="EP7" s="12">
        <f t="shared" si="25"/>
        <v>1380</v>
      </c>
      <c r="EQ7" s="12">
        <f t="shared" si="25"/>
        <v>1380</v>
      </c>
      <c r="ER7" s="12">
        <f t="shared" si="25"/>
        <v>1380</v>
      </c>
      <c r="ES7" s="12">
        <f t="shared" si="25"/>
        <v>1380</v>
      </c>
      <c r="ET7" s="12">
        <f t="shared" si="25"/>
        <v>1380</v>
      </c>
      <c r="EU7" s="12">
        <f t="shared" si="25"/>
        <v>1380</v>
      </c>
      <c r="EV7" s="12">
        <f t="shared" si="25"/>
        <v>1350</v>
      </c>
      <c r="EW7" s="12">
        <f t="shared" si="25"/>
        <v>1350</v>
      </c>
      <c r="EX7" s="12">
        <f t="shared" si="25"/>
        <v>1300</v>
      </c>
      <c r="EY7" s="12">
        <f t="shared" si="25"/>
        <v>1300</v>
      </c>
      <c r="EZ7" s="12">
        <f t="shared" si="25"/>
        <v>1300</v>
      </c>
      <c r="FA7" s="12">
        <f t="shared" si="25"/>
        <v>1300</v>
      </c>
      <c r="FB7" s="12">
        <f t="shared" si="25"/>
        <v>1250</v>
      </c>
      <c r="FC7" s="12">
        <f t="shared" si="25"/>
        <v>1250</v>
      </c>
      <c r="FD7" s="12">
        <f t="shared" si="25"/>
        <v>1250</v>
      </c>
      <c r="FE7" s="12">
        <f t="shared" si="25"/>
        <v>1250</v>
      </c>
      <c r="FF7" s="12">
        <f t="shared" si="25"/>
        <v>1250</v>
      </c>
      <c r="FG7" s="12">
        <f t="shared" ref="FG7:FX7" si="26">FG6</f>
        <v>1250</v>
      </c>
      <c r="FH7" s="12">
        <f t="shared" si="26"/>
        <v>1250</v>
      </c>
      <c r="FI7" s="12">
        <f t="shared" si="26"/>
        <v>1250</v>
      </c>
      <c r="FJ7" s="12">
        <f t="shared" si="26"/>
        <v>1250</v>
      </c>
      <c r="FK7" s="12">
        <f t="shared" si="26"/>
        <v>1250</v>
      </c>
      <c r="FL7" s="12">
        <f t="shared" si="26"/>
        <v>1250</v>
      </c>
      <c r="FM7" s="12">
        <f t="shared" si="26"/>
        <v>1250</v>
      </c>
      <c r="FN7" s="12">
        <f t="shared" si="26"/>
        <v>1250</v>
      </c>
      <c r="FO7" s="12">
        <f t="shared" si="26"/>
        <v>1250</v>
      </c>
      <c r="FP7" s="12">
        <f t="shared" si="26"/>
        <v>1250</v>
      </c>
      <c r="FQ7" s="12">
        <f t="shared" si="26"/>
        <v>1250</v>
      </c>
      <c r="FR7" s="12">
        <f t="shared" si="26"/>
        <v>1250</v>
      </c>
      <c r="FS7" s="12">
        <f t="shared" si="26"/>
        <v>1250</v>
      </c>
      <c r="FT7" s="12">
        <f t="shared" si="26"/>
        <v>1250</v>
      </c>
      <c r="FU7" s="12">
        <f t="shared" si="26"/>
        <v>1250</v>
      </c>
      <c r="FV7" s="12">
        <f t="shared" si="26"/>
        <v>1250</v>
      </c>
      <c r="FW7" s="12">
        <f t="shared" si="26"/>
        <v>1250</v>
      </c>
      <c r="FX7" s="12">
        <f t="shared" si="26"/>
        <v>1250</v>
      </c>
      <c r="FY7" s="12">
        <v>1250</v>
      </c>
      <c r="FZ7" s="12">
        <v>1250</v>
      </c>
      <c r="GA7" s="12">
        <v>1250</v>
      </c>
      <c r="GB7" s="12">
        <v>1250</v>
      </c>
      <c r="GC7" s="12">
        <v>1250</v>
      </c>
      <c r="GD7" s="12">
        <v>1250</v>
      </c>
      <c r="GE7" s="12">
        <v>1250</v>
      </c>
      <c r="GF7" s="12">
        <v>1250</v>
      </c>
      <c r="GG7" s="12">
        <v>1250</v>
      </c>
      <c r="GH7" s="12">
        <v>1250</v>
      </c>
      <c r="GI7" s="12">
        <v>1250</v>
      </c>
      <c r="GJ7" s="12">
        <v>1250</v>
      </c>
      <c r="GK7" s="12">
        <v>1250</v>
      </c>
      <c r="GL7" s="12">
        <v>1250</v>
      </c>
      <c r="GM7" s="12">
        <v>1250</v>
      </c>
      <c r="GN7" s="12">
        <v>1250</v>
      </c>
      <c r="GO7" s="12">
        <v>1250</v>
      </c>
      <c r="GP7" s="12">
        <v>1250</v>
      </c>
      <c r="GQ7" s="12">
        <v>1250</v>
      </c>
      <c r="GR7" s="12">
        <v>1250</v>
      </c>
      <c r="GS7" s="12">
        <v>1250</v>
      </c>
      <c r="GT7" s="12">
        <v>1250</v>
      </c>
      <c r="GU7" s="12">
        <v>1250</v>
      </c>
      <c r="GV7" s="12">
        <v>1250</v>
      </c>
      <c r="GW7" s="12">
        <v>1250</v>
      </c>
      <c r="GX7" s="12"/>
      <c r="GY7" s="12"/>
      <c r="GZ7" s="12"/>
      <c r="HA7" s="12"/>
      <c r="HB7" s="12"/>
      <c r="HC7" s="12"/>
      <c r="HD7" s="12"/>
      <c r="HE7" s="12"/>
      <c r="HF7" s="12"/>
      <c r="HG7" s="12"/>
      <c r="HH7" s="12"/>
      <c r="HI7" s="12"/>
      <c r="HJ7" s="12"/>
      <c r="HK7" s="12"/>
      <c r="HL7" s="12"/>
      <c r="HM7" s="12"/>
      <c r="HN7" s="12"/>
      <c r="HO7" s="12"/>
      <c r="HP7" s="12"/>
      <c r="HQ7" s="12"/>
      <c r="HR7" s="12"/>
      <c r="HS7" s="12"/>
      <c r="HT7" s="12"/>
      <c r="HU7" s="12"/>
      <c r="HV7" s="12"/>
      <c r="HW7" s="12"/>
      <c r="HX7" s="12"/>
      <c r="HY7" s="12"/>
      <c r="HZ7" s="12"/>
      <c r="IA7" s="12"/>
      <c r="IB7" s="12"/>
      <c r="IC7" s="12"/>
      <c r="ID7" s="12"/>
      <c r="IE7" s="12"/>
      <c r="IF7" s="12"/>
      <c r="IG7" s="12"/>
      <c r="IH7" s="12"/>
      <c r="II7" s="12"/>
      <c r="IJ7" s="12"/>
      <c r="IK7" s="12"/>
      <c r="IL7" s="12"/>
      <c r="IM7" s="12"/>
      <c r="IN7" s="12"/>
      <c r="IO7" s="12"/>
      <c r="IP7" s="12"/>
      <c r="IQ7" s="12"/>
      <c r="IR7" s="12"/>
      <c r="IS7" s="12"/>
      <c r="IT7" s="12"/>
      <c r="IU7" s="12"/>
      <c r="IV7" s="12"/>
      <c r="IW7" s="12"/>
      <c r="IX7" s="12"/>
      <c r="IY7" s="12"/>
      <c r="IZ7" s="12"/>
      <c r="JA7" s="12"/>
      <c r="JB7" s="12"/>
      <c r="JC7" s="12"/>
      <c r="JD7" s="12"/>
      <c r="JE7" s="12"/>
      <c r="JF7" s="12"/>
      <c r="JG7" s="12"/>
      <c r="JH7" s="12"/>
      <c r="JI7" s="12"/>
      <c r="JJ7" s="12"/>
      <c r="JK7" s="12"/>
      <c r="JL7" s="12"/>
      <c r="JM7" s="12"/>
      <c r="JN7" s="12"/>
      <c r="JO7" s="12"/>
      <c r="JP7" s="12"/>
      <c r="JQ7" s="12"/>
      <c r="JR7" s="12"/>
      <c r="JS7" s="12"/>
      <c r="JT7" s="12"/>
      <c r="JU7" s="12"/>
      <c r="JV7" s="12"/>
      <c r="JW7" s="12"/>
      <c r="JX7" s="12"/>
      <c r="JY7" s="12"/>
      <c r="JZ7" s="12"/>
      <c r="KA7" s="12"/>
    </row>
    <row r="8" spans="1:287" ht="14" hidden="1">
      <c r="A8" s="9">
        <v>7</v>
      </c>
      <c r="B8" s="11" t="s">
        <v>32</v>
      </c>
      <c r="C8" s="11" t="s">
        <v>33</v>
      </c>
      <c r="D8" s="9" t="s">
        <v>34</v>
      </c>
      <c r="E8" s="11" t="s">
        <v>35</v>
      </c>
      <c r="F8" s="11" t="s">
        <v>62</v>
      </c>
      <c r="G8" s="9" t="s">
        <v>24</v>
      </c>
      <c r="H8" s="11" t="s">
        <v>72</v>
      </c>
      <c r="I8" s="12">
        <f t="shared" ref="I8:S8" si="27">I7+30</f>
        <v>1280</v>
      </c>
      <c r="J8" s="12">
        <f t="shared" si="27"/>
        <v>1280</v>
      </c>
      <c r="K8" s="12">
        <f t="shared" si="27"/>
        <v>1280</v>
      </c>
      <c r="L8" s="12">
        <f t="shared" si="27"/>
        <v>1280</v>
      </c>
      <c r="M8" s="12">
        <f t="shared" si="27"/>
        <v>1280</v>
      </c>
      <c r="N8" s="12">
        <f t="shared" si="27"/>
        <v>1280</v>
      </c>
      <c r="O8" s="12">
        <f t="shared" si="27"/>
        <v>1300</v>
      </c>
      <c r="P8" s="12">
        <f t="shared" si="27"/>
        <v>1300</v>
      </c>
      <c r="Q8" s="12">
        <f t="shared" si="27"/>
        <v>1300</v>
      </c>
      <c r="R8" s="12">
        <f t="shared" si="27"/>
        <v>1300</v>
      </c>
      <c r="S8" s="12">
        <f t="shared" si="27"/>
        <v>1350</v>
      </c>
      <c r="T8" s="12">
        <f>T7+50</f>
        <v>1370</v>
      </c>
      <c r="U8" s="12">
        <f>U7+50</f>
        <v>1370</v>
      </c>
      <c r="V8" s="12">
        <f>V7+50</f>
        <v>1370</v>
      </c>
      <c r="W8" s="36">
        <f>W7+100</f>
        <v>1570</v>
      </c>
      <c r="X8" s="36">
        <f>X7+100</f>
        <v>1670</v>
      </c>
      <c r="Y8" s="36">
        <f>Y7+100</f>
        <v>1670</v>
      </c>
      <c r="Z8" s="36">
        <f>Z7+80</f>
        <v>1650</v>
      </c>
      <c r="AA8" s="36">
        <f>AA7+80</f>
        <v>1650</v>
      </c>
      <c r="AB8" s="12">
        <v>1530</v>
      </c>
      <c r="AC8" s="12">
        <v>1530</v>
      </c>
      <c r="AD8" s="12" t="e">
        <f>#REF!/AD4*1000+20</f>
        <v>#REF!</v>
      </c>
      <c r="AE8" s="12" t="e">
        <f>#REF!/AE4*1000+20</f>
        <v>#REF!</v>
      </c>
      <c r="AF8" s="12" t="e">
        <f>#REF!/AF4*1000+20</f>
        <v>#REF!</v>
      </c>
      <c r="AG8" s="12" t="e">
        <f>#REF!/AG4*1000+20</f>
        <v>#REF!</v>
      </c>
      <c r="AH8" s="12" t="e">
        <f>#REF!/AH4*1000+20</f>
        <v>#REF!</v>
      </c>
      <c r="AI8" s="12" t="e">
        <f>#REF!/AI4*1000+20</f>
        <v>#REF!</v>
      </c>
      <c r="AJ8" s="12" t="e">
        <f>#REF!/AJ4*1000+20</f>
        <v>#REF!</v>
      </c>
      <c r="AK8" s="12" t="e">
        <f>#REF!/AK4*1000+20</f>
        <v>#REF!</v>
      </c>
      <c r="AL8" s="12" t="e">
        <f>#REF!/AL4*1000+20</f>
        <v>#REF!</v>
      </c>
      <c r="AM8" s="12">
        <f>+SUM(EE8:EH8)/4</f>
        <v>1397.5</v>
      </c>
      <c r="AN8" s="12">
        <f>+SUM(EI8:EK8)/COUNT(EI8:EK8)</f>
        <v>1410</v>
      </c>
      <c r="AO8" s="12">
        <f>+SUM(EM8:EP8)/COUNT(EM8:EP8)</f>
        <v>1410</v>
      </c>
      <c r="AP8" s="12">
        <f>+SUM(EQ8:EU8)/COUNT(EQ8:EU8)</f>
        <v>1410</v>
      </c>
      <c r="AQ8" s="12">
        <f>+SUM(EV8:EY8)/COUNT(EV8:EY8)</f>
        <v>1355</v>
      </c>
      <c r="AR8" s="12">
        <f>+SUM(EZ8:FC8)/COUNT(EZ8:FC8)</f>
        <v>1305</v>
      </c>
      <c r="AS8" s="50">
        <f>+SUM(FD8:FH8)/COUNT(FD8:FH8)</f>
        <v>1280</v>
      </c>
      <c r="AT8" s="50">
        <f t="shared" si="23"/>
        <v>1280</v>
      </c>
      <c r="AU8" s="50">
        <f t="shared" si="23"/>
        <v>1280</v>
      </c>
      <c r="AV8" s="50">
        <f t="shared" si="23"/>
        <v>1280</v>
      </c>
      <c r="AW8" s="50">
        <f t="shared" si="23"/>
        <v>1280</v>
      </c>
      <c r="AX8" s="50">
        <f t="shared" si="23"/>
        <v>1280</v>
      </c>
      <c r="AY8" s="50">
        <f t="shared" si="23"/>
        <v>1280</v>
      </c>
      <c r="AZ8" s="50">
        <f t="shared" si="23"/>
        <v>1280</v>
      </c>
      <c r="BA8" s="50">
        <f t="shared" si="23"/>
        <v>1280</v>
      </c>
      <c r="BB8" s="50">
        <f t="shared" si="23"/>
        <v>1280</v>
      </c>
      <c r="BC8" s="50">
        <f t="shared" si="23"/>
        <v>1280</v>
      </c>
      <c r="BD8" s="50">
        <f t="shared" si="23"/>
        <v>1280</v>
      </c>
      <c r="BE8" s="50">
        <f t="shared" si="23"/>
        <v>1280</v>
      </c>
      <c r="BF8" s="50">
        <f t="shared" si="23"/>
        <v>1280</v>
      </c>
      <c r="BG8" s="50">
        <f t="shared" si="23"/>
        <v>1280</v>
      </c>
      <c r="BH8" s="50">
        <f t="shared" si="23"/>
        <v>1280</v>
      </c>
      <c r="BI8" s="50">
        <f t="shared" si="23"/>
        <v>1280</v>
      </c>
      <c r="BJ8" s="50">
        <f t="shared" si="23"/>
        <v>1280</v>
      </c>
      <c r="BK8" s="50">
        <f t="shared" si="23"/>
        <v>1280</v>
      </c>
      <c r="BL8" s="50">
        <f t="shared" si="23"/>
        <v>1280</v>
      </c>
      <c r="BM8" s="50">
        <f t="shared" si="23"/>
        <v>1280</v>
      </c>
      <c r="BN8" s="50">
        <f t="shared" si="23"/>
        <v>1280</v>
      </c>
      <c r="BO8" s="50">
        <f t="shared" si="23"/>
        <v>1280</v>
      </c>
      <c r="BP8" s="50">
        <f t="shared" si="23"/>
        <v>1280</v>
      </c>
      <c r="BQ8" s="50">
        <f t="shared" si="23"/>
        <v>1280</v>
      </c>
      <c r="BR8" s="50">
        <f t="shared" si="23"/>
        <v>1280</v>
      </c>
      <c r="BS8" s="50">
        <f t="shared" si="23"/>
        <v>1280</v>
      </c>
      <c r="BT8" s="50">
        <f t="shared" si="23"/>
        <v>1280</v>
      </c>
      <c r="BU8" s="50">
        <f t="shared" si="23"/>
        <v>1280</v>
      </c>
      <c r="BV8" s="50">
        <f t="shared" si="23"/>
        <v>1280</v>
      </c>
      <c r="BX8" s="9" t="s">
        <v>34</v>
      </c>
      <c r="BY8" s="11" t="s">
        <v>35</v>
      </c>
      <c r="BZ8" s="11" t="s">
        <v>72</v>
      </c>
      <c r="CA8" s="11"/>
      <c r="CB8" s="11"/>
      <c r="CC8" s="11"/>
      <c r="CD8" s="11"/>
      <c r="CE8" s="11"/>
      <c r="CF8" s="11"/>
      <c r="CG8" s="11"/>
      <c r="CH8" s="11"/>
      <c r="CI8" s="11"/>
      <c r="CJ8" s="11"/>
      <c r="CK8" s="11"/>
      <c r="CL8" s="11"/>
      <c r="CM8" s="11"/>
      <c r="CN8" s="11"/>
      <c r="CO8" s="11"/>
      <c r="CP8" s="11"/>
      <c r="CQ8" s="11"/>
      <c r="CR8" s="11"/>
      <c r="CS8" s="11"/>
      <c r="CT8" s="11"/>
      <c r="CU8" s="11"/>
      <c r="CV8" s="11"/>
      <c r="CW8" s="11"/>
      <c r="CX8" s="12">
        <v>1650</v>
      </c>
      <c r="CY8" s="12">
        <v>1650</v>
      </c>
      <c r="CZ8" s="12">
        <v>1650</v>
      </c>
      <c r="DA8" s="12">
        <v>1650</v>
      </c>
      <c r="DB8" s="12">
        <v>1650</v>
      </c>
      <c r="DC8" s="12">
        <v>1650</v>
      </c>
      <c r="DD8" s="12">
        <v>1650</v>
      </c>
      <c r="DE8" s="12">
        <v>1530</v>
      </c>
      <c r="DF8" s="12">
        <v>1530</v>
      </c>
      <c r="DG8" s="12">
        <v>1530</v>
      </c>
      <c r="DH8" s="12">
        <v>1530</v>
      </c>
      <c r="DI8" s="12">
        <v>1530</v>
      </c>
      <c r="DJ8" s="12">
        <v>1460</v>
      </c>
      <c r="DK8" s="12">
        <v>1460</v>
      </c>
      <c r="DL8" s="12">
        <v>1460</v>
      </c>
      <c r="DM8" s="12">
        <v>1460</v>
      </c>
      <c r="DN8" s="12" t="e">
        <f>#REF!/DN4*1000+20</f>
        <v>#REF!</v>
      </c>
      <c r="DO8" s="50" t="e">
        <f>#REF!/DO4*1000+20</f>
        <v>#REF!</v>
      </c>
      <c r="DP8" s="12" t="e">
        <f>#REF!/DP4*1000+20</f>
        <v>#REF!</v>
      </c>
      <c r="DQ8" s="12" t="e">
        <f>#REF!/DQ4*1000+20</f>
        <v>#REF!</v>
      </c>
      <c r="DR8" s="12">
        <v>1410</v>
      </c>
      <c r="DS8" s="12">
        <v>1410</v>
      </c>
      <c r="DT8" s="12">
        <v>1410</v>
      </c>
      <c r="DU8" s="12">
        <v>1410</v>
      </c>
      <c r="DV8" s="12">
        <v>1410</v>
      </c>
      <c r="DW8" s="12">
        <v>1410</v>
      </c>
      <c r="DX8" s="12">
        <v>1410</v>
      </c>
      <c r="DY8" s="12">
        <v>1410</v>
      </c>
      <c r="DZ8" s="12">
        <v>1410</v>
      </c>
      <c r="EA8" s="12">
        <v>1410</v>
      </c>
      <c r="EB8" s="12">
        <v>1410</v>
      </c>
      <c r="EC8" s="12">
        <v>1410</v>
      </c>
      <c r="ED8" s="12">
        <v>1410</v>
      </c>
      <c r="EE8" s="12">
        <v>1410</v>
      </c>
      <c r="EF8" s="12">
        <v>1410</v>
      </c>
      <c r="EG8" s="12">
        <v>1410</v>
      </c>
      <c r="EH8" s="12">
        <f t="shared" ref="EH8:FM8" si="28">+EH7+30</f>
        <v>1360</v>
      </c>
      <c r="EI8" s="12">
        <f t="shared" si="28"/>
        <v>1410</v>
      </c>
      <c r="EJ8" s="12">
        <f t="shared" si="28"/>
        <v>1410</v>
      </c>
      <c r="EK8" s="12">
        <f t="shared" si="28"/>
        <v>1410</v>
      </c>
      <c r="EL8" s="12">
        <f t="shared" si="28"/>
        <v>1410</v>
      </c>
      <c r="EM8" s="12">
        <f t="shared" si="28"/>
        <v>1410</v>
      </c>
      <c r="EN8" s="12">
        <f t="shared" si="28"/>
        <v>1410</v>
      </c>
      <c r="EO8" s="12">
        <f t="shared" si="28"/>
        <v>1410</v>
      </c>
      <c r="EP8" s="12">
        <f t="shared" si="28"/>
        <v>1410</v>
      </c>
      <c r="EQ8" s="12">
        <f t="shared" si="28"/>
        <v>1410</v>
      </c>
      <c r="ER8" s="12">
        <f t="shared" si="28"/>
        <v>1410</v>
      </c>
      <c r="ES8" s="12">
        <f t="shared" si="28"/>
        <v>1410</v>
      </c>
      <c r="ET8" s="12">
        <f t="shared" si="28"/>
        <v>1410</v>
      </c>
      <c r="EU8" s="12">
        <f t="shared" si="28"/>
        <v>1410</v>
      </c>
      <c r="EV8" s="12">
        <f t="shared" si="28"/>
        <v>1380</v>
      </c>
      <c r="EW8" s="12">
        <f t="shared" si="28"/>
        <v>1380</v>
      </c>
      <c r="EX8" s="12">
        <f t="shared" si="28"/>
        <v>1330</v>
      </c>
      <c r="EY8" s="12">
        <f t="shared" si="28"/>
        <v>1330</v>
      </c>
      <c r="EZ8" s="12">
        <f t="shared" si="28"/>
        <v>1330</v>
      </c>
      <c r="FA8" s="12">
        <f t="shared" si="28"/>
        <v>1330</v>
      </c>
      <c r="FB8" s="12">
        <f t="shared" si="28"/>
        <v>1280</v>
      </c>
      <c r="FC8" s="12">
        <f t="shared" si="28"/>
        <v>1280</v>
      </c>
      <c r="FD8" s="12">
        <f t="shared" si="28"/>
        <v>1280</v>
      </c>
      <c r="FE8" s="12">
        <f t="shared" si="28"/>
        <v>1280</v>
      </c>
      <c r="FF8" s="12">
        <f t="shared" si="28"/>
        <v>1280</v>
      </c>
      <c r="FG8" s="12">
        <f t="shared" si="28"/>
        <v>1280</v>
      </c>
      <c r="FH8" s="12">
        <f t="shared" si="28"/>
        <v>1280</v>
      </c>
      <c r="FI8" s="12">
        <f t="shared" si="28"/>
        <v>1280</v>
      </c>
      <c r="FJ8" s="12">
        <f t="shared" si="28"/>
        <v>1280</v>
      </c>
      <c r="FK8" s="12">
        <f t="shared" si="28"/>
        <v>1280</v>
      </c>
      <c r="FL8" s="12">
        <f t="shared" si="28"/>
        <v>1280</v>
      </c>
      <c r="FM8" s="12">
        <f t="shared" si="28"/>
        <v>1280</v>
      </c>
      <c r="FN8" s="12">
        <f t="shared" ref="FN8:GR8" si="29">+FN7+30</f>
        <v>1280</v>
      </c>
      <c r="FO8" s="12">
        <f t="shared" si="29"/>
        <v>1280</v>
      </c>
      <c r="FP8" s="12">
        <f t="shared" si="29"/>
        <v>1280</v>
      </c>
      <c r="FQ8" s="12">
        <f t="shared" si="29"/>
        <v>1280</v>
      </c>
      <c r="FR8" s="12">
        <f t="shared" si="29"/>
        <v>1280</v>
      </c>
      <c r="FS8" s="12">
        <f t="shared" si="29"/>
        <v>1280</v>
      </c>
      <c r="FT8" s="12">
        <f t="shared" si="29"/>
        <v>1280</v>
      </c>
      <c r="FU8" s="12">
        <f t="shared" si="29"/>
        <v>1280</v>
      </c>
      <c r="FV8" s="12">
        <f t="shared" si="29"/>
        <v>1280</v>
      </c>
      <c r="FW8" s="12">
        <f t="shared" si="29"/>
        <v>1280</v>
      </c>
      <c r="FX8" s="12">
        <f t="shared" si="29"/>
        <v>1280</v>
      </c>
      <c r="FY8" s="12">
        <f t="shared" si="29"/>
        <v>1280</v>
      </c>
      <c r="FZ8" s="12">
        <f t="shared" si="29"/>
        <v>1280</v>
      </c>
      <c r="GA8" s="12">
        <f t="shared" si="29"/>
        <v>1280</v>
      </c>
      <c r="GB8" s="12">
        <f t="shared" si="29"/>
        <v>1280</v>
      </c>
      <c r="GC8" s="12">
        <f t="shared" si="29"/>
        <v>1280</v>
      </c>
      <c r="GD8" s="12">
        <f t="shared" si="29"/>
        <v>1280</v>
      </c>
      <c r="GE8" s="12">
        <f t="shared" si="29"/>
        <v>1280</v>
      </c>
      <c r="GF8" s="12">
        <f t="shared" si="29"/>
        <v>1280</v>
      </c>
      <c r="GG8" s="12">
        <f t="shared" si="29"/>
        <v>1280</v>
      </c>
      <c r="GH8" s="12">
        <f t="shared" si="29"/>
        <v>1280</v>
      </c>
      <c r="GI8" s="12">
        <f t="shared" si="29"/>
        <v>1280</v>
      </c>
      <c r="GJ8" s="12">
        <f t="shared" si="29"/>
        <v>1280</v>
      </c>
      <c r="GK8" s="12">
        <f t="shared" si="29"/>
        <v>1280</v>
      </c>
      <c r="GL8" s="12">
        <f t="shared" si="29"/>
        <v>1280</v>
      </c>
      <c r="GM8" s="12">
        <f t="shared" si="29"/>
        <v>1280</v>
      </c>
      <c r="GN8" s="12">
        <f t="shared" si="29"/>
        <v>1280</v>
      </c>
      <c r="GO8" s="12">
        <f t="shared" si="29"/>
        <v>1280</v>
      </c>
      <c r="GP8" s="12">
        <f t="shared" si="29"/>
        <v>1280</v>
      </c>
      <c r="GQ8" s="12">
        <f t="shared" si="29"/>
        <v>1280</v>
      </c>
      <c r="GR8" s="12">
        <f t="shared" si="29"/>
        <v>1280</v>
      </c>
      <c r="GS8" s="12">
        <f t="shared" ref="GS8:GT8" si="30">+GS7+30</f>
        <v>1280</v>
      </c>
      <c r="GT8" s="12">
        <f t="shared" si="30"/>
        <v>1280</v>
      </c>
      <c r="GU8" s="12">
        <f t="shared" ref="GU8:GV8" si="31">+GU7+30</f>
        <v>1280</v>
      </c>
      <c r="GV8" s="12">
        <f t="shared" si="31"/>
        <v>1280</v>
      </c>
      <c r="GW8" s="12">
        <f t="shared" ref="GW8" si="32">+GW7+30</f>
        <v>1280</v>
      </c>
      <c r="GX8" s="12"/>
      <c r="GY8" s="12"/>
      <c r="GZ8" s="12"/>
      <c r="HA8" s="12"/>
      <c r="HB8" s="12"/>
      <c r="HC8" s="12"/>
      <c r="HD8" s="12"/>
      <c r="HE8" s="12"/>
      <c r="HF8" s="12"/>
      <c r="HG8" s="12"/>
      <c r="HH8" s="12"/>
      <c r="HI8" s="12"/>
      <c r="HJ8" s="12"/>
      <c r="HK8" s="12"/>
      <c r="HL8" s="12"/>
      <c r="HM8" s="12"/>
      <c r="HN8" s="12"/>
      <c r="HO8" s="12"/>
      <c r="HP8" s="12"/>
      <c r="HQ8" s="12"/>
      <c r="HR8" s="12"/>
      <c r="HS8" s="12"/>
      <c r="HT8" s="12"/>
      <c r="HU8" s="12"/>
      <c r="HV8" s="12"/>
      <c r="HW8" s="12"/>
      <c r="HX8" s="12"/>
      <c r="HY8" s="12"/>
      <c r="HZ8" s="12"/>
      <c r="IA8" s="12"/>
      <c r="IB8" s="12"/>
      <c r="IC8" s="12"/>
      <c r="ID8" s="12"/>
      <c r="IE8" s="12"/>
      <c r="IF8" s="12"/>
      <c r="IG8" s="12"/>
      <c r="IH8" s="12"/>
      <c r="II8" s="12"/>
      <c r="IJ8" s="12"/>
      <c r="IK8" s="12"/>
      <c r="IL8" s="12"/>
      <c r="IM8" s="12"/>
      <c r="IN8" s="12"/>
      <c r="IO8" s="12"/>
      <c r="IP8" s="12"/>
      <c r="IQ8" s="12"/>
      <c r="IR8" s="12"/>
      <c r="IS8" s="12"/>
      <c r="IT8" s="12"/>
      <c r="IU8" s="12"/>
      <c r="IV8" s="12"/>
      <c r="IW8" s="12"/>
      <c r="IX8" s="12"/>
      <c r="IY8" s="12"/>
      <c r="IZ8" s="12"/>
      <c r="JA8" s="12"/>
      <c r="JB8" s="12"/>
      <c r="JC8" s="12"/>
      <c r="JD8" s="12"/>
      <c r="JE8" s="12"/>
      <c r="JF8" s="12"/>
      <c r="JG8" s="12"/>
      <c r="JH8" s="12"/>
      <c r="JI8" s="12"/>
      <c r="JJ8" s="12"/>
      <c r="JK8" s="12"/>
      <c r="JL8" s="12"/>
      <c r="JM8" s="12"/>
      <c r="JN8" s="12"/>
      <c r="JO8" s="12"/>
      <c r="JP8" s="12"/>
      <c r="JQ8" s="12"/>
      <c r="JR8" s="12"/>
      <c r="JS8" s="12"/>
      <c r="JT8" s="12"/>
      <c r="JU8" s="12"/>
      <c r="JV8" s="12"/>
      <c r="JW8" s="12"/>
      <c r="JX8" s="12"/>
      <c r="JY8" s="12"/>
      <c r="JZ8" s="12"/>
      <c r="KA8" s="12"/>
    </row>
    <row r="9" spans="1:287" ht="14" hidden="1">
      <c r="A9" s="20"/>
      <c r="B9" s="21"/>
      <c r="C9" s="21"/>
      <c r="D9" s="38" t="s">
        <v>30</v>
      </c>
      <c r="E9" s="37"/>
      <c r="F9" s="37" t="s">
        <v>36</v>
      </c>
      <c r="G9" s="39" t="s">
        <v>23</v>
      </c>
      <c r="H9" s="37" t="s">
        <v>36</v>
      </c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40">
        <f>V8*23108/1000</f>
        <v>31657.96</v>
      </c>
      <c r="W9" s="40">
        <f>W8*23108/1000</f>
        <v>36279.56</v>
      </c>
      <c r="X9" s="40">
        <f>X8*23108/1000</f>
        <v>38590.36</v>
      </c>
      <c r="Y9" s="40">
        <f>Y8*23108/1000</f>
        <v>38590.36</v>
      </c>
      <c r="Z9" s="40">
        <f>Z8*Z4/1000</f>
        <v>38197.5</v>
      </c>
      <c r="AA9" s="47"/>
      <c r="AB9" s="69"/>
      <c r="AC9" s="40">
        <f t="shared" ref="AC9:AM9" si="33">AC8*AC4/1000</f>
        <v>35419.5</v>
      </c>
      <c r="AD9" s="40" t="e">
        <f t="shared" si="33"/>
        <v>#REF!</v>
      </c>
      <c r="AE9" s="40" t="e">
        <f t="shared" si="33"/>
        <v>#REF!</v>
      </c>
      <c r="AF9" s="40" t="e">
        <f t="shared" si="33"/>
        <v>#REF!</v>
      </c>
      <c r="AG9" s="40" t="e">
        <f t="shared" si="33"/>
        <v>#REF!</v>
      </c>
      <c r="AH9" s="40" t="e">
        <f t="shared" si="33"/>
        <v>#REF!</v>
      </c>
      <c r="AI9" s="40" t="e">
        <f t="shared" si="33"/>
        <v>#REF!</v>
      </c>
      <c r="AJ9" s="40" t="e">
        <f t="shared" si="33"/>
        <v>#REF!</v>
      </c>
      <c r="AK9" s="40" t="e">
        <f t="shared" si="33"/>
        <v>#REF!</v>
      </c>
      <c r="AL9" s="40" t="e">
        <f t="shared" si="33"/>
        <v>#REF!</v>
      </c>
      <c r="AM9" s="40">
        <f t="shared" si="33"/>
        <v>33540</v>
      </c>
      <c r="AN9" s="40"/>
      <c r="AO9" s="40"/>
      <c r="AP9" s="40"/>
      <c r="AQ9" s="40"/>
      <c r="AR9" s="40"/>
      <c r="AS9" s="40"/>
      <c r="AT9" s="40"/>
      <c r="AU9" s="40"/>
      <c r="AV9" s="40"/>
      <c r="AW9" s="40"/>
      <c r="AX9" s="40"/>
      <c r="AY9" s="40"/>
      <c r="AZ9" s="40"/>
      <c r="BA9" s="40"/>
      <c r="BB9" s="40"/>
      <c r="BC9" s="40"/>
      <c r="BD9" s="40"/>
      <c r="BE9" s="40"/>
      <c r="BF9" s="40"/>
      <c r="BG9" s="40"/>
      <c r="BH9" s="40"/>
      <c r="BI9" s="40"/>
      <c r="BJ9" s="40"/>
      <c r="BK9" s="40"/>
      <c r="BL9" s="40"/>
      <c r="BM9" s="40"/>
      <c r="BN9" s="40"/>
      <c r="BO9" s="40"/>
      <c r="BP9" s="40"/>
      <c r="BQ9" s="40"/>
      <c r="BR9" s="40"/>
      <c r="BS9" s="40"/>
      <c r="BT9" s="40"/>
      <c r="BU9" s="40"/>
      <c r="BV9" s="40"/>
      <c r="BX9" s="38" t="s">
        <v>30</v>
      </c>
      <c r="BY9" s="37"/>
      <c r="BZ9" s="37" t="s">
        <v>36</v>
      </c>
      <c r="CA9" s="37"/>
      <c r="CB9" s="37"/>
      <c r="CC9" s="37"/>
      <c r="CD9" s="37"/>
      <c r="CE9" s="37"/>
      <c r="CF9" s="37"/>
      <c r="CG9" s="37"/>
      <c r="CH9" s="37"/>
      <c r="CI9" s="37"/>
      <c r="CJ9" s="37"/>
      <c r="CK9" s="37"/>
      <c r="CL9" s="37"/>
      <c r="CM9" s="37"/>
      <c r="CN9" s="37"/>
      <c r="CO9" s="37"/>
      <c r="CP9" s="37"/>
      <c r="CQ9" s="37"/>
      <c r="CR9" s="37"/>
      <c r="CS9" s="37"/>
      <c r="CT9" s="37"/>
      <c r="CU9" s="37"/>
      <c r="CV9" s="37"/>
      <c r="CW9" s="37"/>
      <c r="CX9" s="47"/>
      <c r="CY9" s="47"/>
      <c r="CZ9" s="47"/>
      <c r="DA9" s="47"/>
      <c r="DB9" s="47"/>
      <c r="DC9" s="47"/>
      <c r="DD9" s="47"/>
      <c r="DE9" s="47"/>
      <c r="DF9" s="47"/>
      <c r="DG9" s="47"/>
      <c r="DH9" s="47"/>
      <c r="DI9" s="47"/>
      <c r="DJ9" s="47"/>
      <c r="DK9" s="47"/>
      <c r="DL9" s="47"/>
      <c r="DM9" s="47"/>
      <c r="DN9" s="47" t="e">
        <f>DN8*DN4/1000</f>
        <v>#REF!</v>
      </c>
      <c r="DO9" s="40" t="e">
        <f>DO8*DO4/1000</f>
        <v>#REF!</v>
      </c>
      <c r="DP9" s="40" t="e">
        <f>DP8*DP4/1000</f>
        <v>#REF!</v>
      </c>
      <c r="DQ9" s="40" t="e">
        <f>DQ8*DQ4/1000</f>
        <v>#REF!</v>
      </c>
      <c r="DR9" s="40">
        <v>33135</v>
      </c>
      <c r="DS9" s="40"/>
      <c r="DT9" s="40"/>
      <c r="DU9" s="40"/>
      <c r="DV9" s="40"/>
      <c r="DW9" s="40"/>
      <c r="DX9" s="40"/>
      <c r="DY9" s="40"/>
      <c r="DZ9" s="40"/>
      <c r="EA9" s="40"/>
      <c r="EB9" s="40"/>
      <c r="EC9" s="40"/>
      <c r="ED9" s="40"/>
      <c r="EE9" s="40"/>
      <c r="EF9" s="40"/>
      <c r="EG9" s="40"/>
      <c r="EH9" s="40"/>
      <c r="EI9" s="40"/>
      <c r="EJ9" s="40"/>
      <c r="EK9" s="40"/>
      <c r="EL9" s="40"/>
      <c r="EM9" s="40"/>
      <c r="EN9" s="40"/>
      <c r="EO9" s="40"/>
      <c r="EP9" s="40"/>
      <c r="EQ9" s="40"/>
      <c r="ER9" s="40"/>
      <c r="ES9" s="40"/>
      <c r="ET9" s="40"/>
      <c r="EU9" s="40"/>
      <c r="EV9" s="40"/>
      <c r="EW9" s="40"/>
      <c r="EX9" s="12" t="e">
        <f>+#REF!+30</f>
        <v>#REF!</v>
      </c>
      <c r="EY9" s="40"/>
      <c r="EZ9" s="40"/>
      <c r="FA9" s="40"/>
      <c r="FB9" s="40"/>
      <c r="FC9" s="40"/>
      <c r="FD9" s="40"/>
      <c r="FE9" s="40"/>
      <c r="FF9" s="40"/>
      <c r="FG9" s="40"/>
      <c r="FH9" s="40"/>
      <c r="FI9" s="40"/>
      <c r="FJ9" s="40"/>
      <c r="FK9" s="40"/>
      <c r="FL9" s="40"/>
      <c r="FM9" s="40"/>
      <c r="FN9" s="40"/>
      <c r="FO9" s="40"/>
      <c r="FP9" s="40"/>
      <c r="FQ9" s="40"/>
      <c r="FR9" s="40"/>
      <c r="FS9" s="40"/>
      <c r="FT9" s="40"/>
      <c r="FU9" s="40"/>
      <c r="FV9" s="40"/>
      <c r="FW9" s="40"/>
      <c r="FX9" s="40"/>
      <c r="FY9" s="40"/>
      <c r="FZ9" s="40"/>
      <c r="GA9" s="40"/>
      <c r="GB9" s="40"/>
      <c r="GC9" s="40"/>
      <c r="GD9" s="40"/>
      <c r="GE9" s="40"/>
      <c r="GF9" s="40"/>
      <c r="GG9" s="40"/>
      <c r="GH9" s="40"/>
      <c r="GI9" s="40"/>
    </row>
    <row r="10" spans="1:287" ht="8.15" hidden="1" customHeight="1">
      <c r="A10" s="20"/>
      <c r="B10" s="21"/>
      <c r="C10" s="21"/>
      <c r="D10" s="22"/>
      <c r="E10" s="52"/>
      <c r="F10" s="52"/>
      <c r="G10" s="22"/>
      <c r="H10" s="52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10"/>
      <c r="Y10" s="10"/>
      <c r="Z10" s="35"/>
      <c r="AA10" s="10"/>
      <c r="AB10" s="24"/>
      <c r="AC10" s="53"/>
      <c r="AD10" s="53"/>
      <c r="AE10" s="53"/>
      <c r="AF10" s="53"/>
      <c r="AG10" s="53"/>
      <c r="AH10" s="53"/>
      <c r="AI10" s="53"/>
      <c r="AJ10" s="53"/>
      <c r="AK10" s="53"/>
      <c r="AL10" s="53"/>
      <c r="AM10" s="53"/>
      <c r="AN10" s="53"/>
      <c r="AO10" s="53"/>
      <c r="AP10" s="53"/>
      <c r="AQ10" s="53"/>
      <c r="AR10" s="53"/>
      <c r="AS10" s="53"/>
      <c r="AT10" s="53"/>
      <c r="AU10" s="53"/>
      <c r="AV10" s="53"/>
      <c r="AW10" s="53"/>
      <c r="AX10" s="53"/>
      <c r="AY10" s="53"/>
      <c r="AZ10" s="53"/>
      <c r="BA10" s="53"/>
      <c r="BB10" s="53"/>
      <c r="BC10" s="53"/>
      <c r="BD10" s="53"/>
      <c r="BE10" s="53"/>
      <c r="BF10" s="53"/>
      <c r="BG10" s="53"/>
      <c r="BH10" s="53"/>
      <c r="BI10" s="53"/>
      <c r="BJ10" s="53"/>
      <c r="BK10" s="53"/>
      <c r="BL10" s="53"/>
      <c r="BM10" s="53"/>
      <c r="BN10" s="53"/>
      <c r="BO10" s="53"/>
      <c r="BP10" s="53"/>
      <c r="BQ10" s="53"/>
      <c r="BR10" s="53"/>
      <c r="BS10" s="53"/>
      <c r="BT10" s="53"/>
      <c r="BU10" s="53"/>
      <c r="BV10" s="53"/>
      <c r="BX10" s="22"/>
      <c r="BY10" s="52"/>
      <c r="BZ10" s="52"/>
      <c r="CA10" s="52"/>
      <c r="CB10" s="52"/>
      <c r="CC10" s="52"/>
      <c r="CD10" s="52"/>
      <c r="CE10" s="52"/>
      <c r="CF10" s="52"/>
      <c r="CG10" s="52"/>
      <c r="CH10" s="52"/>
      <c r="CI10" s="52"/>
      <c r="CJ10" s="52"/>
      <c r="CK10" s="52"/>
      <c r="CL10" s="52"/>
      <c r="CM10" s="52"/>
      <c r="CN10" s="52"/>
      <c r="CO10" s="52"/>
      <c r="CP10" s="52"/>
      <c r="CQ10" s="52"/>
      <c r="CR10" s="52"/>
      <c r="CS10" s="52"/>
      <c r="CT10" s="52"/>
      <c r="CU10" s="52"/>
      <c r="CV10" s="52"/>
      <c r="CW10" s="52"/>
      <c r="CX10" s="93"/>
      <c r="CY10" s="93"/>
      <c r="CZ10" s="93"/>
      <c r="DA10" s="93"/>
      <c r="DB10" s="93"/>
      <c r="DC10" s="93"/>
      <c r="DD10" s="93"/>
      <c r="DE10" s="93"/>
      <c r="DF10" s="93"/>
      <c r="DG10" s="93"/>
      <c r="DH10" s="93"/>
      <c r="DI10" s="93"/>
      <c r="DJ10" s="93"/>
      <c r="DK10" s="93"/>
      <c r="DL10" s="93"/>
      <c r="DM10" s="93"/>
      <c r="DN10" s="93"/>
      <c r="DO10" s="53"/>
      <c r="DP10" s="53"/>
      <c r="DQ10" s="53"/>
      <c r="DR10" s="53"/>
      <c r="DS10" s="53"/>
      <c r="DT10" s="53"/>
      <c r="DU10" s="53"/>
      <c r="DV10" s="53"/>
      <c r="DW10" s="53"/>
      <c r="DX10" s="53"/>
      <c r="DY10" s="53"/>
      <c r="DZ10" s="53"/>
      <c r="EA10" s="53"/>
      <c r="EB10" s="53"/>
      <c r="EC10" s="53"/>
      <c r="ED10" s="53"/>
      <c r="EE10" s="53"/>
      <c r="EF10" s="53"/>
      <c r="EG10" s="53"/>
      <c r="EH10" s="53"/>
      <c r="EI10" s="53"/>
      <c r="EJ10" s="53"/>
      <c r="EK10" s="53"/>
      <c r="EL10" s="53"/>
      <c r="EM10" s="53"/>
      <c r="EN10" s="53"/>
      <c r="EO10" s="53"/>
      <c r="EP10" s="53"/>
      <c r="EQ10" s="53"/>
      <c r="ER10" s="53"/>
      <c r="ES10" s="53"/>
      <c r="ET10" s="53"/>
      <c r="EU10" s="53"/>
      <c r="EV10" s="53"/>
      <c r="EW10" s="53"/>
      <c r="EX10" s="53"/>
      <c r="EY10" s="53"/>
      <c r="EZ10" s="53"/>
      <c r="FA10" s="53"/>
      <c r="FB10" s="53"/>
      <c r="FC10" s="53"/>
      <c r="FD10" s="53"/>
      <c r="FE10" s="53"/>
      <c r="FF10" s="53"/>
      <c r="FG10" s="53"/>
      <c r="FH10" s="53"/>
      <c r="FI10" s="53"/>
      <c r="FJ10" s="53"/>
      <c r="FK10" s="53"/>
      <c r="FL10" s="53"/>
      <c r="FM10" s="53"/>
      <c r="FN10" s="53"/>
      <c r="FO10" s="53"/>
      <c r="FP10" s="53"/>
      <c r="FQ10" s="53"/>
      <c r="FR10" s="53"/>
      <c r="FS10" s="53"/>
      <c r="FT10" s="53"/>
      <c r="FU10" s="53"/>
      <c r="FV10" s="53"/>
      <c r="FW10" s="53"/>
      <c r="FX10" s="53"/>
      <c r="FY10" s="53"/>
      <c r="FZ10" s="53"/>
      <c r="GA10" s="53"/>
      <c r="GB10" s="53"/>
      <c r="GC10" s="53"/>
      <c r="GD10" s="53"/>
      <c r="GE10" s="53"/>
      <c r="GF10" s="53"/>
      <c r="GG10" s="53"/>
      <c r="GH10" s="53"/>
      <c r="GI10" s="53"/>
      <c r="GJ10" s="53"/>
      <c r="GK10" s="53"/>
      <c r="GL10" s="53"/>
      <c r="GM10" s="53"/>
      <c r="GN10" s="53"/>
      <c r="GO10" s="53"/>
      <c r="GP10" s="53"/>
      <c r="GQ10" s="53"/>
      <c r="GR10" s="53"/>
      <c r="GS10" s="53"/>
      <c r="GT10" s="53"/>
      <c r="GU10" s="53"/>
      <c r="GV10" s="53"/>
      <c r="GW10" s="53"/>
      <c r="GX10" s="53"/>
      <c r="GY10" s="53"/>
      <c r="GZ10" s="53"/>
      <c r="HA10" s="53"/>
      <c r="HB10" s="53"/>
      <c r="HC10" s="53"/>
      <c r="HD10" s="53"/>
      <c r="HE10" s="53"/>
      <c r="HF10" s="53"/>
      <c r="HG10" s="53"/>
      <c r="HH10" s="53"/>
      <c r="HI10" s="53"/>
      <c r="HJ10" s="53"/>
      <c r="HK10" s="53"/>
      <c r="HL10" s="53"/>
      <c r="HM10" s="53"/>
      <c r="HN10" s="53"/>
      <c r="HO10" s="53"/>
      <c r="HP10" s="53"/>
      <c r="HQ10" s="53"/>
      <c r="HR10" s="53"/>
      <c r="HS10" s="53"/>
      <c r="HT10" s="53"/>
      <c r="HU10" s="53"/>
      <c r="HV10" s="53"/>
      <c r="HW10" s="53"/>
      <c r="HX10" s="53"/>
      <c r="HY10" s="53"/>
      <c r="HZ10" s="53"/>
      <c r="IA10" s="53"/>
      <c r="IB10" s="53"/>
      <c r="IC10" s="53"/>
      <c r="ID10" s="53"/>
      <c r="IE10" s="53"/>
      <c r="IF10" s="53"/>
      <c r="IG10" s="53"/>
      <c r="IH10" s="53"/>
      <c r="II10" s="53"/>
      <c r="IJ10" s="53"/>
      <c r="IK10" s="53"/>
      <c r="IL10" s="53"/>
      <c r="IM10" s="53"/>
      <c r="IN10" s="53"/>
      <c r="IO10" s="53"/>
      <c r="IP10" s="53"/>
      <c r="IQ10" s="53"/>
      <c r="IR10" s="53"/>
      <c r="IS10" s="53"/>
      <c r="IT10" s="53"/>
      <c r="IU10" s="53"/>
      <c r="IV10" s="53"/>
      <c r="IW10" s="53"/>
      <c r="IX10" s="53"/>
      <c r="IY10" s="53"/>
      <c r="IZ10" s="53"/>
      <c r="JA10" s="53"/>
      <c r="JB10" s="53"/>
      <c r="JC10" s="53"/>
      <c r="JD10" s="53"/>
      <c r="JE10" s="53"/>
      <c r="JF10" s="53"/>
      <c r="JG10" s="53"/>
      <c r="JH10" s="53"/>
      <c r="JI10" s="53"/>
      <c r="JJ10" s="53"/>
      <c r="JK10" s="53"/>
      <c r="JL10" s="53"/>
      <c r="JM10" s="53"/>
      <c r="JN10" s="53"/>
      <c r="JO10" s="53"/>
      <c r="JP10" s="53"/>
      <c r="JQ10" s="53"/>
      <c r="JR10" s="53"/>
      <c r="JS10" s="53"/>
      <c r="JT10" s="53"/>
      <c r="JU10" s="53"/>
      <c r="JV10" s="53"/>
      <c r="JW10" s="53"/>
      <c r="JX10" s="53"/>
      <c r="JY10" s="53"/>
      <c r="JZ10" s="53"/>
      <c r="KA10" s="53"/>
    </row>
    <row r="11" spans="1:287" s="13" customFormat="1" ht="14">
      <c r="A11" s="54">
        <v>9</v>
      </c>
      <c r="B11" s="55"/>
      <c r="C11" s="55"/>
      <c r="D11" s="106" t="s">
        <v>37</v>
      </c>
      <c r="E11" s="55" t="s">
        <v>38</v>
      </c>
      <c r="F11" s="55" t="s">
        <v>39</v>
      </c>
      <c r="G11" s="54" t="s">
        <v>24</v>
      </c>
      <c r="H11" s="111" t="s">
        <v>37</v>
      </c>
      <c r="I11" s="56"/>
      <c r="J11" s="56"/>
      <c r="K11" s="56"/>
      <c r="L11" s="56"/>
      <c r="M11" s="56"/>
      <c r="N11" s="56"/>
      <c r="O11" s="56"/>
      <c r="P11" s="56">
        <v>1300</v>
      </c>
      <c r="Q11" s="56">
        <v>1300</v>
      </c>
      <c r="R11" s="56">
        <v>1350</v>
      </c>
      <c r="S11" s="56">
        <v>1350</v>
      </c>
      <c r="T11" s="56">
        <v>1350</v>
      </c>
      <c r="U11" s="56">
        <v>1350</v>
      </c>
      <c r="V11" s="56">
        <v>1500</v>
      </c>
      <c r="W11" s="57">
        <v>1525</v>
      </c>
      <c r="X11" s="56">
        <v>1525</v>
      </c>
      <c r="Y11" s="56">
        <v>1550</v>
      </c>
      <c r="Z11" s="57">
        <v>1627</v>
      </c>
      <c r="AA11" s="56">
        <v>1585</v>
      </c>
      <c r="AB11" s="58">
        <v>1574</v>
      </c>
      <c r="AC11" s="58">
        <v>1485</v>
      </c>
      <c r="AD11" s="58">
        <v>1444</v>
      </c>
      <c r="AE11" s="58">
        <v>1425</v>
      </c>
      <c r="AF11" s="58">
        <v>1425</v>
      </c>
      <c r="AG11" s="58">
        <v>1425</v>
      </c>
      <c r="AH11" s="58">
        <v>1425</v>
      </c>
      <c r="AI11" s="58">
        <f>(1350+1500)/2</f>
        <v>1425</v>
      </c>
      <c r="AJ11" s="58">
        <v>1425</v>
      </c>
      <c r="AK11" s="58">
        <v>1330</v>
      </c>
      <c r="AL11" s="58">
        <f>+SUM(EA11:ED11)/4</f>
        <v>1287.5</v>
      </c>
      <c r="AM11" s="58">
        <f>+SUM(EE11:EH11)/4</f>
        <v>1313.75</v>
      </c>
      <c r="AN11" s="58">
        <f>+SUM(EI11:EK11)/COUNT(EI11:EK11)</f>
        <v>1440</v>
      </c>
      <c r="AO11" s="58">
        <f>+SUM(EM11:EP11)/COUNT(EM11:EP11)</f>
        <v>1440</v>
      </c>
      <c r="AP11" s="58">
        <f>+SUM(EQ11:EU11)/COUNT(EQ11:EU11)</f>
        <v>1433</v>
      </c>
      <c r="AQ11" s="58">
        <f>+SUM(EV11:EY11)/COUNT(EV11:EY11)</f>
        <v>1337.5</v>
      </c>
      <c r="AR11" s="58">
        <f>+SUM(EZ11:FC11)/COUNT(EZ11:FC11)</f>
        <v>1317.5</v>
      </c>
      <c r="AS11" s="58">
        <f>+SUM(FD11:FH11)/COUNT(FD11:FH11)</f>
        <v>1274</v>
      </c>
      <c r="AT11" s="58">
        <f>+SUM(FI11:FL11)/COUNT(FI11:FL11)</f>
        <v>1288.75</v>
      </c>
      <c r="AU11" s="58">
        <f>+SUM(FM11:FP11)/COUNT(FM11:FP11)</f>
        <v>1288.125</v>
      </c>
      <c r="AV11" s="102">
        <f>+SUM(FQ11:FT11)/COUNT(FQ11:FT11)</f>
        <v>1300</v>
      </c>
      <c r="AW11" s="102">
        <f>+SUM(FU11:FY11)/COUNT(FU11:FY11)</f>
        <v>1300</v>
      </c>
      <c r="AX11" s="102">
        <f>+SUM(FZ11:GC11)/COUNT(FZ11:GC11)</f>
        <v>1312.5</v>
      </c>
      <c r="AY11" s="102">
        <f>+SUM(GD11:GF11)/COUNT(GD11:GF11)</f>
        <v>1325</v>
      </c>
      <c r="AZ11" s="102">
        <f>+SUM(GG11:GJ11)/COUNT(GG11:GJ11)</f>
        <v>1320</v>
      </c>
      <c r="BA11" s="102">
        <f>+SUM(GK11:GN11)/COUNT(GK11:GN11)</f>
        <v>1323.75</v>
      </c>
      <c r="BB11" s="102">
        <f>+SUM(GO11:GS11)/COUNT(GO11:GS11)</f>
        <v>1346.6</v>
      </c>
      <c r="BC11" s="102">
        <f t="shared" ref="BC11:BC12" si="34">+SUM(GT11:GW11)/COUNT(GT11:GW11)</f>
        <v>1365</v>
      </c>
      <c r="BD11" s="102">
        <f t="shared" ref="BD11:BD12" si="35">+SUM(GX11:HA11)/COUNT(GX11:HA11)</f>
        <v>1365</v>
      </c>
      <c r="BE11" s="102">
        <f>+SUM(HB11:HF11)/COUNT(HB11:HF11)</f>
        <v>1404</v>
      </c>
      <c r="BF11" s="102">
        <f t="shared" ref="BF11:BF12" si="36">+SUM(HG11:HJ11)/COUNT(HG11:HJ11)</f>
        <v>1427.5</v>
      </c>
      <c r="BG11" s="102">
        <f t="shared" ref="BG11:BG12" si="37">+SUM(HK11:HN11)/COUNT(HK11:HN11)</f>
        <v>1440</v>
      </c>
      <c r="BH11" s="102">
        <f>+SUM(HO11:HS11)/COUNT(HO11:HS11)</f>
        <v>1440</v>
      </c>
      <c r="BI11" s="102">
        <f t="shared" ref="BI11:BI12" si="38">+SUM(HT11:HW11)/COUNT(HT11:HW11)</f>
        <v>1421.25</v>
      </c>
      <c r="BJ11" s="102">
        <f>+SUM(HX11:IA11)/COUNT(HX11:IA11)</f>
        <v>1368.75</v>
      </c>
      <c r="BK11" s="102">
        <f>+SUM(IB11:IE11)/COUNT(IB11:IE11)</f>
        <v>1350</v>
      </c>
      <c r="BL11" s="102">
        <f>+SUM(IF11:II11)/COUNT(IF11:II11)</f>
        <v>1360</v>
      </c>
      <c r="BM11" s="102">
        <f>+SUM(IJ11:IM11)/COUNT(IJ11:IM11)</f>
        <v>1360</v>
      </c>
      <c r="BN11" s="102">
        <f>+SUM(IN11:IR11)/COUNT(IN11:IR11)</f>
        <v>1360</v>
      </c>
      <c r="BO11" s="102">
        <f>+SUM(IS11:IV11)/COUNT(IS11:IV11)</f>
        <v>1360</v>
      </c>
      <c r="BP11" s="102">
        <f>+SUM(IW11:JA11)/COUNT(IW11:JA11)</f>
        <v>1324</v>
      </c>
      <c r="BQ11" s="102">
        <f>+SUM(JB11:JE11)/COUNT(JB11:JE11)</f>
        <v>1295</v>
      </c>
      <c r="BR11" s="102">
        <f>+SUM(JF11:JI11)/COUNT(JF11:JI11)</f>
        <v>1275</v>
      </c>
      <c r="BS11" s="102">
        <f>+SUM(JJ11:JN11)/COUNT(JJ11:JN11)</f>
        <v>1248</v>
      </c>
      <c r="BT11" s="102">
        <f>+SUM(JO11:JR11)/COUNT(JO11:JR11)</f>
        <v>1243.75</v>
      </c>
      <c r="BU11" s="102">
        <f>+SUM(JS11:JV11)/COUNT(JS11:JV11)</f>
        <v>1193.75</v>
      </c>
      <c r="BV11" s="102">
        <v>1150</v>
      </c>
      <c r="BX11" s="54" t="s">
        <v>37</v>
      </c>
      <c r="BY11" s="55" t="s">
        <v>38</v>
      </c>
      <c r="BZ11" s="126" t="s">
        <v>37</v>
      </c>
      <c r="CA11" s="55"/>
      <c r="CB11" s="55"/>
      <c r="CC11" s="55"/>
      <c r="CD11" s="55"/>
      <c r="CE11" s="55"/>
      <c r="CF11" s="55"/>
      <c r="CG11" s="55"/>
      <c r="CH11" s="55"/>
      <c r="CI11" s="55"/>
      <c r="CJ11" s="55"/>
      <c r="CK11" s="55"/>
      <c r="CL11" s="55"/>
      <c r="CM11" s="55"/>
      <c r="CN11" s="55"/>
      <c r="CO11" s="55"/>
      <c r="CP11" s="55"/>
      <c r="CQ11" s="55"/>
      <c r="CR11" s="55"/>
      <c r="CS11" s="55"/>
      <c r="CT11" s="55"/>
      <c r="CU11" s="55"/>
      <c r="CV11" s="55"/>
      <c r="CW11" s="55"/>
      <c r="CX11" s="56">
        <f>+(1550+1670)/2</f>
        <v>1610</v>
      </c>
      <c r="CY11" s="56">
        <f>+(1550+1700)/2</f>
        <v>1625</v>
      </c>
      <c r="CZ11" s="56">
        <f>+(1550+1650)/2</f>
        <v>1600</v>
      </c>
      <c r="DA11" s="56">
        <f>+(1550+1620)/2</f>
        <v>1585</v>
      </c>
      <c r="DB11" s="56">
        <f>+(1550+1650)/2</f>
        <v>1600</v>
      </c>
      <c r="DC11" s="56">
        <f>+(1550+1650)/2</f>
        <v>1600</v>
      </c>
      <c r="DD11" s="56">
        <f>+(1550+1650)/2</f>
        <v>1600</v>
      </c>
      <c r="DE11" s="56">
        <f>+(1550+1680)/2</f>
        <v>1615</v>
      </c>
      <c r="DF11" s="56">
        <f>+(1550+1680)/2</f>
        <v>1615</v>
      </c>
      <c r="DG11" s="56">
        <f>+(1550+1620)/2</f>
        <v>1585</v>
      </c>
      <c r="DH11" s="56">
        <f>+(1550+1620)/2</f>
        <v>1585</v>
      </c>
      <c r="DI11" s="56">
        <f>+(1450+1520)/2</f>
        <v>1485</v>
      </c>
      <c r="DJ11" s="56">
        <f>+(1350+1550)/2</f>
        <v>1450</v>
      </c>
      <c r="DK11" s="56">
        <f>+(1350+1550)/2</f>
        <v>1450</v>
      </c>
      <c r="DL11" s="56">
        <f>+(1350+1550)/2</f>
        <v>1450</v>
      </c>
      <c r="DM11" s="56">
        <f>+(1350+1550)/2</f>
        <v>1450</v>
      </c>
      <c r="DN11" s="56">
        <v>1425</v>
      </c>
      <c r="DO11" s="58">
        <v>1425</v>
      </c>
      <c r="DP11" s="58">
        <v>1425</v>
      </c>
      <c r="DQ11" s="58">
        <f>(1350+1500)/2</f>
        <v>1425</v>
      </c>
      <c r="DR11" s="58">
        <v>1350</v>
      </c>
      <c r="DS11" s="58">
        <v>1350</v>
      </c>
      <c r="DT11" s="100">
        <f>+(1250+1450)/2</f>
        <v>1350</v>
      </c>
      <c r="DU11" s="56">
        <f>+(1250+1450)/2</f>
        <v>1350</v>
      </c>
      <c r="DV11" s="114">
        <f>+(1250+1450)/2</f>
        <v>1350</v>
      </c>
      <c r="DW11" s="114">
        <f>+(1250+1450)/2</f>
        <v>1350</v>
      </c>
      <c r="DX11" s="114">
        <f>+(1250+1450)/2</f>
        <v>1350</v>
      </c>
      <c r="DY11" s="114">
        <f>+(1250+1350)/2</f>
        <v>1300</v>
      </c>
      <c r="DZ11" s="114">
        <f>+(1250+1350)/2</f>
        <v>1300</v>
      </c>
      <c r="EA11" s="56">
        <f>+(1250+1350)/2</f>
        <v>1300</v>
      </c>
      <c r="EB11" s="56">
        <f>+(1250+1350)/2</f>
        <v>1300</v>
      </c>
      <c r="EC11" s="56">
        <f>+(1250+1300)/2</f>
        <v>1275</v>
      </c>
      <c r="ED11" s="56">
        <f>+(1250+1300)/2</f>
        <v>1275</v>
      </c>
      <c r="EE11" s="56">
        <f>+(1250+1300)/2</f>
        <v>1275</v>
      </c>
      <c r="EF11" s="56">
        <f>+(1250+1300)/2</f>
        <v>1275</v>
      </c>
      <c r="EG11" s="56">
        <f>+(1280+1350)/2</f>
        <v>1315</v>
      </c>
      <c r="EH11" s="56">
        <f>+(1350+1430)/2</f>
        <v>1390</v>
      </c>
      <c r="EI11" s="56">
        <f t="shared" ref="EI11:ER11" si="39">+(1350+1530)/2</f>
        <v>1440</v>
      </c>
      <c r="EJ11" s="56">
        <f t="shared" si="39"/>
        <v>1440</v>
      </c>
      <c r="EK11" s="56">
        <f t="shared" si="39"/>
        <v>1440</v>
      </c>
      <c r="EL11" s="56">
        <f t="shared" si="39"/>
        <v>1440</v>
      </c>
      <c r="EM11" s="56">
        <f t="shared" si="39"/>
        <v>1440</v>
      </c>
      <c r="EN11" s="56">
        <f t="shared" si="39"/>
        <v>1440</v>
      </c>
      <c r="EO11" s="56">
        <f t="shared" si="39"/>
        <v>1440</v>
      </c>
      <c r="EP11" s="56">
        <f t="shared" si="39"/>
        <v>1440</v>
      </c>
      <c r="EQ11" s="56">
        <f t="shared" si="39"/>
        <v>1440</v>
      </c>
      <c r="ER11" s="56">
        <f t="shared" si="39"/>
        <v>1440</v>
      </c>
      <c r="ES11" s="100">
        <f>+(1350+1530)/2</f>
        <v>1440</v>
      </c>
      <c r="ET11" s="100">
        <f>+(1350+1530)/2</f>
        <v>1440</v>
      </c>
      <c r="EU11" s="100">
        <f>+(1350+1460)/2</f>
        <v>1405</v>
      </c>
      <c r="EV11" s="100">
        <f>+(1350+1400)/2</f>
        <v>1375</v>
      </c>
      <c r="EW11" s="100">
        <f>+(1300+1350)/2</f>
        <v>1325</v>
      </c>
      <c r="EX11" s="100">
        <f>+(1300+1350)/2</f>
        <v>1325</v>
      </c>
      <c r="EY11" s="58">
        <f>+(1300+1350)/2</f>
        <v>1325</v>
      </c>
      <c r="EZ11" s="58">
        <f>+(1300+1350)/2</f>
        <v>1325</v>
      </c>
      <c r="FA11" s="58">
        <f>+(1300+1350)/2</f>
        <v>1325</v>
      </c>
      <c r="FB11" s="58">
        <f>+(1270+1350)/2</f>
        <v>1310</v>
      </c>
      <c r="FC11" s="58">
        <f>+(1270+1350)/2</f>
        <v>1310</v>
      </c>
      <c r="FD11" s="58">
        <f>+(1200+1300)/2</f>
        <v>1250</v>
      </c>
      <c r="FE11" s="58">
        <f>+(1200+1320)/2</f>
        <v>1260</v>
      </c>
      <c r="FF11" s="58">
        <f>+(1200+1320)/2</f>
        <v>1260</v>
      </c>
      <c r="FG11" s="102">
        <f>+(1250+1350)/2</f>
        <v>1300</v>
      </c>
      <c r="FH11" s="102">
        <f>+(1250+1350)/2</f>
        <v>1300</v>
      </c>
      <c r="FI11" s="102">
        <f>+(1250+1330)/2</f>
        <v>1290</v>
      </c>
      <c r="FJ11" s="102">
        <f>+(1250+1330)/2</f>
        <v>1290</v>
      </c>
      <c r="FK11" s="102">
        <f>+(1250+1330)/2</f>
        <v>1290</v>
      </c>
      <c r="FL11" s="102">
        <v>1285</v>
      </c>
      <c r="FM11" s="102">
        <v>1285</v>
      </c>
      <c r="FN11" s="102">
        <v>1287.5</v>
      </c>
      <c r="FO11" s="102">
        <v>1280</v>
      </c>
      <c r="FP11" s="102">
        <v>1300</v>
      </c>
      <c r="FQ11" s="102">
        <v>1300</v>
      </c>
      <c r="FR11" s="102">
        <v>1300</v>
      </c>
      <c r="FS11" s="102">
        <v>1300</v>
      </c>
      <c r="FT11" s="102">
        <v>1300</v>
      </c>
      <c r="FU11" s="102">
        <v>1300</v>
      </c>
      <c r="FV11" s="102">
        <v>1300</v>
      </c>
      <c r="FW11" s="102">
        <v>1300</v>
      </c>
      <c r="FX11" s="102">
        <v>1300</v>
      </c>
      <c r="FY11" s="102">
        <v>1300</v>
      </c>
      <c r="FZ11" s="102">
        <v>1300</v>
      </c>
      <c r="GA11" s="102">
        <v>1300</v>
      </c>
      <c r="GB11" s="102">
        <v>1325</v>
      </c>
      <c r="GC11" s="102">
        <v>1325</v>
      </c>
      <c r="GD11" s="102">
        <v>1325</v>
      </c>
      <c r="GE11" s="102">
        <v>1325</v>
      </c>
      <c r="GF11" s="102">
        <v>1325</v>
      </c>
      <c r="GG11" s="102">
        <v>1325</v>
      </c>
      <c r="GH11" s="102">
        <v>1325</v>
      </c>
      <c r="GI11" s="102">
        <v>1315</v>
      </c>
      <c r="GJ11" s="102">
        <v>1315</v>
      </c>
      <c r="GK11" s="102">
        <v>1325</v>
      </c>
      <c r="GL11" s="102">
        <v>1325</v>
      </c>
      <c r="GM11" s="102">
        <v>1325</v>
      </c>
      <c r="GN11" s="102">
        <v>1320</v>
      </c>
      <c r="GO11" s="102">
        <v>1333</v>
      </c>
      <c r="GP11" s="102">
        <v>1350</v>
      </c>
      <c r="GQ11" s="102">
        <v>1350</v>
      </c>
      <c r="GR11" s="102">
        <v>1350</v>
      </c>
      <c r="GS11" s="102">
        <v>1350</v>
      </c>
      <c r="GT11" s="102">
        <v>1365</v>
      </c>
      <c r="GU11" s="102">
        <v>1365</v>
      </c>
      <c r="GV11" s="102">
        <v>1365</v>
      </c>
      <c r="GW11" s="102">
        <v>1365</v>
      </c>
      <c r="GX11" s="102">
        <v>1365</v>
      </c>
      <c r="GY11" s="102">
        <v>1365</v>
      </c>
      <c r="GZ11" s="102">
        <v>1365</v>
      </c>
      <c r="HA11" s="102">
        <v>1365</v>
      </c>
      <c r="HB11" s="102">
        <v>1400</v>
      </c>
      <c r="HC11" s="102">
        <v>1400</v>
      </c>
      <c r="HD11" s="102">
        <v>1400</v>
      </c>
      <c r="HE11" s="102">
        <v>1410</v>
      </c>
      <c r="HF11" s="102">
        <v>1410</v>
      </c>
      <c r="HG11" s="102">
        <v>1430</v>
      </c>
      <c r="HH11" s="102">
        <v>1430</v>
      </c>
      <c r="HI11" s="102">
        <v>1425</v>
      </c>
      <c r="HJ11" s="102">
        <v>1425</v>
      </c>
      <c r="HK11" s="102">
        <v>1440</v>
      </c>
      <c r="HL11" s="102">
        <v>1440</v>
      </c>
      <c r="HM11" s="102">
        <v>1440</v>
      </c>
      <c r="HN11" s="102">
        <v>1440</v>
      </c>
      <c r="HO11" s="102">
        <v>1440</v>
      </c>
      <c r="HP11" s="102">
        <v>1440</v>
      </c>
      <c r="HQ11" s="102">
        <v>1440</v>
      </c>
      <c r="HR11" s="102">
        <v>1440</v>
      </c>
      <c r="HS11" s="102">
        <v>1440</v>
      </c>
      <c r="HT11" s="102">
        <v>1430</v>
      </c>
      <c r="HU11" s="102">
        <v>1430</v>
      </c>
      <c r="HV11" s="102">
        <v>1425</v>
      </c>
      <c r="HW11" s="102">
        <v>1400</v>
      </c>
      <c r="HX11" s="102">
        <v>1400</v>
      </c>
      <c r="HY11" s="102">
        <v>1375</v>
      </c>
      <c r="HZ11" s="102">
        <v>1350</v>
      </c>
      <c r="IA11" s="102">
        <v>1350</v>
      </c>
      <c r="IB11" s="102">
        <v>1350</v>
      </c>
      <c r="IC11" s="102">
        <v>1350</v>
      </c>
      <c r="ID11" s="102">
        <v>1350</v>
      </c>
      <c r="IE11" s="102">
        <v>1350</v>
      </c>
      <c r="IF11" s="102">
        <v>1360</v>
      </c>
      <c r="IG11" s="102">
        <v>1360</v>
      </c>
      <c r="IH11" s="102">
        <v>1360</v>
      </c>
      <c r="II11" s="102">
        <v>1360</v>
      </c>
      <c r="IJ11" s="102">
        <v>1360</v>
      </c>
      <c r="IK11" s="102">
        <v>1360</v>
      </c>
      <c r="IL11" s="102">
        <v>1360</v>
      </c>
      <c r="IM11" s="102">
        <v>1360</v>
      </c>
      <c r="IN11" s="102">
        <v>1360</v>
      </c>
      <c r="IO11" s="102">
        <v>1360</v>
      </c>
      <c r="IP11" s="102">
        <v>1360</v>
      </c>
      <c r="IQ11" s="102">
        <v>1360</v>
      </c>
      <c r="IR11" s="102">
        <v>1360</v>
      </c>
      <c r="IS11" s="102">
        <v>1360</v>
      </c>
      <c r="IT11" s="102">
        <v>1360</v>
      </c>
      <c r="IU11" s="102">
        <v>1360</v>
      </c>
      <c r="IV11" s="102">
        <v>1360</v>
      </c>
      <c r="IW11" s="102">
        <v>1360</v>
      </c>
      <c r="IX11" s="102">
        <v>1360</v>
      </c>
      <c r="IY11" s="102">
        <v>1300</v>
      </c>
      <c r="IZ11" s="102">
        <v>1300</v>
      </c>
      <c r="JA11" s="102">
        <v>1300</v>
      </c>
      <c r="JB11" s="102">
        <v>1300</v>
      </c>
      <c r="JC11" s="102">
        <v>1300</v>
      </c>
      <c r="JD11" s="102">
        <v>1290</v>
      </c>
      <c r="JE11" s="102">
        <v>1290</v>
      </c>
      <c r="JF11" s="102">
        <v>1290</v>
      </c>
      <c r="JG11" s="102">
        <v>1290</v>
      </c>
      <c r="JH11" s="102">
        <v>1260</v>
      </c>
      <c r="JI11" s="102">
        <v>1260</v>
      </c>
      <c r="JJ11" s="102">
        <v>1240</v>
      </c>
      <c r="JK11" s="102">
        <v>1250</v>
      </c>
      <c r="JL11" s="102">
        <v>1250</v>
      </c>
      <c r="JM11" s="102">
        <v>1250</v>
      </c>
      <c r="JN11" s="102">
        <v>1250</v>
      </c>
      <c r="JO11" s="102">
        <v>1250</v>
      </c>
      <c r="JP11" s="102">
        <v>1250</v>
      </c>
      <c r="JQ11" s="102">
        <v>1250</v>
      </c>
      <c r="JR11" s="102">
        <v>1225</v>
      </c>
      <c r="JS11" s="102">
        <v>1225</v>
      </c>
      <c r="JT11" s="102">
        <v>1200</v>
      </c>
      <c r="JU11" s="102">
        <v>1200</v>
      </c>
      <c r="JV11" s="102">
        <v>1150</v>
      </c>
      <c r="JW11" s="102"/>
      <c r="JX11" s="102"/>
      <c r="JY11" s="102"/>
      <c r="JZ11" s="102"/>
      <c r="KA11" s="102"/>
    </row>
    <row r="12" spans="1:287" s="13" customFormat="1" ht="14">
      <c r="A12" s="54">
        <v>9</v>
      </c>
      <c r="B12" s="55"/>
      <c r="C12" s="55"/>
      <c r="D12" s="54" t="s">
        <v>37</v>
      </c>
      <c r="E12" s="55" t="s">
        <v>38</v>
      </c>
      <c r="F12" s="55" t="s">
        <v>40</v>
      </c>
      <c r="G12" s="54" t="s">
        <v>24</v>
      </c>
      <c r="H12" s="55" t="s">
        <v>40</v>
      </c>
      <c r="I12" s="56"/>
      <c r="J12" s="56"/>
      <c r="K12" s="56"/>
      <c r="L12" s="56"/>
      <c r="M12" s="56"/>
      <c r="N12" s="56"/>
      <c r="O12" s="56"/>
      <c r="P12" s="56">
        <v>1400</v>
      </c>
      <c r="Q12" s="56">
        <v>1500</v>
      </c>
      <c r="R12" s="56">
        <v>1500</v>
      </c>
      <c r="S12" s="56">
        <v>1500</v>
      </c>
      <c r="T12" s="56">
        <v>1500</v>
      </c>
      <c r="U12" s="56">
        <v>1500</v>
      </c>
      <c r="V12" s="56">
        <v>1650</v>
      </c>
      <c r="W12" s="57">
        <v>1650</v>
      </c>
      <c r="X12" s="56">
        <v>1650</v>
      </c>
      <c r="Y12" s="56">
        <v>1650</v>
      </c>
      <c r="Z12" s="57">
        <v>1800</v>
      </c>
      <c r="AA12" s="56">
        <v>1700</v>
      </c>
      <c r="AB12" s="56">
        <v>1610</v>
      </c>
      <c r="AC12" s="58">
        <v>1520</v>
      </c>
      <c r="AD12" s="58">
        <v>1538</v>
      </c>
      <c r="AE12" s="58">
        <v>1550</v>
      </c>
      <c r="AF12" s="58">
        <v>1500</v>
      </c>
      <c r="AG12" s="58">
        <v>1500</v>
      </c>
      <c r="AH12" s="58">
        <v>1500</v>
      </c>
      <c r="AI12" s="58">
        <v>1500</v>
      </c>
      <c r="AJ12" s="58">
        <v>1500</v>
      </c>
      <c r="AK12" s="58">
        <v>1410</v>
      </c>
      <c r="AL12" s="58">
        <f>+SUM(EA12:ED12)/4</f>
        <v>1325</v>
      </c>
      <c r="AM12" s="58">
        <f>+SUM(EE12:EH12)/4</f>
        <v>1345</v>
      </c>
      <c r="AN12" s="58">
        <f>+SUM(EI12:EK12)/COUNT(EI12:EK12)</f>
        <v>1530</v>
      </c>
      <c r="AO12" s="58">
        <f>+SUM(EM12:EP12)/COUNT(EM12:EP12)</f>
        <v>1530</v>
      </c>
      <c r="AP12" s="58">
        <f>+SUM(EQ12:EU12)/COUNT(EQ12:EU12)</f>
        <v>1516</v>
      </c>
      <c r="AQ12" s="58">
        <f>+SUM(EV12:EY12)/COUNT(EV12:EY12)</f>
        <v>1362.5</v>
      </c>
      <c r="AR12" s="58">
        <f>+SUM(EZ12:FC12)/COUNT(EZ12:FC12)</f>
        <v>1350</v>
      </c>
      <c r="AS12" s="58">
        <f>+SUM(FD12:FH12)/COUNT(FD12:FH12)</f>
        <v>1328</v>
      </c>
      <c r="AT12" s="58">
        <f>+SUM(FI12:FL12)/COUNT(FI12:FL12)</f>
        <v>1327.5</v>
      </c>
      <c r="AU12" s="58">
        <f>+SUM(FM12:FP12)/COUNT(FM12:FP12)</f>
        <v>1326.25</v>
      </c>
      <c r="AV12" s="102">
        <f>+SUM(FQ12:FT12)/COUNT(FQ12:FT12)</f>
        <v>1350</v>
      </c>
      <c r="AW12" s="102">
        <f>+SUM(FU12:FY12)/COUNT(FU12:FY12)</f>
        <v>1350</v>
      </c>
      <c r="AX12" s="102">
        <f>+SUM(FZ12:GC12)/COUNT(FZ12:GC12)</f>
        <v>1375</v>
      </c>
      <c r="AY12" s="102">
        <f>+SUM(GD12:GF12)/COUNT(GD12:GF12)</f>
        <v>1400</v>
      </c>
      <c r="AZ12" s="102">
        <f>+SUM(GG12:GJ12)/COUNT(GG12:GJ12)</f>
        <v>1390</v>
      </c>
      <c r="BA12" s="102">
        <f>+SUM(GK12:GN12)/COUNT(GK12:GN12)</f>
        <v>1397.5</v>
      </c>
      <c r="BB12" s="102">
        <f>+SUM(GO12:GS12)/COUNT(GO12:GS12)</f>
        <v>1399.2</v>
      </c>
      <c r="BC12" s="102">
        <f t="shared" si="34"/>
        <v>1455</v>
      </c>
      <c r="BD12" s="102">
        <f t="shared" si="35"/>
        <v>1455</v>
      </c>
      <c r="BE12" s="102">
        <f>+SUM(HB12:HF12)/COUNT(HB12:HF12)</f>
        <v>1504</v>
      </c>
      <c r="BF12" s="102">
        <f t="shared" si="36"/>
        <v>1550</v>
      </c>
      <c r="BG12" s="102">
        <f t="shared" si="37"/>
        <v>1580</v>
      </c>
      <c r="BH12" s="102">
        <f>+SUM(HO12:HS12)/COUNT(HO12:HS12)</f>
        <v>1580</v>
      </c>
      <c r="BI12" s="102">
        <f t="shared" si="38"/>
        <v>1555</v>
      </c>
      <c r="BJ12" s="102">
        <f>+SUM(HX12:IA12)/COUNT(HX12:IA12)</f>
        <v>1512.5</v>
      </c>
      <c r="BK12" s="102">
        <f>+SUM(IB12:IE12)/COUNT(IB12:IE12)</f>
        <v>1500</v>
      </c>
      <c r="BL12" s="102">
        <f>+SUM(IF12:II12)/COUNT(IF12:II12)</f>
        <v>1500</v>
      </c>
      <c r="BM12" s="102">
        <f>+SUM(IJ12:IM12)/COUNT(IJ12:IM12)</f>
        <v>1500</v>
      </c>
      <c r="BN12" s="102">
        <f>+SUM(IN12:IR12)/COUNT(IN12:IR12)</f>
        <v>1500</v>
      </c>
      <c r="BO12" s="102">
        <f t="shared" ref="BO12:BO14" si="40">+SUM(IS12:IV12)/COUNT(IS12:IV12)</f>
        <v>1500</v>
      </c>
      <c r="BP12" s="102">
        <f>+SUM(IW12:JA12)/COUNT(IW12:JA12)</f>
        <v>1440</v>
      </c>
      <c r="BQ12" s="102">
        <f t="shared" ref="BQ12:BQ14" si="41">+SUM(JB12:JE12)/COUNT(JB12:JE12)</f>
        <v>1390</v>
      </c>
      <c r="BR12" s="102">
        <f t="shared" ref="BR12:BR14" si="42">+SUM(JF12:JI12)/COUNT(JF12:JI12)</f>
        <v>1350</v>
      </c>
      <c r="BS12" s="102">
        <f t="shared" ref="BS12:BS14" si="43">+SUM(JJ12:JN12)/COUNT(JJ12:JN12)</f>
        <v>1344</v>
      </c>
      <c r="BT12" s="102">
        <f t="shared" ref="BT12:BT14" si="44">+SUM(JO12:JR12)/COUNT(JO12:JR12)</f>
        <v>1350</v>
      </c>
      <c r="BU12" s="102">
        <f t="shared" ref="BU12:BV14" si="45">+SUM(JS12:JV12)/COUNT(JS12:JV12)</f>
        <v>1300</v>
      </c>
      <c r="BV12" s="102">
        <v>1250</v>
      </c>
      <c r="BX12" s="54" t="s">
        <v>37</v>
      </c>
      <c r="BY12" s="55" t="s">
        <v>38</v>
      </c>
      <c r="BZ12" s="126" t="s">
        <v>40</v>
      </c>
      <c r="CA12" s="55"/>
      <c r="CB12" s="55"/>
      <c r="CC12" s="55"/>
      <c r="CD12" s="55"/>
      <c r="CE12" s="55"/>
      <c r="CF12" s="55"/>
      <c r="CG12" s="55"/>
      <c r="CH12" s="55"/>
      <c r="CI12" s="55"/>
      <c r="CJ12" s="55"/>
      <c r="CK12" s="55"/>
      <c r="CL12" s="55"/>
      <c r="CM12" s="55"/>
      <c r="CN12" s="55"/>
      <c r="CO12" s="55"/>
      <c r="CP12" s="55"/>
      <c r="CQ12" s="55"/>
      <c r="CR12" s="55"/>
      <c r="CS12" s="55"/>
      <c r="CT12" s="55"/>
      <c r="CU12" s="55"/>
      <c r="CV12" s="55"/>
      <c r="CW12" s="55"/>
      <c r="CX12" s="56">
        <v>1670</v>
      </c>
      <c r="CY12" s="56">
        <v>1700</v>
      </c>
      <c r="CZ12" s="56">
        <v>1650</v>
      </c>
      <c r="DA12" s="56">
        <v>1620</v>
      </c>
      <c r="DB12" s="56">
        <v>1650</v>
      </c>
      <c r="DC12" s="56">
        <v>1650</v>
      </c>
      <c r="DD12" s="56">
        <v>1650</v>
      </c>
      <c r="DE12" s="56">
        <v>1680</v>
      </c>
      <c r="DF12" s="56">
        <v>1680</v>
      </c>
      <c r="DG12" s="56">
        <v>1620</v>
      </c>
      <c r="DH12" s="56">
        <v>1620</v>
      </c>
      <c r="DI12" s="56">
        <v>1520</v>
      </c>
      <c r="DJ12" s="56">
        <v>1550</v>
      </c>
      <c r="DK12" s="56">
        <v>1550</v>
      </c>
      <c r="DL12" s="56">
        <v>1550</v>
      </c>
      <c r="DM12" s="56">
        <v>1550</v>
      </c>
      <c r="DN12" s="56">
        <v>1500</v>
      </c>
      <c r="DO12" s="58">
        <v>1500</v>
      </c>
      <c r="DP12" s="58">
        <v>1500</v>
      </c>
      <c r="DQ12" s="58">
        <v>1500</v>
      </c>
      <c r="DR12" s="58">
        <v>1450</v>
      </c>
      <c r="DS12" s="58">
        <v>1450</v>
      </c>
      <c r="DT12" s="58">
        <v>1450</v>
      </c>
      <c r="DU12" s="58">
        <v>1450</v>
      </c>
      <c r="DV12" s="115">
        <v>1450</v>
      </c>
      <c r="DW12" s="115">
        <v>1450</v>
      </c>
      <c r="DX12" s="115">
        <v>1450</v>
      </c>
      <c r="DY12" s="115">
        <v>1350</v>
      </c>
      <c r="DZ12" s="115">
        <v>1350</v>
      </c>
      <c r="EA12" s="58">
        <v>1350</v>
      </c>
      <c r="EB12" s="58">
        <v>1350</v>
      </c>
      <c r="EC12" s="58">
        <v>1300</v>
      </c>
      <c r="ED12" s="58">
        <v>1300</v>
      </c>
      <c r="EE12" s="58">
        <v>1300</v>
      </c>
      <c r="EF12" s="58">
        <v>1300</v>
      </c>
      <c r="EG12" s="58">
        <v>1350</v>
      </c>
      <c r="EH12" s="58">
        <v>1430</v>
      </c>
      <c r="EI12" s="58">
        <v>1530</v>
      </c>
      <c r="EJ12" s="58">
        <v>1530</v>
      </c>
      <c r="EK12" s="58">
        <v>1530</v>
      </c>
      <c r="EL12" s="58">
        <v>1530</v>
      </c>
      <c r="EM12" s="58">
        <v>1530</v>
      </c>
      <c r="EN12" s="58">
        <v>1530</v>
      </c>
      <c r="EO12" s="58">
        <v>1530</v>
      </c>
      <c r="EP12" s="58">
        <v>1530</v>
      </c>
      <c r="EQ12" s="58">
        <v>1530</v>
      </c>
      <c r="ER12" s="58">
        <v>1530</v>
      </c>
      <c r="ES12" s="58">
        <v>1530</v>
      </c>
      <c r="ET12" s="58">
        <v>1530</v>
      </c>
      <c r="EU12" s="58">
        <v>1460</v>
      </c>
      <c r="EV12" s="58">
        <v>1400</v>
      </c>
      <c r="EW12" s="58">
        <v>1350</v>
      </c>
      <c r="EX12" s="58">
        <v>1350</v>
      </c>
      <c r="EY12" s="58">
        <v>1350</v>
      </c>
      <c r="EZ12" s="58">
        <v>1350</v>
      </c>
      <c r="FA12" s="58">
        <v>1350</v>
      </c>
      <c r="FB12" s="58">
        <v>1350</v>
      </c>
      <c r="FC12" s="58">
        <v>1350</v>
      </c>
      <c r="FD12" s="58">
        <v>1300</v>
      </c>
      <c r="FE12" s="58">
        <v>1320</v>
      </c>
      <c r="FF12" s="58">
        <v>1320</v>
      </c>
      <c r="FG12" s="102">
        <v>1350</v>
      </c>
      <c r="FH12" s="102">
        <v>1350</v>
      </c>
      <c r="FI12" s="102">
        <v>1330</v>
      </c>
      <c r="FJ12" s="102">
        <v>1330</v>
      </c>
      <c r="FK12" s="102">
        <v>1330</v>
      </c>
      <c r="FL12" s="102">
        <v>1320</v>
      </c>
      <c r="FM12" s="102">
        <v>1320</v>
      </c>
      <c r="FN12" s="102">
        <v>1325</v>
      </c>
      <c r="FO12" s="102">
        <v>1310</v>
      </c>
      <c r="FP12" s="102">
        <v>1350</v>
      </c>
      <c r="FQ12" s="102">
        <v>1350</v>
      </c>
      <c r="FR12" s="102">
        <v>1350</v>
      </c>
      <c r="FS12" s="102">
        <v>1350</v>
      </c>
      <c r="FT12" s="102">
        <v>1350</v>
      </c>
      <c r="FU12" s="102">
        <v>1350</v>
      </c>
      <c r="FV12" s="102">
        <v>1350</v>
      </c>
      <c r="FW12" s="102">
        <v>1350</v>
      </c>
      <c r="FX12" s="102">
        <v>1350</v>
      </c>
      <c r="FY12" s="102">
        <v>1350</v>
      </c>
      <c r="FZ12" s="102">
        <v>1350</v>
      </c>
      <c r="GA12" s="102">
        <v>1350</v>
      </c>
      <c r="GB12" s="102">
        <v>1400</v>
      </c>
      <c r="GC12" s="102">
        <v>1400</v>
      </c>
      <c r="GD12" s="102">
        <v>1400</v>
      </c>
      <c r="GE12" s="102">
        <v>1400</v>
      </c>
      <c r="GF12" s="102">
        <v>1400</v>
      </c>
      <c r="GG12" s="102">
        <v>1400</v>
      </c>
      <c r="GH12" s="102">
        <v>1400</v>
      </c>
      <c r="GI12" s="102">
        <v>1380</v>
      </c>
      <c r="GJ12" s="102">
        <v>1380</v>
      </c>
      <c r="GK12" s="102">
        <v>1400</v>
      </c>
      <c r="GL12" s="102">
        <v>1400</v>
      </c>
      <c r="GM12" s="102">
        <v>1400</v>
      </c>
      <c r="GN12" s="102">
        <v>1390</v>
      </c>
      <c r="GO12" s="102">
        <v>1396</v>
      </c>
      <c r="GP12" s="102">
        <v>1400</v>
      </c>
      <c r="GQ12" s="102">
        <v>1400</v>
      </c>
      <c r="GR12" s="102">
        <v>1400</v>
      </c>
      <c r="GS12" s="102">
        <v>1400</v>
      </c>
      <c r="GT12" s="102">
        <v>1455</v>
      </c>
      <c r="GU12" s="102">
        <v>1455</v>
      </c>
      <c r="GV12" s="102">
        <v>1455</v>
      </c>
      <c r="GW12" s="102">
        <v>1455</v>
      </c>
      <c r="GX12" s="102">
        <v>1455</v>
      </c>
      <c r="GY12" s="102">
        <v>1455</v>
      </c>
      <c r="GZ12" s="102">
        <v>1455</v>
      </c>
      <c r="HA12" s="102">
        <v>1455</v>
      </c>
      <c r="HB12" s="102">
        <v>1500</v>
      </c>
      <c r="HC12" s="102">
        <v>1500</v>
      </c>
      <c r="HD12" s="102">
        <v>1500</v>
      </c>
      <c r="HE12" s="102">
        <v>1510</v>
      </c>
      <c r="HF12" s="102">
        <v>1510</v>
      </c>
      <c r="HG12" s="102">
        <v>1550</v>
      </c>
      <c r="HH12" s="102">
        <v>1550</v>
      </c>
      <c r="HI12" s="102">
        <v>1550</v>
      </c>
      <c r="HJ12" s="102">
        <v>1550</v>
      </c>
      <c r="HK12" s="102">
        <v>1580</v>
      </c>
      <c r="HL12" s="102">
        <v>1580</v>
      </c>
      <c r="HM12" s="102">
        <v>1580</v>
      </c>
      <c r="HN12" s="102">
        <v>1580</v>
      </c>
      <c r="HO12" s="102">
        <v>1580</v>
      </c>
      <c r="HP12" s="102">
        <v>1580</v>
      </c>
      <c r="HQ12" s="102">
        <v>1580</v>
      </c>
      <c r="HR12" s="102">
        <v>1580</v>
      </c>
      <c r="HS12" s="102">
        <v>1580</v>
      </c>
      <c r="HT12" s="102">
        <v>1560</v>
      </c>
      <c r="HU12" s="102">
        <v>1560</v>
      </c>
      <c r="HV12" s="102">
        <v>1550</v>
      </c>
      <c r="HW12" s="102">
        <v>1550</v>
      </c>
      <c r="HX12" s="102">
        <v>1550</v>
      </c>
      <c r="HY12" s="102">
        <v>1500</v>
      </c>
      <c r="HZ12" s="102">
        <v>1500</v>
      </c>
      <c r="IA12" s="102">
        <v>1500</v>
      </c>
      <c r="IB12" s="102">
        <v>1500</v>
      </c>
      <c r="IC12" s="102">
        <v>1500</v>
      </c>
      <c r="ID12" s="102">
        <v>1500</v>
      </c>
      <c r="IE12" s="102">
        <v>1500</v>
      </c>
      <c r="IF12" s="102">
        <v>1500</v>
      </c>
      <c r="IG12" s="102">
        <v>1500</v>
      </c>
      <c r="IH12" s="102">
        <v>1500</v>
      </c>
      <c r="II12" s="102">
        <v>1500</v>
      </c>
      <c r="IJ12" s="102">
        <v>1500</v>
      </c>
      <c r="IK12" s="102">
        <v>1500</v>
      </c>
      <c r="IL12" s="102">
        <v>1500</v>
      </c>
      <c r="IM12" s="102">
        <v>1500</v>
      </c>
      <c r="IN12" s="102">
        <v>1500</v>
      </c>
      <c r="IO12" s="102">
        <v>1500</v>
      </c>
      <c r="IP12" s="102">
        <v>1500</v>
      </c>
      <c r="IQ12" s="102">
        <v>1500</v>
      </c>
      <c r="IR12" s="102">
        <v>1500</v>
      </c>
      <c r="IS12" s="102">
        <v>1500</v>
      </c>
      <c r="IT12" s="102">
        <v>1500</v>
      </c>
      <c r="IU12" s="102">
        <v>1500</v>
      </c>
      <c r="IV12" s="102">
        <v>1500</v>
      </c>
      <c r="IW12" s="102">
        <v>1500</v>
      </c>
      <c r="IX12" s="102">
        <v>1500</v>
      </c>
      <c r="IY12" s="102">
        <v>1400</v>
      </c>
      <c r="IZ12" s="102">
        <v>1400</v>
      </c>
      <c r="JA12" s="102">
        <v>1400</v>
      </c>
      <c r="JB12" s="102">
        <v>1400</v>
      </c>
      <c r="JC12" s="102">
        <v>1400</v>
      </c>
      <c r="JD12" s="102">
        <v>1380</v>
      </c>
      <c r="JE12" s="102">
        <v>1380</v>
      </c>
      <c r="JF12" s="102">
        <v>1380</v>
      </c>
      <c r="JG12" s="102">
        <v>1380</v>
      </c>
      <c r="JH12" s="102">
        <v>1320</v>
      </c>
      <c r="JI12" s="102">
        <v>1320</v>
      </c>
      <c r="JJ12" s="102">
        <v>1320</v>
      </c>
      <c r="JK12" s="102">
        <v>1350</v>
      </c>
      <c r="JL12" s="102">
        <v>1350</v>
      </c>
      <c r="JM12" s="102">
        <v>1350</v>
      </c>
      <c r="JN12" s="102">
        <v>1350</v>
      </c>
      <c r="JO12" s="102">
        <v>1350</v>
      </c>
      <c r="JP12" s="102">
        <v>1350</v>
      </c>
      <c r="JQ12" s="102">
        <v>1350</v>
      </c>
      <c r="JR12" s="102">
        <v>1350</v>
      </c>
      <c r="JS12" s="102">
        <v>1350</v>
      </c>
      <c r="JT12" s="102">
        <v>1300</v>
      </c>
      <c r="JU12" s="102">
        <v>1300</v>
      </c>
      <c r="JV12" s="102">
        <v>1250</v>
      </c>
      <c r="JW12" s="102"/>
      <c r="JX12" s="102"/>
      <c r="JY12" s="102"/>
      <c r="JZ12" s="102"/>
      <c r="KA12" s="102"/>
    </row>
    <row r="13" spans="1:287" ht="14" hidden="1">
      <c r="D13" s="54" t="s">
        <v>41</v>
      </c>
      <c r="E13" s="25"/>
      <c r="F13" s="59" t="s">
        <v>42</v>
      </c>
      <c r="G13" s="54" t="s">
        <v>24</v>
      </c>
      <c r="H13" s="110" t="s">
        <v>71</v>
      </c>
      <c r="I13" s="25"/>
      <c r="J13" s="25"/>
      <c r="K13" s="25"/>
      <c r="L13" s="25"/>
      <c r="M13" s="25"/>
      <c r="N13" s="25"/>
      <c r="O13" s="25"/>
      <c r="P13" s="25"/>
      <c r="Q13" s="25"/>
      <c r="R13" s="56">
        <v>1290</v>
      </c>
      <c r="S13" s="56">
        <v>1290</v>
      </c>
      <c r="T13" s="56">
        <v>1290</v>
      </c>
      <c r="U13" s="56">
        <v>1205</v>
      </c>
      <c r="V13" s="56">
        <v>1205</v>
      </c>
      <c r="W13" s="56">
        <v>1542</v>
      </c>
      <c r="X13" s="56">
        <v>1542</v>
      </c>
      <c r="Y13" s="56">
        <v>1542</v>
      </c>
      <c r="Z13" s="57">
        <v>1755</v>
      </c>
      <c r="AA13" s="56">
        <v>1755</v>
      </c>
      <c r="AB13" s="58">
        <v>1755</v>
      </c>
      <c r="AC13" s="58">
        <v>1755</v>
      </c>
      <c r="AD13" s="58">
        <v>1755</v>
      </c>
      <c r="AE13" s="58">
        <v>1718</v>
      </c>
      <c r="AF13" s="58">
        <v>1718</v>
      </c>
      <c r="AG13" s="58">
        <v>1718</v>
      </c>
      <c r="AH13" s="58">
        <v>1718</v>
      </c>
      <c r="AI13" s="58">
        <v>1718</v>
      </c>
      <c r="AJ13" s="58">
        <v>1718</v>
      </c>
      <c r="AK13" s="102">
        <v>1718</v>
      </c>
      <c r="AL13" s="58">
        <f>+SUM(EA13:ED13)/4</f>
        <v>1640.75</v>
      </c>
      <c r="AM13" s="58">
        <f>+SUM(EE13:EH13)/4</f>
        <v>1615</v>
      </c>
      <c r="AN13" s="58">
        <f>+SUM(EI13:EK13)/COUNT(EI13:EK13)</f>
        <v>1615</v>
      </c>
      <c r="AO13" s="58"/>
      <c r="AP13" s="58"/>
      <c r="AQ13" s="58"/>
      <c r="AR13" s="58"/>
      <c r="AS13" s="58"/>
      <c r="AT13" s="58"/>
      <c r="AU13" s="58"/>
      <c r="AV13" s="102"/>
      <c r="AW13" s="102"/>
      <c r="AX13" s="102"/>
      <c r="AY13" s="102"/>
      <c r="AZ13" s="102"/>
      <c r="BA13" s="102"/>
      <c r="BB13" s="102"/>
      <c r="BC13" s="102"/>
      <c r="BD13" s="102"/>
      <c r="BE13" s="102"/>
      <c r="BF13" s="102"/>
      <c r="BG13" s="102"/>
      <c r="BH13" s="102"/>
      <c r="BI13" s="102"/>
      <c r="BJ13" s="102"/>
      <c r="BK13" s="102"/>
      <c r="BL13" s="102"/>
      <c r="BM13" s="102"/>
      <c r="BN13" s="102"/>
      <c r="BO13" s="102" t="e">
        <f t="shared" si="40"/>
        <v>#DIV/0!</v>
      </c>
      <c r="BP13" s="102" t="e">
        <f t="shared" ref="BP13:BP14" si="46">+SUM(IW13:JA13)/COUNT(IW13:JA13)</f>
        <v>#DIV/0!</v>
      </c>
      <c r="BQ13" s="102" t="e">
        <f t="shared" si="41"/>
        <v>#DIV/0!</v>
      </c>
      <c r="BR13" s="102" t="e">
        <f t="shared" si="42"/>
        <v>#DIV/0!</v>
      </c>
      <c r="BS13" s="102" t="e">
        <f t="shared" si="43"/>
        <v>#DIV/0!</v>
      </c>
      <c r="BT13" s="102" t="e">
        <f t="shared" si="44"/>
        <v>#DIV/0!</v>
      </c>
      <c r="BU13" s="102" t="e">
        <f t="shared" si="45"/>
        <v>#DIV/0!</v>
      </c>
      <c r="BV13" s="102" t="e">
        <f t="shared" si="45"/>
        <v>#DIV/0!</v>
      </c>
      <c r="BX13" s="54" t="s">
        <v>41</v>
      </c>
      <c r="BY13" s="25"/>
      <c r="BZ13" s="110" t="s">
        <v>71</v>
      </c>
      <c r="CA13" s="59"/>
      <c r="CB13" s="59"/>
      <c r="CC13" s="59"/>
      <c r="CD13" s="59"/>
      <c r="CE13" s="59"/>
      <c r="CF13" s="59"/>
      <c r="CG13" s="59"/>
      <c r="CH13" s="59"/>
      <c r="CI13" s="59"/>
      <c r="CJ13" s="59"/>
      <c r="CK13" s="59"/>
      <c r="CL13" s="59"/>
      <c r="CM13" s="59"/>
      <c r="CN13" s="59"/>
      <c r="CO13" s="59"/>
      <c r="CP13" s="59"/>
      <c r="CQ13" s="59"/>
      <c r="CR13" s="59"/>
      <c r="CS13" s="59"/>
      <c r="CT13" s="59"/>
      <c r="CU13" s="59"/>
      <c r="CV13" s="59"/>
      <c r="CW13" s="59"/>
      <c r="CX13" s="56">
        <v>1755</v>
      </c>
      <c r="CY13" s="56">
        <v>1755</v>
      </c>
      <c r="CZ13" s="56">
        <v>1755</v>
      </c>
      <c r="DA13" s="56">
        <v>1755</v>
      </c>
      <c r="DB13" s="56">
        <v>1755</v>
      </c>
      <c r="DC13" s="56">
        <v>1755</v>
      </c>
      <c r="DD13" s="56">
        <v>1755</v>
      </c>
      <c r="DE13" s="56">
        <v>1755</v>
      </c>
      <c r="DF13" s="56">
        <v>1755</v>
      </c>
      <c r="DG13" s="56">
        <v>1755</v>
      </c>
      <c r="DH13" s="56">
        <v>1755</v>
      </c>
      <c r="DI13" s="56">
        <v>1718</v>
      </c>
      <c r="DJ13" s="56">
        <v>1718</v>
      </c>
      <c r="DK13" s="56">
        <v>1718</v>
      </c>
      <c r="DL13" s="56">
        <v>1718</v>
      </c>
      <c r="DM13" s="56">
        <v>1718</v>
      </c>
      <c r="DN13" s="56">
        <v>1718</v>
      </c>
      <c r="DO13" s="58">
        <v>1718</v>
      </c>
      <c r="DP13" s="58">
        <v>1718</v>
      </c>
      <c r="DQ13" s="58">
        <v>1718</v>
      </c>
      <c r="DR13" s="58">
        <v>1718</v>
      </c>
      <c r="DS13" s="58">
        <v>1718</v>
      </c>
      <c r="DT13" s="58">
        <v>1718</v>
      </c>
      <c r="DU13" s="58">
        <v>1718</v>
      </c>
      <c r="DV13" s="58">
        <v>1718</v>
      </c>
      <c r="DW13" s="58">
        <v>1718</v>
      </c>
      <c r="DX13" s="58">
        <v>1718</v>
      </c>
      <c r="DY13" s="58">
        <v>1718</v>
      </c>
      <c r="DZ13" s="58">
        <v>1718</v>
      </c>
      <c r="EA13" s="58">
        <v>1718</v>
      </c>
      <c r="EB13" s="58">
        <v>1615</v>
      </c>
      <c r="EC13" s="58">
        <v>1615</v>
      </c>
      <c r="ED13" s="58">
        <v>1615</v>
      </c>
      <c r="EE13" s="58">
        <v>1615</v>
      </c>
      <c r="EF13" s="58">
        <v>1615</v>
      </c>
      <c r="EG13" s="58">
        <v>1615</v>
      </c>
      <c r="EH13" s="58">
        <v>1615</v>
      </c>
      <c r="EI13" s="58">
        <v>1615</v>
      </c>
      <c r="EJ13" s="58">
        <v>1615</v>
      </c>
      <c r="EK13" s="58">
        <v>1615</v>
      </c>
      <c r="EL13" s="58">
        <v>1615</v>
      </c>
      <c r="EM13" s="58"/>
      <c r="EN13" s="58"/>
      <c r="EO13" s="58"/>
      <c r="EP13" s="58"/>
      <c r="EQ13" s="58"/>
      <c r="ER13" s="58"/>
      <c r="ES13" s="58"/>
      <c r="ET13" s="58"/>
      <c r="EU13" s="58"/>
      <c r="EV13" s="58"/>
      <c r="EW13" s="58"/>
      <c r="EX13" s="58"/>
      <c r="EY13" s="58"/>
      <c r="EZ13" s="58"/>
      <c r="FA13" s="58"/>
      <c r="FB13" s="58"/>
      <c r="FC13" s="58"/>
      <c r="FD13" s="58"/>
      <c r="FE13" s="58"/>
      <c r="FF13" s="58"/>
      <c r="FG13" s="102"/>
      <c r="FH13" s="102"/>
      <c r="FI13" s="102"/>
      <c r="FJ13" s="102"/>
      <c r="FK13" s="102"/>
      <c r="FL13" s="102"/>
      <c r="FM13" s="102"/>
      <c r="FN13" s="102"/>
      <c r="FO13" s="102"/>
      <c r="FP13" s="102"/>
      <c r="FQ13" s="102"/>
      <c r="FR13" s="102"/>
      <c r="FS13" s="102"/>
      <c r="FT13" s="102"/>
      <c r="FU13" s="102"/>
      <c r="FV13" s="102"/>
      <c r="FW13" s="102"/>
      <c r="FX13" s="102"/>
      <c r="FY13" s="102"/>
      <c r="FZ13" s="102"/>
      <c r="GA13" s="102"/>
      <c r="GB13" s="102"/>
      <c r="GC13" s="102"/>
      <c r="GD13" s="102"/>
      <c r="GE13" s="102"/>
      <c r="GF13" s="102"/>
      <c r="GG13" s="102"/>
      <c r="GH13" s="102"/>
      <c r="GI13" s="102"/>
      <c r="GJ13" s="102"/>
      <c r="GK13" s="102"/>
      <c r="GL13" s="102"/>
      <c r="GM13" s="102"/>
      <c r="GN13" s="102"/>
      <c r="GO13" s="102"/>
      <c r="GP13" s="102"/>
      <c r="GQ13" s="102"/>
      <c r="GR13" s="102"/>
      <c r="GS13" s="102"/>
      <c r="GT13" s="102"/>
      <c r="GU13" s="102"/>
      <c r="GV13" s="102"/>
      <c r="GW13" s="102"/>
      <c r="GX13" s="102"/>
      <c r="GY13" s="102"/>
      <c r="GZ13" s="102"/>
      <c r="HA13" s="102"/>
      <c r="HB13" s="102"/>
      <c r="HC13" s="102"/>
      <c r="HD13" s="102"/>
      <c r="HE13" s="102"/>
      <c r="HF13" s="102"/>
      <c r="HG13" s="102"/>
      <c r="HH13" s="102"/>
      <c r="HI13" s="102"/>
      <c r="HJ13" s="102"/>
      <c r="HK13" s="102"/>
      <c r="HL13" s="102"/>
      <c r="HM13" s="102"/>
      <c r="HN13" s="102"/>
      <c r="HO13" s="102"/>
      <c r="HP13" s="102"/>
      <c r="HQ13" s="102"/>
      <c r="HR13" s="102"/>
      <c r="HS13" s="102"/>
      <c r="HT13" s="102"/>
      <c r="HU13" s="102"/>
      <c r="HV13" s="102"/>
      <c r="HW13" s="102"/>
      <c r="HX13" s="102"/>
      <c r="HY13" s="102"/>
      <c r="HZ13" s="102"/>
      <c r="IA13" s="102"/>
      <c r="IB13" s="102"/>
      <c r="IC13" s="102"/>
      <c r="ID13" s="102"/>
      <c r="IE13" s="102"/>
      <c r="IF13" s="102"/>
      <c r="IG13" s="102"/>
      <c r="IH13" s="102"/>
      <c r="II13" s="102"/>
      <c r="IJ13" s="102"/>
      <c r="IK13" s="102"/>
      <c r="IL13" s="102"/>
      <c r="IM13" s="102"/>
      <c r="IN13" s="102"/>
      <c r="IO13" s="102"/>
      <c r="IP13" s="102"/>
      <c r="IQ13" s="102"/>
      <c r="IR13" s="102"/>
      <c r="IS13" s="102"/>
      <c r="IT13" s="102"/>
      <c r="IU13" s="102"/>
      <c r="IV13" s="102"/>
      <c r="IW13" s="102"/>
      <c r="IX13" s="102"/>
      <c r="IY13" s="102"/>
      <c r="IZ13" s="102"/>
      <c r="JA13" s="102"/>
      <c r="JB13" s="102"/>
      <c r="JC13" s="102"/>
      <c r="JD13" s="102"/>
      <c r="JE13" s="102"/>
      <c r="JF13" s="102"/>
      <c r="JG13" s="102"/>
      <c r="JH13" s="102"/>
      <c r="JI13" s="102"/>
      <c r="JJ13" s="102"/>
      <c r="JK13" s="102"/>
      <c r="JL13" s="102"/>
      <c r="JM13" s="102"/>
      <c r="JN13" s="102"/>
      <c r="JO13" s="102"/>
      <c r="JP13" s="102"/>
      <c r="JQ13" s="102"/>
      <c r="JR13" s="102"/>
      <c r="JS13" s="102"/>
      <c r="JT13" s="102"/>
      <c r="JU13" s="102"/>
      <c r="JV13" s="102"/>
      <c r="JW13" s="102"/>
      <c r="JX13" s="102"/>
      <c r="JY13" s="102"/>
      <c r="JZ13" s="102"/>
      <c r="KA13" s="102"/>
    </row>
    <row r="14" spans="1:287" ht="14">
      <c r="D14" s="54" t="s">
        <v>41</v>
      </c>
      <c r="E14" s="25"/>
      <c r="F14" s="59" t="s">
        <v>130</v>
      </c>
      <c r="G14" s="54" t="s">
        <v>24</v>
      </c>
      <c r="H14" s="110" t="s">
        <v>130</v>
      </c>
      <c r="I14" s="25"/>
      <c r="J14" s="25"/>
      <c r="K14" s="25"/>
      <c r="L14" s="25"/>
      <c r="M14" s="25"/>
      <c r="N14" s="25"/>
      <c r="O14" s="25"/>
      <c r="P14" s="25"/>
      <c r="Q14" s="25"/>
      <c r="R14" s="56"/>
      <c r="S14" s="56">
        <v>1190</v>
      </c>
      <c r="T14" s="56">
        <v>1150</v>
      </c>
      <c r="U14" s="56">
        <v>1165</v>
      </c>
      <c r="V14" s="56">
        <v>1272.5</v>
      </c>
      <c r="W14" s="56">
        <v>1346</v>
      </c>
      <c r="X14" s="56">
        <v>1297.5</v>
      </c>
      <c r="Y14" s="56">
        <v>1316.6666666666667</v>
      </c>
      <c r="Z14" s="56">
        <v>1390</v>
      </c>
      <c r="AA14" s="56">
        <v>1220</v>
      </c>
      <c r="AB14" s="56">
        <v>1270</v>
      </c>
      <c r="AC14" s="56">
        <v>1190</v>
      </c>
      <c r="AD14" s="56">
        <v>1190</v>
      </c>
      <c r="AE14" s="56">
        <v>1130</v>
      </c>
      <c r="AF14" s="56">
        <v>1100</v>
      </c>
      <c r="AG14" s="56">
        <v>1100</v>
      </c>
      <c r="AH14" s="56">
        <v>1070</v>
      </c>
      <c r="AI14" s="56">
        <v>1040</v>
      </c>
      <c r="AJ14" s="56">
        <v>1040</v>
      </c>
      <c r="AK14" s="56">
        <f>+SUM(DW14:DZ14)/4</f>
        <v>977.5</v>
      </c>
      <c r="AL14" s="58">
        <f>+SUM(EA14:ED14)/4</f>
        <v>1000</v>
      </c>
      <c r="AM14" s="58">
        <f>+SUM(EE14:EH14)/4</f>
        <v>1045</v>
      </c>
      <c r="AN14" s="58">
        <f>+SUM(EI14:EK14)/COUNT(EI14:EK14)</f>
        <v>1020</v>
      </c>
      <c r="AO14" s="58">
        <f>+SUM(EM14:EP14)/COUNT(EM14:EP14)</f>
        <v>1055</v>
      </c>
      <c r="AP14" s="58">
        <f>+SUM(EQ14:EU14)/COUNT(EQ14:EU14)</f>
        <v>974</v>
      </c>
      <c r="AQ14" s="58">
        <f>+SUM(EV14:EY14)/COUNT(EV14:EY14)</f>
        <v>895</v>
      </c>
      <c r="AR14" s="58">
        <f>+SUM(EZ14:FC14)/COUNT(EZ14:FC14)</f>
        <v>903</v>
      </c>
      <c r="AS14" s="58">
        <f>+SUM(FD14:FH14)/COUNT(FD14:FH14)</f>
        <v>918</v>
      </c>
      <c r="AT14" s="58">
        <f>+SUM(FI14:FL14)/COUNT(FI14:FL14)</f>
        <v>930</v>
      </c>
      <c r="AU14" s="58">
        <f>+SUM(FM14:FP14)/COUNT(FM14:FP14)</f>
        <v>922.5</v>
      </c>
      <c r="AV14" s="102">
        <f>+SUM(FQ14:FT14)/COUNT(FQ14:FT14)</f>
        <v>900</v>
      </c>
      <c r="AW14" s="102">
        <f>+SUM(FU14:FY14)/COUNT(FU14:FY14)</f>
        <v>900</v>
      </c>
      <c r="AX14" s="102">
        <f>+SUM(FZ14:GC14)/COUNT(FZ14:GC14)</f>
        <v>930</v>
      </c>
      <c r="AY14" s="102">
        <f>+SUM(GD14:GF14)/COUNT(GD14:GF14)</f>
        <v>943.33333333333337</v>
      </c>
      <c r="AZ14" s="102">
        <f>+SUM(GG14:GJ14)/COUNT(GG14:GJ14)</f>
        <v>940</v>
      </c>
      <c r="BA14" s="102">
        <f>+SUM(GK14:GN14)/COUNT(GK14:GN14)</f>
        <v>940</v>
      </c>
      <c r="BB14" s="102">
        <f>+SUM(GO14:GS14)/COUNT(GO14:GS14)</f>
        <v>942</v>
      </c>
      <c r="BC14" s="102">
        <f>+SUM(GT14:GW14)/COUNT(GT14:GW14)</f>
        <v>950</v>
      </c>
      <c r="BD14" s="102">
        <f>+SUM(GX14:HA14)/COUNT(GX14:HA14)</f>
        <v>947.5</v>
      </c>
      <c r="BE14" s="102">
        <f>+SUM(HB14:HF14)/COUNT(HB14:HF14)</f>
        <v>930</v>
      </c>
      <c r="BF14" s="102">
        <f>+SUM(HG14:HJ14)/COUNT(HG14:HJ14)</f>
        <v>880</v>
      </c>
      <c r="BG14" s="102">
        <f>+SUM(HK14:HN14)/COUNT(HK14:HN14)</f>
        <v>862.5</v>
      </c>
      <c r="BH14" s="102">
        <f>+SUM(HO14:HS14)/COUNT(HO14:HS14)</f>
        <v>852</v>
      </c>
      <c r="BI14" s="102">
        <f>+SUM(HT14:HW14)/COUNT(HT14:HW14)</f>
        <v>830</v>
      </c>
      <c r="BJ14" s="102">
        <f>+SUM(HX14:IA14)/COUNT(HX14:IA14)</f>
        <v>827.5</v>
      </c>
      <c r="BK14" s="102">
        <f>+SUM(IB14:IE14)/COUNT(IB14:IE14)</f>
        <v>840</v>
      </c>
      <c r="BL14" s="102">
        <f>+SUM(IF14:II14)/COUNT(IF14:II14)</f>
        <v>822.5</v>
      </c>
      <c r="BM14" s="102">
        <f>+SUM(IJ14:IM14)/COUNT(IJ14:IM14)</f>
        <v>765</v>
      </c>
      <c r="BN14" s="102">
        <f>+SUM(IN14:IR14)/COUNT(IN14:IR14)</f>
        <v>782</v>
      </c>
      <c r="BO14" s="102">
        <f t="shared" si="40"/>
        <v>807.5</v>
      </c>
      <c r="BP14" s="102">
        <f t="shared" si="46"/>
        <v>802</v>
      </c>
      <c r="BQ14" s="102">
        <f t="shared" si="41"/>
        <v>795</v>
      </c>
      <c r="BR14" s="102">
        <f t="shared" si="42"/>
        <v>782.5</v>
      </c>
      <c r="BS14" s="102">
        <f t="shared" si="43"/>
        <v>772</v>
      </c>
      <c r="BT14" s="102">
        <f t="shared" si="44"/>
        <v>770</v>
      </c>
      <c r="BU14" s="102">
        <f t="shared" si="45"/>
        <v>772.5</v>
      </c>
      <c r="BV14" s="102">
        <v>795</v>
      </c>
      <c r="BW14" s="51"/>
      <c r="BX14" s="54" t="s">
        <v>41</v>
      </c>
      <c r="BY14" s="25"/>
      <c r="BZ14" s="127" t="s">
        <v>130</v>
      </c>
      <c r="CA14" s="59"/>
      <c r="CB14" s="59"/>
      <c r="CC14" s="59"/>
      <c r="CD14" s="59"/>
      <c r="CE14" s="59"/>
      <c r="CF14" s="59"/>
      <c r="CG14" s="59"/>
      <c r="CH14" s="59"/>
      <c r="CI14" s="59"/>
      <c r="CJ14" s="59"/>
      <c r="CK14" s="59"/>
      <c r="CL14" s="59"/>
      <c r="CM14" s="59"/>
      <c r="CN14" s="59"/>
      <c r="CO14" s="59"/>
      <c r="CP14" s="59"/>
      <c r="CQ14" s="59"/>
      <c r="CR14" s="59"/>
      <c r="CS14" s="59"/>
      <c r="CT14" s="59"/>
      <c r="CU14" s="59"/>
      <c r="CV14" s="59"/>
      <c r="CW14" s="59"/>
      <c r="CX14" s="56">
        <f>+(1400+1430)/2</f>
        <v>1415</v>
      </c>
      <c r="CY14" s="56">
        <f>+(1380+1410)/2</f>
        <v>1395</v>
      </c>
      <c r="CZ14" s="56">
        <f>+(1360+1390)/2</f>
        <v>1375</v>
      </c>
      <c r="DA14" s="56">
        <f>+(1320+1350)/2</f>
        <v>1335</v>
      </c>
      <c r="DB14" s="56">
        <f>+(1230+1270)/2</f>
        <v>1250</v>
      </c>
      <c r="DC14" s="56">
        <f>+(1210+1250)/2</f>
        <v>1230</v>
      </c>
      <c r="DD14" s="56">
        <f>+(1200+1240)/2</f>
        <v>1220</v>
      </c>
      <c r="DE14" s="56">
        <f>+(1230+1270)/2</f>
        <v>1250</v>
      </c>
      <c r="DF14" s="56">
        <f>+(1230+1270)/2</f>
        <v>1250</v>
      </c>
      <c r="DG14" s="56">
        <f>+(1200+1240)/2</f>
        <v>1220</v>
      </c>
      <c r="DH14" s="56">
        <f>+(1170+1210)/2</f>
        <v>1190</v>
      </c>
      <c r="DI14" s="56">
        <f>+(1140+1180)/2</f>
        <v>1160</v>
      </c>
      <c r="DJ14" s="56">
        <f>+(1140+1180)/2</f>
        <v>1160</v>
      </c>
      <c r="DK14" s="56">
        <f>+(1140+1180)/2</f>
        <v>1160</v>
      </c>
      <c r="DL14" s="56">
        <f>+(1110+1150)/2</f>
        <v>1130</v>
      </c>
      <c r="DM14" s="56">
        <f>+(1110+1150)/2</f>
        <v>1130</v>
      </c>
      <c r="DN14" s="56">
        <v>1100</v>
      </c>
      <c r="DO14" s="56">
        <v>1100</v>
      </c>
      <c r="DP14" s="56">
        <v>1070</v>
      </c>
      <c r="DQ14" s="56">
        <v>1040</v>
      </c>
      <c r="DR14" s="56">
        <v>995</v>
      </c>
      <c r="DS14" s="56">
        <v>980</v>
      </c>
      <c r="DT14" s="56">
        <f>+(960+1000)/2</f>
        <v>980</v>
      </c>
      <c r="DU14" s="56">
        <f>+(960+1000)/2</f>
        <v>980</v>
      </c>
      <c r="DV14" s="56">
        <f>+(940+1000)/2</f>
        <v>970</v>
      </c>
      <c r="DW14" s="56">
        <f>+(940+1000)/2</f>
        <v>970</v>
      </c>
      <c r="DX14" s="56">
        <f>+(940+1000)/2</f>
        <v>970</v>
      </c>
      <c r="DY14" s="56">
        <f>+(960+1000)/2</f>
        <v>980</v>
      </c>
      <c r="DZ14" s="56">
        <f>+(970+1010)/2</f>
        <v>990</v>
      </c>
      <c r="EA14" s="56">
        <v>970</v>
      </c>
      <c r="EB14" s="56">
        <v>980</v>
      </c>
      <c r="EC14" s="114">
        <v>990</v>
      </c>
      <c r="ED14" s="114">
        <v>1060</v>
      </c>
      <c r="EE14" s="114">
        <v>1070</v>
      </c>
      <c r="EF14" s="114">
        <v>1070</v>
      </c>
      <c r="EG14" s="118">
        <v>1020</v>
      </c>
      <c r="EH14" s="118">
        <v>1020</v>
      </c>
      <c r="EI14" s="118">
        <v>1020</v>
      </c>
      <c r="EJ14" s="118">
        <v>1020</v>
      </c>
      <c r="EK14" s="118">
        <v>1020</v>
      </c>
      <c r="EL14" s="118">
        <v>1020</v>
      </c>
      <c r="EM14" s="118">
        <v>1050</v>
      </c>
      <c r="EN14" s="118">
        <v>1070</v>
      </c>
      <c r="EO14" s="118">
        <v>1050</v>
      </c>
      <c r="EP14" s="118">
        <v>1050</v>
      </c>
      <c r="EQ14" s="118">
        <v>1020</v>
      </c>
      <c r="ER14" s="118">
        <v>1000</v>
      </c>
      <c r="ES14" s="118">
        <v>980</v>
      </c>
      <c r="ET14" s="118">
        <v>960</v>
      </c>
      <c r="EU14" s="118">
        <v>910</v>
      </c>
      <c r="EV14" s="118">
        <v>910</v>
      </c>
      <c r="EW14" s="118">
        <v>890</v>
      </c>
      <c r="EX14" s="118">
        <v>890</v>
      </c>
      <c r="EY14" s="118">
        <v>890</v>
      </c>
      <c r="EZ14" s="118">
        <v>890</v>
      </c>
      <c r="FA14" s="118">
        <v>882</v>
      </c>
      <c r="FB14" s="118">
        <v>920</v>
      </c>
      <c r="FC14" s="118">
        <v>920</v>
      </c>
      <c r="FD14" s="118">
        <v>940</v>
      </c>
      <c r="FE14" s="118">
        <v>920</v>
      </c>
      <c r="FF14" s="118">
        <v>910</v>
      </c>
      <c r="FG14" s="118">
        <v>910</v>
      </c>
      <c r="FH14" s="118">
        <v>910</v>
      </c>
      <c r="FI14" s="118">
        <v>910</v>
      </c>
      <c r="FJ14" s="118">
        <v>930</v>
      </c>
      <c r="FK14" s="118">
        <v>940</v>
      </c>
      <c r="FL14" s="118">
        <v>940</v>
      </c>
      <c r="FM14" s="118">
        <v>940</v>
      </c>
      <c r="FN14" s="118">
        <v>930</v>
      </c>
      <c r="FO14" s="118">
        <v>920</v>
      </c>
      <c r="FP14" s="118">
        <v>900</v>
      </c>
      <c r="FQ14" s="118">
        <v>900</v>
      </c>
      <c r="FR14" s="118">
        <v>900</v>
      </c>
      <c r="FS14" s="118">
        <v>900</v>
      </c>
      <c r="FT14" s="118">
        <v>900</v>
      </c>
      <c r="FU14" s="118">
        <v>900</v>
      </c>
      <c r="FV14" s="118">
        <v>900</v>
      </c>
      <c r="FW14" s="118">
        <v>900</v>
      </c>
      <c r="FX14" s="118">
        <v>900</v>
      </c>
      <c r="FY14" s="118">
        <v>900</v>
      </c>
      <c r="FZ14" s="118">
        <v>900</v>
      </c>
      <c r="GA14" s="118">
        <v>940</v>
      </c>
      <c r="GB14" s="118">
        <v>940</v>
      </c>
      <c r="GC14" s="118">
        <v>940</v>
      </c>
      <c r="GD14" s="118">
        <v>950</v>
      </c>
      <c r="GE14" s="118">
        <v>940</v>
      </c>
      <c r="GF14" s="118">
        <v>940</v>
      </c>
      <c r="GG14" s="118">
        <v>940</v>
      </c>
      <c r="GH14" s="118">
        <v>940</v>
      </c>
      <c r="GI14" s="118">
        <v>940</v>
      </c>
      <c r="GJ14" s="118">
        <v>940</v>
      </c>
      <c r="GK14" s="118">
        <v>940</v>
      </c>
      <c r="GL14" s="118">
        <v>940</v>
      </c>
      <c r="GM14" s="118">
        <v>940</v>
      </c>
      <c r="GN14" s="118">
        <v>940</v>
      </c>
      <c r="GO14" s="118">
        <v>940</v>
      </c>
      <c r="GP14" s="118">
        <v>940</v>
      </c>
      <c r="GQ14" s="118">
        <v>940</v>
      </c>
      <c r="GR14" s="118">
        <v>940</v>
      </c>
      <c r="GS14" s="118">
        <v>950</v>
      </c>
      <c r="GT14" s="118">
        <v>950</v>
      </c>
      <c r="GU14" s="118">
        <v>950</v>
      </c>
      <c r="GV14" s="118">
        <v>950</v>
      </c>
      <c r="GW14" s="118">
        <v>950</v>
      </c>
      <c r="GX14" s="118">
        <v>950</v>
      </c>
      <c r="GY14" s="118">
        <v>950</v>
      </c>
      <c r="GZ14" s="118">
        <v>950</v>
      </c>
      <c r="HA14" s="118">
        <v>940</v>
      </c>
      <c r="HB14" s="118">
        <v>940</v>
      </c>
      <c r="HC14" s="118">
        <v>940</v>
      </c>
      <c r="HD14" s="118">
        <v>940</v>
      </c>
      <c r="HE14" s="118">
        <v>930</v>
      </c>
      <c r="HF14" s="118">
        <v>900</v>
      </c>
      <c r="HG14" s="118">
        <v>900</v>
      </c>
      <c r="HH14" s="118">
        <v>890</v>
      </c>
      <c r="HI14" s="118">
        <v>870</v>
      </c>
      <c r="HJ14" s="118">
        <v>860</v>
      </c>
      <c r="HK14" s="118">
        <v>860</v>
      </c>
      <c r="HL14" s="118">
        <v>860</v>
      </c>
      <c r="HM14" s="118">
        <v>870</v>
      </c>
      <c r="HN14" s="118">
        <v>860</v>
      </c>
      <c r="HO14" s="118">
        <v>860</v>
      </c>
      <c r="HP14" s="118">
        <v>860</v>
      </c>
      <c r="HQ14" s="118">
        <v>860</v>
      </c>
      <c r="HR14" s="118">
        <v>840</v>
      </c>
      <c r="HS14" s="118">
        <v>840</v>
      </c>
      <c r="HT14" s="118">
        <v>840</v>
      </c>
      <c r="HU14" s="118">
        <v>830</v>
      </c>
      <c r="HV14" s="118">
        <v>830</v>
      </c>
      <c r="HW14" s="118">
        <v>820</v>
      </c>
      <c r="HX14" s="118">
        <v>820</v>
      </c>
      <c r="HY14" s="118">
        <v>820</v>
      </c>
      <c r="HZ14" s="118">
        <v>820</v>
      </c>
      <c r="IA14" s="118">
        <v>850</v>
      </c>
      <c r="IB14" s="118">
        <v>840</v>
      </c>
      <c r="IC14" s="118">
        <v>840</v>
      </c>
      <c r="ID14" s="118">
        <v>840</v>
      </c>
      <c r="IE14" s="118">
        <v>840</v>
      </c>
      <c r="IF14" s="118">
        <v>840</v>
      </c>
      <c r="IG14" s="118">
        <v>830</v>
      </c>
      <c r="IH14" s="118">
        <v>810</v>
      </c>
      <c r="II14" s="118">
        <v>810</v>
      </c>
      <c r="IJ14" s="118">
        <v>800</v>
      </c>
      <c r="IK14" s="118">
        <v>750</v>
      </c>
      <c r="IL14" s="118">
        <v>750</v>
      </c>
      <c r="IM14" s="118">
        <v>760</v>
      </c>
      <c r="IN14" s="118">
        <v>760</v>
      </c>
      <c r="IO14" s="118">
        <v>760</v>
      </c>
      <c r="IP14" s="118">
        <v>800</v>
      </c>
      <c r="IQ14" s="118">
        <v>800</v>
      </c>
      <c r="IR14" s="118">
        <v>790</v>
      </c>
      <c r="IS14" s="118">
        <v>800</v>
      </c>
      <c r="IT14" s="118">
        <v>790</v>
      </c>
      <c r="IU14" s="118">
        <v>820</v>
      </c>
      <c r="IV14" s="118">
        <v>820</v>
      </c>
      <c r="IW14" s="118">
        <v>820</v>
      </c>
      <c r="IX14" s="118">
        <v>820</v>
      </c>
      <c r="IY14" s="118">
        <v>790</v>
      </c>
      <c r="IZ14" s="118">
        <v>790</v>
      </c>
      <c r="JA14" s="118">
        <v>790</v>
      </c>
      <c r="JB14" s="118">
        <v>800</v>
      </c>
      <c r="JC14" s="118">
        <v>790</v>
      </c>
      <c r="JD14" s="118">
        <v>790</v>
      </c>
      <c r="JE14" s="118">
        <v>800</v>
      </c>
      <c r="JF14" s="118">
        <v>790</v>
      </c>
      <c r="JG14" s="118">
        <v>780</v>
      </c>
      <c r="JH14" s="118">
        <v>780</v>
      </c>
      <c r="JI14" s="118">
        <v>780</v>
      </c>
      <c r="JJ14" s="118">
        <v>780</v>
      </c>
      <c r="JK14" s="118">
        <v>780</v>
      </c>
      <c r="JL14" s="118">
        <v>770</v>
      </c>
      <c r="JM14" s="118">
        <v>760</v>
      </c>
      <c r="JN14" s="118">
        <v>770</v>
      </c>
      <c r="JO14" s="118">
        <v>770</v>
      </c>
      <c r="JP14" s="118">
        <v>770</v>
      </c>
      <c r="JQ14" s="118">
        <v>770</v>
      </c>
      <c r="JR14" s="118">
        <v>770</v>
      </c>
      <c r="JS14" s="118">
        <v>770</v>
      </c>
      <c r="JT14" s="118">
        <v>770</v>
      </c>
      <c r="JU14" s="118">
        <v>770</v>
      </c>
      <c r="JV14" s="118">
        <v>780</v>
      </c>
      <c r="JW14" s="118">
        <v>795</v>
      </c>
      <c r="JX14" s="118"/>
      <c r="JY14" s="118"/>
      <c r="JZ14" s="118"/>
      <c r="KA14" s="118"/>
    </row>
    <row r="15" spans="1:287" ht="14" hidden="1">
      <c r="F15" s="109" t="s">
        <v>77</v>
      </c>
      <c r="H15" s="1" t="s">
        <v>70</v>
      </c>
      <c r="AM15" s="51"/>
      <c r="BW15" s="13"/>
      <c r="BZ15" s="128" t="s">
        <v>88</v>
      </c>
      <c r="CX15" s="56"/>
      <c r="CY15" s="56"/>
      <c r="CZ15" s="56"/>
      <c r="DA15" s="56"/>
      <c r="DB15" s="56"/>
      <c r="DC15" s="56"/>
      <c r="DD15" s="56"/>
      <c r="DE15" s="107">
        <v>2502.2399999999998</v>
      </c>
      <c r="DF15" s="107">
        <v>2502.2399999999998</v>
      </c>
      <c r="DG15" s="56">
        <v>2502.2399999999998</v>
      </c>
      <c r="DH15" s="56">
        <v>2259.7399999999998</v>
      </c>
      <c r="DI15" s="56">
        <v>2259.7399999999998</v>
      </c>
      <c r="DJ15" s="56">
        <v>2259.7399999999998</v>
      </c>
      <c r="DK15" s="107">
        <v>1918.02</v>
      </c>
      <c r="DL15" s="107">
        <v>1918.02</v>
      </c>
      <c r="DM15" s="107">
        <v>1918.02</v>
      </c>
      <c r="DN15" s="107">
        <v>1587.33</v>
      </c>
      <c r="DO15" s="56">
        <v>1587.33</v>
      </c>
      <c r="DP15" s="56">
        <v>1587.33</v>
      </c>
      <c r="DQ15" s="56">
        <v>1587.33</v>
      </c>
      <c r="DR15" s="56">
        <v>1587.33</v>
      </c>
      <c r="DS15" s="107">
        <v>1587.33</v>
      </c>
      <c r="DT15" s="107">
        <v>1587.33</v>
      </c>
      <c r="DU15" s="107">
        <v>1587.33</v>
      </c>
      <c r="DV15" s="107">
        <v>1477.1</v>
      </c>
      <c r="DW15" s="56">
        <v>1477.1</v>
      </c>
      <c r="DX15" s="56">
        <v>1477.1</v>
      </c>
      <c r="DY15" s="56">
        <v>1477.1</v>
      </c>
      <c r="DZ15" s="56">
        <v>1477.1</v>
      </c>
      <c r="EA15" s="56">
        <v>1543.23</v>
      </c>
      <c r="EB15" s="56">
        <v>1543.2339999999999</v>
      </c>
      <c r="EC15" s="56">
        <v>1543.2339999999999</v>
      </c>
      <c r="ED15" s="56">
        <v>1543.2339999999999</v>
      </c>
      <c r="EE15" s="56">
        <v>1543.2339999999999</v>
      </c>
      <c r="EF15" s="56">
        <v>1543.2339999999999</v>
      </c>
      <c r="EG15" s="10">
        <v>1543.2339999999999</v>
      </c>
      <c r="EH15" s="10">
        <v>1543.2339999999999</v>
      </c>
      <c r="EI15" s="10">
        <v>1543.2339999999999</v>
      </c>
      <c r="EJ15" s="10">
        <v>1543.2339999999999</v>
      </c>
      <c r="EK15" s="10">
        <v>1543.2339999999999</v>
      </c>
      <c r="EL15" s="10">
        <v>1543.2339999999999</v>
      </c>
      <c r="EM15" s="10">
        <v>1543.2339999999999</v>
      </c>
      <c r="EN15" s="10">
        <v>1543.2339999999999</v>
      </c>
      <c r="EO15" s="10">
        <v>1543.2339999999999</v>
      </c>
      <c r="EP15" s="10">
        <v>1543.2339999999999</v>
      </c>
      <c r="EQ15" s="10">
        <v>1543.2339999999999</v>
      </c>
      <c r="ER15" s="10">
        <v>1543.2339999999999</v>
      </c>
      <c r="ES15" s="75">
        <v>1543.2339999999999</v>
      </c>
      <c r="ET15" s="75">
        <v>1521.1880000000001</v>
      </c>
      <c r="EU15" s="75">
        <v>1521.1880000000001</v>
      </c>
      <c r="EV15" s="75">
        <v>1521.1880000000001</v>
      </c>
      <c r="EW15" s="75">
        <v>1521.1880000000001</v>
      </c>
      <c r="EX15" s="75">
        <v>1521.1880000000001</v>
      </c>
      <c r="EY15" s="75">
        <v>1521.1880000000001</v>
      </c>
      <c r="EZ15" s="75">
        <v>1521.1880000000001</v>
      </c>
      <c r="FA15" s="75">
        <v>1521.1880000000001</v>
      </c>
      <c r="FB15" s="75">
        <v>1521.1880000000001</v>
      </c>
      <c r="FC15" s="75">
        <v>1521.1880000000001</v>
      </c>
      <c r="FD15" s="75">
        <v>1521.1880000000001</v>
      </c>
      <c r="FE15" s="75">
        <v>1521.1880000000001</v>
      </c>
      <c r="FF15" s="75">
        <v>1521.1880000000001</v>
      </c>
      <c r="FG15" s="75">
        <v>1521.1880000000001</v>
      </c>
      <c r="FH15" s="75">
        <v>1521.1880000000001</v>
      </c>
      <c r="FI15" s="75">
        <v>1521.1880000000001</v>
      </c>
      <c r="FJ15" s="75">
        <v>1521.1880000000001</v>
      </c>
      <c r="FK15" s="75">
        <v>1521.1880000000001</v>
      </c>
      <c r="FL15" s="75">
        <v>1521.1880000000001</v>
      </c>
      <c r="FM15" s="75">
        <v>1521.1880000000001</v>
      </c>
      <c r="FN15" s="75">
        <v>1521.1880000000001</v>
      </c>
      <c r="FO15" s="75">
        <v>1521.1880000000001</v>
      </c>
      <c r="FP15" s="75">
        <v>1521.1880000000001</v>
      </c>
      <c r="FQ15" s="75">
        <v>1521.1880000000001</v>
      </c>
      <c r="FR15" s="75">
        <v>1521.1880000000001</v>
      </c>
      <c r="FS15" s="75">
        <v>1521.1880000000001</v>
      </c>
      <c r="FT15" s="75">
        <v>1521.1880000000001</v>
      </c>
      <c r="FU15" s="75">
        <v>1521.1880000000001</v>
      </c>
      <c r="FV15" s="75">
        <v>1521.1880000000001</v>
      </c>
      <c r="FW15" s="75">
        <v>1521.1880000000001</v>
      </c>
      <c r="FX15" s="75">
        <v>1521.1880000000001</v>
      </c>
      <c r="FY15" s="75">
        <v>1521.1880000000001</v>
      </c>
      <c r="FZ15" s="75">
        <v>1521.1880000000001</v>
      </c>
      <c r="GA15" s="75">
        <v>1521.1880000000001</v>
      </c>
      <c r="GB15" s="75">
        <v>1521.1880000000001</v>
      </c>
      <c r="GC15" s="75">
        <v>1521.1880000000001</v>
      </c>
      <c r="GD15" s="75">
        <v>1521.1880000000001</v>
      </c>
      <c r="GE15" s="75">
        <v>1521.1880000000001</v>
      </c>
      <c r="GF15" s="75">
        <v>1521.1880000000001</v>
      </c>
      <c r="GG15" s="75">
        <v>1521.1880000000001</v>
      </c>
      <c r="GH15" s="75">
        <v>1521.1880000000001</v>
      </c>
      <c r="GI15" s="75">
        <v>1521.1880000000001</v>
      </c>
      <c r="GJ15" s="75">
        <v>1521.1880000000001</v>
      </c>
      <c r="GK15" s="75">
        <v>1521.1880000000001</v>
      </c>
      <c r="GL15" s="75">
        <v>1521.1880000000001</v>
      </c>
      <c r="GM15" s="75">
        <v>1521.1880000000001</v>
      </c>
      <c r="GN15" s="75">
        <v>1521.1880000000001</v>
      </c>
      <c r="GO15" s="75"/>
      <c r="GP15" s="75"/>
      <c r="GQ15" s="75"/>
      <c r="GR15" s="75"/>
      <c r="GS15" s="75"/>
      <c r="GT15" s="75"/>
      <c r="GU15" s="75"/>
      <c r="GV15" s="75"/>
      <c r="GW15" s="75"/>
      <c r="GX15" s="75"/>
      <c r="GY15" s="75"/>
      <c r="GZ15" s="75"/>
      <c r="HA15" s="75"/>
      <c r="HB15" s="75"/>
      <c r="HC15" s="75"/>
      <c r="HD15" s="75"/>
      <c r="HE15" s="75"/>
      <c r="HF15" s="75"/>
      <c r="HG15" s="75"/>
      <c r="HH15" s="75"/>
      <c r="HI15" s="75"/>
      <c r="HJ15" s="75"/>
      <c r="HK15" s="75"/>
      <c r="HL15" s="75"/>
      <c r="HM15" s="75"/>
      <c r="HN15" s="75"/>
      <c r="HO15" s="75"/>
      <c r="HP15" s="75"/>
      <c r="HQ15" s="75"/>
      <c r="HR15" s="75"/>
      <c r="HS15" s="75"/>
      <c r="HT15" s="75"/>
      <c r="HU15" s="75"/>
      <c r="HV15" s="75"/>
      <c r="HW15" s="75"/>
      <c r="HX15" s="75"/>
      <c r="HY15" s="75"/>
      <c r="HZ15" s="75"/>
      <c r="IA15" s="75"/>
      <c r="IB15" s="75"/>
      <c r="IC15" s="75"/>
      <c r="ID15" s="75"/>
      <c r="IE15" s="75"/>
      <c r="IF15" s="75"/>
      <c r="IG15" s="75"/>
      <c r="IH15" s="75"/>
      <c r="II15" s="75"/>
      <c r="IJ15" s="75"/>
      <c r="IK15" s="75"/>
      <c r="IL15" s="75"/>
      <c r="IM15" s="75"/>
      <c r="IN15" s="75"/>
      <c r="IO15" s="75"/>
      <c r="IP15" s="75"/>
      <c r="IQ15" s="75"/>
      <c r="IR15" s="75"/>
      <c r="IS15" s="75"/>
      <c r="IT15" s="75"/>
      <c r="IU15" s="75"/>
      <c r="IV15" s="75"/>
      <c r="IW15" s="75"/>
      <c r="IX15" s="75"/>
      <c r="IY15" s="75"/>
      <c r="IZ15" s="75"/>
      <c r="JA15" s="75"/>
      <c r="JB15" s="75"/>
      <c r="JC15" s="75"/>
      <c r="JD15" s="75"/>
      <c r="JE15" s="75"/>
      <c r="JF15" s="75"/>
      <c r="JG15" s="75"/>
      <c r="JH15" s="75"/>
      <c r="JI15" s="75"/>
      <c r="JJ15" s="75"/>
      <c r="JK15" s="75"/>
      <c r="JL15" s="75"/>
      <c r="JM15" s="75"/>
      <c r="JN15" s="75"/>
      <c r="JO15" s="75"/>
      <c r="JP15" s="75"/>
      <c r="JQ15" s="75"/>
      <c r="JR15" s="75"/>
      <c r="JS15" s="75"/>
      <c r="JT15" s="75"/>
      <c r="JU15" s="75"/>
      <c r="JV15" s="75"/>
      <c r="JW15" s="75"/>
      <c r="JX15" s="75"/>
      <c r="JY15" s="75"/>
      <c r="JZ15" s="75"/>
      <c r="KA15" s="75"/>
    </row>
    <row r="16" spans="1:287" ht="14">
      <c r="F16" s="59" t="s">
        <v>84</v>
      </c>
      <c r="H16" s="59" t="s">
        <v>84</v>
      </c>
      <c r="U16" s="41">
        <f>U14</f>
        <v>1165</v>
      </c>
      <c r="V16" s="41">
        <f t="shared" ref="V16:AM16" si="47">V14</f>
        <v>1272.5</v>
      </c>
      <c r="W16" s="41">
        <f t="shared" si="47"/>
        <v>1346</v>
      </c>
      <c r="X16" s="41">
        <f t="shared" si="47"/>
        <v>1297.5</v>
      </c>
      <c r="Y16" s="41">
        <f t="shared" si="47"/>
        <v>1316.6666666666667</v>
      </c>
      <c r="Z16" s="41">
        <f t="shared" si="47"/>
        <v>1390</v>
      </c>
      <c r="AA16" s="41">
        <f t="shared" si="47"/>
        <v>1220</v>
      </c>
      <c r="AB16" s="41">
        <f t="shared" si="47"/>
        <v>1270</v>
      </c>
      <c r="AC16" s="41">
        <f t="shared" si="47"/>
        <v>1190</v>
      </c>
      <c r="AD16" s="41">
        <f t="shared" si="47"/>
        <v>1190</v>
      </c>
      <c r="AE16" s="41">
        <f t="shared" si="47"/>
        <v>1130</v>
      </c>
      <c r="AF16" s="41">
        <f t="shared" si="47"/>
        <v>1100</v>
      </c>
      <c r="AG16" s="41">
        <f t="shared" si="47"/>
        <v>1100</v>
      </c>
      <c r="AH16" s="41">
        <f t="shared" si="47"/>
        <v>1070</v>
      </c>
      <c r="AI16" s="41">
        <f t="shared" si="47"/>
        <v>1040</v>
      </c>
      <c r="AJ16" s="41">
        <f t="shared" si="47"/>
        <v>1040</v>
      </c>
      <c r="AK16" s="41">
        <f t="shared" si="47"/>
        <v>977.5</v>
      </c>
      <c r="AL16" s="41">
        <f t="shared" si="47"/>
        <v>1000</v>
      </c>
      <c r="AM16" s="41">
        <f t="shared" si="47"/>
        <v>1045</v>
      </c>
      <c r="AN16" s="41">
        <f t="shared" ref="AN16:AV16" si="48">AN14</f>
        <v>1020</v>
      </c>
      <c r="AO16" s="41">
        <f t="shared" si="48"/>
        <v>1055</v>
      </c>
      <c r="AP16" s="41">
        <f t="shared" si="48"/>
        <v>974</v>
      </c>
      <c r="AQ16" s="41">
        <f t="shared" si="48"/>
        <v>895</v>
      </c>
      <c r="AR16" s="41">
        <f t="shared" si="48"/>
        <v>903</v>
      </c>
      <c r="AS16" s="41">
        <f t="shared" si="48"/>
        <v>918</v>
      </c>
      <c r="AT16" s="41">
        <f t="shared" si="48"/>
        <v>930</v>
      </c>
      <c r="AU16" s="41">
        <f t="shared" si="48"/>
        <v>922.5</v>
      </c>
      <c r="AV16" s="41">
        <f t="shared" si="48"/>
        <v>900</v>
      </c>
      <c r="AW16" s="41">
        <f t="shared" ref="AW16:AX16" si="49">AW14</f>
        <v>900</v>
      </c>
      <c r="AX16" s="41">
        <f t="shared" si="49"/>
        <v>930</v>
      </c>
      <c r="AY16" s="41">
        <f t="shared" ref="AY16:AZ16" si="50">AY14</f>
        <v>943.33333333333337</v>
      </c>
      <c r="AZ16" s="41">
        <f t="shared" si="50"/>
        <v>940</v>
      </c>
      <c r="BA16" s="41">
        <f t="shared" ref="BA16:BB16" si="51">BA14</f>
        <v>940</v>
      </c>
      <c r="BB16" s="41">
        <f t="shared" si="51"/>
        <v>942</v>
      </c>
      <c r="BC16" s="41">
        <f t="shared" ref="BC16:BD16" si="52">BC14</f>
        <v>950</v>
      </c>
      <c r="BD16" s="41">
        <f t="shared" si="52"/>
        <v>947.5</v>
      </c>
      <c r="BE16" s="41">
        <f t="shared" ref="BE16:BF16" si="53">BE14</f>
        <v>930</v>
      </c>
      <c r="BF16" s="41">
        <f t="shared" si="53"/>
        <v>880</v>
      </c>
      <c r="BG16" s="41">
        <f t="shared" ref="BG16:BH16" si="54">BG14</f>
        <v>862.5</v>
      </c>
      <c r="BH16" s="41">
        <f t="shared" si="54"/>
        <v>852</v>
      </c>
      <c r="BI16" s="41">
        <f t="shared" ref="BI16:BJ16" si="55">BI14</f>
        <v>830</v>
      </c>
      <c r="BJ16" s="41">
        <f t="shared" si="55"/>
        <v>827.5</v>
      </c>
      <c r="BK16" s="41">
        <f t="shared" ref="BK16:BL16" si="56">BK14</f>
        <v>840</v>
      </c>
      <c r="BL16" s="41">
        <f t="shared" si="56"/>
        <v>822.5</v>
      </c>
      <c r="BM16" s="41">
        <f t="shared" ref="BM16:BN16" si="57">BM14</f>
        <v>765</v>
      </c>
      <c r="BN16" s="41">
        <f t="shared" si="57"/>
        <v>782</v>
      </c>
      <c r="BO16" s="41">
        <f t="shared" ref="BO16:BP16" si="58">BO14</f>
        <v>807.5</v>
      </c>
      <c r="BP16" s="41">
        <f t="shared" si="58"/>
        <v>802</v>
      </c>
      <c r="BQ16" s="41">
        <f t="shared" ref="BQ16:BR16" si="59">BQ14</f>
        <v>795</v>
      </c>
      <c r="BR16" s="41">
        <f t="shared" si="59"/>
        <v>782.5</v>
      </c>
      <c r="BS16" s="41">
        <f t="shared" ref="BS16:BT16" si="60">BS14</f>
        <v>772</v>
      </c>
      <c r="BT16" s="41">
        <f t="shared" si="60"/>
        <v>770</v>
      </c>
      <c r="BU16" s="41">
        <f t="shared" ref="BU16:BV16" si="61">BU14</f>
        <v>772.5</v>
      </c>
      <c r="BV16" s="41">
        <f t="shared" si="61"/>
        <v>795</v>
      </c>
      <c r="BW16" s="13"/>
      <c r="BZ16" s="1" t="s">
        <v>78</v>
      </c>
      <c r="DL16" s="41">
        <f>DL15+222</f>
        <v>2140.02</v>
      </c>
      <c r="DM16" s="41">
        <f t="shared" ref="DM16:ED16" si="62">DM15-222</f>
        <v>1696.02</v>
      </c>
      <c r="DN16" s="41">
        <f t="shared" si="62"/>
        <v>1365.33</v>
      </c>
      <c r="DO16" s="41">
        <f t="shared" si="62"/>
        <v>1365.33</v>
      </c>
      <c r="DP16" s="41">
        <f t="shared" si="62"/>
        <v>1365.33</v>
      </c>
      <c r="DQ16" s="41">
        <f t="shared" si="62"/>
        <v>1365.33</v>
      </c>
      <c r="DR16" s="41">
        <f t="shared" si="62"/>
        <v>1365.33</v>
      </c>
      <c r="DS16" s="41">
        <f t="shared" si="62"/>
        <v>1365.33</v>
      </c>
      <c r="DT16" s="41">
        <f t="shared" si="62"/>
        <v>1365.33</v>
      </c>
      <c r="DU16" s="41">
        <f t="shared" si="62"/>
        <v>1365.33</v>
      </c>
      <c r="DV16" s="41">
        <f t="shared" si="62"/>
        <v>1255.0999999999999</v>
      </c>
      <c r="DW16" s="41">
        <f t="shared" si="62"/>
        <v>1255.0999999999999</v>
      </c>
      <c r="DX16" s="41">
        <f t="shared" si="62"/>
        <v>1255.0999999999999</v>
      </c>
      <c r="DY16" s="41">
        <f t="shared" si="62"/>
        <v>1255.0999999999999</v>
      </c>
      <c r="DZ16" s="41">
        <f t="shared" si="62"/>
        <v>1255.0999999999999</v>
      </c>
      <c r="EA16" s="41">
        <f t="shared" si="62"/>
        <v>1321.23</v>
      </c>
      <c r="EB16" s="41">
        <f t="shared" si="62"/>
        <v>1321.2339999999999</v>
      </c>
      <c r="EC16" s="41">
        <f t="shared" si="62"/>
        <v>1321.2339999999999</v>
      </c>
      <c r="ED16" s="41">
        <f t="shared" si="62"/>
        <v>1321.2339999999999</v>
      </c>
      <c r="EE16" s="41">
        <f t="shared" ref="EE16:ER16" si="63">EE15-222</f>
        <v>1321.2339999999999</v>
      </c>
      <c r="EF16" s="41">
        <f t="shared" si="63"/>
        <v>1321.2339999999999</v>
      </c>
      <c r="EG16" s="41">
        <f t="shared" si="63"/>
        <v>1321.2339999999999</v>
      </c>
      <c r="EH16" s="41">
        <f t="shared" si="63"/>
        <v>1321.2339999999999</v>
      </c>
      <c r="EI16" s="41">
        <f t="shared" si="63"/>
        <v>1321.2339999999999</v>
      </c>
      <c r="EJ16" s="41">
        <f t="shared" si="63"/>
        <v>1321.2339999999999</v>
      </c>
      <c r="EK16" s="41">
        <f t="shared" si="63"/>
        <v>1321.2339999999999</v>
      </c>
      <c r="EL16" s="41">
        <f t="shared" si="63"/>
        <v>1321.2339999999999</v>
      </c>
      <c r="EM16" s="41">
        <f t="shared" si="63"/>
        <v>1321.2339999999999</v>
      </c>
      <c r="EN16" s="41">
        <f t="shared" si="63"/>
        <v>1321.2339999999999</v>
      </c>
      <c r="EO16" s="41">
        <f t="shared" si="63"/>
        <v>1321.2339999999999</v>
      </c>
      <c r="EP16" s="41">
        <f t="shared" si="63"/>
        <v>1321.2339999999999</v>
      </c>
      <c r="EQ16" s="41">
        <f t="shared" si="63"/>
        <v>1321.2339999999999</v>
      </c>
      <c r="ER16" s="41">
        <f t="shared" si="63"/>
        <v>1321.2339999999999</v>
      </c>
      <c r="ES16" s="41">
        <f t="shared" ref="ES16:EY16" si="64">ES15-222</f>
        <v>1321.2339999999999</v>
      </c>
      <c r="ET16" s="41">
        <f t="shared" si="64"/>
        <v>1299.1880000000001</v>
      </c>
      <c r="EU16" s="41">
        <f t="shared" si="64"/>
        <v>1299.1880000000001</v>
      </c>
      <c r="EV16" s="41">
        <f t="shared" si="64"/>
        <v>1299.1880000000001</v>
      </c>
      <c r="EW16" s="41">
        <f t="shared" si="64"/>
        <v>1299.1880000000001</v>
      </c>
      <c r="EX16" s="41">
        <f t="shared" si="64"/>
        <v>1299.1880000000001</v>
      </c>
      <c r="EY16" s="41">
        <f t="shared" si="64"/>
        <v>1299.1880000000001</v>
      </c>
      <c r="EZ16" s="41">
        <f t="shared" ref="EZ16:FE16" si="65">EZ15-222</f>
        <v>1299.1880000000001</v>
      </c>
      <c r="FA16" s="41">
        <f t="shared" si="65"/>
        <v>1299.1880000000001</v>
      </c>
      <c r="FB16" s="41">
        <f t="shared" si="65"/>
        <v>1299.1880000000001</v>
      </c>
      <c r="FC16" s="41">
        <f t="shared" si="65"/>
        <v>1299.1880000000001</v>
      </c>
      <c r="FD16" s="41">
        <f t="shared" si="65"/>
        <v>1299.1880000000001</v>
      </c>
      <c r="FE16" s="41">
        <f t="shared" si="65"/>
        <v>1299.1880000000001</v>
      </c>
      <c r="FF16" s="41">
        <f>FF15-222</f>
        <v>1299.1880000000001</v>
      </c>
      <c r="FG16" s="41">
        <f t="shared" ref="FG16:FL16" si="66">FG15-222</f>
        <v>1299.1880000000001</v>
      </c>
      <c r="FH16" s="41">
        <f t="shared" si="66"/>
        <v>1299.1880000000001</v>
      </c>
      <c r="FI16" s="41">
        <f t="shared" si="66"/>
        <v>1299.1880000000001</v>
      </c>
      <c r="FJ16" s="41">
        <f t="shared" si="66"/>
        <v>1299.1880000000001</v>
      </c>
      <c r="FK16" s="41">
        <f t="shared" si="66"/>
        <v>1299.1880000000001</v>
      </c>
      <c r="FL16" s="41">
        <f t="shared" si="66"/>
        <v>1299.1880000000001</v>
      </c>
      <c r="FM16" s="41">
        <f t="shared" ref="FM16:FR16" si="67">FM15-222</f>
        <v>1299.1880000000001</v>
      </c>
      <c r="FN16" s="41">
        <f t="shared" si="67"/>
        <v>1299.1880000000001</v>
      </c>
      <c r="FO16" s="41">
        <f t="shared" si="67"/>
        <v>1299.1880000000001</v>
      </c>
      <c r="FP16" s="41">
        <f t="shared" si="67"/>
        <v>1299.1880000000001</v>
      </c>
      <c r="FQ16" s="41">
        <f t="shared" si="67"/>
        <v>1299.1880000000001</v>
      </c>
      <c r="FR16" s="41">
        <f t="shared" si="67"/>
        <v>1299.1880000000001</v>
      </c>
      <c r="FS16" s="41">
        <f t="shared" ref="FS16:FT16" si="68">FS15-222</f>
        <v>1299.1880000000001</v>
      </c>
      <c r="FT16" s="41">
        <f t="shared" si="68"/>
        <v>1299.1880000000001</v>
      </c>
      <c r="FU16" s="41">
        <f t="shared" ref="FU16:FV16" si="69">FU15-222</f>
        <v>1299.1880000000001</v>
      </c>
      <c r="FV16" s="41">
        <f t="shared" si="69"/>
        <v>1299.1880000000001</v>
      </c>
      <c r="FW16" s="41">
        <f t="shared" ref="FW16:FX16" si="70">FW15-222</f>
        <v>1299.1880000000001</v>
      </c>
      <c r="FX16" s="41">
        <f t="shared" si="70"/>
        <v>1299.1880000000001</v>
      </c>
      <c r="FY16" s="41">
        <f t="shared" ref="FY16:FZ16" si="71">FY15-222</f>
        <v>1299.1880000000001</v>
      </c>
      <c r="FZ16" s="41">
        <f t="shared" si="71"/>
        <v>1299.1880000000001</v>
      </c>
      <c r="GA16" s="41">
        <f t="shared" ref="GA16:GB16" si="72">GA15-222</f>
        <v>1299.1880000000001</v>
      </c>
      <c r="GB16" s="41">
        <f t="shared" si="72"/>
        <v>1299.1880000000001</v>
      </c>
      <c r="GC16" s="41">
        <f t="shared" ref="GC16:GD16" si="73">GC15-222</f>
        <v>1299.1880000000001</v>
      </c>
      <c r="GD16" s="41">
        <f t="shared" si="73"/>
        <v>1299.1880000000001</v>
      </c>
      <c r="GE16" s="41">
        <f t="shared" ref="GE16:GG16" si="74">GE15-222</f>
        <v>1299.1880000000001</v>
      </c>
      <c r="GF16" s="41">
        <f t="shared" si="74"/>
        <v>1299.1880000000001</v>
      </c>
      <c r="GG16" s="41">
        <f t="shared" si="74"/>
        <v>1299.1880000000001</v>
      </c>
      <c r="GH16" s="41">
        <f t="shared" ref="GH16:GI16" si="75">GH15-222</f>
        <v>1299.1880000000001</v>
      </c>
      <c r="GI16" s="41">
        <f t="shared" si="75"/>
        <v>1299.1880000000001</v>
      </c>
      <c r="GJ16" s="41">
        <f t="shared" ref="GJ16:GK16" si="76">GJ15-222</f>
        <v>1299.1880000000001</v>
      </c>
      <c r="GK16" s="41">
        <f t="shared" si="76"/>
        <v>1299.1880000000001</v>
      </c>
      <c r="GL16" s="41">
        <f t="shared" ref="GL16:GM16" si="77">GL15-222</f>
        <v>1299.1880000000001</v>
      </c>
      <c r="GM16" s="41">
        <f t="shared" si="77"/>
        <v>1299.1880000000001</v>
      </c>
      <c r="GN16" s="41">
        <f>GN15-222</f>
        <v>1299.1880000000001</v>
      </c>
      <c r="GO16" s="41">
        <f t="shared" ref="GO16:GP16" si="78">GO15-222</f>
        <v>-222</v>
      </c>
      <c r="GP16" s="41">
        <f t="shared" si="78"/>
        <v>-222</v>
      </c>
      <c r="GQ16" s="41">
        <f t="shared" ref="GQ16:GR16" si="79">GQ15-222</f>
        <v>-222</v>
      </c>
      <c r="GR16" s="41">
        <f t="shared" si="79"/>
        <v>-222</v>
      </c>
      <c r="GS16" s="41">
        <f t="shared" ref="GS16:GT16" si="80">GS15-222</f>
        <v>-222</v>
      </c>
      <c r="GT16" s="41">
        <f t="shared" si="80"/>
        <v>-222</v>
      </c>
      <c r="GU16" s="41">
        <f t="shared" ref="GU16:GV16" si="81">GU15-222</f>
        <v>-222</v>
      </c>
      <c r="GV16" s="41">
        <f t="shared" si="81"/>
        <v>-222</v>
      </c>
      <c r="GW16" s="41">
        <f t="shared" ref="GW16:GX16" si="82">GW15-222</f>
        <v>-222</v>
      </c>
      <c r="GX16" s="41">
        <f t="shared" si="82"/>
        <v>-222</v>
      </c>
      <c r="GY16" s="41">
        <f t="shared" ref="GY16:GZ16" si="83">GY15-222</f>
        <v>-222</v>
      </c>
      <c r="GZ16" s="41">
        <f t="shared" si="83"/>
        <v>-222</v>
      </c>
      <c r="HA16" s="41">
        <f t="shared" ref="HA16:HB16" si="84">HA15-222</f>
        <v>-222</v>
      </c>
      <c r="HB16" s="41">
        <f t="shared" si="84"/>
        <v>-222</v>
      </c>
      <c r="HC16" s="41">
        <f t="shared" ref="HC16:HD16" si="85">HC15-222</f>
        <v>-222</v>
      </c>
      <c r="HD16" s="41">
        <f t="shared" si="85"/>
        <v>-222</v>
      </c>
      <c r="HE16" s="41">
        <f t="shared" ref="HE16:HF16" si="86">HE15-222</f>
        <v>-222</v>
      </c>
      <c r="HF16" s="41">
        <f t="shared" si="86"/>
        <v>-222</v>
      </c>
      <c r="HG16" s="41">
        <f t="shared" ref="HG16:HH16" si="87">HG15-222</f>
        <v>-222</v>
      </c>
      <c r="HH16" s="41">
        <f t="shared" si="87"/>
        <v>-222</v>
      </c>
      <c r="HI16" s="41">
        <f t="shared" ref="HI16:HJ16" si="88">HI15-222</f>
        <v>-222</v>
      </c>
      <c r="HJ16" s="41">
        <f t="shared" si="88"/>
        <v>-222</v>
      </c>
      <c r="HK16" s="41">
        <f t="shared" ref="HK16:HL16" si="89">HK15-222</f>
        <v>-222</v>
      </c>
      <c r="HL16" s="41">
        <f t="shared" si="89"/>
        <v>-222</v>
      </c>
      <c r="HM16" s="41">
        <f t="shared" ref="HM16:HN16" si="90">HM15-222</f>
        <v>-222</v>
      </c>
      <c r="HN16" s="41">
        <f t="shared" si="90"/>
        <v>-222</v>
      </c>
      <c r="HO16" s="41">
        <f t="shared" ref="HO16:HS16" si="91">HO15-222</f>
        <v>-222</v>
      </c>
      <c r="HP16" s="41">
        <f t="shared" si="91"/>
        <v>-222</v>
      </c>
      <c r="HQ16" s="41">
        <f t="shared" si="91"/>
        <v>-222</v>
      </c>
      <c r="HR16" s="41">
        <f t="shared" si="91"/>
        <v>-222</v>
      </c>
      <c r="HS16" s="41">
        <f t="shared" si="91"/>
        <v>-222</v>
      </c>
      <c r="HT16" s="41">
        <f t="shared" ref="HT16:HW16" si="92">HT15-222</f>
        <v>-222</v>
      </c>
      <c r="HU16" s="41">
        <f t="shared" si="92"/>
        <v>-222</v>
      </c>
      <c r="HV16" s="41">
        <f t="shared" si="92"/>
        <v>-222</v>
      </c>
      <c r="HW16" s="41">
        <f t="shared" si="92"/>
        <v>-222</v>
      </c>
      <c r="HX16" s="41">
        <f t="shared" ref="HX16:HY16" si="93">HX15-222</f>
        <v>-222</v>
      </c>
      <c r="HY16" s="41">
        <f t="shared" si="93"/>
        <v>-222</v>
      </c>
      <c r="HZ16" s="41">
        <f t="shared" ref="HZ16:IA16" si="94">HZ15-222</f>
        <v>-222</v>
      </c>
      <c r="IA16" s="41">
        <f t="shared" si="94"/>
        <v>-222</v>
      </c>
      <c r="IB16" s="41">
        <f t="shared" ref="IB16:ID16" si="95">IB15-222</f>
        <v>-222</v>
      </c>
      <c r="IC16" s="41">
        <f t="shared" si="95"/>
        <v>-222</v>
      </c>
      <c r="ID16" s="41">
        <f t="shared" si="95"/>
        <v>-222</v>
      </c>
      <c r="IE16" s="41">
        <f t="shared" ref="IE16:IF16" si="96">IE15-222</f>
        <v>-222</v>
      </c>
      <c r="IF16" s="41">
        <f t="shared" si="96"/>
        <v>-222</v>
      </c>
      <c r="IG16" s="41">
        <f t="shared" ref="IG16:II16" si="97">IG15-222</f>
        <v>-222</v>
      </c>
      <c r="IH16" s="41">
        <f t="shared" si="97"/>
        <v>-222</v>
      </c>
      <c r="II16" s="41">
        <f t="shared" si="97"/>
        <v>-222</v>
      </c>
      <c r="IJ16" s="41">
        <f t="shared" ref="IJ16:IM16" si="98">IJ15-222</f>
        <v>-222</v>
      </c>
      <c r="IK16" s="41">
        <f t="shared" si="98"/>
        <v>-222</v>
      </c>
      <c r="IL16" s="41">
        <f t="shared" si="98"/>
        <v>-222</v>
      </c>
      <c r="IM16" s="41">
        <f t="shared" si="98"/>
        <v>-222</v>
      </c>
      <c r="IN16" s="41">
        <f t="shared" ref="IN16:IR16" si="99">IN15-222</f>
        <v>-222</v>
      </c>
      <c r="IO16" s="41">
        <f t="shared" si="99"/>
        <v>-222</v>
      </c>
      <c r="IP16" s="41">
        <f t="shared" si="99"/>
        <v>-222</v>
      </c>
      <c r="IQ16" s="41">
        <f t="shared" si="99"/>
        <v>-222</v>
      </c>
      <c r="IR16" s="41">
        <f t="shared" si="99"/>
        <v>-222</v>
      </c>
      <c r="IS16" s="41">
        <f t="shared" ref="IS16:IV16" si="100">IS15-222</f>
        <v>-222</v>
      </c>
      <c r="IT16" s="41">
        <f t="shared" si="100"/>
        <v>-222</v>
      </c>
      <c r="IU16" s="41">
        <f t="shared" si="100"/>
        <v>-222</v>
      </c>
      <c r="IV16" s="41">
        <f t="shared" si="100"/>
        <v>-222</v>
      </c>
      <c r="IW16" s="41">
        <f t="shared" ref="IW16:JA16" si="101">IW15-222</f>
        <v>-222</v>
      </c>
      <c r="IX16" s="41">
        <f t="shared" si="101"/>
        <v>-222</v>
      </c>
      <c r="IY16" s="41">
        <f t="shared" si="101"/>
        <v>-222</v>
      </c>
      <c r="IZ16" s="41">
        <f t="shared" si="101"/>
        <v>-222</v>
      </c>
      <c r="JA16" s="41">
        <f t="shared" si="101"/>
        <v>-222</v>
      </c>
      <c r="JB16" s="41">
        <f t="shared" ref="JB16:JE16" si="102">JB15-222</f>
        <v>-222</v>
      </c>
      <c r="JC16" s="41">
        <f t="shared" si="102"/>
        <v>-222</v>
      </c>
      <c r="JD16" s="41">
        <f t="shared" si="102"/>
        <v>-222</v>
      </c>
      <c r="JE16" s="41">
        <f t="shared" si="102"/>
        <v>-222</v>
      </c>
      <c r="JF16" s="41">
        <f t="shared" ref="JF16:JI16" si="103">JF15-222</f>
        <v>-222</v>
      </c>
      <c r="JG16" s="41">
        <f t="shared" si="103"/>
        <v>-222</v>
      </c>
      <c r="JH16" s="41">
        <f t="shared" si="103"/>
        <v>-222</v>
      </c>
      <c r="JI16" s="41">
        <f t="shared" si="103"/>
        <v>-222</v>
      </c>
      <c r="JJ16" s="41">
        <f t="shared" ref="JJ16:JN16" si="104">JJ15-222</f>
        <v>-222</v>
      </c>
      <c r="JK16" s="41">
        <f t="shared" si="104"/>
        <v>-222</v>
      </c>
      <c r="JL16" s="41">
        <f t="shared" si="104"/>
        <v>-222</v>
      </c>
      <c r="JM16" s="41">
        <f t="shared" si="104"/>
        <v>-222</v>
      </c>
      <c r="JN16" s="41">
        <f t="shared" si="104"/>
        <v>-222</v>
      </c>
      <c r="JO16" s="41">
        <f t="shared" ref="JO16:JR16" si="105">JO15-222</f>
        <v>-222</v>
      </c>
      <c r="JP16" s="41">
        <f t="shared" si="105"/>
        <v>-222</v>
      </c>
      <c r="JQ16" s="41">
        <f t="shared" si="105"/>
        <v>-222</v>
      </c>
      <c r="JR16" s="41">
        <f t="shared" si="105"/>
        <v>-222</v>
      </c>
      <c r="JS16" s="41">
        <f t="shared" ref="JS16:JV16" si="106">JS15-222</f>
        <v>-222</v>
      </c>
      <c r="JT16" s="41">
        <f t="shared" si="106"/>
        <v>-222</v>
      </c>
      <c r="JU16" s="41">
        <f t="shared" si="106"/>
        <v>-222</v>
      </c>
      <c r="JV16" s="41">
        <f t="shared" si="106"/>
        <v>-222</v>
      </c>
      <c r="JW16" s="41">
        <f t="shared" ref="JW16:KA16" si="107">JW15-222</f>
        <v>-222</v>
      </c>
      <c r="JX16" s="41">
        <f t="shared" si="107"/>
        <v>-222</v>
      </c>
      <c r="JY16" s="41">
        <f t="shared" si="107"/>
        <v>-222</v>
      </c>
      <c r="JZ16" s="41">
        <f t="shared" si="107"/>
        <v>-222</v>
      </c>
      <c r="KA16" s="41">
        <f t="shared" si="107"/>
        <v>-222</v>
      </c>
    </row>
    <row r="17" spans="6:287" ht="14">
      <c r="H17" s="117" t="s">
        <v>82</v>
      </c>
      <c r="U17" s="41"/>
      <c r="V17" s="3"/>
      <c r="X17" s="41">
        <f>X14</f>
        <v>1297.5</v>
      </c>
      <c r="Y17" s="41">
        <f t="shared" ref="Y17:AQ17" si="108">Y14</f>
        <v>1316.6666666666667</v>
      </c>
      <c r="Z17" s="41">
        <f t="shared" si="108"/>
        <v>1390</v>
      </c>
      <c r="AA17" s="41">
        <f t="shared" si="108"/>
        <v>1220</v>
      </c>
      <c r="AB17" s="41">
        <f t="shared" si="108"/>
        <v>1270</v>
      </c>
      <c r="AC17" s="41">
        <f t="shared" si="108"/>
        <v>1190</v>
      </c>
      <c r="AD17" s="41">
        <f t="shared" si="108"/>
        <v>1190</v>
      </c>
      <c r="AE17" s="41">
        <f t="shared" si="108"/>
        <v>1130</v>
      </c>
      <c r="AF17" s="41">
        <f t="shared" si="108"/>
        <v>1100</v>
      </c>
      <c r="AG17" s="41">
        <f t="shared" si="108"/>
        <v>1100</v>
      </c>
      <c r="AH17" s="41">
        <f t="shared" si="108"/>
        <v>1070</v>
      </c>
      <c r="AI17" s="41">
        <f t="shared" si="108"/>
        <v>1040</v>
      </c>
      <c r="AJ17" s="41">
        <f t="shared" si="108"/>
        <v>1040</v>
      </c>
      <c r="AK17" s="41">
        <f t="shared" si="108"/>
        <v>977.5</v>
      </c>
      <c r="AL17" s="41">
        <f>AL14</f>
        <v>1000</v>
      </c>
      <c r="AM17" s="41">
        <f t="shared" si="108"/>
        <v>1045</v>
      </c>
      <c r="AN17" s="41">
        <f t="shared" si="108"/>
        <v>1020</v>
      </c>
      <c r="AO17" s="41">
        <f t="shared" si="108"/>
        <v>1055</v>
      </c>
      <c r="AP17" s="41">
        <f t="shared" si="108"/>
        <v>974</v>
      </c>
      <c r="AQ17" s="41">
        <f t="shared" si="108"/>
        <v>895</v>
      </c>
      <c r="AR17" s="41">
        <f t="shared" ref="AR17:AW17" si="109">AR14</f>
        <v>903</v>
      </c>
      <c r="AS17" s="41">
        <f t="shared" si="109"/>
        <v>918</v>
      </c>
      <c r="AT17" s="41">
        <f t="shared" si="109"/>
        <v>930</v>
      </c>
      <c r="AU17" s="41">
        <f t="shared" si="109"/>
        <v>922.5</v>
      </c>
      <c r="AV17" s="41">
        <f t="shared" si="109"/>
        <v>900</v>
      </c>
      <c r="AW17" s="41">
        <f t="shared" si="109"/>
        <v>900</v>
      </c>
      <c r="AX17" s="41">
        <f t="shared" ref="AX17:AY17" si="110">AX14</f>
        <v>930</v>
      </c>
      <c r="AY17" s="41">
        <f t="shared" si="110"/>
        <v>943.33333333333337</v>
      </c>
      <c r="AZ17" s="41">
        <f t="shared" ref="AZ17:BA17" si="111">AZ14</f>
        <v>940</v>
      </c>
      <c r="BA17" s="41">
        <f t="shared" si="111"/>
        <v>940</v>
      </c>
      <c r="BB17" s="41">
        <f t="shared" ref="BB17:BC17" si="112">BB14</f>
        <v>942</v>
      </c>
      <c r="BC17" s="41">
        <f t="shared" si="112"/>
        <v>950</v>
      </c>
      <c r="BD17" s="41">
        <f t="shared" ref="BD17:BE17" si="113">BD14</f>
        <v>947.5</v>
      </c>
      <c r="BE17" s="41">
        <f t="shared" si="113"/>
        <v>930</v>
      </c>
      <c r="BF17" s="41">
        <f t="shared" ref="BF17:BG17" si="114">BF14</f>
        <v>880</v>
      </c>
      <c r="BG17" s="41">
        <f t="shared" si="114"/>
        <v>862.5</v>
      </c>
      <c r="BH17" s="41">
        <f t="shared" ref="BH17:BI17" si="115">BH14</f>
        <v>852</v>
      </c>
      <c r="BI17" s="41">
        <f t="shared" si="115"/>
        <v>830</v>
      </c>
      <c r="BJ17" s="41">
        <f t="shared" ref="BJ17:BK17" si="116">BJ14</f>
        <v>827.5</v>
      </c>
      <c r="BK17" s="41">
        <f t="shared" si="116"/>
        <v>840</v>
      </c>
      <c r="BL17" s="41">
        <f t="shared" ref="BL17:BM17" si="117">BL14</f>
        <v>822.5</v>
      </c>
      <c r="BM17" s="41">
        <f t="shared" si="117"/>
        <v>765</v>
      </c>
      <c r="BN17" s="41">
        <f t="shared" ref="BN17:BO17" si="118">BN14</f>
        <v>782</v>
      </c>
      <c r="BO17" s="41">
        <f t="shared" si="118"/>
        <v>807.5</v>
      </c>
      <c r="BP17" s="41">
        <f t="shared" ref="BP17:BQ17" si="119">BP14</f>
        <v>802</v>
      </c>
      <c r="BQ17" s="41">
        <f t="shared" si="119"/>
        <v>795</v>
      </c>
      <c r="BR17" s="41">
        <f t="shared" ref="BR17:BS17" si="120">BR14</f>
        <v>782.5</v>
      </c>
      <c r="BS17" s="41">
        <f t="shared" si="120"/>
        <v>772</v>
      </c>
      <c r="BT17" s="41">
        <f t="shared" ref="BT17:BU17" si="121">BT14</f>
        <v>770</v>
      </c>
      <c r="BU17" s="41">
        <f t="shared" si="121"/>
        <v>772.5</v>
      </c>
      <c r="BV17" s="41">
        <f t="shared" ref="BV17" si="122">BV14</f>
        <v>795</v>
      </c>
      <c r="BZ17" s="117" t="s">
        <v>82</v>
      </c>
      <c r="DN17" s="41">
        <f t="shared" ref="DN17:EF17" si="123">DN14</f>
        <v>1100</v>
      </c>
      <c r="DO17" s="41">
        <f t="shared" si="123"/>
        <v>1100</v>
      </c>
      <c r="DP17" s="41">
        <f t="shared" si="123"/>
        <v>1070</v>
      </c>
      <c r="DQ17" s="41">
        <f t="shared" si="123"/>
        <v>1040</v>
      </c>
      <c r="DR17" s="41">
        <f t="shared" si="123"/>
        <v>995</v>
      </c>
      <c r="DS17" s="41">
        <f t="shared" si="123"/>
        <v>980</v>
      </c>
      <c r="DT17" s="41">
        <f t="shared" si="123"/>
        <v>980</v>
      </c>
      <c r="DU17" s="41">
        <f t="shared" si="123"/>
        <v>980</v>
      </c>
      <c r="DV17" s="41">
        <f t="shared" si="123"/>
        <v>970</v>
      </c>
      <c r="DW17" s="41">
        <f t="shared" si="123"/>
        <v>970</v>
      </c>
      <c r="DX17" s="41">
        <f t="shared" si="123"/>
        <v>970</v>
      </c>
      <c r="DY17" s="41">
        <f t="shared" si="123"/>
        <v>980</v>
      </c>
      <c r="DZ17" s="41">
        <f t="shared" si="123"/>
        <v>990</v>
      </c>
      <c r="EA17" s="41">
        <f>EA14</f>
        <v>970</v>
      </c>
      <c r="EB17" s="41">
        <f t="shared" si="123"/>
        <v>980</v>
      </c>
      <c r="EC17" s="41">
        <f t="shared" si="123"/>
        <v>990</v>
      </c>
      <c r="ED17" s="41">
        <f t="shared" si="123"/>
        <v>1060</v>
      </c>
      <c r="EE17" s="41">
        <f t="shared" si="123"/>
        <v>1070</v>
      </c>
      <c r="EF17" s="41">
        <f t="shared" si="123"/>
        <v>1070</v>
      </c>
      <c r="EG17" s="41">
        <f t="shared" ref="EG17:EL17" si="124">EG14</f>
        <v>1020</v>
      </c>
      <c r="EH17" s="41">
        <f t="shared" si="124"/>
        <v>1020</v>
      </c>
      <c r="EI17" s="41">
        <f t="shared" si="124"/>
        <v>1020</v>
      </c>
      <c r="EJ17" s="41">
        <f t="shared" si="124"/>
        <v>1020</v>
      </c>
      <c r="EK17" s="41">
        <f t="shared" si="124"/>
        <v>1020</v>
      </c>
      <c r="EL17" s="41">
        <f t="shared" si="124"/>
        <v>1020</v>
      </c>
      <c r="EM17" s="41">
        <f t="shared" ref="EM17:ER17" si="125">EM14</f>
        <v>1050</v>
      </c>
      <c r="EN17" s="41">
        <f t="shared" si="125"/>
        <v>1070</v>
      </c>
      <c r="EO17" s="41">
        <f t="shared" si="125"/>
        <v>1050</v>
      </c>
      <c r="EP17" s="41">
        <f t="shared" si="125"/>
        <v>1050</v>
      </c>
      <c r="EQ17" s="41">
        <f t="shared" si="125"/>
        <v>1020</v>
      </c>
      <c r="ER17" s="41">
        <f t="shared" si="125"/>
        <v>1000</v>
      </c>
      <c r="ES17" s="41">
        <f t="shared" ref="ES17:EX17" si="126">ES14</f>
        <v>980</v>
      </c>
      <c r="ET17" s="41">
        <f t="shared" si="126"/>
        <v>960</v>
      </c>
      <c r="EU17" s="41">
        <f t="shared" si="126"/>
        <v>910</v>
      </c>
      <c r="EV17" s="41">
        <f t="shared" si="126"/>
        <v>910</v>
      </c>
      <c r="EW17" s="41">
        <f t="shared" si="126"/>
        <v>890</v>
      </c>
      <c r="EX17" s="41">
        <f t="shared" si="126"/>
        <v>890</v>
      </c>
      <c r="EY17" s="41">
        <f t="shared" ref="EY17:FD17" si="127">EY14</f>
        <v>890</v>
      </c>
      <c r="EZ17" s="41">
        <f t="shared" si="127"/>
        <v>890</v>
      </c>
      <c r="FA17" s="41">
        <f t="shared" si="127"/>
        <v>882</v>
      </c>
      <c r="FB17" s="41">
        <f t="shared" si="127"/>
        <v>920</v>
      </c>
      <c r="FC17" s="41">
        <f t="shared" si="127"/>
        <v>920</v>
      </c>
      <c r="FD17" s="41">
        <f t="shared" si="127"/>
        <v>940</v>
      </c>
      <c r="FE17" s="41">
        <f>FE14</f>
        <v>920</v>
      </c>
      <c r="FF17" s="41">
        <f>FF14</f>
        <v>910</v>
      </c>
      <c r="FG17" s="41">
        <f t="shared" ref="FG17:FL17" si="128">FG14</f>
        <v>910</v>
      </c>
      <c r="FH17" s="41">
        <f t="shared" si="128"/>
        <v>910</v>
      </c>
      <c r="FI17" s="41">
        <f t="shared" si="128"/>
        <v>910</v>
      </c>
      <c r="FJ17" s="41">
        <f t="shared" si="128"/>
        <v>930</v>
      </c>
      <c r="FK17" s="41">
        <f t="shared" si="128"/>
        <v>940</v>
      </c>
      <c r="FL17" s="41">
        <f t="shared" si="128"/>
        <v>940</v>
      </c>
      <c r="FM17" s="41">
        <f t="shared" ref="FM17:FR17" si="129">FM14</f>
        <v>940</v>
      </c>
      <c r="FN17" s="41">
        <f t="shared" si="129"/>
        <v>930</v>
      </c>
      <c r="FO17" s="41">
        <f t="shared" si="129"/>
        <v>920</v>
      </c>
      <c r="FP17" s="41">
        <f t="shared" si="129"/>
        <v>900</v>
      </c>
      <c r="FQ17" s="41">
        <f t="shared" si="129"/>
        <v>900</v>
      </c>
      <c r="FR17" s="41">
        <f t="shared" si="129"/>
        <v>900</v>
      </c>
      <c r="FS17" s="41">
        <f t="shared" ref="FS17:FT17" si="130">FS14</f>
        <v>900</v>
      </c>
      <c r="FT17" s="41">
        <f t="shared" si="130"/>
        <v>900</v>
      </c>
      <c r="FU17" s="41">
        <f t="shared" ref="FU17:FV17" si="131">FU14</f>
        <v>900</v>
      </c>
      <c r="FV17" s="41">
        <f t="shared" si="131"/>
        <v>900</v>
      </c>
      <c r="FW17" s="41">
        <f t="shared" ref="FW17:FX17" si="132">FW14</f>
        <v>900</v>
      </c>
      <c r="FX17" s="41">
        <f t="shared" si="132"/>
        <v>900</v>
      </c>
      <c r="FY17" s="41">
        <f t="shared" ref="FY17:HG17" si="133">FY14</f>
        <v>900</v>
      </c>
      <c r="FZ17" s="41">
        <f t="shared" si="133"/>
        <v>900</v>
      </c>
      <c r="GA17" s="41">
        <f t="shared" si="133"/>
        <v>940</v>
      </c>
      <c r="GB17" s="41">
        <f t="shared" si="133"/>
        <v>940</v>
      </c>
      <c r="GC17" s="41">
        <f t="shared" si="133"/>
        <v>940</v>
      </c>
      <c r="GD17" s="41">
        <f t="shared" si="133"/>
        <v>950</v>
      </c>
      <c r="GE17" s="41">
        <f t="shared" si="133"/>
        <v>940</v>
      </c>
      <c r="GF17" s="41">
        <f t="shared" si="133"/>
        <v>940</v>
      </c>
      <c r="GG17" s="41">
        <f t="shared" si="133"/>
        <v>940</v>
      </c>
      <c r="GH17" s="41">
        <f t="shared" si="133"/>
        <v>940</v>
      </c>
      <c r="GI17" s="41">
        <f t="shared" si="133"/>
        <v>940</v>
      </c>
      <c r="GJ17" s="41">
        <f t="shared" si="133"/>
        <v>940</v>
      </c>
      <c r="GK17" s="41">
        <f t="shared" si="133"/>
        <v>940</v>
      </c>
      <c r="GL17" s="41">
        <f t="shared" si="133"/>
        <v>940</v>
      </c>
      <c r="GM17" s="41">
        <f t="shared" si="133"/>
        <v>940</v>
      </c>
      <c r="GN17" s="41">
        <f t="shared" si="133"/>
        <v>940</v>
      </c>
      <c r="GO17" s="41">
        <f t="shared" si="133"/>
        <v>940</v>
      </c>
      <c r="GP17" s="41">
        <f t="shared" si="133"/>
        <v>940</v>
      </c>
      <c r="GQ17" s="41">
        <f t="shared" si="133"/>
        <v>940</v>
      </c>
      <c r="GR17" s="41">
        <f t="shared" si="133"/>
        <v>940</v>
      </c>
      <c r="GS17" s="41">
        <f t="shared" si="133"/>
        <v>950</v>
      </c>
      <c r="GT17" s="41">
        <f t="shared" si="133"/>
        <v>950</v>
      </c>
      <c r="GU17" s="41">
        <f t="shared" si="133"/>
        <v>950</v>
      </c>
      <c r="GV17" s="41">
        <f t="shared" si="133"/>
        <v>950</v>
      </c>
      <c r="GW17" s="41">
        <f t="shared" si="133"/>
        <v>950</v>
      </c>
      <c r="GX17" s="41">
        <f t="shared" si="133"/>
        <v>950</v>
      </c>
      <c r="GY17" s="41">
        <f t="shared" si="133"/>
        <v>950</v>
      </c>
      <c r="GZ17" s="41">
        <f t="shared" si="133"/>
        <v>950</v>
      </c>
      <c r="HA17" s="41">
        <f t="shared" si="133"/>
        <v>940</v>
      </c>
      <c r="HB17" s="41">
        <f t="shared" si="133"/>
        <v>940</v>
      </c>
      <c r="HC17" s="41">
        <f t="shared" si="133"/>
        <v>940</v>
      </c>
      <c r="HD17" s="41">
        <f t="shared" si="133"/>
        <v>940</v>
      </c>
      <c r="HE17" s="41">
        <f t="shared" si="133"/>
        <v>930</v>
      </c>
      <c r="HF17" s="41">
        <f t="shared" si="133"/>
        <v>900</v>
      </c>
      <c r="HG17" s="41">
        <f t="shared" si="133"/>
        <v>900</v>
      </c>
      <c r="HH17" s="41">
        <f t="shared" ref="HH17:HI17" si="134">HH14</f>
        <v>890</v>
      </c>
      <c r="HI17" s="41">
        <f t="shared" si="134"/>
        <v>870</v>
      </c>
      <c r="HJ17" s="41">
        <f t="shared" ref="HJ17:HL17" si="135">HJ14</f>
        <v>860</v>
      </c>
      <c r="HK17" s="41">
        <f t="shared" si="135"/>
        <v>860</v>
      </c>
      <c r="HL17" s="41">
        <f t="shared" si="135"/>
        <v>860</v>
      </c>
      <c r="HM17" s="41">
        <f t="shared" ref="HM17:HN17" si="136">HM14</f>
        <v>870</v>
      </c>
      <c r="HN17" s="41">
        <f t="shared" si="136"/>
        <v>860</v>
      </c>
      <c r="HO17" s="41">
        <f t="shared" ref="HO17:HS17" si="137">HO14</f>
        <v>860</v>
      </c>
      <c r="HP17" s="41">
        <f t="shared" si="137"/>
        <v>860</v>
      </c>
      <c r="HQ17" s="41">
        <f t="shared" si="137"/>
        <v>860</v>
      </c>
      <c r="HR17" s="41">
        <f t="shared" si="137"/>
        <v>840</v>
      </c>
      <c r="HS17" s="41">
        <f t="shared" si="137"/>
        <v>840</v>
      </c>
      <c r="HT17" s="41">
        <f t="shared" ref="HT17:HW17" si="138">HT14</f>
        <v>840</v>
      </c>
      <c r="HU17" s="41">
        <f t="shared" si="138"/>
        <v>830</v>
      </c>
      <c r="HV17" s="41">
        <f t="shared" si="138"/>
        <v>830</v>
      </c>
      <c r="HW17" s="41">
        <f t="shared" si="138"/>
        <v>820</v>
      </c>
      <c r="HX17" s="41">
        <f t="shared" ref="HX17:HY17" si="139">HX14</f>
        <v>820</v>
      </c>
      <c r="HY17" s="41">
        <f t="shared" si="139"/>
        <v>820</v>
      </c>
      <c r="HZ17" s="41">
        <f t="shared" ref="HZ17:IA17" si="140">HZ14</f>
        <v>820</v>
      </c>
      <c r="IA17" s="41">
        <f t="shared" si="140"/>
        <v>850</v>
      </c>
      <c r="IB17" s="41">
        <f t="shared" ref="IB17:ID17" si="141">IB14</f>
        <v>840</v>
      </c>
      <c r="IC17" s="41">
        <f t="shared" si="141"/>
        <v>840</v>
      </c>
      <c r="ID17" s="41">
        <f t="shared" si="141"/>
        <v>840</v>
      </c>
      <c r="IE17" s="41">
        <f t="shared" ref="IE17:IF17" si="142">IE14</f>
        <v>840</v>
      </c>
      <c r="IF17" s="41">
        <f t="shared" si="142"/>
        <v>840</v>
      </c>
      <c r="IG17" s="41">
        <f t="shared" ref="IG17:II17" si="143">IG14</f>
        <v>830</v>
      </c>
      <c r="IH17" s="41">
        <f t="shared" si="143"/>
        <v>810</v>
      </c>
      <c r="II17" s="41">
        <f t="shared" si="143"/>
        <v>810</v>
      </c>
      <c r="IJ17" s="41">
        <f t="shared" ref="IJ17:IM17" si="144">IJ14</f>
        <v>800</v>
      </c>
      <c r="IK17" s="41">
        <f t="shared" si="144"/>
        <v>750</v>
      </c>
      <c r="IL17" s="41">
        <f t="shared" si="144"/>
        <v>750</v>
      </c>
      <c r="IM17" s="41">
        <f t="shared" si="144"/>
        <v>760</v>
      </c>
      <c r="IN17" s="41">
        <f t="shared" ref="IN17:IR17" si="145">IN14</f>
        <v>760</v>
      </c>
      <c r="IO17" s="41">
        <f t="shared" si="145"/>
        <v>760</v>
      </c>
      <c r="IP17" s="41">
        <f t="shared" si="145"/>
        <v>800</v>
      </c>
      <c r="IQ17" s="41">
        <f t="shared" si="145"/>
        <v>800</v>
      </c>
      <c r="IR17" s="41">
        <f t="shared" si="145"/>
        <v>790</v>
      </c>
      <c r="IS17" s="41">
        <f t="shared" ref="IS17:IV17" si="146">IS14</f>
        <v>800</v>
      </c>
      <c r="IT17" s="41">
        <f t="shared" si="146"/>
        <v>790</v>
      </c>
      <c r="IU17" s="41">
        <f t="shared" si="146"/>
        <v>820</v>
      </c>
      <c r="IV17" s="41">
        <f t="shared" si="146"/>
        <v>820</v>
      </c>
      <c r="IW17" s="41">
        <f t="shared" ref="IW17:JA17" si="147">IW14</f>
        <v>820</v>
      </c>
      <c r="IX17" s="41">
        <f t="shared" si="147"/>
        <v>820</v>
      </c>
      <c r="IY17" s="41">
        <f t="shared" si="147"/>
        <v>790</v>
      </c>
      <c r="IZ17" s="41">
        <f t="shared" si="147"/>
        <v>790</v>
      </c>
      <c r="JA17" s="41">
        <f t="shared" si="147"/>
        <v>790</v>
      </c>
      <c r="JB17" s="41">
        <f t="shared" ref="JB17:JE17" si="148">JB14</f>
        <v>800</v>
      </c>
      <c r="JC17" s="41">
        <f t="shared" si="148"/>
        <v>790</v>
      </c>
      <c r="JD17" s="41">
        <f t="shared" si="148"/>
        <v>790</v>
      </c>
      <c r="JE17" s="41">
        <f t="shared" si="148"/>
        <v>800</v>
      </c>
      <c r="JF17" s="41">
        <f t="shared" ref="JF17:JI17" si="149">JF14</f>
        <v>790</v>
      </c>
      <c r="JG17" s="41">
        <f t="shared" si="149"/>
        <v>780</v>
      </c>
      <c r="JH17" s="41">
        <f t="shared" si="149"/>
        <v>780</v>
      </c>
      <c r="JI17" s="41">
        <f t="shared" si="149"/>
        <v>780</v>
      </c>
      <c r="JJ17" s="41">
        <f t="shared" ref="JJ17:JN17" si="150">JJ14</f>
        <v>780</v>
      </c>
      <c r="JK17" s="41">
        <f t="shared" si="150"/>
        <v>780</v>
      </c>
      <c r="JL17" s="41">
        <f t="shared" si="150"/>
        <v>770</v>
      </c>
      <c r="JM17" s="41">
        <f t="shared" si="150"/>
        <v>760</v>
      </c>
      <c r="JN17" s="41">
        <f t="shared" si="150"/>
        <v>770</v>
      </c>
      <c r="JO17" s="41">
        <f t="shared" ref="JO17:JR17" si="151">JO14</f>
        <v>770</v>
      </c>
      <c r="JP17" s="41">
        <f t="shared" si="151"/>
        <v>770</v>
      </c>
      <c r="JQ17" s="41">
        <f t="shared" si="151"/>
        <v>770</v>
      </c>
      <c r="JR17" s="41">
        <f t="shared" si="151"/>
        <v>770</v>
      </c>
      <c r="JS17" s="41">
        <f t="shared" ref="JS17:JV17" si="152">JS14</f>
        <v>770</v>
      </c>
      <c r="JT17" s="41">
        <f t="shared" si="152"/>
        <v>770</v>
      </c>
      <c r="JU17" s="41">
        <f t="shared" si="152"/>
        <v>770</v>
      </c>
      <c r="JV17" s="41">
        <f t="shared" si="152"/>
        <v>780</v>
      </c>
      <c r="JW17" s="41">
        <f t="shared" ref="JW17:KA17" si="153">JW14</f>
        <v>795</v>
      </c>
      <c r="JX17" s="41">
        <f t="shared" si="153"/>
        <v>0</v>
      </c>
      <c r="JY17" s="41">
        <f t="shared" si="153"/>
        <v>0</v>
      </c>
      <c r="JZ17" s="41">
        <f t="shared" si="153"/>
        <v>0</v>
      </c>
      <c r="KA17" s="41">
        <f t="shared" si="153"/>
        <v>0</v>
      </c>
    </row>
    <row r="18" spans="6:287" ht="15">
      <c r="F18" s="62"/>
      <c r="H18" s="117" t="s">
        <v>83</v>
      </c>
      <c r="V18" s="3"/>
      <c r="X18" s="41">
        <f t="shared" ref="X18:AK18" si="154">X7-X17</f>
        <v>272.5</v>
      </c>
      <c r="Y18" s="41">
        <f t="shared" si="154"/>
        <v>253.33333333333326</v>
      </c>
      <c r="Z18" s="41">
        <f t="shared" si="154"/>
        <v>180</v>
      </c>
      <c r="AA18" s="41">
        <f t="shared" si="154"/>
        <v>350</v>
      </c>
      <c r="AB18" s="41">
        <f t="shared" si="154"/>
        <v>230</v>
      </c>
      <c r="AC18" s="41">
        <f t="shared" si="154"/>
        <v>310</v>
      </c>
      <c r="AD18" s="41" t="e">
        <f t="shared" si="154"/>
        <v>#REF!</v>
      </c>
      <c r="AE18" s="41" t="e">
        <f t="shared" si="154"/>
        <v>#REF!</v>
      </c>
      <c r="AF18" s="41" t="e">
        <f t="shared" si="154"/>
        <v>#REF!</v>
      </c>
      <c r="AG18" s="41" t="e">
        <f t="shared" si="154"/>
        <v>#REF!</v>
      </c>
      <c r="AH18" s="41" t="e">
        <f t="shared" si="154"/>
        <v>#REF!</v>
      </c>
      <c r="AI18" s="41" t="e">
        <f t="shared" si="154"/>
        <v>#REF!</v>
      </c>
      <c r="AJ18" s="41" t="e">
        <f t="shared" si="154"/>
        <v>#REF!</v>
      </c>
      <c r="AK18" s="41">
        <f t="shared" si="154"/>
        <v>372.5</v>
      </c>
      <c r="AL18" s="41">
        <f>AL6-AL17</f>
        <v>330</v>
      </c>
      <c r="AM18" s="41">
        <f t="shared" ref="AM18:BC18" si="155">AM6-AM17</f>
        <v>285</v>
      </c>
      <c r="AN18" s="41">
        <f t="shared" si="155"/>
        <v>360</v>
      </c>
      <c r="AO18" s="41">
        <f t="shared" si="155"/>
        <v>325</v>
      </c>
      <c r="AP18" s="41">
        <f t="shared" si="155"/>
        <v>406</v>
      </c>
      <c r="AQ18" s="41">
        <f t="shared" si="155"/>
        <v>430</v>
      </c>
      <c r="AR18" s="41">
        <f t="shared" si="155"/>
        <v>372</v>
      </c>
      <c r="AS18" s="41">
        <f t="shared" si="155"/>
        <v>332</v>
      </c>
      <c r="AT18" s="41">
        <f t="shared" si="155"/>
        <v>320</v>
      </c>
      <c r="AU18" s="41">
        <f t="shared" si="155"/>
        <v>327.5</v>
      </c>
      <c r="AV18" s="41">
        <f t="shared" si="155"/>
        <v>350</v>
      </c>
      <c r="AW18" s="41">
        <f t="shared" si="155"/>
        <v>350</v>
      </c>
      <c r="AX18" s="41">
        <f t="shared" si="155"/>
        <v>320</v>
      </c>
      <c r="AY18" s="41">
        <f t="shared" si="155"/>
        <v>306.66666666666663</v>
      </c>
      <c r="AZ18" s="41">
        <f t="shared" si="155"/>
        <v>310</v>
      </c>
      <c r="BA18" s="41">
        <f t="shared" si="155"/>
        <v>310</v>
      </c>
      <c r="BB18" s="41">
        <f t="shared" si="155"/>
        <v>358</v>
      </c>
      <c r="BC18" s="41">
        <f t="shared" si="155"/>
        <v>350</v>
      </c>
      <c r="BD18" s="41">
        <f t="shared" ref="BD18:BE18" si="156">BD6-BD17</f>
        <v>352.5</v>
      </c>
      <c r="BE18" s="41">
        <f t="shared" si="156"/>
        <v>370</v>
      </c>
      <c r="BF18" s="41">
        <f t="shared" ref="BF18:BG18" si="157">BF6-BF17</f>
        <v>430</v>
      </c>
      <c r="BG18" s="41">
        <f t="shared" si="157"/>
        <v>462.5</v>
      </c>
      <c r="BH18" s="41">
        <f t="shared" ref="BH18:BI18" si="158">BH6-BH17</f>
        <v>473</v>
      </c>
      <c r="BI18" s="41">
        <f t="shared" si="158"/>
        <v>445</v>
      </c>
      <c r="BJ18" s="41">
        <f t="shared" ref="BJ18:BK18" si="159">BJ6-BJ17</f>
        <v>402.5</v>
      </c>
      <c r="BK18" s="41">
        <f t="shared" si="159"/>
        <v>390</v>
      </c>
      <c r="BL18" s="41">
        <f t="shared" ref="BL18:BM18" si="160">BL6-BL17</f>
        <v>407.5</v>
      </c>
      <c r="BM18" s="41">
        <f t="shared" si="160"/>
        <v>485</v>
      </c>
      <c r="BN18" s="41">
        <f t="shared" ref="BN18:BO18" si="161">BN6-BN17</f>
        <v>468</v>
      </c>
      <c r="BO18" s="41">
        <f t="shared" si="161"/>
        <v>442.5</v>
      </c>
      <c r="BP18" s="41">
        <f t="shared" ref="BP18:BQ18" si="162">BP6-BP17</f>
        <v>448</v>
      </c>
      <c r="BQ18" s="41">
        <f t="shared" si="162"/>
        <v>425</v>
      </c>
      <c r="BR18" s="41">
        <f t="shared" ref="BR18:BS18" si="163">BR6-BR17</f>
        <v>437.5</v>
      </c>
      <c r="BS18" s="41">
        <f t="shared" si="163"/>
        <v>438</v>
      </c>
      <c r="BT18" s="41">
        <f t="shared" ref="BT18:BU18" si="164">BT6-BT17</f>
        <v>430</v>
      </c>
      <c r="BU18" s="41">
        <f t="shared" si="164"/>
        <v>427.5</v>
      </c>
      <c r="BV18" s="41">
        <f t="shared" ref="BV18" si="165">BV6-BV17</f>
        <v>365</v>
      </c>
      <c r="BZ18" s="117" t="s">
        <v>83</v>
      </c>
      <c r="DN18" s="41" t="e">
        <f t="shared" ref="DN18:ES18" si="166">+DN7-DN17</f>
        <v>#REF!</v>
      </c>
      <c r="DO18" s="41" t="e">
        <f t="shared" si="166"/>
        <v>#REF!</v>
      </c>
      <c r="DP18" s="41" t="e">
        <f t="shared" si="166"/>
        <v>#REF!</v>
      </c>
      <c r="DQ18" s="41" t="e">
        <f t="shared" si="166"/>
        <v>#REF!</v>
      </c>
      <c r="DR18" s="41">
        <f t="shared" si="166"/>
        <v>405</v>
      </c>
      <c r="DS18" s="41">
        <f t="shared" si="166"/>
        <v>420</v>
      </c>
      <c r="DT18" s="41">
        <f t="shared" si="166"/>
        <v>420</v>
      </c>
      <c r="DU18" s="41">
        <f t="shared" si="166"/>
        <v>420</v>
      </c>
      <c r="DV18" s="41">
        <f t="shared" si="166"/>
        <v>430</v>
      </c>
      <c r="DW18" s="41">
        <f t="shared" si="166"/>
        <v>430</v>
      </c>
      <c r="DX18" s="41">
        <f t="shared" si="166"/>
        <v>430</v>
      </c>
      <c r="DY18" s="41">
        <f t="shared" si="166"/>
        <v>370</v>
      </c>
      <c r="DZ18" s="41">
        <f t="shared" si="166"/>
        <v>360</v>
      </c>
      <c r="EA18" s="41">
        <f t="shared" si="166"/>
        <v>360</v>
      </c>
      <c r="EB18" s="41">
        <f t="shared" si="166"/>
        <v>350</v>
      </c>
      <c r="EC18" s="41">
        <f t="shared" si="166"/>
        <v>340</v>
      </c>
      <c r="ED18" s="41">
        <f t="shared" si="166"/>
        <v>270</v>
      </c>
      <c r="EE18" s="41">
        <f t="shared" si="166"/>
        <v>260</v>
      </c>
      <c r="EF18" s="41">
        <f t="shared" si="166"/>
        <v>260</v>
      </c>
      <c r="EG18" s="41">
        <f t="shared" si="166"/>
        <v>310</v>
      </c>
      <c r="EH18" s="41">
        <f t="shared" si="166"/>
        <v>310</v>
      </c>
      <c r="EI18" s="41">
        <f t="shared" si="166"/>
        <v>360</v>
      </c>
      <c r="EJ18" s="41">
        <f t="shared" si="166"/>
        <v>360</v>
      </c>
      <c r="EK18" s="41">
        <f t="shared" si="166"/>
        <v>360</v>
      </c>
      <c r="EL18" s="41">
        <f t="shared" si="166"/>
        <v>360</v>
      </c>
      <c r="EM18" s="41">
        <f t="shared" si="166"/>
        <v>330</v>
      </c>
      <c r="EN18" s="41">
        <f t="shared" si="166"/>
        <v>310</v>
      </c>
      <c r="EO18" s="41">
        <f t="shared" si="166"/>
        <v>330</v>
      </c>
      <c r="EP18" s="41">
        <f t="shared" si="166"/>
        <v>330</v>
      </c>
      <c r="EQ18" s="41">
        <f t="shared" si="166"/>
        <v>360</v>
      </c>
      <c r="ER18" s="41">
        <f t="shared" si="166"/>
        <v>380</v>
      </c>
      <c r="ES18" s="41">
        <f t="shared" si="166"/>
        <v>400</v>
      </c>
      <c r="ET18" s="41">
        <f t="shared" ref="ET18:FY18" si="167">+ET7-ET17</f>
        <v>420</v>
      </c>
      <c r="EU18" s="41">
        <f t="shared" si="167"/>
        <v>470</v>
      </c>
      <c r="EV18" s="41">
        <f t="shared" si="167"/>
        <v>440</v>
      </c>
      <c r="EW18" s="41">
        <f t="shared" si="167"/>
        <v>460</v>
      </c>
      <c r="EX18" s="41">
        <f t="shared" si="167"/>
        <v>410</v>
      </c>
      <c r="EY18" s="41">
        <f t="shared" si="167"/>
        <v>410</v>
      </c>
      <c r="EZ18" s="41">
        <f t="shared" si="167"/>
        <v>410</v>
      </c>
      <c r="FA18" s="41">
        <f t="shared" si="167"/>
        <v>418</v>
      </c>
      <c r="FB18" s="41">
        <f t="shared" si="167"/>
        <v>330</v>
      </c>
      <c r="FC18" s="41">
        <f t="shared" si="167"/>
        <v>330</v>
      </c>
      <c r="FD18" s="41">
        <f t="shared" si="167"/>
        <v>310</v>
      </c>
      <c r="FE18" s="41">
        <f t="shared" si="167"/>
        <v>330</v>
      </c>
      <c r="FF18" s="41">
        <f t="shared" si="167"/>
        <v>340</v>
      </c>
      <c r="FG18" s="41">
        <f t="shared" si="167"/>
        <v>340</v>
      </c>
      <c r="FH18" s="41">
        <f t="shared" si="167"/>
        <v>340</v>
      </c>
      <c r="FI18" s="41">
        <f t="shared" si="167"/>
        <v>340</v>
      </c>
      <c r="FJ18" s="41">
        <f t="shared" si="167"/>
        <v>320</v>
      </c>
      <c r="FK18" s="41">
        <f t="shared" si="167"/>
        <v>310</v>
      </c>
      <c r="FL18" s="41">
        <f t="shared" si="167"/>
        <v>310</v>
      </c>
      <c r="FM18" s="41">
        <f t="shared" si="167"/>
        <v>310</v>
      </c>
      <c r="FN18" s="41">
        <f t="shared" si="167"/>
        <v>320</v>
      </c>
      <c r="FO18" s="41">
        <f t="shared" si="167"/>
        <v>330</v>
      </c>
      <c r="FP18" s="41">
        <f t="shared" si="167"/>
        <v>350</v>
      </c>
      <c r="FQ18" s="41">
        <f t="shared" si="167"/>
        <v>350</v>
      </c>
      <c r="FR18" s="41">
        <f t="shared" si="167"/>
        <v>350</v>
      </c>
      <c r="FS18" s="41">
        <f t="shared" si="167"/>
        <v>350</v>
      </c>
      <c r="FT18" s="41">
        <f t="shared" si="167"/>
        <v>350</v>
      </c>
      <c r="FU18" s="41">
        <f t="shared" si="167"/>
        <v>350</v>
      </c>
      <c r="FV18" s="41">
        <f t="shared" si="167"/>
        <v>350</v>
      </c>
      <c r="FW18" s="41">
        <f t="shared" si="167"/>
        <v>350</v>
      </c>
      <c r="FX18" s="41">
        <f t="shared" si="167"/>
        <v>350</v>
      </c>
      <c r="FY18" s="41">
        <f t="shared" si="167"/>
        <v>350</v>
      </c>
      <c r="FZ18" s="41">
        <f>+FZ6-FZ17</f>
        <v>350</v>
      </c>
      <c r="GA18" s="41">
        <f t="shared" ref="GA18:GH18" si="168">+GA6-GA17</f>
        <v>310</v>
      </c>
      <c r="GB18" s="41">
        <f t="shared" si="168"/>
        <v>310</v>
      </c>
      <c r="GC18" s="41">
        <f t="shared" si="168"/>
        <v>310</v>
      </c>
      <c r="GD18" s="41">
        <f t="shared" si="168"/>
        <v>300</v>
      </c>
      <c r="GE18" s="41">
        <f t="shared" si="168"/>
        <v>310</v>
      </c>
      <c r="GF18" s="41">
        <f t="shared" si="168"/>
        <v>310</v>
      </c>
      <c r="GG18" s="41">
        <f t="shared" si="168"/>
        <v>310</v>
      </c>
      <c r="GH18" s="41">
        <f t="shared" si="168"/>
        <v>310</v>
      </c>
      <c r="GI18" s="41">
        <f t="shared" ref="GI18" si="169">+GI6-GI17</f>
        <v>310</v>
      </c>
      <c r="GJ18" s="41">
        <f t="shared" ref="GJ18" si="170">+GJ6-GJ17</f>
        <v>310</v>
      </c>
      <c r="GK18" s="41">
        <f t="shared" ref="GK18" si="171">+GK6-GK17</f>
        <v>310</v>
      </c>
      <c r="GL18" s="41">
        <f t="shared" ref="GL18" si="172">+GL6-GL17</f>
        <v>310</v>
      </c>
      <c r="GM18" s="41">
        <f t="shared" ref="GM18" si="173">+GM6-GM17</f>
        <v>310</v>
      </c>
      <c r="GN18" s="41">
        <f t="shared" ref="GN18" si="174">+GN6-GN17</f>
        <v>310</v>
      </c>
      <c r="GO18" s="41">
        <f t="shared" ref="GO18:GP18" si="175">+GO6-GO17</f>
        <v>360</v>
      </c>
      <c r="GP18" s="41">
        <f t="shared" si="175"/>
        <v>360</v>
      </c>
      <c r="GQ18" s="41">
        <f t="shared" ref="GQ18" si="176">+GQ6-GQ17</f>
        <v>360</v>
      </c>
      <c r="GR18" s="41">
        <f t="shared" ref="GR18" si="177">+GR6-GR17</f>
        <v>360</v>
      </c>
      <c r="GS18" s="41">
        <f t="shared" ref="GS18" si="178">+GS6-GS17</f>
        <v>350</v>
      </c>
      <c r="GT18" s="41">
        <f t="shared" ref="GT18" si="179">+GT6-GT17</f>
        <v>350</v>
      </c>
      <c r="GU18" s="41">
        <f t="shared" ref="GU18:GV18" si="180">+GU6-GU17</f>
        <v>350</v>
      </c>
      <c r="GV18" s="41">
        <f t="shared" si="180"/>
        <v>350</v>
      </c>
      <c r="GW18" s="41">
        <f t="shared" ref="GW18:GX18" si="181">+GW6-GW17</f>
        <v>350</v>
      </c>
      <c r="GX18" s="41">
        <f t="shared" si="181"/>
        <v>350</v>
      </c>
      <c r="GY18" s="41">
        <f t="shared" ref="GY18:GZ18" si="182">+GY6-GY17</f>
        <v>350</v>
      </c>
      <c r="GZ18" s="41">
        <f t="shared" si="182"/>
        <v>350</v>
      </c>
      <c r="HA18" s="41">
        <f t="shared" ref="HA18:HB18" si="183">+HA6-HA17</f>
        <v>360</v>
      </c>
      <c r="HB18" s="41">
        <f t="shared" si="183"/>
        <v>360</v>
      </c>
      <c r="HC18" s="41">
        <f t="shared" ref="HC18:HD18" si="184">+HC6-HC17</f>
        <v>360</v>
      </c>
      <c r="HD18" s="41">
        <f t="shared" si="184"/>
        <v>360</v>
      </c>
      <c r="HE18" s="41">
        <f t="shared" ref="HE18:HF18" si="185">+HE6-HE17</f>
        <v>370</v>
      </c>
      <c r="HF18" s="41">
        <f t="shared" si="185"/>
        <v>400</v>
      </c>
      <c r="HG18" s="41">
        <f t="shared" ref="HG18:HH18" si="186">+HG6-HG17</f>
        <v>410</v>
      </c>
      <c r="HH18" s="41">
        <f t="shared" si="186"/>
        <v>420</v>
      </c>
      <c r="HI18" s="41">
        <f t="shared" ref="HI18:HJ18" si="187">+HI6-HI17</f>
        <v>440</v>
      </c>
      <c r="HJ18" s="41">
        <f t="shared" si="187"/>
        <v>450</v>
      </c>
      <c r="HK18" s="41">
        <f t="shared" ref="HK18:HL18" si="188">+HK6-HK17</f>
        <v>465</v>
      </c>
      <c r="HL18" s="41">
        <f t="shared" si="188"/>
        <v>465</v>
      </c>
      <c r="HM18" s="41">
        <f t="shared" ref="HM18:HN18" si="189">+HM6-HM17</f>
        <v>455</v>
      </c>
      <c r="HN18" s="41">
        <f t="shared" si="189"/>
        <v>465</v>
      </c>
      <c r="HO18" s="41">
        <f t="shared" ref="HO18:HS18" si="190">+HO6-HO17</f>
        <v>465</v>
      </c>
      <c r="HP18" s="41">
        <f t="shared" si="190"/>
        <v>465</v>
      </c>
      <c r="HQ18" s="41">
        <f t="shared" si="190"/>
        <v>465</v>
      </c>
      <c r="HR18" s="41">
        <f t="shared" si="190"/>
        <v>485</v>
      </c>
      <c r="HS18" s="41">
        <f t="shared" si="190"/>
        <v>485</v>
      </c>
      <c r="HT18" s="41">
        <f t="shared" ref="HT18:HW18" si="191">+HT6-HT17</f>
        <v>435</v>
      </c>
      <c r="HU18" s="41">
        <f t="shared" si="191"/>
        <v>445</v>
      </c>
      <c r="HV18" s="41">
        <f t="shared" si="191"/>
        <v>445</v>
      </c>
      <c r="HW18" s="41">
        <f t="shared" si="191"/>
        <v>455</v>
      </c>
      <c r="HX18" s="41">
        <f t="shared" ref="HX18:HY18" si="192">+HX6-HX17</f>
        <v>410</v>
      </c>
      <c r="HY18" s="41">
        <f t="shared" si="192"/>
        <v>410</v>
      </c>
      <c r="HZ18" s="41">
        <f t="shared" ref="HZ18:IA18" si="193">+HZ6-HZ17</f>
        <v>410</v>
      </c>
      <c r="IA18" s="41">
        <f t="shared" si="193"/>
        <v>380</v>
      </c>
      <c r="IB18" s="41">
        <f t="shared" ref="IB18:ID18" si="194">+IB6-IB17</f>
        <v>390</v>
      </c>
      <c r="IC18" s="41">
        <f t="shared" si="194"/>
        <v>390</v>
      </c>
      <c r="ID18" s="41">
        <f t="shared" si="194"/>
        <v>390</v>
      </c>
      <c r="IE18" s="41">
        <f t="shared" ref="IE18:IF18" si="195">+IE6-IE17</f>
        <v>390</v>
      </c>
      <c r="IF18" s="41">
        <f t="shared" si="195"/>
        <v>390</v>
      </c>
      <c r="IG18" s="41">
        <f t="shared" ref="IG18:II18" si="196">+IG6-IG17</f>
        <v>400</v>
      </c>
      <c r="IH18" s="41">
        <f t="shared" si="196"/>
        <v>420</v>
      </c>
      <c r="II18" s="41">
        <f t="shared" si="196"/>
        <v>420</v>
      </c>
      <c r="IJ18" s="41">
        <f t="shared" ref="IJ18:IM18" si="197">+IJ6-IJ17</f>
        <v>450</v>
      </c>
      <c r="IK18" s="41">
        <f t="shared" si="197"/>
        <v>500</v>
      </c>
      <c r="IL18" s="41">
        <f t="shared" si="197"/>
        <v>500</v>
      </c>
      <c r="IM18" s="41">
        <f t="shared" si="197"/>
        <v>490</v>
      </c>
      <c r="IN18" s="41">
        <f t="shared" ref="IN18:IR18" si="198">+IN6-IN17</f>
        <v>490</v>
      </c>
      <c r="IO18" s="41">
        <f t="shared" si="198"/>
        <v>490</v>
      </c>
      <c r="IP18" s="41">
        <f t="shared" si="198"/>
        <v>450</v>
      </c>
      <c r="IQ18" s="41">
        <f t="shared" si="198"/>
        <v>450</v>
      </c>
      <c r="IR18" s="41">
        <f t="shared" si="198"/>
        <v>460</v>
      </c>
      <c r="IS18" s="41">
        <f t="shared" ref="IS18:IV18" si="199">+IS6-IS17</f>
        <v>423.08345182389439</v>
      </c>
      <c r="IT18" s="41">
        <f t="shared" si="199"/>
        <v>435.22861301447779</v>
      </c>
      <c r="IU18" s="41">
        <f t="shared" si="199"/>
        <v>399.85946597651218</v>
      </c>
      <c r="IV18" s="41">
        <f t="shared" si="199"/>
        <v>399.05305328016675</v>
      </c>
      <c r="IW18" s="41">
        <f t="shared" ref="IW18:JA18" si="200">+IW6-IW17</f>
        <v>395.28891612105326</v>
      </c>
      <c r="IX18" s="41">
        <f t="shared" si="200"/>
        <v>408.31313760815851</v>
      </c>
      <c r="IY18" s="41">
        <f t="shared" si="200"/>
        <v>426.0902473013</v>
      </c>
      <c r="IZ18" s="41">
        <f t="shared" si="200"/>
        <v>430.5681658529486</v>
      </c>
      <c r="JA18" s="41">
        <f t="shared" si="200"/>
        <v>426.90734480216793</v>
      </c>
      <c r="JB18" s="41">
        <f t="shared" ref="JB18:JE18" si="201">+JB6-JB17</f>
        <v>404.47341524403009</v>
      </c>
      <c r="JC18" s="41">
        <f t="shared" si="201"/>
        <v>397.68137723989094</v>
      </c>
      <c r="JD18" s="41">
        <f t="shared" si="201"/>
        <v>430</v>
      </c>
      <c r="JE18" s="41">
        <f t="shared" si="201"/>
        <v>420</v>
      </c>
      <c r="JF18" s="41">
        <f t="shared" ref="JF18:JI18" si="202">+JF6-JF17</f>
        <v>430</v>
      </c>
      <c r="JG18" s="41">
        <f t="shared" si="202"/>
        <v>440</v>
      </c>
      <c r="JH18" s="41">
        <f t="shared" si="202"/>
        <v>440</v>
      </c>
      <c r="JI18" s="41">
        <f t="shared" si="202"/>
        <v>440</v>
      </c>
      <c r="JJ18" s="41">
        <f t="shared" ref="JJ18:JN18" si="203">+JJ6-JJ17</f>
        <v>430</v>
      </c>
      <c r="JK18" s="41">
        <f t="shared" si="203"/>
        <v>430</v>
      </c>
      <c r="JL18" s="41">
        <f t="shared" si="203"/>
        <v>440</v>
      </c>
      <c r="JM18" s="41">
        <f t="shared" si="203"/>
        <v>450</v>
      </c>
      <c r="JN18" s="41">
        <f t="shared" si="203"/>
        <v>440</v>
      </c>
      <c r="JO18" s="41">
        <f t="shared" ref="JO18:JR18" si="204">+JO6-JO17</f>
        <v>430</v>
      </c>
      <c r="JP18" s="41">
        <f t="shared" si="204"/>
        <v>430</v>
      </c>
      <c r="JQ18" s="41">
        <f t="shared" si="204"/>
        <v>430</v>
      </c>
      <c r="JR18" s="41">
        <f t="shared" si="204"/>
        <v>430</v>
      </c>
      <c r="JS18" s="41">
        <f t="shared" ref="JS18:JV18" si="205">+JS6-JS17</f>
        <v>430</v>
      </c>
      <c r="JT18" s="41">
        <f t="shared" si="205"/>
        <v>430</v>
      </c>
      <c r="JU18" s="41">
        <f t="shared" si="205"/>
        <v>430</v>
      </c>
      <c r="JV18" s="41">
        <f t="shared" si="205"/>
        <v>420</v>
      </c>
      <c r="JW18" s="41">
        <f t="shared" ref="JW18:KA18" si="206">+JW6-JW17</f>
        <v>365</v>
      </c>
      <c r="JX18" s="41">
        <f t="shared" si="206"/>
        <v>1160</v>
      </c>
      <c r="JY18" s="41">
        <f t="shared" si="206"/>
        <v>1160</v>
      </c>
      <c r="JZ18" s="41">
        <f t="shared" si="206"/>
        <v>1160</v>
      </c>
      <c r="KA18" s="41">
        <f t="shared" si="206"/>
        <v>1160</v>
      </c>
    </row>
    <row r="19" spans="6:287" ht="15">
      <c r="F19" s="62"/>
      <c r="H19" s="1" t="s">
        <v>81</v>
      </c>
      <c r="U19" s="41"/>
      <c r="X19" s="51">
        <f>X18/X17</f>
        <v>0.21001926782273603</v>
      </c>
      <c r="Y19" s="51">
        <f t="shared" ref="Y19:AQ19" si="207">Y18/Y17</f>
        <v>0.19240506329113918</v>
      </c>
      <c r="Z19" s="51">
        <f t="shared" si="207"/>
        <v>0.12949640287769784</v>
      </c>
      <c r="AA19" s="51">
        <f t="shared" si="207"/>
        <v>0.28688524590163933</v>
      </c>
      <c r="AB19" s="51">
        <f t="shared" si="207"/>
        <v>0.18110236220472442</v>
      </c>
      <c r="AC19" s="51">
        <f t="shared" si="207"/>
        <v>0.26050420168067229</v>
      </c>
      <c r="AD19" s="51" t="e">
        <f t="shared" si="207"/>
        <v>#REF!</v>
      </c>
      <c r="AE19" s="51" t="e">
        <f t="shared" si="207"/>
        <v>#REF!</v>
      </c>
      <c r="AF19" s="51" t="e">
        <f t="shared" si="207"/>
        <v>#REF!</v>
      </c>
      <c r="AG19" s="51" t="e">
        <f t="shared" si="207"/>
        <v>#REF!</v>
      </c>
      <c r="AH19" s="51" t="e">
        <f t="shared" si="207"/>
        <v>#REF!</v>
      </c>
      <c r="AI19" s="51" t="e">
        <f t="shared" si="207"/>
        <v>#REF!</v>
      </c>
      <c r="AJ19" s="51" t="e">
        <f t="shared" si="207"/>
        <v>#REF!</v>
      </c>
      <c r="AK19" s="51">
        <f t="shared" si="207"/>
        <v>0.38107416879795397</v>
      </c>
      <c r="AL19" s="51">
        <f t="shared" si="207"/>
        <v>0.33</v>
      </c>
      <c r="AM19" s="51">
        <f t="shared" si="207"/>
        <v>0.27272727272727271</v>
      </c>
      <c r="AN19" s="51">
        <f t="shared" si="207"/>
        <v>0.35294117647058826</v>
      </c>
      <c r="AO19" s="51">
        <f t="shared" si="207"/>
        <v>0.30805687203791471</v>
      </c>
      <c r="AP19" s="51">
        <f t="shared" si="207"/>
        <v>0.41683778234086244</v>
      </c>
      <c r="AQ19" s="51">
        <f t="shared" si="207"/>
        <v>0.48044692737430167</v>
      </c>
      <c r="AR19" s="51">
        <f t="shared" ref="AR19:AW19" si="208">AR18/AR17</f>
        <v>0.41196013289036543</v>
      </c>
      <c r="AS19" s="51">
        <f t="shared" si="208"/>
        <v>0.36165577342047928</v>
      </c>
      <c r="AT19" s="51">
        <f t="shared" si="208"/>
        <v>0.34408602150537637</v>
      </c>
      <c r="AU19" s="51">
        <f t="shared" si="208"/>
        <v>0.35501355013550134</v>
      </c>
      <c r="AV19" s="51">
        <f t="shared" si="208"/>
        <v>0.3888888888888889</v>
      </c>
      <c r="AW19" s="51">
        <f t="shared" si="208"/>
        <v>0.3888888888888889</v>
      </c>
      <c r="AX19" s="51">
        <f t="shared" ref="AX19:AY19" si="209">AX18/AX17</f>
        <v>0.34408602150537637</v>
      </c>
      <c r="AY19" s="51">
        <f t="shared" si="209"/>
        <v>0.32508833922261476</v>
      </c>
      <c r="AZ19" s="51">
        <f t="shared" ref="AZ19:BA19" si="210">AZ18/AZ17</f>
        <v>0.32978723404255317</v>
      </c>
      <c r="BA19" s="51">
        <f t="shared" si="210"/>
        <v>0.32978723404255317</v>
      </c>
      <c r="BB19" s="51">
        <f t="shared" ref="BB19:BC19" si="211">BB18/BB17</f>
        <v>0.38004246284501064</v>
      </c>
      <c r="BC19" s="51">
        <f t="shared" si="211"/>
        <v>0.36842105263157893</v>
      </c>
      <c r="BD19" s="51">
        <f t="shared" ref="BD19:BE19" si="212">BD18/BD17</f>
        <v>0.37203166226912932</v>
      </c>
      <c r="BE19" s="51">
        <f t="shared" si="212"/>
        <v>0.39784946236559138</v>
      </c>
      <c r="BF19" s="51">
        <f t="shared" ref="BF19:BG19" si="213">BF18/BF17</f>
        <v>0.48863636363636365</v>
      </c>
      <c r="BG19" s="51">
        <f t="shared" si="213"/>
        <v>0.53623188405797106</v>
      </c>
      <c r="BH19" s="51">
        <f t="shared" ref="BH19:BI19" si="214">BH18/BH17</f>
        <v>0.55516431924882625</v>
      </c>
      <c r="BI19" s="51">
        <f t="shared" si="214"/>
        <v>0.53614457831325302</v>
      </c>
      <c r="BJ19" s="51">
        <f t="shared" ref="BJ19:BK19" si="215">BJ18/BJ17</f>
        <v>0.48640483383685801</v>
      </c>
      <c r="BK19" s="51">
        <f t="shared" si="215"/>
        <v>0.4642857142857143</v>
      </c>
      <c r="BL19" s="51">
        <f t="shared" ref="BL19:BM19" si="216">BL18/BL17</f>
        <v>0.49544072948328266</v>
      </c>
      <c r="BM19" s="51">
        <f t="shared" si="216"/>
        <v>0.63398692810457513</v>
      </c>
      <c r="BN19" s="51">
        <f t="shared" ref="BN19:BO19" si="217">BN18/BN17</f>
        <v>0.59846547314578002</v>
      </c>
      <c r="BO19" s="51">
        <f t="shared" si="217"/>
        <v>0.54798761609907121</v>
      </c>
      <c r="BP19" s="51">
        <f t="shared" ref="BP19:BQ19" si="218">BP18/BP17</f>
        <v>0.55860349127182041</v>
      </c>
      <c r="BQ19" s="51">
        <f t="shared" si="218"/>
        <v>0.53459119496855345</v>
      </c>
      <c r="BR19" s="51">
        <f t="shared" ref="BR19:BS19" si="219">BR18/BR17</f>
        <v>0.5591054313099042</v>
      </c>
      <c r="BS19" s="51">
        <f t="shared" si="219"/>
        <v>0.56735751295336789</v>
      </c>
      <c r="BT19" s="51">
        <f t="shared" ref="BT19:BU19" si="220">BT18/BT17</f>
        <v>0.55844155844155841</v>
      </c>
      <c r="BU19" s="51">
        <f t="shared" si="220"/>
        <v>0.55339805825242716</v>
      </c>
      <c r="BV19" s="51">
        <f t="shared" ref="BV19" si="221">BV18/BV17</f>
        <v>0.45911949685534592</v>
      </c>
      <c r="BZ19" s="1" t="s">
        <v>81</v>
      </c>
      <c r="DG19" s="108"/>
      <c r="DN19" s="51" t="e">
        <f t="shared" ref="DN19:EF19" si="222">+DN18/DN17</f>
        <v>#REF!</v>
      </c>
      <c r="DO19" s="51" t="e">
        <f t="shared" si="222"/>
        <v>#REF!</v>
      </c>
      <c r="DP19" s="51" t="e">
        <f t="shared" si="222"/>
        <v>#REF!</v>
      </c>
      <c r="DQ19" s="51" t="e">
        <f t="shared" si="222"/>
        <v>#REF!</v>
      </c>
      <c r="DR19" s="51">
        <f t="shared" si="222"/>
        <v>0.40703517587939697</v>
      </c>
      <c r="DS19" s="51">
        <f t="shared" si="222"/>
        <v>0.42857142857142855</v>
      </c>
      <c r="DT19" s="51">
        <f t="shared" si="222"/>
        <v>0.42857142857142855</v>
      </c>
      <c r="DU19" s="51">
        <f t="shared" si="222"/>
        <v>0.42857142857142855</v>
      </c>
      <c r="DV19" s="51">
        <f t="shared" si="222"/>
        <v>0.44329896907216493</v>
      </c>
      <c r="DW19" s="51">
        <f t="shared" si="222"/>
        <v>0.44329896907216493</v>
      </c>
      <c r="DX19" s="51">
        <f t="shared" si="222"/>
        <v>0.44329896907216493</v>
      </c>
      <c r="DY19" s="51">
        <f t="shared" si="222"/>
        <v>0.37755102040816324</v>
      </c>
      <c r="DZ19" s="51">
        <f t="shared" si="222"/>
        <v>0.36363636363636365</v>
      </c>
      <c r="EA19" s="51">
        <f>+EA18/EA17</f>
        <v>0.37113402061855671</v>
      </c>
      <c r="EB19" s="51">
        <f t="shared" si="222"/>
        <v>0.35714285714285715</v>
      </c>
      <c r="EC19" s="51">
        <f t="shared" si="222"/>
        <v>0.34343434343434343</v>
      </c>
      <c r="ED19" s="51">
        <f t="shared" si="222"/>
        <v>0.25471698113207547</v>
      </c>
      <c r="EE19" s="51">
        <f t="shared" si="222"/>
        <v>0.24299065420560748</v>
      </c>
      <c r="EF19" s="51">
        <f t="shared" si="222"/>
        <v>0.24299065420560748</v>
      </c>
      <c r="EG19" s="51">
        <f t="shared" ref="EG19:EQ19" si="223">+EG18/EG17</f>
        <v>0.30392156862745096</v>
      </c>
      <c r="EH19" s="51">
        <f t="shared" si="223"/>
        <v>0.30392156862745096</v>
      </c>
      <c r="EI19" s="51">
        <f t="shared" si="223"/>
        <v>0.35294117647058826</v>
      </c>
      <c r="EJ19" s="51">
        <f t="shared" si="223"/>
        <v>0.35294117647058826</v>
      </c>
      <c r="EK19" s="51">
        <f t="shared" si="223"/>
        <v>0.35294117647058826</v>
      </c>
      <c r="EL19" s="51">
        <f t="shared" si="223"/>
        <v>0.35294117647058826</v>
      </c>
      <c r="EM19" s="51">
        <f t="shared" si="223"/>
        <v>0.31428571428571428</v>
      </c>
      <c r="EN19" s="51">
        <f t="shared" si="223"/>
        <v>0.28971962616822428</v>
      </c>
      <c r="EO19" s="51">
        <f t="shared" si="223"/>
        <v>0.31428571428571428</v>
      </c>
      <c r="EP19" s="51">
        <f t="shared" si="223"/>
        <v>0.31428571428571428</v>
      </c>
      <c r="EQ19" s="51">
        <f t="shared" si="223"/>
        <v>0.35294117647058826</v>
      </c>
      <c r="ER19" s="51">
        <f t="shared" ref="ER19:EW19" si="224">+ER18/ER17</f>
        <v>0.38</v>
      </c>
      <c r="ES19" s="51">
        <f t="shared" si="224"/>
        <v>0.40816326530612246</v>
      </c>
      <c r="ET19" s="51">
        <f t="shared" si="224"/>
        <v>0.4375</v>
      </c>
      <c r="EU19" s="51">
        <f t="shared" si="224"/>
        <v>0.51648351648351654</v>
      </c>
      <c r="EV19" s="51">
        <f t="shared" si="224"/>
        <v>0.48351648351648352</v>
      </c>
      <c r="EW19" s="51">
        <f t="shared" si="224"/>
        <v>0.5168539325842697</v>
      </c>
      <c r="EX19" s="51">
        <f t="shared" ref="EX19:FC19" si="225">+EX18/EX17</f>
        <v>0.4606741573033708</v>
      </c>
      <c r="EY19" s="51">
        <f t="shared" si="225"/>
        <v>0.4606741573033708</v>
      </c>
      <c r="EZ19" s="51">
        <f t="shared" si="225"/>
        <v>0.4606741573033708</v>
      </c>
      <c r="FA19" s="51">
        <f t="shared" si="225"/>
        <v>0.47392290249433106</v>
      </c>
      <c r="FB19" s="51">
        <f t="shared" si="225"/>
        <v>0.35869565217391303</v>
      </c>
      <c r="FC19" s="51">
        <f t="shared" si="225"/>
        <v>0.35869565217391303</v>
      </c>
      <c r="FD19" s="51">
        <f>+FD18/FD17</f>
        <v>0.32978723404255317</v>
      </c>
      <c r="FE19" s="51">
        <f>+FE18/FE17</f>
        <v>0.35869565217391303</v>
      </c>
      <c r="FF19" s="51">
        <f>+FF18/FF17</f>
        <v>0.37362637362637363</v>
      </c>
      <c r="FG19" s="51">
        <f t="shared" ref="FG19:FL19" si="226">+FG18/FG17</f>
        <v>0.37362637362637363</v>
      </c>
      <c r="FH19" s="51">
        <f t="shared" si="226"/>
        <v>0.37362637362637363</v>
      </c>
      <c r="FI19" s="51">
        <f t="shared" si="226"/>
        <v>0.37362637362637363</v>
      </c>
      <c r="FJ19" s="51">
        <f t="shared" si="226"/>
        <v>0.34408602150537637</v>
      </c>
      <c r="FK19" s="51">
        <f t="shared" si="226"/>
        <v>0.32978723404255317</v>
      </c>
      <c r="FL19" s="51">
        <f t="shared" si="226"/>
        <v>0.32978723404255317</v>
      </c>
      <c r="FM19" s="51">
        <f t="shared" ref="FM19:FR19" si="227">+FM18/FM17</f>
        <v>0.32978723404255317</v>
      </c>
      <c r="FN19" s="51">
        <f t="shared" si="227"/>
        <v>0.34408602150537637</v>
      </c>
      <c r="FO19" s="51">
        <f t="shared" si="227"/>
        <v>0.35869565217391303</v>
      </c>
      <c r="FP19" s="51">
        <f t="shared" si="227"/>
        <v>0.3888888888888889</v>
      </c>
      <c r="FQ19" s="51">
        <f t="shared" si="227"/>
        <v>0.3888888888888889</v>
      </c>
      <c r="FR19" s="51">
        <f t="shared" si="227"/>
        <v>0.3888888888888889</v>
      </c>
      <c r="FS19" s="51">
        <f t="shared" ref="FS19:FT19" si="228">+FS18/FS17</f>
        <v>0.3888888888888889</v>
      </c>
      <c r="FT19" s="51">
        <f t="shared" si="228"/>
        <v>0.3888888888888889</v>
      </c>
      <c r="FU19" s="51">
        <f t="shared" ref="FU19:FV19" si="229">+FU18/FU17</f>
        <v>0.3888888888888889</v>
      </c>
      <c r="FV19" s="51">
        <f t="shared" si="229"/>
        <v>0.3888888888888889</v>
      </c>
      <c r="FW19" s="51">
        <f t="shared" ref="FW19:FX19" si="230">+FW18/FW17</f>
        <v>0.3888888888888889</v>
      </c>
      <c r="FX19" s="51">
        <f t="shared" si="230"/>
        <v>0.3888888888888889</v>
      </c>
      <c r="FY19" s="51">
        <f t="shared" ref="FY19:FZ19" si="231">+FY18/FY17</f>
        <v>0.3888888888888889</v>
      </c>
      <c r="FZ19" s="51">
        <f t="shared" si="231"/>
        <v>0.3888888888888889</v>
      </c>
      <c r="GA19" s="51">
        <f t="shared" ref="GA19:GB19" si="232">+GA18/GA17</f>
        <v>0.32978723404255317</v>
      </c>
      <c r="GB19" s="51">
        <f t="shared" si="232"/>
        <v>0.32978723404255317</v>
      </c>
      <c r="GC19" s="51">
        <f t="shared" ref="GC19:GD19" si="233">+GC18/GC17</f>
        <v>0.32978723404255317</v>
      </c>
      <c r="GD19" s="51">
        <f t="shared" si="233"/>
        <v>0.31578947368421051</v>
      </c>
      <c r="GE19" s="51">
        <f t="shared" ref="GE19:GG19" si="234">+GE18/GE17</f>
        <v>0.32978723404255317</v>
      </c>
      <c r="GF19" s="51">
        <f t="shared" si="234"/>
        <v>0.32978723404255317</v>
      </c>
      <c r="GG19" s="51">
        <f t="shared" si="234"/>
        <v>0.32978723404255317</v>
      </c>
      <c r="GH19" s="51">
        <f t="shared" ref="GH19:GI19" si="235">+GH18/GH17</f>
        <v>0.32978723404255317</v>
      </c>
      <c r="GI19" s="51">
        <f t="shared" si="235"/>
        <v>0.32978723404255317</v>
      </c>
      <c r="GJ19" s="51">
        <f t="shared" ref="GJ19:GK19" si="236">+GJ18/GJ17</f>
        <v>0.32978723404255317</v>
      </c>
      <c r="GK19" s="51">
        <f t="shared" si="236"/>
        <v>0.32978723404255317</v>
      </c>
      <c r="GL19" s="51">
        <f t="shared" ref="GL19:GN19" si="237">+GL18/GL17</f>
        <v>0.32978723404255317</v>
      </c>
      <c r="GM19" s="51">
        <f t="shared" si="237"/>
        <v>0.32978723404255317</v>
      </c>
      <c r="GN19" s="51">
        <f t="shared" si="237"/>
        <v>0.32978723404255317</v>
      </c>
      <c r="GO19" s="51">
        <f t="shared" ref="GO19:GP19" si="238">+GO18/GO17</f>
        <v>0.38297872340425532</v>
      </c>
      <c r="GP19" s="51">
        <f t="shared" si="238"/>
        <v>0.38297872340425532</v>
      </c>
      <c r="GQ19" s="51">
        <f t="shared" ref="GQ19:GR19" si="239">+GQ18/GQ17</f>
        <v>0.38297872340425532</v>
      </c>
      <c r="GR19" s="51">
        <f t="shared" si="239"/>
        <v>0.38297872340425532</v>
      </c>
      <c r="GS19" s="51">
        <f t="shared" ref="GS19:GT19" si="240">+GS18/GS17</f>
        <v>0.36842105263157893</v>
      </c>
      <c r="GT19" s="51">
        <f t="shared" si="240"/>
        <v>0.36842105263157893</v>
      </c>
      <c r="GU19" s="51">
        <f t="shared" ref="GU19:GV19" si="241">+GU18/GU17</f>
        <v>0.36842105263157893</v>
      </c>
      <c r="GV19" s="51">
        <f t="shared" si="241"/>
        <v>0.36842105263157893</v>
      </c>
      <c r="GW19" s="51">
        <f t="shared" ref="GW19:GX19" si="242">+GW18/GW17</f>
        <v>0.36842105263157893</v>
      </c>
      <c r="GX19" s="51">
        <f t="shared" si="242"/>
        <v>0.36842105263157893</v>
      </c>
      <c r="GY19" s="51">
        <f t="shared" ref="GY19:GZ19" si="243">+GY18/GY17</f>
        <v>0.36842105263157893</v>
      </c>
      <c r="GZ19" s="51">
        <f t="shared" si="243"/>
        <v>0.36842105263157893</v>
      </c>
      <c r="HA19" s="51">
        <f t="shared" ref="HA19:HB19" si="244">+HA18/HA17</f>
        <v>0.38297872340425532</v>
      </c>
      <c r="HB19" s="51">
        <f t="shared" si="244"/>
        <v>0.38297872340425532</v>
      </c>
      <c r="HC19" s="51">
        <f t="shared" ref="HC19:HD19" si="245">+HC18/HC17</f>
        <v>0.38297872340425532</v>
      </c>
      <c r="HD19" s="51">
        <f t="shared" si="245"/>
        <v>0.38297872340425532</v>
      </c>
      <c r="HE19" s="51">
        <f t="shared" ref="HE19:HF19" si="246">+HE18/HE17</f>
        <v>0.39784946236559138</v>
      </c>
      <c r="HF19" s="51">
        <f t="shared" si="246"/>
        <v>0.44444444444444442</v>
      </c>
      <c r="HG19" s="51">
        <f t="shared" ref="HG19:HH19" si="247">+HG18/HG17</f>
        <v>0.45555555555555555</v>
      </c>
      <c r="HH19" s="51">
        <f t="shared" si="247"/>
        <v>0.47191011235955055</v>
      </c>
      <c r="HI19" s="51">
        <f t="shared" ref="HI19:HJ19" si="248">+HI18/HI17</f>
        <v>0.50574712643678166</v>
      </c>
      <c r="HJ19" s="51">
        <f t="shared" si="248"/>
        <v>0.52325581395348841</v>
      </c>
      <c r="HK19" s="51">
        <f t="shared" ref="HK19:HL19" si="249">+HK18/HK17</f>
        <v>0.54069767441860461</v>
      </c>
      <c r="HL19" s="51">
        <f t="shared" si="249"/>
        <v>0.54069767441860461</v>
      </c>
      <c r="HM19" s="51">
        <f t="shared" ref="HM19:HN19" si="250">+HM18/HM17</f>
        <v>0.52298850574712641</v>
      </c>
      <c r="HN19" s="51">
        <f t="shared" si="250"/>
        <v>0.54069767441860461</v>
      </c>
      <c r="HO19" s="51">
        <f t="shared" ref="HO19:HS19" si="251">+HO18/HO17</f>
        <v>0.54069767441860461</v>
      </c>
      <c r="HP19" s="51">
        <f t="shared" si="251"/>
        <v>0.54069767441860461</v>
      </c>
      <c r="HQ19" s="51">
        <f t="shared" si="251"/>
        <v>0.54069767441860461</v>
      </c>
      <c r="HR19" s="51">
        <f t="shared" si="251"/>
        <v>0.57738095238095233</v>
      </c>
      <c r="HS19" s="51">
        <f t="shared" si="251"/>
        <v>0.57738095238095233</v>
      </c>
      <c r="HT19" s="51">
        <f t="shared" ref="HT19:HW19" si="252">+HT18/HT17</f>
        <v>0.5178571428571429</v>
      </c>
      <c r="HU19" s="51">
        <f t="shared" si="252"/>
        <v>0.53614457831325302</v>
      </c>
      <c r="HV19" s="51">
        <f t="shared" si="252"/>
        <v>0.53614457831325302</v>
      </c>
      <c r="HW19" s="51">
        <f t="shared" si="252"/>
        <v>0.55487804878048785</v>
      </c>
      <c r="HX19" s="51">
        <f t="shared" ref="HX19:HY19" si="253">+HX18/HX17</f>
        <v>0.5</v>
      </c>
      <c r="HY19" s="51">
        <f t="shared" si="253"/>
        <v>0.5</v>
      </c>
      <c r="HZ19" s="51">
        <f t="shared" ref="HZ19:IA19" si="254">+HZ18/HZ17</f>
        <v>0.5</v>
      </c>
      <c r="IA19" s="51">
        <f t="shared" si="254"/>
        <v>0.44705882352941179</v>
      </c>
      <c r="IB19" s="51">
        <f t="shared" ref="IB19:ID19" si="255">+IB18/IB17</f>
        <v>0.4642857142857143</v>
      </c>
      <c r="IC19" s="51">
        <f t="shared" si="255"/>
        <v>0.4642857142857143</v>
      </c>
      <c r="ID19" s="51">
        <f t="shared" si="255"/>
        <v>0.4642857142857143</v>
      </c>
      <c r="IE19" s="51">
        <f t="shared" ref="IE19:IF19" si="256">+IE18/IE17</f>
        <v>0.4642857142857143</v>
      </c>
      <c r="IF19" s="51">
        <f t="shared" si="256"/>
        <v>0.4642857142857143</v>
      </c>
      <c r="IG19" s="51">
        <f t="shared" ref="IG19:II19" si="257">+IG18/IG17</f>
        <v>0.48192771084337349</v>
      </c>
      <c r="IH19" s="51">
        <f t="shared" si="257"/>
        <v>0.51851851851851849</v>
      </c>
      <c r="II19" s="51">
        <f t="shared" si="257"/>
        <v>0.51851851851851849</v>
      </c>
      <c r="IJ19" s="51">
        <f t="shared" ref="IJ19:IM19" si="258">+IJ18/IJ17</f>
        <v>0.5625</v>
      </c>
      <c r="IK19" s="51">
        <f t="shared" si="258"/>
        <v>0.66666666666666663</v>
      </c>
      <c r="IL19" s="51">
        <f t="shared" si="258"/>
        <v>0.66666666666666663</v>
      </c>
      <c r="IM19" s="51">
        <f t="shared" si="258"/>
        <v>0.64473684210526316</v>
      </c>
      <c r="IN19" s="51">
        <f t="shared" ref="IN19:IR19" si="259">+IN18/IN17</f>
        <v>0.64473684210526316</v>
      </c>
      <c r="IO19" s="51">
        <f t="shared" si="259"/>
        <v>0.64473684210526316</v>
      </c>
      <c r="IP19" s="51">
        <f t="shared" si="259"/>
        <v>0.5625</v>
      </c>
      <c r="IQ19" s="51">
        <f t="shared" si="259"/>
        <v>0.5625</v>
      </c>
      <c r="IR19" s="51">
        <f t="shared" si="259"/>
        <v>0.58227848101265822</v>
      </c>
      <c r="IS19" s="51">
        <f t="shared" ref="IS19:IV19" si="260">+IS18/IS17</f>
        <v>0.528854314779868</v>
      </c>
      <c r="IT19" s="51">
        <f t="shared" si="260"/>
        <v>0.5509222949550352</v>
      </c>
      <c r="IU19" s="51">
        <f t="shared" si="260"/>
        <v>0.48763349509330756</v>
      </c>
      <c r="IV19" s="51">
        <f t="shared" si="260"/>
        <v>0.48665006497581309</v>
      </c>
      <c r="IW19" s="51">
        <f t="shared" ref="IW19:JA19" si="261">+IW18/IW17</f>
        <v>0.4820596538061625</v>
      </c>
      <c r="IX19" s="51">
        <f t="shared" si="261"/>
        <v>0.49794285074165673</v>
      </c>
      <c r="IY19" s="51">
        <f t="shared" si="261"/>
        <v>0.53935474341936707</v>
      </c>
      <c r="IZ19" s="51">
        <f t="shared" si="261"/>
        <v>0.54502299475056781</v>
      </c>
      <c r="JA19" s="51">
        <f t="shared" si="261"/>
        <v>0.54038904405337718</v>
      </c>
      <c r="JB19" s="51">
        <f t="shared" ref="JB19:JE19" si="262">+JB18/JB17</f>
        <v>0.50559176905503767</v>
      </c>
      <c r="JC19" s="51">
        <f t="shared" si="262"/>
        <v>0.50339414840492525</v>
      </c>
      <c r="JD19" s="51">
        <f t="shared" si="262"/>
        <v>0.54430379746835444</v>
      </c>
      <c r="JE19" s="51">
        <f t="shared" si="262"/>
        <v>0.52500000000000002</v>
      </c>
      <c r="JF19" s="51">
        <f t="shared" ref="JF19:JI19" si="263">+JF18/JF17</f>
        <v>0.54430379746835444</v>
      </c>
      <c r="JG19" s="51">
        <f t="shared" si="263"/>
        <v>0.5641025641025641</v>
      </c>
      <c r="JH19" s="51">
        <f t="shared" si="263"/>
        <v>0.5641025641025641</v>
      </c>
      <c r="JI19" s="51">
        <f t="shared" si="263"/>
        <v>0.5641025641025641</v>
      </c>
      <c r="JJ19" s="51">
        <f t="shared" ref="JJ19:JN19" si="264">+JJ18/JJ17</f>
        <v>0.55128205128205132</v>
      </c>
      <c r="JK19" s="51">
        <f t="shared" si="264"/>
        <v>0.55128205128205132</v>
      </c>
      <c r="JL19" s="51">
        <f t="shared" si="264"/>
        <v>0.5714285714285714</v>
      </c>
      <c r="JM19" s="51">
        <f t="shared" si="264"/>
        <v>0.59210526315789469</v>
      </c>
      <c r="JN19" s="51">
        <f t="shared" si="264"/>
        <v>0.5714285714285714</v>
      </c>
      <c r="JO19" s="51">
        <f t="shared" ref="JO19:JR19" si="265">+JO18/JO17</f>
        <v>0.55844155844155841</v>
      </c>
      <c r="JP19" s="51">
        <f t="shared" si="265"/>
        <v>0.55844155844155841</v>
      </c>
      <c r="JQ19" s="51">
        <f t="shared" si="265"/>
        <v>0.55844155844155841</v>
      </c>
      <c r="JR19" s="51">
        <f t="shared" si="265"/>
        <v>0.55844155844155841</v>
      </c>
      <c r="JS19" s="51">
        <f t="shared" ref="JS19:JV19" si="266">+JS18/JS17</f>
        <v>0.55844155844155841</v>
      </c>
      <c r="JT19" s="51">
        <f t="shared" si="266"/>
        <v>0.55844155844155841</v>
      </c>
      <c r="JU19" s="51">
        <f t="shared" si="266"/>
        <v>0.55844155844155841</v>
      </c>
      <c r="JV19" s="51">
        <f t="shared" si="266"/>
        <v>0.53846153846153844</v>
      </c>
      <c r="JW19" s="51">
        <f t="shared" ref="JW19:KA19" si="267">+JW18/JW17</f>
        <v>0.45911949685534592</v>
      </c>
      <c r="JX19" s="51" t="e">
        <f t="shared" si="267"/>
        <v>#DIV/0!</v>
      </c>
      <c r="JY19" s="51" t="e">
        <f t="shared" si="267"/>
        <v>#DIV/0!</v>
      </c>
      <c r="JZ19" s="51" t="e">
        <f t="shared" si="267"/>
        <v>#DIV/0!</v>
      </c>
      <c r="KA19" s="51" t="e">
        <f t="shared" si="267"/>
        <v>#DIV/0!</v>
      </c>
    </row>
    <row r="20" spans="6:287" ht="15.5">
      <c r="F20" s="63"/>
      <c r="H20" s="1" t="s">
        <v>87</v>
      </c>
      <c r="U20" s="41"/>
      <c r="X20" s="41">
        <v>1225</v>
      </c>
      <c r="Y20" s="41">
        <v>1225</v>
      </c>
      <c r="Z20" s="41">
        <v>1225</v>
      </c>
      <c r="AA20" s="41">
        <v>1225</v>
      </c>
      <c r="AB20" s="41">
        <v>1225</v>
      </c>
      <c r="AC20" s="41">
        <v>1225</v>
      </c>
      <c r="AD20" s="41">
        <v>1225</v>
      </c>
      <c r="AE20" s="41">
        <v>1225</v>
      </c>
      <c r="AF20" s="41">
        <v>1225</v>
      </c>
      <c r="AG20" s="41">
        <v>1225</v>
      </c>
      <c r="AH20" s="41">
        <v>1225</v>
      </c>
      <c r="AI20" s="41">
        <v>1225</v>
      </c>
      <c r="AJ20" s="41">
        <v>1225</v>
      </c>
      <c r="AK20" s="41">
        <v>1225</v>
      </c>
      <c r="AL20" s="41">
        <v>1225</v>
      </c>
      <c r="AM20" s="41">
        <v>1225</v>
      </c>
      <c r="AN20" s="41">
        <v>1225</v>
      </c>
      <c r="AO20" s="41">
        <v>1225</v>
      </c>
      <c r="AP20" s="41">
        <v>1225</v>
      </c>
      <c r="AQ20" s="41">
        <v>1185</v>
      </c>
      <c r="AR20" s="41">
        <v>1133</v>
      </c>
      <c r="AS20" s="41">
        <v>1133</v>
      </c>
      <c r="AT20" s="41">
        <v>1151</v>
      </c>
      <c r="AU20" s="41">
        <v>1175</v>
      </c>
      <c r="AV20" s="41">
        <v>1200</v>
      </c>
      <c r="AW20" s="41">
        <v>1143</v>
      </c>
      <c r="AX20" s="41">
        <v>1162</v>
      </c>
      <c r="AY20" s="41">
        <v>1175</v>
      </c>
      <c r="AZ20" s="41">
        <v>1200</v>
      </c>
      <c r="BA20" s="3">
        <v>1230</v>
      </c>
      <c r="BB20" s="3">
        <v>1260</v>
      </c>
      <c r="BC20" s="3">
        <v>1250</v>
      </c>
      <c r="BD20" s="3">
        <v>1174</v>
      </c>
      <c r="BE20" s="3">
        <v>1131</v>
      </c>
      <c r="BF20" s="3">
        <v>1154.4175324983562</v>
      </c>
      <c r="BG20" s="3">
        <v>1161.0768651093263</v>
      </c>
      <c r="BH20" s="3">
        <v>1179.9225619184629</v>
      </c>
      <c r="BI20" s="3">
        <v>1183.4455288794234</v>
      </c>
      <c r="BJ20" s="3">
        <v>1181</v>
      </c>
      <c r="BK20" s="3">
        <v>1185.2425317608468</v>
      </c>
      <c r="BL20" s="3">
        <v>1190.7839269244525</v>
      </c>
      <c r="BM20" s="3">
        <v>1188.8989547033088</v>
      </c>
      <c r="BN20" s="3">
        <v>1208.4563999076058</v>
      </c>
      <c r="BO20" s="3">
        <v>1167.8121893749728</v>
      </c>
      <c r="BP20" s="3">
        <v>1185.3194123375963</v>
      </c>
      <c r="BQ20" s="3">
        <v>1163.1486661843744</v>
      </c>
      <c r="BR20" s="3">
        <v>1186.2627781335511</v>
      </c>
      <c r="BS20" s="3">
        <v>1128</v>
      </c>
      <c r="BT20" s="3">
        <v>1070.511623054196</v>
      </c>
      <c r="BU20" s="3">
        <v>1092.8990526695691</v>
      </c>
      <c r="BV20" s="3">
        <v>1096.8836793746136</v>
      </c>
      <c r="BW20" s="177"/>
      <c r="BZ20" s="1" t="s">
        <v>84</v>
      </c>
      <c r="DN20" s="41">
        <f>DN14</f>
        <v>1100</v>
      </c>
      <c r="DO20" s="41">
        <f t="shared" ref="DO20:EF20" si="268">DO14</f>
        <v>1100</v>
      </c>
      <c r="DP20" s="41">
        <f t="shared" si="268"/>
        <v>1070</v>
      </c>
      <c r="DQ20" s="41">
        <f t="shared" si="268"/>
        <v>1040</v>
      </c>
      <c r="DR20" s="41">
        <f t="shared" si="268"/>
        <v>995</v>
      </c>
      <c r="DS20" s="41">
        <f t="shared" si="268"/>
        <v>980</v>
      </c>
      <c r="DT20" s="41">
        <f t="shared" si="268"/>
        <v>980</v>
      </c>
      <c r="DU20" s="41">
        <f t="shared" si="268"/>
        <v>980</v>
      </c>
      <c r="DV20" s="41">
        <f t="shared" si="268"/>
        <v>970</v>
      </c>
      <c r="DW20" s="41">
        <f t="shared" si="268"/>
        <v>970</v>
      </c>
      <c r="DX20" s="41">
        <f t="shared" si="268"/>
        <v>970</v>
      </c>
      <c r="DY20" s="41">
        <f t="shared" si="268"/>
        <v>980</v>
      </c>
      <c r="DZ20" s="41">
        <f t="shared" si="268"/>
        <v>990</v>
      </c>
      <c r="EA20" s="41">
        <f t="shared" si="268"/>
        <v>970</v>
      </c>
      <c r="EB20" s="41">
        <f t="shared" si="268"/>
        <v>980</v>
      </c>
      <c r="EC20" s="41">
        <f t="shared" si="268"/>
        <v>990</v>
      </c>
      <c r="ED20" s="41">
        <f t="shared" si="268"/>
        <v>1060</v>
      </c>
      <c r="EE20" s="41">
        <f t="shared" si="268"/>
        <v>1070</v>
      </c>
      <c r="EF20" s="41">
        <f t="shared" si="268"/>
        <v>1070</v>
      </c>
      <c r="EG20" s="41">
        <f>EG14</f>
        <v>1020</v>
      </c>
      <c r="EH20" s="41">
        <f>EH14</f>
        <v>1020</v>
      </c>
      <c r="EI20" s="41">
        <f>EI14</f>
        <v>1020</v>
      </c>
      <c r="EJ20" s="41">
        <f>EJ14</f>
        <v>1020</v>
      </c>
      <c r="EK20" s="3">
        <f t="shared" ref="EK20:ET20" si="269">EK14</f>
        <v>1020</v>
      </c>
      <c r="EL20" s="3">
        <f t="shared" si="269"/>
        <v>1020</v>
      </c>
      <c r="EM20" s="3">
        <f t="shared" si="269"/>
        <v>1050</v>
      </c>
      <c r="EN20" s="3">
        <f t="shared" si="269"/>
        <v>1070</v>
      </c>
      <c r="EO20" s="3">
        <f t="shared" si="269"/>
        <v>1050</v>
      </c>
      <c r="EP20" s="3">
        <f t="shared" si="269"/>
        <v>1050</v>
      </c>
      <c r="EQ20" s="3">
        <f t="shared" si="269"/>
        <v>1020</v>
      </c>
      <c r="ER20" s="3">
        <f t="shared" si="269"/>
        <v>1000</v>
      </c>
      <c r="ES20" s="3">
        <f t="shared" si="269"/>
        <v>980</v>
      </c>
      <c r="ET20" s="3">
        <f t="shared" si="269"/>
        <v>960</v>
      </c>
      <c r="EU20" s="3">
        <f t="shared" ref="EU20:FB20" si="270">EU14</f>
        <v>910</v>
      </c>
      <c r="EV20" s="3">
        <f t="shared" si="270"/>
        <v>910</v>
      </c>
      <c r="EW20" s="3">
        <f t="shared" si="270"/>
        <v>890</v>
      </c>
      <c r="EX20" s="3">
        <f t="shared" si="270"/>
        <v>890</v>
      </c>
      <c r="EY20" s="3">
        <f t="shared" si="270"/>
        <v>890</v>
      </c>
      <c r="EZ20" s="3">
        <f t="shared" si="270"/>
        <v>890</v>
      </c>
      <c r="FA20" s="3">
        <f t="shared" si="270"/>
        <v>882</v>
      </c>
      <c r="FB20" s="3">
        <f t="shared" si="270"/>
        <v>920</v>
      </c>
      <c r="FC20" s="3">
        <f>FC14</f>
        <v>920</v>
      </c>
      <c r="FD20" s="3">
        <f>FD14</f>
        <v>940</v>
      </c>
      <c r="FE20" s="3">
        <f>FE14</f>
        <v>920</v>
      </c>
      <c r="FF20" s="3">
        <f>FF14</f>
        <v>910</v>
      </c>
      <c r="FG20" s="3">
        <f t="shared" ref="FG20:FL20" si="271">FG14</f>
        <v>910</v>
      </c>
      <c r="FH20" s="3">
        <f t="shared" si="271"/>
        <v>910</v>
      </c>
      <c r="FI20" s="3">
        <f t="shared" si="271"/>
        <v>910</v>
      </c>
      <c r="FJ20" s="3">
        <f t="shared" si="271"/>
        <v>930</v>
      </c>
      <c r="FK20" s="3">
        <f t="shared" si="271"/>
        <v>940</v>
      </c>
      <c r="FL20" s="3">
        <f t="shared" si="271"/>
        <v>940</v>
      </c>
      <c r="FM20" s="3">
        <f t="shared" ref="FM20:FR20" si="272">FM14</f>
        <v>940</v>
      </c>
      <c r="FN20" s="3">
        <f t="shared" si="272"/>
        <v>930</v>
      </c>
      <c r="FO20" s="3">
        <f t="shared" si="272"/>
        <v>920</v>
      </c>
      <c r="FP20" s="3">
        <f t="shared" si="272"/>
        <v>900</v>
      </c>
      <c r="FQ20" s="3">
        <f t="shared" si="272"/>
        <v>900</v>
      </c>
      <c r="FR20" s="3">
        <f t="shared" si="272"/>
        <v>900</v>
      </c>
      <c r="FS20" s="3">
        <f t="shared" ref="FS20:FT20" si="273">FS14</f>
        <v>900</v>
      </c>
      <c r="FT20" s="3">
        <f t="shared" si="273"/>
        <v>900</v>
      </c>
      <c r="FU20" s="3">
        <f t="shared" ref="FU20:FV20" si="274">FU14</f>
        <v>900</v>
      </c>
      <c r="FV20" s="3">
        <f t="shared" si="274"/>
        <v>900</v>
      </c>
      <c r="FW20" s="3">
        <f t="shared" ref="FW20:FX20" si="275">FW14</f>
        <v>900</v>
      </c>
      <c r="FX20" s="3">
        <f t="shared" si="275"/>
        <v>900</v>
      </c>
      <c r="FY20" s="3">
        <f t="shared" ref="FY20:FZ20" si="276">FY14</f>
        <v>900</v>
      </c>
      <c r="FZ20" s="3">
        <f t="shared" si="276"/>
        <v>900</v>
      </c>
      <c r="GA20" s="3">
        <f t="shared" ref="GA20:GB20" si="277">GA14</f>
        <v>940</v>
      </c>
      <c r="GB20" s="3">
        <f t="shared" si="277"/>
        <v>940</v>
      </c>
      <c r="GC20" s="3">
        <f t="shared" ref="GC20:GD20" si="278">GC14</f>
        <v>940</v>
      </c>
      <c r="GD20" s="3">
        <f t="shared" si="278"/>
        <v>950</v>
      </c>
      <c r="GE20" s="3">
        <f t="shared" ref="GE20:GG20" si="279">GE14</f>
        <v>940</v>
      </c>
      <c r="GF20" s="3">
        <f t="shared" si="279"/>
        <v>940</v>
      </c>
      <c r="GG20" s="3">
        <f t="shared" si="279"/>
        <v>940</v>
      </c>
      <c r="GH20" s="3">
        <f t="shared" ref="GH20:GI20" si="280">GH14</f>
        <v>940</v>
      </c>
      <c r="GI20" s="3">
        <f t="shared" si="280"/>
        <v>940</v>
      </c>
      <c r="GJ20" s="3">
        <f t="shared" ref="GJ20:GK20" si="281">GJ14</f>
        <v>940</v>
      </c>
      <c r="GK20" s="3">
        <f t="shared" si="281"/>
        <v>940</v>
      </c>
      <c r="GL20" s="3">
        <f t="shared" ref="GL20:GN20" si="282">GL14</f>
        <v>940</v>
      </c>
      <c r="GM20" s="3">
        <f t="shared" si="282"/>
        <v>940</v>
      </c>
      <c r="GN20" s="3">
        <f t="shared" si="282"/>
        <v>940</v>
      </c>
      <c r="GO20" s="3">
        <f t="shared" ref="GO20:GP20" si="283">GO14</f>
        <v>940</v>
      </c>
      <c r="GP20" s="3">
        <f t="shared" si="283"/>
        <v>940</v>
      </c>
      <c r="GQ20" s="3">
        <f t="shared" ref="GQ20:GR20" si="284">GQ14</f>
        <v>940</v>
      </c>
      <c r="GR20" s="3">
        <f t="shared" si="284"/>
        <v>940</v>
      </c>
      <c r="GS20" s="3">
        <f t="shared" ref="GS20:GT20" si="285">GS14</f>
        <v>950</v>
      </c>
      <c r="GT20" s="3">
        <f t="shared" si="285"/>
        <v>950</v>
      </c>
      <c r="GU20" s="3">
        <f t="shared" ref="GU20:GV20" si="286">GU14</f>
        <v>950</v>
      </c>
      <c r="GV20" s="3">
        <f t="shared" si="286"/>
        <v>950</v>
      </c>
      <c r="GW20" s="3">
        <f t="shared" ref="GW20:GX20" si="287">GW14</f>
        <v>950</v>
      </c>
      <c r="GX20" s="3">
        <f t="shared" si="287"/>
        <v>950</v>
      </c>
      <c r="GY20" s="3">
        <f t="shared" ref="GY20:GZ20" si="288">GY14</f>
        <v>950</v>
      </c>
      <c r="GZ20" s="3">
        <f t="shared" si="288"/>
        <v>950</v>
      </c>
      <c r="HA20" s="3">
        <f t="shared" ref="HA20:HB20" si="289">HA14</f>
        <v>940</v>
      </c>
      <c r="HB20" s="3">
        <f t="shared" si="289"/>
        <v>940</v>
      </c>
      <c r="HC20" s="3">
        <f t="shared" ref="HC20:HD20" si="290">HC14</f>
        <v>940</v>
      </c>
      <c r="HD20" s="3">
        <f t="shared" si="290"/>
        <v>940</v>
      </c>
      <c r="HE20" s="3">
        <f t="shared" ref="HE20:HF20" si="291">HE14</f>
        <v>930</v>
      </c>
      <c r="HF20" s="3">
        <f t="shared" si="291"/>
        <v>900</v>
      </c>
      <c r="HG20" s="3">
        <f t="shared" ref="HG20:HH20" si="292">HG14</f>
        <v>900</v>
      </c>
      <c r="HH20" s="3">
        <f t="shared" si="292"/>
        <v>890</v>
      </c>
      <c r="HI20" s="3">
        <f t="shared" ref="HI20:HJ20" si="293">HI14</f>
        <v>870</v>
      </c>
      <c r="HJ20" s="3">
        <f t="shared" si="293"/>
        <v>860</v>
      </c>
      <c r="HK20" s="3">
        <f t="shared" ref="HK20:HL20" si="294">HK14</f>
        <v>860</v>
      </c>
      <c r="HL20" s="3">
        <f t="shared" si="294"/>
        <v>860</v>
      </c>
      <c r="HM20" s="3">
        <f t="shared" ref="HM20:HN20" si="295">HM14</f>
        <v>870</v>
      </c>
      <c r="HN20" s="3">
        <f t="shared" si="295"/>
        <v>860</v>
      </c>
      <c r="HO20" s="3">
        <f t="shared" ref="HO20:HS20" si="296">HO14</f>
        <v>860</v>
      </c>
      <c r="HP20" s="3">
        <f t="shared" si="296"/>
        <v>860</v>
      </c>
      <c r="HQ20" s="3">
        <f t="shared" si="296"/>
        <v>860</v>
      </c>
      <c r="HR20" s="3">
        <f t="shared" si="296"/>
        <v>840</v>
      </c>
      <c r="HS20" s="3">
        <f t="shared" si="296"/>
        <v>840</v>
      </c>
      <c r="HT20" s="3">
        <f t="shared" ref="HT20:HW20" si="297">HT14</f>
        <v>840</v>
      </c>
      <c r="HU20" s="3">
        <f t="shared" si="297"/>
        <v>830</v>
      </c>
      <c r="HV20" s="3">
        <f t="shared" si="297"/>
        <v>830</v>
      </c>
      <c r="HW20" s="3">
        <f t="shared" si="297"/>
        <v>820</v>
      </c>
      <c r="HX20" s="3">
        <f t="shared" ref="HX20:HY20" si="298">HX14</f>
        <v>820</v>
      </c>
      <c r="HY20" s="3">
        <f t="shared" si="298"/>
        <v>820</v>
      </c>
      <c r="HZ20" s="3">
        <f t="shared" ref="HZ20:IA20" si="299">HZ14</f>
        <v>820</v>
      </c>
      <c r="IA20" s="3">
        <f t="shared" si="299"/>
        <v>850</v>
      </c>
      <c r="IB20" s="3">
        <f t="shared" ref="IB20:ID20" si="300">IB14</f>
        <v>840</v>
      </c>
      <c r="IC20" s="3">
        <f t="shared" si="300"/>
        <v>840</v>
      </c>
      <c r="ID20" s="3">
        <f t="shared" si="300"/>
        <v>840</v>
      </c>
      <c r="IE20" s="3">
        <f t="shared" ref="IE20:IF20" si="301">IE14</f>
        <v>840</v>
      </c>
      <c r="IF20" s="3">
        <f t="shared" si="301"/>
        <v>840</v>
      </c>
      <c r="IG20" s="3">
        <f t="shared" ref="IG20:II20" si="302">IG14</f>
        <v>830</v>
      </c>
      <c r="IH20" s="3">
        <f t="shared" si="302"/>
        <v>810</v>
      </c>
      <c r="II20" s="3">
        <f t="shared" si="302"/>
        <v>810</v>
      </c>
      <c r="IJ20" s="3">
        <f t="shared" ref="IJ20:IM20" si="303">IJ14</f>
        <v>800</v>
      </c>
      <c r="IK20" s="3">
        <f t="shared" si="303"/>
        <v>750</v>
      </c>
      <c r="IL20" s="3">
        <f t="shared" si="303"/>
        <v>750</v>
      </c>
      <c r="IM20" s="3">
        <f t="shared" si="303"/>
        <v>760</v>
      </c>
      <c r="IN20" s="3">
        <f t="shared" ref="IN20:IR20" si="304">IN14</f>
        <v>760</v>
      </c>
      <c r="IO20" s="3">
        <f t="shared" si="304"/>
        <v>760</v>
      </c>
      <c r="IP20" s="3">
        <f t="shared" si="304"/>
        <v>800</v>
      </c>
      <c r="IQ20" s="3">
        <f t="shared" si="304"/>
        <v>800</v>
      </c>
      <c r="IR20" s="3">
        <f t="shared" si="304"/>
        <v>790</v>
      </c>
      <c r="IS20" s="3">
        <f t="shared" ref="IS20:IV20" si="305">IS14</f>
        <v>800</v>
      </c>
      <c r="IT20" s="3">
        <f t="shared" si="305"/>
        <v>790</v>
      </c>
      <c r="IU20" s="3">
        <f t="shared" si="305"/>
        <v>820</v>
      </c>
      <c r="IV20" s="3">
        <f t="shared" si="305"/>
        <v>820</v>
      </c>
      <c r="IW20" s="3">
        <f t="shared" ref="IW20:JA20" si="306">IW14</f>
        <v>820</v>
      </c>
      <c r="IX20" s="3">
        <f t="shared" si="306"/>
        <v>820</v>
      </c>
      <c r="IY20" s="3">
        <f t="shared" si="306"/>
        <v>790</v>
      </c>
      <c r="IZ20" s="3">
        <f t="shared" si="306"/>
        <v>790</v>
      </c>
      <c r="JA20" s="3">
        <f t="shared" si="306"/>
        <v>790</v>
      </c>
      <c r="JB20" s="3">
        <f t="shared" ref="JB20:JE20" si="307">JB14</f>
        <v>800</v>
      </c>
      <c r="JC20" s="3">
        <f t="shared" si="307"/>
        <v>790</v>
      </c>
      <c r="JD20" s="3">
        <f t="shared" si="307"/>
        <v>790</v>
      </c>
      <c r="JE20" s="3">
        <f t="shared" si="307"/>
        <v>800</v>
      </c>
      <c r="JF20" s="3">
        <f t="shared" ref="JF20:JI20" si="308">JF14</f>
        <v>790</v>
      </c>
      <c r="JG20" s="3">
        <f t="shared" si="308"/>
        <v>780</v>
      </c>
      <c r="JH20" s="3">
        <f t="shared" si="308"/>
        <v>780</v>
      </c>
      <c r="JI20" s="3">
        <f t="shared" si="308"/>
        <v>780</v>
      </c>
      <c r="JJ20" s="3">
        <f t="shared" ref="JJ20:JN20" si="309">JJ14</f>
        <v>780</v>
      </c>
      <c r="JK20" s="3">
        <f t="shared" si="309"/>
        <v>780</v>
      </c>
      <c r="JL20" s="3">
        <f t="shared" si="309"/>
        <v>770</v>
      </c>
      <c r="JM20" s="3">
        <f t="shared" si="309"/>
        <v>760</v>
      </c>
      <c r="JN20" s="3">
        <f t="shared" si="309"/>
        <v>770</v>
      </c>
      <c r="JO20" s="3">
        <f t="shared" ref="JO20:JR20" si="310">JO14</f>
        <v>770</v>
      </c>
      <c r="JP20" s="3">
        <f t="shared" si="310"/>
        <v>770</v>
      </c>
      <c r="JQ20" s="3">
        <f t="shared" si="310"/>
        <v>770</v>
      </c>
      <c r="JR20" s="3">
        <f t="shared" si="310"/>
        <v>770</v>
      </c>
      <c r="JS20" s="3">
        <f t="shared" ref="JS20:JV20" si="311">JS14</f>
        <v>770</v>
      </c>
      <c r="JT20" s="3">
        <f t="shared" si="311"/>
        <v>770</v>
      </c>
      <c r="JU20" s="3">
        <f t="shared" si="311"/>
        <v>770</v>
      </c>
      <c r="JV20" s="3">
        <f t="shared" si="311"/>
        <v>780</v>
      </c>
      <c r="JW20" s="3">
        <f t="shared" ref="JW20:KA20" si="312">JW14</f>
        <v>795</v>
      </c>
      <c r="JX20" s="3">
        <f t="shared" si="312"/>
        <v>0</v>
      </c>
      <c r="JY20" s="3">
        <f t="shared" si="312"/>
        <v>0</v>
      </c>
      <c r="JZ20" s="3">
        <f t="shared" si="312"/>
        <v>0</v>
      </c>
      <c r="KA20" s="3">
        <f t="shared" si="312"/>
        <v>0</v>
      </c>
    </row>
    <row r="21" spans="6:287" ht="15.5">
      <c r="F21" s="64"/>
      <c r="H21" s="1" t="s">
        <v>107</v>
      </c>
      <c r="BZ21" s="1" t="s">
        <v>87</v>
      </c>
      <c r="DP21" s="41">
        <v>1303</v>
      </c>
      <c r="DQ21" s="41">
        <v>1303</v>
      </c>
      <c r="DR21" s="41">
        <v>1225</v>
      </c>
      <c r="DS21" s="41">
        <v>1225</v>
      </c>
      <c r="DT21" s="41">
        <v>1225</v>
      </c>
      <c r="DU21" s="41">
        <v>1225</v>
      </c>
      <c r="DV21" s="41">
        <v>1225</v>
      </c>
      <c r="DW21" s="41">
        <v>1225</v>
      </c>
      <c r="DX21" s="41">
        <v>1225</v>
      </c>
      <c r="DY21" s="41">
        <v>1225</v>
      </c>
      <c r="DZ21" s="41">
        <v>1225</v>
      </c>
      <c r="EA21" s="41">
        <v>1225</v>
      </c>
      <c r="EB21" s="41">
        <v>1225</v>
      </c>
      <c r="EC21" s="41">
        <v>1225</v>
      </c>
      <c r="ED21" s="41">
        <v>1225</v>
      </c>
      <c r="EE21" s="41">
        <v>1225</v>
      </c>
      <c r="EF21" s="41">
        <v>1225</v>
      </c>
      <c r="EG21" s="41">
        <v>1225</v>
      </c>
      <c r="EH21" s="41">
        <v>1225</v>
      </c>
      <c r="EI21" s="41">
        <v>1225</v>
      </c>
      <c r="EJ21" s="41">
        <v>1225</v>
      </c>
      <c r="EK21" s="41">
        <v>1225</v>
      </c>
      <c r="EL21" s="41">
        <v>1225</v>
      </c>
      <c r="EM21" s="41">
        <v>1225</v>
      </c>
      <c r="EN21" s="41">
        <v>1225</v>
      </c>
      <c r="EO21" s="41">
        <v>1225</v>
      </c>
      <c r="EP21" s="41">
        <v>1225</v>
      </c>
      <c r="EQ21" s="41">
        <v>1225</v>
      </c>
      <c r="ER21" s="41">
        <v>1225</v>
      </c>
      <c r="ES21" s="41">
        <v>1225</v>
      </c>
      <c r="ET21" s="41">
        <v>1225</v>
      </c>
      <c r="EU21" s="41">
        <v>1225</v>
      </c>
      <c r="EV21" s="41">
        <v>1225</v>
      </c>
      <c r="EW21" s="41">
        <v>1185</v>
      </c>
      <c r="EX21" s="41">
        <v>1185</v>
      </c>
      <c r="EY21" s="41">
        <v>1185</v>
      </c>
      <c r="EZ21" s="41">
        <v>1185</v>
      </c>
      <c r="FA21" s="41">
        <v>1133</v>
      </c>
      <c r="FB21" s="41">
        <v>1133</v>
      </c>
      <c r="FC21" s="41">
        <v>1133</v>
      </c>
      <c r="FD21" s="41">
        <v>1133</v>
      </c>
      <c r="FE21" s="41">
        <v>1133</v>
      </c>
      <c r="FF21" s="41">
        <v>1133</v>
      </c>
      <c r="FG21" s="41">
        <v>1133</v>
      </c>
      <c r="FH21" s="41">
        <v>1151</v>
      </c>
      <c r="FI21" s="41">
        <v>1151</v>
      </c>
      <c r="FJ21" s="41">
        <v>1151</v>
      </c>
      <c r="FK21" s="41">
        <v>1175</v>
      </c>
      <c r="FL21" s="41">
        <v>1175</v>
      </c>
      <c r="FM21" s="41">
        <v>1175</v>
      </c>
      <c r="FN21" s="41">
        <v>1175</v>
      </c>
      <c r="FO21" s="41">
        <v>1175</v>
      </c>
      <c r="FP21" s="41">
        <v>1175</v>
      </c>
      <c r="FQ21" s="41">
        <v>1200</v>
      </c>
      <c r="FR21" s="41">
        <v>1200</v>
      </c>
      <c r="FS21" s="41">
        <v>1200</v>
      </c>
      <c r="FT21" s="41">
        <v>1200</v>
      </c>
      <c r="FU21" s="41">
        <v>1143</v>
      </c>
      <c r="FV21" s="41">
        <v>1143</v>
      </c>
      <c r="FW21" s="41">
        <v>1143</v>
      </c>
      <c r="FX21" s="41">
        <v>1143</v>
      </c>
      <c r="FY21" s="41">
        <v>1143</v>
      </c>
      <c r="FZ21" s="41">
        <v>1162</v>
      </c>
      <c r="GA21" s="41">
        <v>1162</v>
      </c>
      <c r="GB21" s="41">
        <v>1162</v>
      </c>
      <c r="GC21" s="41">
        <v>1162</v>
      </c>
      <c r="GD21" s="41">
        <v>1175</v>
      </c>
      <c r="GE21" s="41">
        <v>1175</v>
      </c>
      <c r="GF21" s="41">
        <v>1175</v>
      </c>
      <c r="GG21" s="41">
        <v>1200</v>
      </c>
      <c r="GH21" s="41">
        <v>1200</v>
      </c>
      <c r="GI21" s="41">
        <v>1200</v>
      </c>
      <c r="GJ21" s="41">
        <v>1200</v>
      </c>
      <c r="GK21" s="41">
        <v>1230</v>
      </c>
      <c r="GL21" s="41">
        <v>1230</v>
      </c>
      <c r="GM21" s="41">
        <v>1230</v>
      </c>
      <c r="GN21" s="41">
        <v>1230</v>
      </c>
      <c r="GO21" s="41">
        <v>1260</v>
      </c>
      <c r="GP21" s="41">
        <v>1260</v>
      </c>
      <c r="GQ21" s="41">
        <v>1260</v>
      </c>
      <c r="GR21" s="41">
        <v>1260</v>
      </c>
      <c r="GS21" s="41">
        <v>1260</v>
      </c>
      <c r="GT21" s="41">
        <v>1250</v>
      </c>
      <c r="GU21" s="41">
        <v>1250</v>
      </c>
      <c r="GV21" s="41">
        <v>1250</v>
      </c>
      <c r="GW21" s="41">
        <v>1250</v>
      </c>
      <c r="GX21" s="41">
        <v>1174</v>
      </c>
      <c r="GY21" s="41">
        <v>1174</v>
      </c>
      <c r="GZ21" s="41">
        <v>1174</v>
      </c>
      <c r="HA21" s="41">
        <v>1174</v>
      </c>
      <c r="HB21" s="41">
        <v>1131</v>
      </c>
      <c r="HC21" s="41">
        <v>1131</v>
      </c>
      <c r="HD21" s="41">
        <v>1131</v>
      </c>
      <c r="HE21" s="41">
        <v>1131</v>
      </c>
      <c r="HF21" s="41">
        <v>1131</v>
      </c>
      <c r="HG21" s="41">
        <v>1154.4175324983562</v>
      </c>
      <c r="HH21" s="41">
        <v>1154.4175324983562</v>
      </c>
      <c r="HI21" s="41">
        <v>1154.4175324983562</v>
      </c>
      <c r="HJ21" s="41">
        <v>1154.4175324983562</v>
      </c>
      <c r="HK21" s="41">
        <v>1161.0768651093263</v>
      </c>
      <c r="HL21" s="41">
        <v>1161.0768651093263</v>
      </c>
      <c r="HM21" s="41">
        <v>1161.0768651093263</v>
      </c>
      <c r="HN21" s="41">
        <v>1161.0768651093263</v>
      </c>
      <c r="HO21" s="41">
        <v>1179.9225619184629</v>
      </c>
      <c r="HP21" s="41">
        <v>1179.9225619184629</v>
      </c>
      <c r="HQ21" s="41">
        <v>1179.9225619184629</v>
      </c>
      <c r="HR21" s="41">
        <v>1179.9225619184629</v>
      </c>
      <c r="HS21" s="41">
        <v>1179.9225619184629</v>
      </c>
      <c r="HT21" s="41">
        <v>1183.4455288794234</v>
      </c>
      <c r="HU21" s="41">
        <v>1183.4455288794234</v>
      </c>
      <c r="HV21" s="41">
        <v>1183.4455288794234</v>
      </c>
      <c r="HW21" s="41">
        <v>1183.4455288794234</v>
      </c>
      <c r="HX21" s="41">
        <v>1181</v>
      </c>
      <c r="HY21" s="41">
        <v>1181</v>
      </c>
      <c r="HZ21" s="41">
        <v>1181</v>
      </c>
      <c r="IA21" s="41">
        <v>1181</v>
      </c>
      <c r="IB21" s="41">
        <v>1185.2425317608468</v>
      </c>
      <c r="IC21" s="41">
        <v>1185.2425317608468</v>
      </c>
      <c r="ID21" s="41">
        <v>1185.2425317608468</v>
      </c>
      <c r="IE21" s="41">
        <v>1185.2425317608468</v>
      </c>
      <c r="IF21" s="41">
        <v>1190.7839269244525</v>
      </c>
      <c r="IG21" s="41">
        <v>1190.7839269244525</v>
      </c>
      <c r="IH21" s="41">
        <v>1190.7839269244525</v>
      </c>
      <c r="II21" s="41">
        <v>1190.7839269244525</v>
      </c>
      <c r="IJ21" s="41">
        <v>1188.8989547033088</v>
      </c>
      <c r="IK21" s="41">
        <v>1188.8989547033088</v>
      </c>
      <c r="IL21" s="41">
        <v>1188.8989547033088</v>
      </c>
      <c r="IM21" s="41">
        <v>1188.8989547033088</v>
      </c>
      <c r="IN21" s="41">
        <v>1208.4563999076058</v>
      </c>
      <c r="IO21" s="41">
        <v>1208.4563999076058</v>
      </c>
      <c r="IP21" s="41">
        <v>1208.4563999076058</v>
      </c>
      <c r="IQ21" s="41">
        <v>1208.4563999076058</v>
      </c>
      <c r="IR21" s="41">
        <v>1208.4563999076058</v>
      </c>
      <c r="IS21" s="41">
        <v>1167.8121893749728</v>
      </c>
      <c r="IT21" s="41">
        <v>1167.8121893749728</v>
      </c>
      <c r="IU21" s="41">
        <v>1167.8121893749728</v>
      </c>
      <c r="IV21" s="41">
        <v>1167.8121893749728</v>
      </c>
      <c r="IW21" s="41">
        <v>1185.3194123375963</v>
      </c>
      <c r="IX21" s="41">
        <v>1185.3194123375963</v>
      </c>
      <c r="IY21" s="41">
        <v>1185.3194123375963</v>
      </c>
      <c r="IZ21" s="41">
        <v>1185.3194123375963</v>
      </c>
      <c r="JA21" s="41">
        <v>1185.3194123375963</v>
      </c>
      <c r="JB21" s="41">
        <v>1163.1486661843744</v>
      </c>
      <c r="JC21" s="41">
        <v>1163.1486661843744</v>
      </c>
      <c r="JD21" s="41">
        <v>1163.1486661843744</v>
      </c>
      <c r="JE21" s="41">
        <v>1163.1486661843744</v>
      </c>
      <c r="JF21" s="41">
        <v>1186.2627781335511</v>
      </c>
      <c r="JG21" s="41">
        <v>1186.2627781335511</v>
      </c>
      <c r="JH21" s="41">
        <v>1186.2627781335511</v>
      </c>
      <c r="JI21" s="41">
        <v>1186.2627781335511</v>
      </c>
      <c r="JJ21" s="41">
        <v>1149.7077016074772</v>
      </c>
      <c r="JK21" s="41">
        <v>1149.7077016074772</v>
      </c>
      <c r="JL21" s="41">
        <v>1149.7077016074772</v>
      </c>
      <c r="JM21" s="41">
        <v>1149.7077016074772</v>
      </c>
      <c r="JN21" s="41">
        <v>1149.7077016074772</v>
      </c>
      <c r="JO21" s="41">
        <v>1070.511623054196</v>
      </c>
      <c r="JP21" s="41">
        <v>1070.511623054196</v>
      </c>
      <c r="JQ21" s="41">
        <v>1070.511623054196</v>
      </c>
      <c r="JR21" s="41">
        <v>1070.511623054196</v>
      </c>
      <c r="JS21" s="41">
        <v>1092.8990526695691</v>
      </c>
      <c r="JT21" s="41">
        <v>1092.8990526695691</v>
      </c>
      <c r="JU21" s="41">
        <v>1092.8990526695691</v>
      </c>
      <c r="JV21" s="41">
        <v>1092.8990526695691</v>
      </c>
      <c r="JW21" s="41">
        <v>1096.8836793746136</v>
      </c>
      <c r="JX21" s="41">
        <v>1096.8836793746136</v>
      </c>
      <c r="JY21" s="41">
        <v>1096.8836793746136</v>
      </c>
      <c r="JZ21" s="41">
        <v>1096.8836793746136</v>
      </c>
      <c r="KA21" s="41">
        <v>1096.8836793746136</v>
      </c>
    </row>
    <row r="22" spans="6:287" ht="15.5" hidden="1">
      <c r="F22" s="64"/>
      <c r="BZ22" s="1" t="s">
        <v>113</v>
      </c>
      <c r="DP22" s="41"/>
      <c r="DQ22" s="41"/>
      <c r="DR22" s="41"/>
      <c r="DS22" s="41"/>
      <c r="DT22" s="41"/>
      <c r="DU22" s="41"/>
      <c r="DV22" s="41"/>
      <c r="DW22" s="41"/>
      <c r="DX22" s="41"/>
      <c r="DY22" s="41"/>
      <c r="DZ22" s="41"/>
      <c r="EA22" s="41">
        <f>EA21+35</f>
        <v>1260</v>
      </c>
      <c r="EB22" s="41">
        <f>EB21+35</f>
        <v>1260</v>
      </c>
      <c r="EC22" s="41">
        <f t="shared" ref="EC22:FP22" si="313">EC21+35</f>
        <v>1260</v>
      </c>
      <c r="ED22" s="41">
        <f t="shared" si="313"/>
        <v>1260</v>
      </c>
      <c r="EE22" s="41">
        <f t="shared" si="313"/>
        <v>1260</v>
      </c>
      <c r="EF22" s="41">
        <f t="shared" si="313"/>
        <v>1260</v>
      </c>
      <c r="EG22" s="41">
        <f t="shared" si="313"/>
        <v>1260</v>
      </c>
      <c r="EH22" s="41">
        <f t="shared" si="313"/>
        <v>1260</v>
      </c>
      <c r="EI22" s="41">
        <f t="shared" si="313"/>
        <v>1260</v>
      </c>
      <c r="EJ22" s="41">
        <f t="shared" si="313"/>
        <v>1260</v>
      </c>
      <c r="EK22" s="41">
        <f t="shared" si="313"/>
        <v>1260</v>
      </c>
      <c r="EL22" s="41">
        <f t="shared" si="313"/>
        <v>1260</v>
      </c>
      <c r="EM22" s="41">
        <f t="shared" si="313"/>
        <v>1260</v>
      </c>
      <c r="EN22" s="41">
        <f t="shared" si="313"/>
        <v>1260</v>
      </c>
      <c r="EO22" s="41">
        <f t="shared" si="313"/>
        <v>1260</v>
      </c>
      <c r="EP22" s="41">
        <f t="shared" si="313"/>
        <v>1260</v>
      </c>
      <c r="EQ22" s="41">
        <f t="shared" si="313"/>
        <v>1260</v>
      </c>
      <c r="ER22" s="41">
        <f t="shared" si="313"/>
        <v>1260</v>
      </c>
      <c r="ES22" s="41">
        <f t="shared" si="313"/>
        <v>1260</v>
      </c>
      <c r="ET22" s="41">
        <f t="shared" si="313"/>
        <v>1260</v>
      </c>
      <c r="EU22" s="41">
        <f t="shared" si="313"/>
        <v>1260</v>
      </c>
      <c r="EV22" s="41">
        <f t="shared" si="313"/>
        <v>1260</v>
      </c>
      <c r="EW22" s="41">
        <f t="shared" si="313"/>
        <v>1220</v>
      </c>
      <c r="EX22" s="41">
        <f t="shared" si="313"/>
        <v>1220</v>
      </c>
      <c r="EY22" s="41">
        <f t="shared" si="313"/>
        <v>1220</v>
      </c>
      <c r="EZ22" s="41">
        <f t="shared" si="313"/>
        <v>1220</v>
      </c>
      <c r="FA22" s="41">
        <f t="shared" si="313"/>
        <v>1168</v>
      </c>
      <c r="FB22" s="41">
        <f t="shared" si="313"/>
        <v>1168</v>
      </c>
      <c r="FC22" s="41">
        <f t="shared" si="313"/>
        <v>1168</v>
      </c>
      <c r="FD22" s="41">
        <f t="shared" si="313"/>
        <v>1168</v>
      </c>
      <c r="FE22" s="41">
        <f t="shared" si="313"/>
        <v>1168</v>
      </c>
      <c r="FF22" s="41">
        <f t="shared" si="313"/>
        <v>1168</v>
      </c>
      <c r="FG22" s="41">
        <f t="shared" si="313"/>
        <v>1168</v>
      </c>
      <c r="FH22" s="41">
        <f t="shared" si="313"/>
        <v>1186</v>
      </c>
      <c r="FI22" s="41">
        <f t="shared" si="313"/>
        <v>1186</v>
      </c>
      <c r="FJ22" s="41">
        <f t="shared" si="313"/>
        <v>1186</v>
      </c>
      <c r="FK22" s="41">
        <f t="shared" si="313"/>
        <v>1210</v>
      </c>
      <c r="FL22" s="41">
        <f t="shared" si="313"/>
        <v>1210</v>
      </c>
      <c r="FM22" s="41">
        <f t="shared" si="313"/>
        <v>1210</v>
      </c>
      <c r="FN22" s="41">
        <f t="shared" si="313"/>
        <v>1210</v>
      </c>
      <c r="FO22" s="41">
        <f t="shared" si="313"/>
        <v>1210</v>
      </c>
      <c r="FP22" s="41">
        <f t="shared" si="313"/>
        <v>1210</v>
      </c>
      <c r="FQ22" s="41">
        <f t="shared" ref="FQ22:FR22" si="314">FQ21+35</f>
        <v>1235</v>
      </c>
      <c r="FR22" s="41">
        <f t="shared" si="314"/>
        <v>1235</v>
      </c>
      <c r="FS22" s="41">
        <f t="shared" ref="FS22:FT22" si="315">FS21+35</f>
        <v>1235</v>
      </c>
      <c r="FT22" s="41">
        <f t="shared" si="315"/>
        <v>1235</v>
      </c>
      <c r="FU22" s="41">
        <f t="shared" ref="FU22" si="316">FU21+35</f>
        <v>1178</v>
      </c>
      <c r="FV22" s="41">
        <f>FV21+20</f>
        <v>1163</v>
      </c>
      <c r="FW22" s="41">
        <f t="shared" ref="FW22:FX22" si="317">FW21+20</f>
        <v>1163</v>
      </c>
      <c r="FX22" s="41">
        <f t="shared" si="317"/>
        <v>1163</v>
      </c>
      <c r="FY22" s="41">
        <f t="shared" ref="FY22:FZ22" si="318">FY21+20</f>
        <v>1163</v>
      </c>
      <c r="FZ22" s="41">
        <f t="shared" si="318"/>
        <v>1182</v>
      </c>
      <c r="GA22" s="41">
        <f t="shared" ref="GA22:GB22" si="319">GA21+20</f>
        <v>1182</v>
      </c>
      <c r="GB22" s="41">
        <f t="shared" si="319"/>
        <v>1182</v>
      </c>
      <c r="GC22" s="41">
        <f t="shared" ref="GC22:GD22" si="320">GC21+20</f>
        <v>1182</v>
      </c>
      <c r="GD22" s="41">
        <f t="shared" si="320"/>
        <v>1195</v>
      </c>
      <c r="GE22" s="41">
        <f t="shared" ref="GE22:GG22" si="321">GE21+20</f>
        <v>1195</v>
      </c>
      <c r="GF22" s="41">
        <f t="shared" si="321"/>
        <v>1195</v>
      </c>
      <c r="GG22" s="41">
        <f t="shared" si="321"/>
        <v>1220</v>
      </c>
      <c r="GH22" s="41">
        <f t="shared" ref="GH22:GI22" si="322">GH21+20</f>
        <v>1220</v>
      </c>
      <c r="GI22" s="41">
        <f t="shared" si="322"/>
        <v>1220</v>
      </c>
      <c r="GJ22" s="41">
        <f t="shared" ref="GJ22:GK22" si="323">GJ21+20</f>
        <v>1220</v>
      </c>
      <c r="GK22" s="41">
        <f t="shared" si="323"/>
        <v>1250</v>
      </c>
      <c r="GL22" s="41">
        <f t="shared" ref="GL22:GN22" si="324">GL21+20</f>
        <v>1250</v>
      </c>
      <c r="GM22" s="41">
        <f t="shared" si="324"/>
        <v>1250</v>
      </c>
      <c r="GN22" s="41">
        <f t="shared" si="324"/>
        <v>1250</v>
      </c>
      <c r="GO22" s="41"/>
      <c r="GP22" s="41"/>
      <c r="GQ22" s="41"/>
      <c r="GR22" s="41"/>
      <c r="GS22" s="41"/>
      <c r="GT22" s="41"/>
      <c r="GU22" s="41"/>
      <c r="GV22" s="41"/>
      <c r="GW22" s="41"/>
      <c r="GX22" s="41"/>
      <c r="GY22" s="41"/>
      <c r="GZ22" s="41"/>
      <c r="HA22" s="41"/>
      <c r="HB22" s="41"/>
      <c r="HC22" s="41"/>
      <c r="HD22" s="41"/>
      <c r="HE22" s="41"/>
      <c r="HF22" s="41"/>
      <c r="HG22" s="41"/>
      <c r="HH22" s="41"/>
      <c r="HI22" s="41"/>
      <c r="HJ22" s="41"/>
      <c r="HK22" s="41"/>
      <c r="HL22" s="41"/>
      <c r="HM22" s="41"/>
      <c r="HN22" s="41"/>
      <c r="HO22" s="41"/>
      <c r="HP22" s="41"/>
      <c r="HQ22" s="41"/>
      <c r="HR22" s="41"/>
      <c r="HS22" s="41"/>
      <c r="HT22" s="41"/>
      <c r="HU22" s="41"/>
      <c r="HV22" s="41"/>
      <c r="HW22" s="41"/>
      <c r="HX22" s="41"/>
      <c r="HY22" s="41"/>
      <c r="HZ22" s="41"/>
      <c r="IA22" s="41"/>
      <c r="IB22" s="41"/>
      <c r="IC22" s="41"/>
      <c r="ID22" s="41"/>
      <c r="IE22" s="41"/>
      <c r="IF22" s="41"/>
      <c r="IG22" s="41"/>
      <c r="IH22" s="41"/>
      <c r="II22" s="41"/>
      <c r="IJ22" s="41"/>
      <c r="IK22" s="41"/>
      <c r="IL22" s="41"/>
      <c r="IM22" s="41"/>
      <c r="IN22" s="41"/>
      <c r="IO22" s="41"/>
      <c r="IP22" s="41"/>
      <c r="IQ22" s="41"/>
      <c r="IR22" s="41"/>
      <c r="IS22" s="41"/>
      <c r="IT22" s="41"/>
      <c r="IU22" s="41"/>
      <c r="IV22" s="41"/>
      <c r="IW22" s="41"/>
      <c r="IX22" s="41"/>
      <c r="IY22" s="41"/>
      <c r="IZ22" s="41"/>
      <c r="JA22" s="41"/>
      <c r="JB22" s="41"/>
      <c r="JC22" s="41"/>
      <c r="JD22" s="41"/>
      <c r="JE22" s="41"/>
      <c r="JF22" s="41"/>
      <c r="JG22" s="41"/>
      <c r="JH22" s="41"/>
      <c r="JI22" s="41"/>
      <c r="JJ22" s="41"/>
      <c r="JK22" s="41"/>
      <c r="JL22" s="41"/>
      <c r="JM22" s="41"/>
      <c r="JN22" s="41"/>
      <c r="JO22" s="41"/>
      <c r="JP22" s="41"/>
      <c r="JQ22" s="41"/>
      <c r="JR22" s="41"/>
      <c r="JS22" s="41"/>
      <c r="JT22" s="41"/>
      <c r="JU22" s="41"/>
      <c r="JV22" s="41"/>
      <c r="JW22" s="41"/>
      <c r="JX22" s="41"/>
      <c r="JY22" s="41"/>
      <c r="JZ22" s="41"/>
      <c r="KA22" s="41"/>
    </row>
    <row r="23" spans="6:287" ht="15">
      <c r="F23" s="62"/>
      <c r="H23" s="1" t="s">
        <v>108</v>
      </c>
      <c r="AS23" s="1">
        <v>1220</v>
      </c>
      <c r="AT23" s="1">
        <v>1220</v>
      </c>
      <c r="AU23" s="1">
        <v>1220</v>
      </c>
      <c r="BZ23" s="1" t="s">
        <v>109</v>
      </c>
      <c r="EA23" s="41">
        <f t="shared" ref="EA23:FC23" si="325">EA21+34</f>
        <v>1259</v>
      </c>
      <c r="EB23" s="41">
        <f t="shared" si="325"/>
        <v>1259</v>
      </c>
      <c r="EC23" s="41">
        <f t="shared" si="325"/>
        <v>1259</v>
      </c>
      <c r="ED23" s="41">
        <f t="shared" si="325"/>
        <v>1259</v>
      </c>
      <c r="EE23" s="41">
        <f t="shared" si="325"/>
        <v>1259</v>
      </c>
      <c r="EF23" s="41">
        <f t="shared" si="325"/>
        <v>1259</v>
      </c>
      <c r="EG23" s="41">
        <f t="shared" si="325"/>
        <v>1259</v>
      </c>
      <c r="EH23" s="41">
        <f t="shared" si="325"/>
        <v>1259</v>
      </c>
      <c r="EI23" s="41">
        <f t="shared" si="325"/>
        <v>1259</v>
      </c>
      <c r="EJ23" s="41">
        <f t="shared" si="325"/>
        <v>1259</v>
      </c>
      <c r="EK23" s="41">
        <f t="shared" si="325"/>
        <v>1259</v>
      </c>
      <c r="EL23" s="41">
        <f t="shared" si="325"/>
        <v>1259</v>
      </c>
      <c r="EM23" s="41">
        <f t="shared" si="325"/>
        <v>1259</v>
      </c>
      <c r="EN23" s="41">
        <f t="shared" si="325"/>
        <v>1259</v>
      </c>
      <c r="EO23" s="41">
        <f t="shared" si="325"/>
        <v>1259</v>
      </c>
      <c r="EP23" s="41">
        <f t="shared" si="325"/>
        <v>1259</v>
      </c>
      <c r="EQ23" s="41">
        <f t="shared" si="325"/>
        <v>1259</v>
      </c>
      <c r="ER23" s="41">
        <f t="shared" si="325"/>
        <v>1259</v>
      </c>
      <c r="ES23" s="41">
        <f t="shared" si="325"/>
        <v>1259</v>
      </c>
      <c r="ET23" s="41">
        <f t="shared" si="325"/>
        <v>1259</v>
      </c>
      <c r="EU23" s="41">
        <f t="shared" si="325"/>
        <v>1259</v>
      </c>
      <c r="EV23" s="41">
        <f t="shared" si="325"/>
        <v>1259</v>
      </c>
      <c r="EW23" s="41">
        <f t="shared" si="325"/>
        <v>1219</v>
      </c>
      <c r="EX23" s="41">
        <f t="shared" si="325"/>
        <v>1219</v>
      </c>
      <c r="EY23" s="41">
        <f t="shared" si="325"/>
        <v>1219</v>
      </c>
      <c r="EZ23" s="41">
        <f t="shared" si="325"/>
        <v>1219</v>
      </c>
      <c r="FA23" s="41">
        <f t="shared" si="325"/>
        <v>1167</v>
      </c>
      <c r="FB23" s="41">
        <f t="shared" si="325"/>
        <v>1167</v>
      </c>
      <c r="FC23" s="41">
        <f t="shared" si="325"/>
        <v>1167</v>
      </c>
      <c r="FD23" s="41">
        <f>FD21+34</f>
        <v>1167</v>
      </c>
      <c r="FE23" s="41">
        <f>FE21+34</f>
        <v>1167</v>
      </c>
      <c r="FF23" s="41">
        <f>FF21+34</f>
        <v>1167</v>
      </c>
      <c r="FG23" s="41">
        <f>FG21+34</f>
        <v>1167</v>
      </c>
      <c r="FH23" s="41">
        <v>1182</v>
      </c>
      <c r="FI23" s="41">
        <v>1182</v>
      </c>
      <c r="FJ23" s="41">
        <v>1182</v>
      </c>
      <c r="FK23" s="41">
        <v>1182</v>
      </c>
      <c r="FL23" s="41">
        <v>1182</v>
      </c>
      <c r="FM23" s="41">
        <v>1234</v>
      </c>
      <c r="FN23" s="41">
        <v>1234</v>
      </c>
      <c r="FO23" s="41">
        <v>1234</v>
      </c>
      <c r="FP23" s="41">
        <v>1234</v>
      </c>
      <c r="FQ23" s="41">
        <v>1234</v>
      </c>
      <c r="FR23" s="41">
        <v>1234</v>
      </c>
      <c r="FS23" s="41">
        <v>1234</v>
      </c>
      <c r="FT23" s="41">
        <v>1234</v>
      </c>
      <c r="FU23" s="41">
        <v>1234</v>
      </c>
      <c r="FV23" s="41">
        <v>1234</v>
      </c>
      <c r="FW23" s="41">
        <v>1234</v>
      </c>
      <c r="FX23" s="41">
        <v>1234</v>
      </c>
      <c r="FY23" s="41">
        <v>1234</v>
      </c>
      <c r="FZ23" s="41">
        <v>1234</v>
      </c>
      <c r="GA23" s="41">
        <v>1234</v>
      </c>
      <c r="GB23" s="41">
        <v>1234</v>
      </c>
      <c r="GC23" s="41">
        <v>1234</v>
      </c>
      <c r="GD23" s="41">
        <v>1234</v>
      </c>
      <c r="GE23" s="41">
        <v>1234</v>
      </c>
      <c r="GF23" s="41">
        <v>1234</v>
      </c>
      <c r="GG23" s="41">
        <v>1234</v>
      </c>
      <c r="GH23" s="41">
        <v>1234</v>
      </c>
      <c r="GI23" s="41">
        <v>1234</v>
      </c>
      <c r="GJ23" s="41">
        <v>1234</v>
      </c>
      <c r="GK23" s="41">
        <v>1234</v>
      </c>
      <c r="GL23" s="41">
        <v>1234</v>
      </c>
      <c r="GM23" s="41">
        <v>1234</v>
      </c>
      <c r="GN23" s="41">
        <v>1234</v>
      </c>
      <c r="GO23" s="41"/>
      <c r="GP23" s="41"/>
      <c r="GQ23" s="41"/>
      <c r="GR23" s="41"/>
      <c r="GS23" s="41"/>
      <c r="GT23" s="41"/>
      <c r="GU23" s="41"/>
      <c r="GV23" s="41"/>
      <c r="GW23" s="41"/>
      <c r="GX23" s="41"/>
      <c r="GY23" s="41"/>
      <c r="GZ23" s="41"/>
      <c r="HA23" s="41"/>
      <c r="HB23" s="41"/>
      <c r="HC23" s="41"/>
      <c r="HD23" s="41"/>
      <c r="HE23" s="41"/>
      <c r="HF23" s="41"/>
      <c r="HG23" s="41"/>
      <c r="HH23" s="41"/>
      <c r="HI23" s="41"/>
      <c r="HJ23" s="41"/>
      <c r="HK23" s="41"/>
      <c r="HL23" s="41"/>
      <c r="HM23" s="41"/>
      <c r="HN23" s="41"/>
      <c r="HO23" s="41"/>
      <c r="HP23" s="41"/>
      <c r="HQ23" s="41"/>
      <c r="HR23" s="41"/>
      <c r="HS23" s="41"/>
      <c r="HT23" s="41"/>
      <c r="HU23" s="41"/>
      <c r="HV23" s="41"/>
      <c r="HW23" s="41"/>
      <c r="HX23" s="41"/>
      <c r="HY23" s="41"/>
      <c r="HZ23" s="41"/>
      <c r="IA23" s="41"/>
      <c r="IB23" s="41"/>
      <c r="IC23" s="41"/>
      <c r="ID23" s="41"/>
      <c r="IE23" s="41"/>
      <c r="IF23" s="41"/>
      <c r="IG23" s="41"/>
      <c r="IH23" s="41"/>
      <c r="II23" s="41"/>
      <c r="IJ23" s="41"/>
      <c r="IK23" s="41"/>
      <c r="IL23" s="41"/>
      <c r="IM23" s="41"/>
      <c r="IN23" s="41"/>
      <c r="IO23" s="41"/>
      <c r="IP23" s="41"/>
      <c r="IQ23" s="41"/>
      <c r="IR23" s="41"/>
      <c r="IS23" s="41"/>
      <c r="IT23" s="41"/>
      <c r="IU23" s="41"/>
      <c r="IV23" s="41"/>
      <c r="IW23" s="41"/>
      <c r="IX23" s="41"/>
      <c r="IY23" s="41"/>
      <c r="IZ23" s="41"/>
      <c r="JA23" s="41"/>
      <c r="JB23" s="41"/>
      <c r="JC23" s="41"/>
      <c r="JD23" s="41"/>
      <c r="JE23" s="41"/>
      <c r="JF23" s="41"/>
      <c r="JG23" s="41"/>
      <c r="JH23" s="41"/>
      <c r="JI23" s="41"/>
      <c r="JJ23" s="41"/>
      <c r="JK23" s="41"/>
      <c r="JL23" s="41"/>
      <c r="JM23" s="41"/>
      <c r="JN23" s="41"/>
      <c r="JO23" s="41"/>
      <c r="JP23" s="41"/>
      <c r="JQ23" s="41"/>
      <c r="JR23" s="41"/>
      <c r="JS23" s="41"/>
      <c r="JT23" s="41"/>
      <c r="JU23" s="41"/>
      <c r="JV23" s="41"/>
      <c r="JW23" s="41"/>
      <c r="JX23" s="41"/>
      <c r="JY23" s="41"/>
      <c r="JZ23" s="41"/>
      <c r="KA23" s="41"/>
    </row>
    <row r="24" spans="6:287">
      <c r="H24" s="1" t="s">
        <v>99</v>
      </c>
      <c r="X24" s="143">
        <v>1360</v>
      </c>
      <c r="Y24" s="143">
        <v>1360</v>
      </c>
      <c r="Z24" s="143">
        <v>1360</v>
      </c>
      <c r="AA24" s="143">
        <v>1550</v>
      </c>
      <c r="AB24" s="143">
        <v>1550</v>
      </c>
      <c r="AC24" s="143">
        <v>1550</v>
      </c>
      <c r="AD24" s="143">
        <v>1550</v>
      </c>
      <c r="AE24" s="143">
        <v>1534</v>
      </c>
      <c r="AF24" s="143">
        <v>1534</v>
      </c>
      <c r="AG24" s="143">
        <v>1534</v>
      </c>
      <c r="AH24" s="143">
        <v>1534</v>
      </c>
      <c r="AI24" s="143">
        <v>1534</v>
      </c>
      <c r="AJ24" s="143">
        <v>1534</v>
      </c>
      <c r="AK24" s="143">
        <v>1534</v>
      </c>
      <c r="AL24" s="143">
        <v>1445</v>
      </c>
      <c r="AM24" s="143">
        <v>1445</v>
      </c>
      <c r="AN24" s="143">
        <v>1445</v>
      </c>
      <c r="AO24" s="143">
        <v>1500</v>
      </c>
      <c r="AP24" s="143">
        <v>1500</v>
      </c>
      <c r="AQ24" s="143">
        <v>1500</v>
      </c>
      <c r="AR24" s="144">
        <v>1450</v>
      </c>
      <c r="AS24" s="144">
        <v>1450</v>
      </c>
      <c r="AT24" s="144">
        <v>1450</v>
      </c>
      <c r="AU24" s="144">
        <v>1350</v>
      </c>
      <c r="AV24" s="144">
        <v>1350</v>
      </c>
      <c r="AW24" s="144">
        <v>1350</v>
      </c>
      <c r="AX24" s="144">
        <v>1320</v>
      </c>
      <c r="AY24" s="144">
        <v>1320</v>
      </c>
      <c r="AZ24" s="144">
        <v>1320</v>
      </c>
      <c r="BA24" s="144">
        <v>1320</v>
      </c>
      <c r="BB24" s="144">
        <v>1320</v>
      </c>
      <c r="BC24" s="144">
        <v>1320</v>
      </c>
      <c r="BD24" s="172">
        <v>1300</v>
      </c>
      <c r="BE24" s="172">
        <v>1300</v>
      </c>
      <c r="BF24" s="172">
        <v>1300</v>
      </c>
      <c r="BG24" s="172">
        <v>1300</v>
      </c>
      <c r="BH24" s="172">
        <v>1300</v>
      </c>
      <c r="BI24" s="172">
        <v>1300</v>
      </c>
      <c r="BJ24" s="172">
        <v>1300</v>
      </c>
      <c r="BK24" s="172">
        <v>1300</v>
      </c>
      <c r="BL24" s="172">
        <v>1250</v>
      </c>
      <c r="BM24" s="172">
        <v>1250</v>
      </c>
      <c r="BN24" s="172">
        <v>1250</v>
      </c>
      <c r="BO24" s="172">
        <v>1250</v>
      </c>
      <c r="BP24" s="172">
        <v>1280</v>
      </c>
      <c r="BQ24" s="172">
        <v>1280</v>
      </c>
      <c r="BR24" s="172">
        <v>1280</v>
      </c>
      <c r="BS24" s="172">
        <v>1280</v>
      </c>
      <c r="BT24" s="172">
        <v>1280</v>
      </c>
      <c r="BU24" s="172">
        <v>1280</v>
      </c>
      <c r="BV24" s="172">
        <v>1250</v>
      </c>
      <c r="BZ24" s="1" t="s">
        <v>108</v>
      </c>
      <c r="FA24" s="3">
        <v>1200</v>
      </c>
      <c r="FB24" s="3"/>
      <c r="FC24" s="3"/>
      <c r="FD24" s="3">
        <v>1200</v>
      </c>
      <c r="FE24" s="3">
        <v>1200</v>
      </c>
      <c r="FF24" s="3">
        <v>1200</v>
      </c>
      <c r="FG24" s="3">
        <v>1200</v>
      </c>
      <c r="FH24" s="3">
        <v>1200</v>
      </c>
      <c r="FI24" s="3">
        <v>1200</v>
      </c>
      <c r="FJ24" s="3">
        <v>1200</v>
      </c>
      <c r="FK24" s="3">
        <v>1200</v>
      </c>
      <c r="FL24" s="3">
        <v>1200</v>
      </c>
      <c r="FM24" s="3">
        <v>1200</v>
      </c>
      <c r="FN24" s="3">
        <v>1200</v>
      </c>
      <c r="FO24" s="3">
        <v>1200</v>
      </c>
      <c r="FP24" s="3">
        <v>1100</v>
      </c>
      <c r="FQ24" s="3">
        <v>1100</v>
      </c>
      <c r="FR24" s="3">
        <v>1100</v>
      </c>
      <c r="FS24" s="3">
        <v>1100</v>
      </c>
      <c r="FT24" s="3">
        <v>1100</v>
      </c>
      <c r="FU24" s="3">
        <v>1100</v>
      </c>
      <c r="FV24" s="3">
        <v>1100</v>
      </c>
      <c r="FW24" s="3">
        <v>1100</v>
      </c>
      <c r="FX24" s="3">
        <v>1100</v>
      </c>
      <c r="FY24" s="3">
        <v>1100</v>
      </c>
      <c r="FZ24" s="3">
        <v>1100</v>
      </c>
      <c r="GA24" s="3">
        <v>1100</v>
      </c>
      <c r="GB24" s="3">
        <v>1100</v>
      </c>
      <c r="GC24" s="3">
        <v>1100</v>
      </c>
      <c r="GD24" s="3">
        <v>1100</v>
      </c>
      <c r="GE24" s="3">
        <v>1100</v>
      </c>
      <c r="GF24" s="3">
        <v>1100</v>
      </c>
      <c r="GG24" s="3">
        <v>1100</v>
      </c>
      <c r="GH24" s="3">
        <v>1100</v>
      </c>
      <c r="GI24" s="3">
        <v>1100</v>
      </c>
      <c r="GJ24" s="3">
        <v>1100</v>
      </c>
      <c r="GK24" s="3">
        <v>1100</v>
      </c>
      <c r="GL24" s="3">
        <v>1100</v>
      </c>
      <c r="GM24" s="3">
        <v>1100</v>
      </c>
      <c r="GN24" s="3">
        <v>1100</v>
      </c>
      <c r="GO24" s="3">
        <v>1100</v>
      </c>
      <c r="GP24" s="3">
        <v>1100</v>
      </c>
      <c r="GQ24" s="3">
        <v>1100</v>
      </c>
      <c r="GR24" s="3">
        <v>1100</v>
      </c>
      <c r="GS24" s="3">
        <v>1100</v>
      </c>
      <c r="GT24" s="3">
        <v>1100</v>
      </c>
      <c r="GU24" s="3">
        <v>1100</v>
      </c>
      <c r="GV24" s="3">
        <v>1100</v>
      </c>
      <c r="GW24" s="3">
        <v>1100</v>
      </c>
      <c r="GX24" s="3">
        <v>1100</v>
      </c>
      <c r="GY24" s="3">
        <v>1100</v>
      </c>
      <c r="GZ24" s="3">
        <v>1100</v>
      </c>
      <c r="HA24" s="3">
        <v>1100</v>
      </c>
      <c r="HB24" s="3"/>
      <c r="HC24" s="3"/>
      <c r="HD24" s="3"/>
      <c r="HE24" s="3"/>
      <c r="HF24" s="3"/>
      <c r="HG24" s="3"/>
      <c r="HH24" s="3"/>
      <c r="HI24" s="3"/>
      <c r="HJ24" s="3"/>
      <c r="HK24" s="3"/>
      <c r="HL24" s="3"/>
      <c r="HM24" s="3"/>
      <c r="HN24" s="3"/>
      <c r="HO24" s="3"/>
      <c r="HP24" s="3"/>
      <c r="HQ24" s="3"/>
      <c r="HR24" s="3"/>
      <c r="HS24" s="3"/>
      <c r="HT24" s="3"/>
      <c r="HU24" s="3"/>
      <c r="HV24" s="3"/>
      <c r="HW24" s="3"/>
      <c r="HX24" s="3"/>
      <c r="HY24" s="3"/>
      <c r="HZ24" s="3"/>
      <c r="IA24" s="3"/>
      <c r="IB24" s="3"/>
      <c r="IC24" s="3"/>
      <c r="ID24" s="3"/>
      <c r="IE24" s="3"/>
      <c r="IF24" s="3"/>
      <c r="IG24" s="3"/>
      <c r="IH24" s="3"/>
      <c r="II24" s="3"/>
      <c r="IJ24" s="3"/>
      <c r="IK24" s="3"/>
      <c r="IL24" s="3"/>
      <c r="IM24" s="3"/>
      <c r="IN24" s="3"/>
      <c r="IO24" s="3"/>
      <c r="IP24" s="3"/>
      <c r="IQ24" s="3"/>
      <c r="IR24" s="3"/>
      <c r="IS24" s="3"/>
      <c r="IT24" s="3"/>
      <c r="IU24" s="3"/>
      <c r="IV24" s="3"/>
      <c r="IW24" s="3"/>
      <c r="IX24" s="3"/>
      <c r="IY24" s="3"/>
      <c r="IZ24" s="3"/>
      <c r="JA24" s="3"/>
      <c r="JB24" s="3"/>
      <c r="JC24" s="3"/>
      <c r="JD24" s="3"/>
      <c r="JE24" s="3"/>
      <c r="JF24" s="3"/>
      <c r="JG24" s="3"/>
      <c r="JH24" s="3"/>
      <c r="JI24" s="3"/>
      <c r="JJ24" s="3"/>
      <c r="JK24" s="3"/>
      <c r="JL24" s="3"/>
      <c r="JM24" s="3"/>
      <c r="JN24" s="3"/>
      <c r="JO24" s="3"/>
      <c r="JP24" s="3"/>
      <c r="JQ24" s="3"/>
      <c r="JR24" s="3"/>
      <c r="JS24" s="3"/>
      <c r="JT24" s="3"/>
      <c r="JU24" s="3"/>
      <c r="JV24" s="3"/>
      <c r="JW24" s="3"/>
      <c r="JX24" s="3"/>
      <c r="JY24" s="3"/>
      <c r="JZ24" s="3"/>
      <c r="KA24" s="3"/>
    </row>
    <row r="25" spans="6:287">
      <c r="BZ25" s="1" t="s">
        <v>133</v>
      </c>
      <c r="EA25" s="142">
        <v>1445</v>
      </c>
      <c r="EB25" s="142">
        <v>1445</v>
      </c>
      <c r="EC25" s="142">
        <v>1445</v>
      </c>
      <c r="ED25" s="142">
        <v>1445</v>
      </c>
      <c r="EE25" s="142">
        <v>1445</v>
      </c>
      <c r="EF25" s="142">
        <v>1445</v>
      </c>
      <c r="EG25" s="142">
        <v>1445</v>
      </c>
      <c r="EH25" s="142">
        <v>1445</v>
      </c>
      <c r="EI25" s="142">
        <v>1445</v>
      </c>
      <c r="EJ25" s="142">
        <v>1445</v>
      </c>
      <c r="EK25" s="142">
        <v>1445</v>
      </c>
      <c r="EL25" s="142">
        <v>1445</v>
      </c>
      <c r="EM25" s="142">
        <v>1500</v>
      </c>
      <c r="EN25" s="142">
        <v>1500</v>
      </c>
      <c r="EO25" s="142">
        <v>1500</v>
      </c>
      <c r="EP25" s="142">
        <v>1500</v>
      </c>
      <c r="EQ25" s="142">
        <v>1500</v>
      </c>
      <c r="ER25" s="142">
        <v>1500</v>
      </c>
      <c r="ES25" s="142">
        <v>1500</v>
      </c>
      <c r="ET25" s="142">
        <v>1500</v>
      </c>
      <c r="EU25" s="142">
        <v>1500</v>
      </c>
      <c r="EV25" s="142">
        <v>1500</v>
      </c>
      <c r="EW25" s="142">
        <v>1500</v>
      </c>
      <c r="EX25" s="142">
        <v>1500</v>
      </c>
      <c r="EY25" s="142">
        <v>1500</v>
      </c>
      <c r="EZ25" s="142">
        <v>1500</v>
      </c>
      <c r="FA25" s="142">
        <v>1450</v>
      </c>
      <c r="FB25" s="142">
        <v>1450</v>
      </c>
      <c r="FC25" s="142">
        <v>1450</v>
      </c>
      <c r="FD25" s="142">
        <v>1450</v>
      </c>
      <c r="FE25" s="142">
        <v>1450</v>
      </c>
      <c r="FF25" s="142">
        <v>1450</v>
      </c>
      <c r="FG25" s="142">
        <v>1450</v>
      </c>
      <c r="FH25" s="142">
        <v>1450</v>
      </c>
      <c r="FI25" s="142">
        <v>1450</v>
      </c>
      <c r="FJ25" s="142">
        <v>1450</v>
      </c>
      <c r="FK25" s="142">
        <v>1450</v>
      </c>
      <c r="FL25" s="142">
        <v>1450</v>
      </c>
      <c r="FM25" s="142">
        <v>1350</v>
      </c>
      <c r="FN25" s="142">
        <v>1350</v>
      </c>
      <c r="FO25" s="142">
        <v>1350</v>
      </c>
      <c r="FP25" s="142">
        <v>1350</v>
      </c>
      <c r="FQ25" s="142">
        <v>1350</v>
      </c>
      <c r="FR25" s="142">
        <v>1350</v>
      </c>
      <c r="FS25" s="142">
        <v>1350</v>
      </c>
      <c r="FT25" s="142">
        <v>1350</v>
      </c>
      <c r="FU25" s="142">
        <v>1350</v>
      </c>
      <c r="FV25" s="142">
        <v>1350</v>
      </c>
      <c r="FW25" s="142">
        <v>1350</v>
      </c>
      <c r="FX25" s="142">
        <v>1350</v>
      </c>
      <c r="FY25" s="142">
        <v>1350</v>
      </c>
      <c r="FZ25" s="142">
        <v>1320</v>
      </c>
      <c r="GA25" s="142">
        <v>1320</v>
      </c>
      <c r="GB25" s="142">
        <v>1320</v>
      </c>
      <c r="GC25" s="142">
        <v>1320</v>
      </c>
      <c r="GD25" s="142">
        <v>1320</v>
      </c>
      <c r="GE25" s="142">
        <v>1320</v>
      </c>
      <c r="GF25" s="142">
        <v>1320</v>
      </c>
      <c r="GG25" s="142">
        <v>1320</v>
      </c>
      <c r="GH25" s="142">
        <v>1320</v>
      </c>
      <c r="GI25" s="142">
        <v>1320</v>
      </c>
      <c r="GJ25" s="142">
        <v>1320</v>
      </c>
      <c r="GK25" s="142">
        <v>1320</v>
      </c>
      <c r="GL25" s="142">
        <v>1320</v>
      </c>
      <c r="GM25" s="142">
        <v>1320</v>
      </c>
      <c r="GN25" s="142">
        <v>1320</v>
      </c>
      <c r="GO25" s="142">
        <v>1320</v>
      </c>
      <c r="GP25" s="142">
        <v>1320</v>
      </c>
      <c r="GQ25" s="142">
        <v>1320</v>
      </c>
      <c r="GR25" s="142">
        <v>1320</v>
      </c>
      <c r="GS25" s="142">
        <v>1320</v>
      </c>
      <c r="GT25" s="142">
        <v>1320</v>
      </c>
      <c r="GU25" s="142">
        <v>1320</v>
      </c>
      <c r="GV25" s="142">
        <v>1320</v>
      </c>
      <c r="GW25" s="142">
        <v>1320</v>
      </c>
      <c r="GX25" s="142">
        <v>1300</v>
      </c>
      <c r="GY25" s="142">
        <v>1300</v>
      </c>
      <c r="GZ25" s="142">
        <v>1300</v>
      </c>
      <c r="HA25" s="142">
        <v>1300</v>
      </c>
      <c r="HB25" s="142">
        <v>1300</v>
      </c>
      <c r="HC25" s="142">
        <v>1300</v>
      </c>
      <c r="HD25" s="142">
        <v>1300</v>
      </c>
      <c r="HE25" s="142">
        <v>1300</v>
      </c>
      <c r="HF25" s="142">
        <v>1300</v>
      </c>
      <c r="HG25" s="142">
        <v>1300</v>
      </c>
      <c r="HH25" s="142">
        <v>1300</v>
      </c>
      <c r="HI25" s="142">
        <v>1300</v>
      </c>
      <c r="HJ25" s="142">
        <v>1300</v>
      </c>
      <c r="HK25" s="142">
        <v>1300</v>
      </c>
      <c r="HL25" s="142">
        <v>1300</v>
      </c>
      <c r="HM25" s="142">
        <v>1300</v>
      </c>
      <c r="HN25" s="142">
        <v>1300</v>
      </c>
      <c r="HO25" s="142">
        <v>1300</v>
      </c>
      <c r="HP25" s="142">
        <v>1300</v>
      </c>
      <c r="HQ25" s="142">
        <v>1300</v>
      </c>
      <c r="HR25" s="142">
        <v>1300</v>
      </c>
      <c r="HS25" s="142">
        <v>1300</v>
      </c>
      <c r="HT25" s="142">
        <v>1300</v>
      </c>
      <c r="HU25" s="142">
        <v>1300</v>
      </c>
      <c r="HV25" s="142">
        <v>1300</v>
      </c>
      <c r="HW25" s="142">
        <v>1300</v>
      </c>
      <c r="HX25" s="142">
        <v>1300</v>
      </c>
      <c r="HY25" s="142">
        <v>1300</v>
      </c>
      <c r="HZ25" s="142">
        <v>1300</v>
      </c>
      <c r="IA25" s="142">
        <v>1300</v>
      </c>
      <c r="IB25" s="142">
        <v>1300</v>
      </c>
      <c r="IC25" s="142">
        <v>1300</v>
      </c>
      <c r="ID25" s="142">
        <v>1300</v>
      </c>
      <c r="IE25" s="142">
        <v>1300</v>
      </c>
      <c r="IF25" s="176">
        <v>1250</v>
      </c>
      <c r="IG25" s="176">
        <v>1250</v>
      </c>
      <c r="IH25" s="176">
        <v>1250</v>
      </c>
      <c r="II25" s="176">
        <v>1250</v>
      </c>
      <c r="IJ25" s="176">
        <v>1250</v>
      </c>
      <c r="IK25" s="176">
        <v>1250</v>
      </c>
      <c r="IL25" s="176">
        <v>1250</v>
      </c>
      <c r="IM25" s="176">
        <v>1250</v>
      </c>
      <c r="IN25" s="176">
        <v>1250</v>
      </c>
      <c r="IO25" s="176">
        <v>1250</v>
      </c>
      <c r="IP25" s="176">
        <v>1250</v>
      </c>
      <c r="IQ25" s="176">
        <v>1250</v>
      </c>
      <c r="IR25" s="176">
        <v>1250</v>
      </c>
      <c r="IS25" s="176">
        <v>1250</v>
      </c>
      <c r="IT25" s="176">
        <v>1250</v>
      </c>
      <c r="IU25" s="176">
        <v>1250</v>
      </c>
      <c r="IV25" s="176">
        <v>1250</v>
      </c>
      <c r="IW25" s="176">
        <v>1280</v>
      </c>
      <c r="IX25" s="176">
        <v>1280</v>
      </c>
      <c r="IY25" s="176">
        <v>1280</v>
      </c>
      <c r="IZ25" s="176">
        <v>1280</v>
      </c>
      <c r="JA25" s="176">
        <v>1280</v>
      </c>
      <c r="JB25" s="176">
        <v>1280</v>
      </c>
      <c r="JC25" s="176">
        <v>1280</v>
      </c>
      <c r="JD25" s="176">
        <v>1280</v>
      </c>
      <c r="JE25" s="176">
        <v>1280</v>
      </c>
      <c r="JF25" s="176">
        <v>1280</v>
      </c>
      <c r="JG25" s="176">
        <v>1280</v>
      </c>
      <c r="JH25" s="176">
        <v>1280</v>
      </c>
      <c r="JI25" s="176">
        <v>1280</v>
      </c>
      <c r="JJ25" s="176">
        <v>1280</v>
      </c>
      <c r="JK25" s="176">
        <v>1280</v>
      </c>
      <c r="JL25" s="176">
        <v>1280</v>
      </c>
      <c r="JM25" s="176">
        <v>1280</v>
      </c>
      <c r="JN25" s="176">
        <v>1280</v>
      </c>
      <c r="JO25" s="176">
        <v>1280</v>
      </c>
      <c r="JP25" s="176">
        <v>1280</v>
      </c>
      <c r="JQ25" s="176">
        <v>1280</v>
      </c>
      <c r="JR25" s="176">
        <v>1280</v>
      </c>
      <c r="JS25" s="176">
        <v>1280</v>
      </c>
      <c r="JT25" s="176">
        <v>1280</v>
      </c>
      <c r="JU25" s="176">
        <v>1280</v>
      </c>
      <c r="JV25" s="176">
        <v>1280</v>
      </c>
      <c r="JW25" s="176">
        <v>1250</v>
      </c>
      <c r="JX25" s="176">
        <v>1250</v>
      </c>
      <c r="JY25" s="176">
        <v>1250</v>
      </c>
      <c r="JZ25" s="176">
        <v>1250</v>
      </c>
      <c r="KA25" s="176">
        <v>1250</v>
      </c>
    </row>
    <row r="28" spans="6:287">
      <c r="FL28" s="41"/>
    </row>
    <row r="31" spans="6:287">
      <c r="GG31" s="41"/>
    </row>
    <row r="32" spans="6:287">
      <c r="GG32" s="51"/>
    </row>
    <row r="41" spans="6:21"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</row>
    <row r="42" spans="6:21"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</row>
    <row r="43" spans="6:21">
      <c r="F43" s="32"/>
      <c r="G43" s="32"/>
      <c r="H43" s="32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</row>
    <row r="44" spans="6:21">
      <c r="F44" s="32"/>
      <c r="G44" s="32"/>
      <c r="H44" s="32"/>
      <c r="I44" s="32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2"/>
    </row>
    <row r="45" spans="6:21">
      <c r="F45" s="32"/>
      <c r="G45" s="32"/>
      <c r="H45" s="32"/>
      <c r="I45" s="32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2"/>
    </row>
    <row r="46" spans="6:21">
      <c r="F46" s="31"/>
      <c r="G46" s="32"/>
      <c r="H46" s="31"/>
      <c r="I46" s="32"/>
      <c r="J46" s="32"/>
      <c r="K46" s="32"/>
      <c r="L46" s="32"/>
      <c r="M46" s="32"/>
      <c r="N46" s="32"/>
      <c r="O46" s="32"/>
      <c r="P46" s="32"/>
      <c r="Q46" s="31"/>
      <c r="R46" s="32"/>
      <c r="S46" s="32"/>
      <c r="T46" s="32"/>
      <c r="U46" s="31"/>
    </row>
  </sheetData>
  <phoneticPr fontId="20" type="noConversion"/>
  <pageMargins left="0.70866141732283472" right="0.70866141732283472" top="0.74803149606299213" bottom="0.74803149606299213" header="0.31496062992125984" footer="0.31496062992125984"/>
  <pageSetup orientation="landscape" horizontalDpi="200" verticalDpi="200" r:id="rId1"/>
  <ignoredErrors>
    <ignoredError sqref="V8:Y8" formula="1"/>
  </ignoredError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E69885-4F9E-4D5D-B903-5F1429A823BC}">
  <sheetPr>
    <tabColor theme="7"/>
  </sheetPr>
  <dimension ref="E48:T79"/>
  <sheetViews>
    <sheetView showGridLines="0" topLeftCell="A22" zoomScale="80" zoomScaleNormal="80" workbookViewId="0">
      <selection activeCell="E38" sqref="E38"/>
    </sheetView>
  </sheetViews>
  <sheetFormatPr defaultColWidth="8.81640625" defaultRowHeight="14.5"/>
  <cols>
    <col min="1" max="1" width="3.453125" bestFit="1" customWidth="1"/>
    <col min="2" max="2" width="50.81640625" customWidth="1"/>
    <col min="4" max="4" width="15.1796875" customWidth="1"/>
    <col min="5" max="5" width="12.1796875" bestFit="1" customWidth="1"/>
    <col min="6" max="6" width="14.1796875" bestFit="1" customWidth="1"/>
    <col min="7" max="7" width="17.81640625" customWidth="1"/>
    <col min="12" max="12" width="12.1796875" customWidth="1"/>
    <col min="14" max="14" width="9" customWidth="1"/>
    <col min="15" max="15" width="13.453125" customWidth="1"/>
    <col min="17" max="17" width="16.81640625" customWidth="1"/>
    <col min="18" max="18" width="13.54296875" customWidth="1"/>
  </cols>
  <sheetData>
    <row r="48" spans="17:17">
      <c r="Q48" s="184"/>
    </row>
    <row r="49" spans="15:20">
      <c r="Q49" s="184"/>
    </row>
    <row r="50" spans="15:20" ht="21" customHeight="1">
      <c r="Q50" s="184"/>
    </row>
    <row r="51" spans="15:20" ht="14.9" customHeight="1">
      <c r="O51" s="182"/>
      <c r="Q51" s="184"/>
    </row>
    <row r="52" spans="15:20" ht="14.9" customHeight="1">
      <c r="O52" s="182"/>
      <c r="Q52" s="184"/>
    </row>
    <row r="53" spans="15:20" ht="14.9" customHeight="1">
      <c r="O53" s="182"/>
      <c r="Q53" s="88"/>
    </row>
    <row r="54" spans="15:20" ht="14.9" customHeight="1">
      <c r="O54" s="182"/>
      <c r="Q54" s="88"/>
    </row>
    <row r="55" spans="15:20" ht="14.9" customHeight="1">
      <c r="Q55" s="185"/>
      <c r="T55" s="182"/>
    </row>
    <row r="56" spans="15:20" ht="14.9" customHeight="1">
      <c r="Q56" s="185"/>
      <c r="T56" s="182"/>
    </row>
    <row r="57" spans="15:20" ht="14.9" customHeight="1">
      <c r="T57" s="182"/>
    </row>
    <row r="59" spans="15:20" ht="14.9" customHeight="1">
      <c r="T59" s="182"/>
    </row>
    <row r="60" spans="15:20" ht="24" customHeight="1">
      <c r="T60" s="182"/>
    </row>
    <row r="61" spans="15:20" ht="14.9" customHeight="1">
      <c r="T61" s="182"/>
    </row>
    <row r="62" spans="15:20" ht="14.9" customHeight="1">
      <c r="R62" s="87"/>
    </row>
    <row r="63" spans="15:20" ht="18" customHeight="1"/>
    <row r="64" spans="15:20" ht="18" customHeight="1"/>
    <row r="65" spans="5:17" ht="18" customHeight="1">
      <c r="I65" s="62"/>
    </row>
    <row r="66" spans="5:17" ht="14.9" customHeight="1">
      <c r="Q66" s="76"/>
    </row>
    <row r="67" spans="5:17" ht="14.9" customHeight="1"/>
    <row r="70" spans="5:17" ht="15">
      <c r="I70" s="62"/>
    </row>
    <row r="71" spans="5:17">
      <c r="E71" s="98"/>
      <c r="G71" s="113"/>
    </row>
    <row r="72" spans="5:17">
      <c r="F72" s="76"/>
    </row>
    <row r="79" spans="5:17">
      <c r="M79" s="183"/>
      <c r="N79" s="183"/>
    </row>
  </sheetData>
  <mergeCells count="6">
    <mergeCell ref="M79:N79"/>
    <mergeCell ref="Q48:Q52"/>
    <mergeCell ref="O51:O54"/>
    <mergeCell ref="Q55:Q56"/>
    <mergeCell ref="T55:T57"/>
    <mergeCell ref="T59:T61"/>
  </mergeCells>
  <printOptions horizontalCentered="1"/>
  <pageMargins left="0.196850393700787" right="0.196850393700787" top="0" bottom="0" header="0.31496062992126" footer="0.31496062992126"/>
  <pageSetup paperSize="9" scale="80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D67D3B-E547-4509-AD45-D4308C1365D7}">
  <sheetPr>
    <tabColor theme="7"/>
  </sheetPr>
  <dimension ref="E48:T79"/>
  <sheetViews>
    <sheetView showGridLines="0" topLeftCell="A10" zoomScale="70" zoomScaleNormal="70" workbookViewId="0">
      <selection activeCell="D33" sqref="D33"/>
    </sheetView>
  </sheetViews>
  <sheetFormatPr defaultColWidth="8.81640625" defaultRowHeight="14.5"/>
  <cols>
    <col min="1" max="1" width="3.453125" bestFit="1" customWidth="1"/>
    <col min="2" max="2" width="50.81640625" customWidth="1"/>
    <col min="4" max="4" width="15.1796875" customWidth="1"/>
    <col min="5" max="5" width="12.1796875" bestFit="1" customWidth="1"/>
    <col min="6" max="6" width="14.1796875" bestFit="1" customWidth="1"/>
    <col min="7" max="7" width="17.81640625" customWidth="1"/>
    <col min="12" max="12" width="12.1796875" customWidth="1"/>
    <col min="14" max="14" width="9" customWidth="1"/>
    <col min="15" max="15" width="13.453125" customWidth="1"/>
    <col min="17" max="17" width="16.81640625" customWidth="1"/>
    <col min="18" max="18" width="13.54296875" customWidth="1"/>
  </cols>
  <sheetData>
    <row r="48" spans="17:17">
      <c r="Q48" s="184"/>
    </row>
    <row r="49" spans="15:20">
      <c r="Q49" s="184"/>
    </row>
    <row r="50" spans="15:20" ht="21" customHeight="1">
      <c r="Q50" s="184"/>
    </row>
    <row r="51" spans="15:20" ht="14.9" customHeight="1">
      <c r="O51" s="182"/>
      <c r="Q51" s="184"/>
    </row>
    <row r="52" spans="15:20" ht="14.9" customHeight="1">
      <c r="O52" s="182"/>
      <c r="Q52" s="184"/>
    </row>
    <row r="53" spans="15:20" ht="14.9" customHeight="1">
      <c r="O53" s="182"/>
      <c r="Q53" s="88"/>
    </row>
    <row r="54" spans="15:20" ht="14.9" customHeight="1">
      <c r="O54" s="182"/>
      <c r="Q54" s="88"/>
    </row>
    <row r="55" spans="15:20" ht="14.9" customHeight="1">
      <c r="Q55" s="185"/>
      <c r="T55" s="182"/>
    </row>
    <row r="56" spans="15:20" ht="14.9" customHeight="1">
      <c r="Q56" s="185"/>
      <c r="T56" s="182"/>
    </row>
    <row r="57" spans="15:20" ht="14.9" customHeight="1">
      <c r="T57" s="182"/>
    </row>
    <row r="59" spans="15:20" ht="14.9" customHeight="1">
      <c r="T59" s="182"/>
    </row>
    <row r="60" spans="15:20" ht="24" customHeight="1">
      <c r="T60" s="182"/>
    </row>
    <row r="61" spans="15:20" ht="14.9" customHeight="1">
      <c r="T61" s="182"/>
    </row>
    <row r="62" spans="15:20" ht="14.9" customHeight="1">
      <c r="R62" s="87"/>
    </row>
    <row r="63" spans="15:20" ht="18" customHeight="1"/>
    <row r="64" spans="15:20" ht="18" customHeight="1"/>
    <row r="65" spans="5:17" ht="18" customHeight="1">
      <c r="I65" s="62"/>
    </row>
    <row r="66" spans="5:17" ht="14.9" customHeight="1"/>
    <row r="67" spans="5:17" ht="14.9" customHeight="1">
      <c r="Q67" s="76"/>
    </row>
    <row r="70" spans="5:17" ht="15">
      <c r="I70" s="62"/>
    </row>
    <row r="71" spans="5:17">
      <c r="E71" s="98"/>
      <c r="G71" s="113"/>
    </row>
    <row r="72" spans="5:17">
      <c r="F72" s="76"/>
    </row>
    <row r="79" spans="5:17">
      <c r="M79" s="183"/>
      <c r="N79" s="183"/>
    </row>
  </sheetData>
  <mergeCells count="6">
    <mergeCell ref="M79:N79"/>
    <mergeCell ref="Q48:Q52"/>
    <mergeCell ref="O51:O54"/>
    <mergeCell ref="Q55:Q56"/>
    <mergeCell ref="T55:T57"/>
    <mergeCell ref="T59:T61"/>
  </mergeCells>
  <printOptions horizontalCentered="1"/>
  <pageMargins left="0.196850393700787" right="0.196850393700787" top="0" bottom="0" header="0.31496062992126" footer="0.31496062992126"/>
  <pageSetup paperSize="9" scale="80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69A03C-74EB-4E2F-AEA5-6692C88F91C8}">
  <dimension ref="A1:FH32"/>
  <sheetViews>
    <sheetView showGridLines="0" topLeftCell="D3" zoomScale="90" zoomScaleNormal="90" workbookViewId="0">
      <pane xSplit="3" ySplit="3" topLeftCell="W6" activePane="bottomRight" state="frozen"/>
      <selection activeCell="BU18" sqref="BU18"/>
      <selection pane="topRight" activeCell="BU18" sqref="BU18"/>
      <selection pane="bottomLeft" activeCell="BU18" sqref="BU18"/>
      <selection pane="bottomRight" activeCell="AM20" sqref="AM20"/>
    </sheetView>
  </sheetViews>
  <sheetFormatPr defaultColWidth="9.1796875" defaultRowHeight="13"/>
  <cols>
    <col min="1" max="1" width="6.1796875" style="1" hidden="1" customWidth="1"/>
    <col min="2" max="2" width="10.1796875" style="1" hidden="1" customWidth="1"/>
    <col min="3" max="3" width="8.81640625" style="1" hidden="1" customWidth="1"/>
    <col min="4" max="4" width="11.453125" style="1" customWidth="1"/>
    <col min="5" max="5" width="33.1796875" style="1" hidden="1" customWidth="1"/>
    <col min="6" max="6" width="42.81640625" style="1" hidden="1" customWidth="1"/>
    <col min="7" max="7" width="10.54296875" style="1" hidden="1" customWidth="1"/>
    <col min="8" max="8" width="28.1796875" style="1" bestFit="1" customWidth="1"/>
    <col min="9" max="9" width="10.81640625" style="3" hidden="1" customWidth="1"/>
    <col min="10" max="12" width="10.1796875" style="3" hidden="1" customWidth="1"/>
    <col min="13" max="13" width="10.1796875" style="3" customWidth="1"/>
    <col min="14" max="25" width="9.54296875" style="3" customWidth="1"/>
    <col min="26" max="37" width="7.81640625" style="3" customWidth="1"/>
    <col min="38" max="39" width="9.1796875" style="1"/>
    <col min="40" max="40" width="0" style="1" hidden="1" customWidth="1"/>
    <col min="41" max="41" width="18.81640625" style="1" customWidth="1"/>
    <col min="42" max="58" width="0" style="1" hidden="1" customWidth="1"/>
    <col min="59" max="108" width="7.81640625" style="1" hidden="1" customWidth="1"/>
    <col min="109" max="164" width="7.81640625" style="1" customWidth="1"/>
    <col min="165" max="16384" width="9.1796875" style="1"/>
  </cols>
  <sheetData>
    <row r="1" spans="1:164" hidden="1"/>
    <row r="2" spans="1:164" hidden="1"/>
    <row r="3" spans="1:164" ht="19.399999999999999" customHeight="1">
      <c r="D3" s="15" t="s">
        <v>58</v>
      </c>
      <c r="F3" s="15" t="s">
        <v>58</v>
      </c>
      <c r="H3" s="15"/>
      <c r="AP3" s="170">
        <v>2023</v>
      </c>
      <c r="BG3" s="170">
        <v>2024</v>
      </c>
    </row>
    <row r="4" spans="1:164" s="61" customFormat="1" ht="17.5">
      <c r="A4" s="71"/>
      <c r="B4" s="71"/>
      <c r="C4" s="71"/>
      <c r="D4" s="72"/>
      <c r="E4" s="71"/>
      <c r="F4" s="73" t="s">
        <v>3</v>
      </c>
      <c r="G4" s="73"/>
      <c r="H4" s="73"/>
      <c r="I4" s="154">
        <v>24000</v>
      </c>
      <c r="J4" s="154">
        <v>24000</v>
      </c>
      <c r="K4" s="154">
        <v>24000</v>
      </c>
      <c r="L4" s="154">
        <v>24000</v>
      </c>
      <c r="M4" s="154"/>
      <c r="N4" s="154"/>
      <c r="O4" s="154"/>
      <c r="P4" s="154"/>
      <c r="Q4" s="154"/>
      <c r="R4" s="154"/>
      <c r="S4" s="154"/>
      <c r="T4" s="154"/>
      <c r="U4" s="154"/>
      <c r="V4" s="154"/>
      <c r="W4" s="154"/>
      <c r="X4" s="154"/>
      <c r="Y4" s="154"/>
      <c r="Z4" s="154"/>
      <c r="AA4" s="154"/>
      <c r="AB4" s="154"/>
      <c r="AC4" s="154"/>
      <c r="AD4" s="154"/>
      <c r="AE4" s="154"/>
      <c r="AF4" s="154"/>
      <c r="AG4" s="154"/>
      <c r="AH4" s="154"/>
      <c r="AI4" s="154"/>
      <c r="AJ4" s="154"/>
      <c r="AK4" s="154"/>
      <c r="AP4" s="74">
        <v>24000</v>
      </c>
      <c r="AQ4" s="74">
        <v>24000</v>
      </c>
      <c r="AR4" s="74">
        <v>24000</v>
      </c>
      <c r="AS4" s="74">
        <v>24000</v>
      </c>
      <c r="AT4" s="74">
        <v>24000</v>
      </c>
      <c r="AU4" s="74">
        <v>24000</v>
      </c>
      <c r="AV4" s="74">
        <v>24000</v>
      </c>
      <c r="AW4" s="74">
        <v>24000</v>
      </c>
      <c r="AX4" s="74">
        <v>24000</v>
      </c>
      <c r="AY4" s="74">
        <v>24000</v>
      </c>
      <c r="AZ4" s="74">
        <v>24000</v>
      </c>
      <c r="BA4" s="74">
        <v>24000</v>
      </c>
      <c r="BB4" s="74">
        <v>24000</v>
      </c>
      <c r="BC4" s="74">
        <v>24000</v>
      </c>
      <c r="BD4" s="74">
        <v>24000</v>
      </c>
      <c r="BE4" s="74">
        <v>24000</v>
      </c>
      <c r="BF4" s="74">
        <v>24000</v>
      </c>
      <c r="BG4" s="74">
        <v>24000</v>
      </c>
      <c r="BH4" s="74">
        <v>24000</v>
      </c>
      <c r="BI4" s="74">
        <v>24000</v>
      </c>
      <c r="BJ4" s="74">
        <v>24000</v>
      </c>
      <c r="BK4" s="74"/>
      <c r="BL4" s="74"/>
      <c r="BM4" s="74"/>
      <c r="BN4" s="74"/>
      <c r="BO4" s="74"/>
      <c r="BP4" s="74"/>
      <c r="BQ4" s="74"/>
      <c r="DE4" s="178">
        <v>2025</v>
      </c>
      <c r="FD4" s="178">
        <v>2026</v>
      </c>
    </row>
    <row r="5" spans="1:164" s="32" customFormat="1" ht="19.5" customHeight="1">
      <c r="A5" s="33" t="s">
        <v>0</v>
      </c>
      <c r="B5" s="33" t="s">
        <v>1</v>
      </c>
      <c r="C5" s="33" t="s">
        <v>4</v>
      </c>
      <c r="D5" s="34" t="s">
        <v>5</v>
      </c>
      <c r="E5" s="33" t="s">
        <v>6</v>
      </c>
      <c r="F5" s="33" t="s">
        <v>2</v>
      </c>
      <c r="G5" s="33" t="s">
        <v>7</v>
      </c>
      <c r="H5" s="33" t="s">
        <v>2</v>
      </c>
      <c r="I5" s="90">
        <v>9</v>
      </c>
      <c r="J5" s="90">
        <v>10</v>
      </c>
      <c r="K5" s="101">
        <v>11</v>
      </c>
      <c r="L5" s="101">
        <v>12</v>
      </c>
      <c r="M5" s="101" t="s">
        <v>122</v>
      </c>
      <c r="N5" s="101">
        <v>2</v>
      </c>
      <c r="O5" s="101">
        <v>3</v>
      </c>
      <c r="P5" s="101">
        <v>4</v>
      </c>
      <c r="Q5" s="101">
        <v>5</v>
      </c>
      <c r="R5" s="101">
        <v>6</v>
      </c>
      <c r="S5" s="101">
        <v>7</v>
      </c>
      <c r="T5" s="101">
        <v>8</v>
      </c>
      <c r="U5" s="101">
        <v>9</v>
      </c>
      <c r="V5" s="101">
        <v>10</v>
      </c>
      <c r="W5" s="101">
        <v>11</v>
      </c>
      <c r="X5" s="101">
        <v>12</v>
      </c>
      <c r="Y5" s="101" t="s">
        <v>174</v>
      </c>
      <c r="Z5" s="101">
        <v>2</v>
      </c>
      <c r="AA5" s="101">
        <v>3</v>
      </c>
      <c r="AB5" s="101">
        <v>4</v>
      </c>
      <c r="AC5" s="101">
        <v>5</v>
      </c>
      <c r="AD5" s="101">
        <v>6</v>
      </c>
      <c r="AE5" s="101">
        <v>7</v>
      </c>
      <c r="AF5" s="101">
        <v>8</v>
      </c>
      <c r="AG5" s="101">
        <v>9</v>
      </c>
      <c r="AH5" s="101">
        <v>10</v>
      </c>
      <c r="AI5" s="101">
        <v>11</v>
      </c>
      <c r="AJ5" s="101">
        <v>12</v>
      </c>
      <c r="AK5" s="101" t="s">
        <v>198</v>
      </c>
      <c r="AM5" s="34" t="s">
        <v>5</v>
      </c>
      <c r="AN5" s="33" t="s">
        <v>6</v>
      </c>
      <c r="AO5" s="33" t="s">
        <v>2</v>
      </c>
      <c r="AP5" s="101">
        <v>36</v>
      </c>
      <c r="AQ5" s="101">
        <v>37</v>
      </c>
      <c r="AR5" s="101">
        <v>38</v>
      </c>
      <c r="AS5" s="101">
        <v>39</v>
      </c>
      <c r="AT5" s="101">
        <v>40</v>
      </c>
      <c r="AU5" s="101">
        <v>41</v>
      </c>
      <c r="AV5" s="101">
        <v>42</v>
      </c>
      <c r="AW5" s="101">
        <v>43</v>
      </c>
      <c r="AX5" s="101">
        <v>44</v>
      </c>
      <c r="AY5" s="101">
        <v>45</v>
      </c>
      <c r="AZ5" s="101">
        <v>46</v>
      </c>
      <c r="BA5" s="101">
        <v>47</v>
      </c>
      <c r="BB5" s="101">
        <v>48</v>
      </c>
      <c r="BC5" s="101">
        <v>49</v>
      </c>
      <c r="BD5" s="101">
        <v>50</v>
      </c>
      <c r="BE5" s="101">
        <v>51</v>
      </c>
      <c r="BF5" s="101">
        <v>52</v>
      </c>
      <c r="BG5" s="101" t="s">
        <v>117</v>
      </c>
      <c r="BH5" s="90" t="s">
        <v>123</v>
      </c>
      <c r="BI5" s="90" t="s">
        <v>124</v>
      </c>
      <c r="BJ5" s="90" t="s">
        <v>125</v>
      </c>
      <c r="BK5" s="90" t="s">
        <v>126</v>
      </c>
      <c r="BL5" s="90" t="s">
        <v>142</v>
      </c>
      <c r="BM5" s="90" t="s">
        <v>143</v>
      </c>
      <c r="BN5" s="90" t="s">
        <v>144</v>
      </c>
      <c r="BO5" s="90" t="s">
        <v>145</v>
      </c>
      <c r="BP5" s="90" t="s">
        <v>146</v>
      </c>
      <c r="BQ5" s="90">
        <v>13</v>
      </c>
      <c r="BR5" s="90">
        <v>14</v>
      </c>
      <c r="BS5" s="90">
        <v>15</v>
      </c>
      <c r="BT5" s="90">
        <v>16</v>
      </c>
      <c r="BU5" s="90">
        <v>17</v>
      </c>
      <c r="BV5" s="90">
        <v>18</v>
      </c>
      <c r="BW5" s="90">
        <v>19</v>
      </c>
      <c r="BX5" s="90">
        <v>20</v>
      </c>
      <c r="BY5" s="90">
        <v>21</v>
      </c>
      <c r="BZ5" s="90">
        <v>22</v>
      </c>
      <c r="CA5" s="90">
        <v>23</v>
      </c>
      <c r="CB5" s="90">
        <v>24</v>
      </c>
      <c r="CC5" s="90">
        <v>25</v>
      </c>
      <c r="CD5" s="90">
        <v>26</v>
      </c>
      <c r="CE5" s="90">
        <v>27</v>
      </c>
      <c r="CF5" s="90">
        <v>28</v>
      </c>
      <c r="CG5" s="90">
        <v>29</v>
      </c>
      <c r="CH5" s="90">
        <v>30</v>
      </c>
      <c r="CI5" s="90">
        <v>31</v>
      </c>
      <c r="CJ5" s="90">
        <v>32</v>
      </c>
      <c r="CK5" s="90">
        <v>33</v>
      </c>
      <c r="CL5" s="90">
        <v>34</v>
      </c>
      <c r="CM5" s="90">
        <v>35</v>
      </c>
      <c r="CN5" s="90">
        <v>36</v>
      </c>
      <c r="CO5" s="90">
        <v>37</v>
      </c>
      <c r="CP5" s="90">
        <v>38</v>
      </c>
      <c r="CQ5" s="90">
        <v>39</v>
      </c>
      <c r="CR5" s="90">
        <v>40</v>
      </c>
      <c r="CS5" s="90">
        <v>41</v>
      </c>
      <c r="CT5" s="90">
        <v>42</v>
      </c>
      <c r="CU5" s="90">
        <v>43</v>
      </c>
      <c r="CV5" s="90">
        <v>44</v>
      </c>
      <c r="CW5" s="90">
        <v>45</v>
      </c>
      <c r="CX5" s="90">
        <v>46</v>
      </c>
      <c r="CY5" s="90">
        <v>47</v>
      </c>
      <c r="CZ5" s="90">
        <v>48</v>
      </c>
      <c r="DA5" s="90">
        <v>49</v>
      </c>
      <c r="DB5" s="90">
        <v>50</v>
      </c>
      <c r="DC5" s="90">
        <v>51</v>
      </c>
      <c r="DD5" s="90">
        <v>52</v>
      </c>
      <c r="DE5" s="90" t="s">
        <v>121</v>
      </c>
      <c r="DF5" s="90" t="s">
        <v>123</v>
      </c>
      <c r="DG5" s="90" t="s">
        <v>124</v>
      </c>
      <c r="DH5" s="90" t="s">
        <v>125</v>
      </c>
      <c r="DI5" s="90" t="s">
        <v>175</v>
      </c>
      <c r="DJ5" s="90" t="s">
        <v>177</v>
      </c>
      <c r="DK5" s="90" t="s">
        <v>142</v>
      </c>
      <c r="DL5" s="90" t="s">
        <v>143</v>
      </c>
      <c r="DM5" s="90" t="s">
        <v>144</v>
      </c>
      <c r="DN5" s="90" t="s">
        <v>145</v>
      </c>
      <c r="DO5" s="90" t="s">
        <v>146</v>
      </c>
      <c r="DP5" s="90" t="s">
        <v>147</v>
      </c>
      <c r="DQ5" s="90" t="s">
        <v>148</v>
      </c>
      <c r="DR5" s="90" t="s">
        <v>149</v>
      </c>
      <c r="DS5" s="90" t="s">
        <v>150</v>
      </c>
      <c r="DT5" s="90" t="s">
        <v>151</v>
      </c>
      <c r="DU5" s="90" t="s">
        <v>152</v>
      </c>
      <c r="DV5" s="90" t="s">
        <v>153</v>
      </c>
      <c r="DW5" s="90" t="s">
        <v>154</v>
      </c>
      <c r="DX5" s="90" t="s">
        <v>155</v>
      </c>
      <c r="DY5" s="90" t="s">
        <v>162</v>
      </c>
      <c r="DZ5" s="90" t="s">
        <v>163</v>
      </c>
      <c r="EA5" s="90" t="s">
        <v>164</v>
      </c>
      <c r="EB5" s="90" t="s">
        <v>165</v>
      </c>
      <c r="EC5" s="90" t="s">
        <v>166</v>
      </c>
      <c r="ED5" s="90" t="s">
        <v>167</v>
      </c>
      <c r="EE5" s="90" t="s">
        <v>168</v>
      </c>
      <c r="EF5" s="90" t="s">
        <v>169</v>
      </c>
      <c r="EG5" s="90" t="s">
        <v>170</v>
      </c>
      <c r="EH5" s="90" t="s">
        <v>171</v>
      </c>
      <c r="EI5" s="90" t="s">
        <v>172</v>
      </c>
      <c r="EJ5" s="90" t="s">
        <v>173</v>
      </c>
      <c r="EK5" s="90" t="s">
        <v>179</v>
      </c>
      <c r="EL5" s="90" t="s">
        <v>180</v>
      </c>
      <c r="EM5" s="90" t="s">
        <v>181</v>
      </c>
      <c r="EN5" s="90" t="s">
        <v>182</v>
      </c>
      <c r="EO5" s="90" t="s">
        <v>183</v>
      </c>
      <c r="EP5" s="90" t="s">
        <v>184</v>
      </c>
      <c r="EQ5" s="90" t="s">
        <v>185</v>
      </c>
      <c r="ER5" s="90" t="s">
        <v>186</v>
      </c>
      <c r="ES5" s="90" t="s">
        <v>187</v>
      </c>
      <c r="ET5" s="90" t="s">
        <v>188</v>
      </c>
      <c r="EU5" s="90" t="s">
        <v>189</v>
      </c>
      <c r="EV5" s="90" t="s">
        <v>190</v>
      </c>
      <c r="EW5" s="90" t="s">
        <v>191</v>
      </c>
      <c r="EX5" s="90" t="s">
        <v>192</v>
      </c>
      <c r="EY5" s="90" t="s">
        <v>193</v>
      </c>
      <c r="EZ5" s="90" t="s">
        <v>194</v>
      </c>
      <c r="FA5" s="90" t="s">
        <v>195</v>
      </c>
      <c r="FB5" s="90" t="s">
        <v>196</v>
      </c>
      <c r="FC5" s="90" t="s">
        <v>197</v>
      </c>
      <c r="FD5" s="90" t="s">
        <v>121</v>
      </c>
      <c r="FE5" s="90" t="s">
        <v>123</v>
      </c>
      <c r="FF5" s="90" t="s">
        <v>124</v>
      </c>
      <c r="FG5" s="90" t="s">
        <v>125</v>
      </c>
      <c r="FH5" s="90" t="s">
        <v>126</v>
      </c>
    </row>
    <row r="6" spans="1:164" ht="14">
      <c r="A6" s="9"/>
      <c r="B6" s="11"/>
      <c r="C6" s="11"/>
      <c r="D6" s="9"/>
      <c r="E6" s="11"/>
      <c r="F6" s="11"/>
      <c r="G6" s="9"/>
      <c r="H6" s="11" t="s">
        <v>136</v>
      </c>
      <c r="I6" s="155"/>
      <c r="J6" s="155">
        <f>'Ma trận PET'!AU6</f>
        <v>1250</v>
      </c>
      <c r="K6" s="155">
        <f>'Ma trận PET'!AV6</f>
        <v>1250</v>
      </c>
      <c r="L6" s="155">
        <f>'Ma trận PET'!AW6</f>
        <v>1250</v>
      </c>
      <c r="M6" s="155">
        <f>'Ma trận PET'!AX6</f>
        <v>1250</v>
      </c>
      <c r="N6" s="155">
        <f>'Ma trận PET'!AY6</f>
        <v>1250</v>
      </c>
      <c r="O6" s="155">
        <f>'Ma trận PET'!AZ6</f>
        <v>1250</v>
      </c>
      <c r="P6" s="155">
        <f>'Ma trận PET'!BA6</f>
        <v>1250</v>
      </c>
      <c r="Q6" s="155">
        <f>'Ma trận PET'!BB6</f>
        <v>1300</v>
      </c>
      <c r="R6" s="155">
        <f>'Ma trận PET'!BC6</f>
        <v>1300</v>
      </c>
      <c r="S6" s="155">
        <f>'Ma trận PET'!BD6</f>
        <v>1300</v>
      </c>
      <c r="T6" s="155">
        <f>'Ma trận PET'!BE6</f>
        <v>1300</v>
      </c>
      <c r="U6" s="155">
        <f>'Ma trận PET'!BF6</f>
        <v>1310</v>
      </c>
      <c r="V6" s="155">
        <f>U6+15</f>
        <v>1325</v>
      </c>
      <c r="W6" s="155">
        <f>V6</f>
        <v>1325</v>
      </c>
      <c r="X6" s="155">
        <f>W6-50</f>
        <v>1275</v>
      </c>
      <c r="Y6" s="155">
        <f>X6-45</f>
        <v>1230</v>
      </c>
      <c r="Z6" s="155">
        <f>Y6</f>
        <v>1230</v>
      </c>
      <c r="AA6" s="155">
        <f>Z6</f>
        <v>1230</v>
      </c>
      <c r="AB6" s="155">
        <f>AA6+20</f>
        <v>1250</v>
      </c>
      <c r="AC6" s="155">
        <f>AB6</f>
        <v>1250</v>
      </c>
      <c r="AD6" s="155">
        <f>AC6</f>
        <v>1250</v>
      </c>
      <c r="AE6" s="155">
        <f>AD6</f>
        <v>1250</v>
      </c>
      <c r="AF6" s="155">
        <f>AE6-20-10</f>
        <v>1220</v>
      </c>
      <c r="AG6" s="155">
        <f>AF6</f>
        <v>1220</v>
      </c>
      <c r="AH6" s="155">
        <v>1210</v>
      </c>
      <c r="AI6" s="155">
        <v>1200</v>
      </c>
      <c r="AJ6" s="155">
        <v>1200</v>
      </c>
      <c r="AK6" s="155">
        <v>1160</v>
      </c>
      <c r="AM6" s="9"/>
      <c r="AN6" s="11"/>
      <c r="AO6" s="1" t="s">
        <v>136</v>
      </c>
      <c r="AP6" s="50">
        <f>'Ma trận PET'!FI6</f>
        <v>1250</v>
      </c>
      <c r="AQ6" s="50">
        <f>'Ma trận PET'!FJ6</f>
        <v>1250</v>
      </c>
      <c r="AR6" s="50">
        <f>'Ma trận PET'!FK6</f>
        <v>1250</v>
      </c>
      <c r="AS6" s="50">
        <f>'Ma trận PET'!FL6</f>
        <v>1250</v>
      </c>
      <c r="AT6" s="50">
        <f>'Ma trận PET'!FM6</f>
        <v>1250</v>
      </c>
      <c r="AU6" s="50">
        <f>'Ma trận PET'!FN6</f>
        <v>1250</v>
      </c>
      <c r="AV6" s="50">
        <f>'Ma trận PET'!FO6</f>
        <v>1250</v>
      </c>
      <c r="AW6" s="50">
        <f>'Ma trận PET'!FP6</f>
        <v>1250</v>
      </c>
      <c r="AX6" s="50">
        <f>'Ma trận PET'!FQ6</f>
        <v>1250</v>
      </c>
      <c r="AY6" s="50">
        <f>'Ma trận PET'!FR6</f>
        <v>1250</v>
      </c>
      <c r="AZ6" s="50">
        <f>'Ma trận PET'!FS6</f>
        <v>1250</v>
      </c>
      <c r="BA6" s="50">
        <f>'Ma trận PET'!FT6</f>
        <v>1250</v>
      </c>
      <c r="BB6" s="50">
        <f>'Ma trận PET'!FU6</f>
        <v>1250</v>
      </c>
      <c r="BC6" s="50">
        <f>'Ma trận PET'!FV6</f>
        <v>1250</v>
      </c>
      <c r="BD6" s="50">
        <f>'Ma trận PET'!FW6</f>
        <v>1250</v>
      </c>
      <c r="BE6" s="50">
        <f>'Ma trận PET'!FX6</f>
        <v>1250</v>
      </c>
      <c r="BF6" s="50">
        <f>'Ma trận PET'!FY6</f>
        <v>1250</v>
      </c>
      <c r="BG6" s="50">
        <f>'Ma trận PET'!FZ6</f>
        <v>1250</v>
      </c>
      <c r="BH6" s="50">
        <f>'Ma trận PET'!GA6</f>
        <v>1250</v>
      </c>
      <c r="BI6" s="50">
        <f>'Ma trận PET'!GB6</f>
        <v>1250</v>
      </c>
      <c r="BJ6" s="50">
        <f>'Ma trận PET'!GC6</f>
        <v>1250</v>
      </c>
      <c r="BK6" s="50">
        <f>'Ma trận PET'!GD6</f>
        <v>1250</v>
      </c>
      <c r="BL6" s="50">
        <v>1250</v>
      </c>
      <c r="BM6" s="50">
        <v>1250</v>
      </c>
      <c r="BN6" s="50">
        <v>1250</v>
      </c>
      <c r="BO6" s="50">
        <v>1250</v>
      </c>
      <c r="BP6" s="50">
        <v>1250</v>
      </c>
      <c r="BQ6" s="50">
        <v>1250</v>
      </c>
      <c r="BR6" s="50">
        <v>1250</v>
      </c>
      <c r="BS6" s="50">
        <v>1250</v>
      </c>
      <c r="BT6" s="50">
        <v>1250</v>
      </c>
      <c r="BU6" s="50">
        <v>1250</v>
      </c>
      <c r="BV6" s="50">
        <v>1300</v>
      </c>
      <c r="BW6" s="50">
        <v>1300</v>
      </c>
      <c r="BX6" s="50">
        <v>1300</v>
      </c>
      <c r="BY6" s="50">
        <v>1300</v>
      </c>
      <c r="BZ6" s="50">
        <v>1300</v>
      </c>
      <c r="CA6" s="50">
        <v>1300</v>
      </c>
      <c r="CB6" s="50">
        <v>1300</v>
      </c>
      <c r="CC6" s="50">
        <v>1300</v>
      </c>
      <c r="CD6" s="50">
        <v>1300</v>
      </c>
      <c r="CE6" s="50">
        <v>1300</v>
      </c>
      <c r="CF6" s="50">
        <v>1300</v>
      </c>
      <c r="CG6" s="50">
        <v>1300</v>
      </c>
      <c r="CH6" s="50">
        <v>1300</v>
      </c>
      <c r="CI6" s="50">
        <v>1300</v>
      </c>
      <c r="CJ6" s="50">
        <v>1300</v>
      </c>
      <c r="CK6" s="50">
        <v>1300</v>
      </c>
      <c r="CL6" s="50">
        <v>1300</v>
      </c>
      <c r="CM6" s="50">
        <v>1300</v>
      </c>
      <c r="CN6" s="50">
        <v>1310</v>
      </c>
      <c r="CO6" s="50">
        <v>1310</v>
      </c>
      <c r="CP6" s="50">
        <v>1310</v>
      </c>
      <c r="CQ6" s="50">
        <v>1310</v>
      </c>
      <c r="CR6" s="50">
        <v>1325</v>
      </c>
      <c r="CS6" s="50">
        <v>1325</v>
      </c>
      <c r="CT6" s="50">
        <v>1325</v>
      </c>
      <c r="CU6" s="50">
        <v>1325</v>
      </c>
      <c r="CV6" s="50">
        <v>1325</v>
      </c>
      <c r="CW6" s="50">
        <v>1325</v>
      </c>
      <c r="CX6" s="50">
        <v>1325</v>
      </c>
      <c r="CY6" s="50">
        <v>1325</v>
      </c>
      <c r="CZ6" s="50">
        <v>1325</v>
      </c>
      <c r="DA6" s="50">
        <f>1325-50</f>
        <v>1275</v>
      </c>
      <c r="DB6" s="50">
        <f t="shared" ref="DB6:DD6" si="0">1325-50</f>
        <v>1275</v>
      </c>
      <c r="DC6" s="50">
        <f t="shared" si="0"/>
        <v>1275</v>
      </c>
      <c r="DD6" s="50">
        <f t="shared" si="0"/>
        <v>1275</v>
      </c>
      <c r="DE6" s="50">
        <f>1325-50-45</f>
        <v>1230</v>
      </c>
      <c r="DF6" s="50">
        <f t="shared" ref="DF6:DP6" si="1">1325-50-45</f>
        <v>1230</v>
      </c>
      <c r="DG6" s="50">
        <f t="shared" si="1"/>
        <v>1230</v>
      </c>
      <c r="DH6" s="50">
        <f t="shared" si="1"/>
        <v>1230</v>
      </c>
      <c r="DI6" s="50">
        <f t="shared" si="1"/>
        <v>1230</v>
      </c>
      <c r="DJ6" s="50">
        <f t="shared" si="1"/>
        <v>1230</v>
      </c>
      <c r="DK6" s="50">
        <f t="shared" si="1"/>
        <v>1230</v>
      </c>
      <c r="DL6" s="50">
        <f t="shared" si="1"/>
        <v>1230</v>
      </c>
      <c r="DM6" s="50">
        <f t="shared" si="1"/>
        <v>1230</v>
      </c>
      <c r="DN6" s="50">
        <f t="shared" si="1"/>
        <v>1230</v>
      </c>
      <c r="DO6" s="50">
        <f t="shared" si="1"/>
        <v>1230</v>
      </c>
      <c r="DP6" s="50">
        <f t="shared" si="1"/>
        <v>1230</v>
      </c>
      <c r="DQ6" s="50">
        <f>1325-50-45+20</f>
        <v>1250</v>
      </c>
      <c r="DR6" s="50">
        <f t="shared" ref="DR6:EH6" si="2">1325-50-45+20</f>
        <v>1250</v>
      </c>
      <c r="DS6" s="50">
        <f t="shared" si="2"/>
        <v>1250</v>
      </c>
      <c r="DT6" s="50">
        <f t="shared" si="2"/>
        <v>1250</v>
      </c>
      <c r="DU6" s="50">
        <f t="shared" si="2"/>
        <v>1250</v>
      </c>
      <c r="DV6" s="50">
        <f t="shared" si="2"/>
        <v>1250</v>
      </c>
      <c r="DW6" s="50">
        <f t="shared" si="2"/>
        <v>1250</v>
      </c>
      <c r="DX6" s="50">
        <f t="shared" si="2"/>
        <v>1250</v>
      </c>
      <c r="DY6" s="50">
        <f t="shared" si="2"/>
        <v>1250</v>
      </c>
      <c r="DZ6" s="50">
        <f t="shared" si="2"/>
        <v>1250</v>
      </c>
      <c r="EA6" s="50">
        <f t="shared" si="2"/>
        <v>1250</v>
      </c>
      <c r="EB6" s="50">
        <f t="shared" si="2"/>
        <v>1250</v>
      </c>
      <c r="EC6" s="50">
        <f t="shared" si="2"/>
        <v>1250</v>
      </c>
      <c r="ED6" s="50">
        <f t="shared" si="2"/>
        <v>1250</v>
      </c>
      <c r="EE6" s="50">
        <f t="shared" si="2"/>
        <v>1250</v>
      </c>
      <c r="EF6" s="50">
        <f t="shared" si="2"/>
        <v>1250</v>
      </c>
      <c r="EG6" s="50">
        <f t="shared" si="2"/>
        <v>1250</v>
      </c>
      <c r="EH6" s="50">
        <f t="shared" si="2"/>
        <v>1250</v>
      </c>
      <c r="EI6" s="50">
        <f>1325-50-45+20-20-10</f>
        <v>1220</v>
      </c>
      <c r="EJ6" s="50">
        <f t="shared" ref="EJ6:EP6" si="3">1325-50-45+20-20-10</f>
        <v>1220</v>
      </c>
      <c r="EK6" s="50">
        <f t="shared" si="3"/>
        <v>1220</v>
      </c>
      <c r="EL6" s="50">
        <f t="shared" si="3"/>
        <v>1220</v>
      </c>
      <c r="EM6" s="50">
        <f t="shared" si="3"/>
        <v>1220</v>
      </c>
      <c r="EN6" s="50">
        <f t="shared" si="3"/>
        <v>1220</v>
      </c>
      <c r="EO6" s="50">
        <f t="shared" si="3"/>
        <v>1220</v>
      </c>
      <c r="EP6" s="50">
        <f t="shared" si="3"/>
        <v>1220</v>
      </c>
      <c r="EQ6" s="50">
        <f>1325-50-45+20-20-10-10</f>
        <v>1210</v>
      </c>
      <c r="ER6" s="50">
        <f t="shared" ref="ER6:EU6" si="4">1325-50-45+20-20-10-10</f>
        <v>1210</v>
      </c>
      <c r="ES6" s="50">
        <f t="shared" si="4"/>
        <v>1210</v>
      </c>
      <c r="ET6" s="50">
        <f t="shared" si="4"/>
        <v>1210</v>
      </c>
      <c r="EU6" s="50">
        <f t="shared" si="4"/>
        <v>1210</v>
      </c>
      <c r="EV6" s="50">
        <f>1325-50-45+20-20-10-10-10</f>
        <v>1200</v>
      </c>
      <c r="EW6" s="50">
        <f t="shared" ref="EW6:FC6" si="5">1325-50-45+20-20-10-10-10</f>
        <v>1200</v>
      </c>
      <c r="EX6" s="50">
        <f t="shared" si="5"/>
        <v>1200</v>
      </c>
      <c r="EY6" s="50">
        <f t="shared" si="5"/>
        <v>1200</v>
      </c>
      <c r="EZ6" s="50">
        <f t="shared" si="5"/>
        <v>1200</v>
      </c>
      <c r="FA6" s="50">
        <f t="shared" si="5"/>
        <v>1200</v>
      </c>
      <c r="FB6" s="50">
        <f t="shared" si="5"/>
        <v>1200</v>
      </c>
      <c r="FC6" s="50">
        <f t="shared" si="5"/>
        <v>1200</v>
      </c>
      <c r="FD6" s="50">
        <f>1325-50-45+20-20-10-10-10-40</f>
        <v>1160</v>
      </c>
      <c r="FE6" s="50">
        <f t="shared" ref="FE6:FH6" si="6">1325-50-45+20-20-10-10-10-40</f>
        <v>1160</v>
      </c>
      <c r="FF6" s="50">
        <f t="shared" si="6"/>
        <v>1160</v>
      </c>
      <c r="FG6" s="50">
        <f t="shared" si="6"/>
        <v>1160</v>
      </c>
      <c r="FH6" s="50">
        <f t="shared" si="6"/>
        <v>1160</v>
      </c>
    </row>
    <row r="7" spans="1:164" ht="14">
      <c r="A7" s="9">
        <v>5</v>
      </c>
      <c r="B7" s="11" t="s">
        <v>25</v>
      </c>
      <c r="C7" s="11" t="s">
        <v>26</v>
      </c>
      <c r="D7" s="9"/>
      <c r="E7" s="11" t="s">
        <v>28</v>
      </c>
      <c r="F7" s="11" t="s">
        <v>127</v>
      </c>
      <c r="G7" s="9" t="s">
        <v>24</v>
      </c>
      <c r="H7" s="11" t="s">
        <v>132</v>
      </c>
      <c r="I7" s="155">
        <v>1050</v>
      </c>
      <c r="J7" s="155">
        <v>1050</v>
      </c>
      <c r="K7" s="155">
        <v>1050</v>
      </c>
      <c r="L7" s="155">
        <v>1050</v>
      </c>
      <c r="M7" s="155">
        <v>1050</v>
      </c>
      <c r="N7" s="155">
        <v>1050</v>
      </c>
      <c r="O7" s="155">
        <v>1050</v>
      </c>
      <c r="P7" s="155">
        <v>1050</v>
      </c>
      <c r="Q7" s="155">
        <v>1100</v>
      </c>
      <c r="R7" s="155">
        <v>1100</v>
      </c>
      <c r="S7" s="155">
        <v>1100</v>
      </c>
      <c r="T7" s="155">
        <v>1100</v>
      </c>
      <c r="U7" s="155">
        <v>1100</v>
      </c>
      <c r="V7" s="155">
        <v>1100</v>
      </c>
      <c r="W7" s="155">
        <v>1100</v>
      </c>
      <c r="X7" s="155">
        <v>1100</v>
      </c>
      <c r="Y7" s="155">
        <v>1100</v>
      </c>
      <c r="Z7" s="155">
        <v>1100</v>
      </c>
      <c r="AA7" s="155">
        <v>1100</v>
      </c>
      <c r="AB7" s="155">
        <v>1120</v>
      </c>
      <c r="AC7" s="155">
        <v>1120</v>
      </c>
      <c r="AD7" s="155">
        <v>1120</v>
      </c>
      <c r="AE7" s="155">
        <f t="shared" ref="AE7:AJ7" si="7">+AE6-130</f>
        <v>1120</v>
      </c>
      <c r="AF7" s="155">
        <f t="shared" si="7"/>
        <v>1090</v>
      </c>
      <c r="AG7" s="155">
        <f t="shared" si="7"/>
        <v>1090</v>
      </c>
      <c r="AH7" s="155">
        <f t="shared" si="7"/>
        <v>1080</v>
      </c>
      <c r="AI7" s="155">
        <f t="shared" si="7"/>
        <v>1070</v>
      </c>
      <c r="AJ7" s="155">
        <f t="shared" si="7"/>
        <v>1070</v>
      </c>
      <c r="AK7" s="155">
        <f t="shared" ref="AK7" si="8">+AK6-130</f>
        <v>1030</v>
      </c>
      <c r="AM7" s="9"/>
      <c r="AN7" s="11" t="s">
        <v>28</v>
      </c>
      <c r="AO7" s="112" t="s">
        <v>132</v>
      </c>
      <c r="AP7" s="50">
        <v>1050</v>
      </c>
      <c r="AQ7" s="50">
        <v>1050</v>
      </c>
      <c r="AR7" s="50">
        <v>1050</v>
      </c>
      <c r="AS7" s="50">
        <v>1050</v>
      </c>
      <c r="AT7" s="50">
        <v>1050</v>
      </c>
      <c r="AU7" s="50">
        <v>1050</v>
      </c>
      <c r="AV7" s="50">
        <v>1050</v>
      </c>
      <c r="AW7" s="50">
        <v>1050</v>
      </c>
      <c r="AX7" s="50">
        <v>1050</v>
      </c>
      <c r="AY7" s="50">
        <v>1050</v>
      </c>
      <c r="AZ7" s="50">
        <v>1050</v>
      </c>
      <c r="BA7" s="50">
        <v>1050</v>
      </c>
      <c r="BB7" s="50">
        <v>1050</v>
      </c>
      <c r="BC7" s="50">
        <v>1050</v>
      </c>
      <c r="BD7" s="50">
        <v>1050</v>
      </c>
      <c r="BE7" s="50">
        <v>1050</v>
      </c>
      <c r="BF7" s="50">
        <v>1050</v>
      </c>
      <c r="BG7" s="50">
        <v>1050</v>
      </c>
      <c r="BH7" s="50">
        <v>1050</v>
      </c>
      <c r="BI7" s="50">
        <v>1050</v>
      </c>
      <c r="BJ7" s="50">
        <v>1050</v>
      </c>
      <c r="BK7" s="50">
        <v>1050</v>
      </c>
      <c r="BL7" s="50">
        <v>1050</v>
      </c>
      <c r="BM7" s="50">
        <v>1050</v>
      </c>
      <c r="BN7" s="50">
        <v>1050</v>
      </c>
      <c r="BO7" s="50">
        <v>1050</v>
      </c>
      <c r="BP7" s="50">
        <v>1050</v>
      </c>
      <c r="BQ7" s="50">
        <v>1050</v>
      </c>
      <c r="BR7" s="50">
        <v>1050</v>
      </c>
      <c r="BS7" s="50">
        <v>1050</v>
      </c>
      <c r="BT7" s="50">
        <v>1050</v>
      </c>
      <c r="BU7" s="50">
        <v>1050</v>
      </c>
      <c r="BV7" s="50">
        <v>1100</v>
      </c>
      <c r="BW7" s="50">
        <v>1100</v>
      </c>
      <c r="BX7" s="50">
        <v>1100</v>
      </c>
      <c r="BY7" s="50">
        <v>1100</v>
      </c>
      <c r="BZ7" s="50">
        <v>1100</v>
      </c>
      <c r="CA7" s="50">
        <v>1100</v>
      </c>
      <c r="CB7" s="50">
        <v>1100</v>
      </c>
      <c r="CC7" s="50">
        <v>1100</v>
      </c>
      <c r="CD7" s="50">
        <v>1100</v>
      </c>
      <c r="CE7" s="50">
        <v>1100</v>
      </c>
      <c r="CF7" s="50">
        <v>1100</v>
      </c>
      <c r="CG7" s="50">
        <v>1100</v>
      </c>
      <c r="CH7" s="50">
        <v>1100</v>
      </c>
      <c r="CI7" s="50">
        <v>1100</v>
      </c>
      <c r="CJ7" s="50">
        <v>1100</v>
      </c>
      <c r="CK7" s="50">
        <v>1100</v>
      </c>
      <c r="CL7" s="50">
        <v>1100</v>
      </c>
      <c r="CM7" s="50">
        <v>1100</v>
      </c>
      <c r="CN7" s="50">
        <v>1100</v>
      </c>
      <c r="CO7" s="50">
        <v>1100</v>
      </c>
      <c r="CP7" s="50">
        <v>1100</v>
      </c>
      <c r="CQ7" s="50">
        <v>1100</v>
      </c>
      <c r="CR7" s="50">
        <v>1100</v>
      </c>
      <c r="CS7" s="50">
        <v>1100</v>
      </c>
      <c r="CT7" s="50">
        <v>1100</v>
      </c>
      <c r="CU7" s="50">
        <v>1100</v>
      </c>
      <c r="CV7" s="50">
        <v>1100</v>
      </c>
      <c r="CW7" s="50">
        <v>1100</v>
      </c>
      <c r="CX7" s="50">
        <v>1100</v>
      </c>
      <c r="CY7" s="50">
        <v>1100</v>
      </c>
      <c r="CZ7" s="50">
        <v>1100</v>
      </c>
      <c r="DA7" s="50">
        <v>1100</v>
      </c>
      <c r="DB7" s="50">
        <v>1100</v>
      </c>
      <c r="DC7" s="50">
        <v>1100</v>
      </c>
      <c r="DD7" s="50">
        <v>1100</v>
      </c>
      <c r="DE7" s="50">
        <v>1100</v>
      </c>
      <c r="DF7" s="50">
        <v>1100</v>
      </c>
      <c r="DG7" s="50">
        <v>1100</v>
      </c>
      <c r="DH7" s="50">
        <v>1100</v>
      </c>
      <c r="DI7" s="50">
        <v>1100</v>
      </c>
      <c r="DJ7" s="50">
        <v>1100</v>
      </c>
      <c r="DK7" s="50">
        <v>1100</v>
      </c>
      <c r="DL7" s="50">
        <v>1100</v>
      </c>
      <c r="DM7" s="50">
        <v>1100</v>
      </c>
      <c r="DN7" s="50">
        <v>1100</v>
      </c>
      <c r="DO7" s="50">
        <v>1100</v>
      </c>
      <c r="DP7" s="50">
        <v>1100</v>
      </c>
      <c r="DQ7" s="50">
        <v>1120</v>
      </c>
      <c r="DR7" s="50">
        <v>1120</v>
      </c>
      <c r="DS7" s="50">
        <v>1120</v>
      </c>
      <c r="DT7" s="50">
        <v>1120</v>
      </c>
      <c r="DU7" s="50">
        <v>1120</v>
      </c>
      <c r="DV7" s="50">
        <v>1120</v>
      </c>
      <c r="DW7" s="50">
        <v>1120</v>
      </c>
      <c r="DX7" s="50">
        <v>1120</v>
      </c>
      <c r="DY7" s="50">
        <v>1120</v>
      </c>
      <c r="DZ7" s="50">
        <v>1120</v>
      </c>
      <c r="EA7" s="50">
        <v>1120</v>
      </c>
      <c r="EB7" s="50">
        <v>1120</v>
      </c>
      <c r="EC7" s="50">
        <v>1120</v>
      </c>
      <c r="ED7" s="50">
        <v>1120</v>
      </c>
      <c r="EE7" s="50">
        <v>1120</v>
      </c>
      <c r="EF7" s="50">
        <v>1120</v>
      </c>
      <c r="EG7" s="50">
        <v>1120</v>
      </c>
      <c r="EH7" s="50">
        <v>1120</v>
      </c>
      <c r="EI7" s="50">
        <f>+EI6-130</f>
        <v>1090</v>
      </c>
      <c r="EJ7" s="50">
        <f t="shared" ref="EJ7:EP7" si="9">+EJ6-130</f>
        <v>1090</v>
      </c>
      <c r="EK7" s="50">
        <f t="shared" si="9"/>
        <v>1090</v>
      </c>
      <c r="EL7" s="50">
        <f t="shared" si="9"/>
        <v>1090</v>
      </c>
      <c r="EM7" s="50">
        <f t="shared" si="9"/>
        <v>1090</v>
      </c>
      <c r="EN7" s="50">
        <f t="shared" si="9"/>
        <v>1090</v>
      </c>
      <c r="EO7" s="50">
        <f t="shared" si="9"/>
        <v>1090</v>
      </c>
      <c r="EP7" s="50">
        <f t="shared" si="9"/>
        <v>1090</v>
      </c>
      <c r="EQ7" s="50">
        <f t="shared" ref="EQ7:EU7" si="10">+EQ6-130</f>
        <v>1080</v>
      </c>
      <c r="ER7" s="50">
        <f t="shared" si="10"/>
        <v>1080</v>
      </c>
      <c r="ES7" s="50">
        <f t="shared" si="10"/>
        <v>1080</v>
      </c>
      <c r="ET7" s="50">
        <f t="shared" si="10"/>
        <v>1080</v>
      </c>
      <c r="EU7" s="50">
        <f t="shared" si="10"/>
        <v>1080</v>
      </c>
      <c r="EV7" s="50">
        <f t="shared" ref="EV7:EY7" si="11">+EV6-130</f>
        <v>1070</v>
      </c>
      <c r="EW7" s="50">
        <f t="shared" si="11"/>
        <v>1070</v>
      </c>
      <c r="EX7" s="50">
        <f t="shared" si="11"/>
        <v>1070</v>
      </c>
      <c r="EY7" s="50">
        <f t="shared" si="11"/>
        <v>1070</v>
      </c>
      <c r="EZ7" s="50">
        <f t="shared" ref="EZ7:FC7" si="12">+EZ6-130</f>
        <v>1070</v>
      </c>
      <c r="FA7" s="50">
        <f t="shared" si="12"/>
        <v>1070</v>
      </c>
      <c r="FB7" s="50">
        <f t="shared" si="12"/>
        <v>1070</v>
      </c>
      <c r="FC7" s="50">
        <f t="shared" si="12"/>
        <v>1070</v>
      </c>
      <c r="FD7" s="50">
        <f t="shared" ref="FD7:FH7" si="13">+FD6-130</f>
        <v>1030</v>
      </c>
      <c r="FE7" s="50">
        <f t="shared" si="13"/>
        <v>1030</v>
      </c>
      <c r="FF7" s="50">
        <f t="shared" si="13"/>
        <v>1030</v>
      </c>
      <c r="FG7" s="50">
        <f t="shared" si="13"/>
        <v>1030</v>
      </c>
      <c r="FH7" s="50">
        <f t="shared" si="13"/>
        <v>1030</v>
      </c>
    </row>
    <row r="8" spans="1:164" s="13" customFormat="1" ht="14" hidden="1">
      <c r="A8" s="54">
        <v>9</v>
      </c>
      <c r="B8" s="55"/>
      <c r="C8" s="55"/>
      <c r="D8" s="106" t="s">
        <v>37</v>
      </c>
      <c r="E8" s="55" t="s">
        <v>38</v>
      </c>
      <c r="F8" s="55" t="s">
        <v>39</v>
      </c>
      <c r="G8" s="54" t="s">
        <v>24</v>
      </c>
      <c r="H8" s="111" t="s">
        <v>37</v>
      </c>
      <c r="I8" s="156">
        <f>SUM(AP8:AS8)/COUNT(AP8:AS8)</f>
        <v>802.75</v>
      </c>
      <c r="J8" s="156">
        <f>SUM(AT8:AW8)/COUNT(AT8:AW8)</f>
        <v>801</v>
      </c>
      <c r="K8" s="156">
        <f>SUM(AX8:BA8)/COUNT(AX8:BA8)</f>
        <v>821.5</v>
      </c>
      <c r="L8" s="156">
        <f>SUM(BB8:BE8)/COUNT(BB8:BE8)</f>
        <v>821.5</v>
      </c>
      <c r="M8" s="156">
        <f>SUM(BG8:BJ8)/COUNT(BG8:BJ8)</f>
        <v>804.25</v>
      </c>
      <c r="N8" s="156">
        <f>SUM(BK8:BM8)/COUNT(BK8:BM8)</f>
        <v>787</v>
      </c>
      <c r="O8" s="156">
        <f>SUM(BN8:BQ8)/COUNT(BN8:BQ8)</f>
        <v>815.875</v>
      </c>
      <c r="P8" s="156">
        <f>SUM(BR8:BU8)/COUNT(BR8:BU8)</f>
        <v>831.875</v>
      </c>
      <c r="Q8" s="156">
        <f>SUM(BV8:BZ8)/COUNT(BV8:BZ8)</f>
        <v>894.5</v>
      </c>
      <c r="R8" s="156">
        <f>SUM(CA8:CD8)/COUNT(CA8:CD8)</f>
        <v>978.5</v>
      </c>
      <c r="S8" s="156">
        <f>SUM(CE8:CH8)/COUNT(CE8:CH8)</f>
        <v>978.5</v>
      </c>
      <c r="T8" s="156">
        <f>SUM(CI8:CM8)/COUNT(CI8:CM8)</f>
        <v>980.5</v>
      </c>
      <c r="U8" s="156">
        <f>SUM(CN8:CQ8)/COUNT(CN8:CQ8)</f>
        <v>996</v>
      </c>
      <c r="V8" s="156">
        <f>SUM(CR8:CU8)/COUNT(CR8:CU8)</f>
        <v>1018.5</v>
      </c>
      <c r="W8" s="156">
        <f>SUM(CV8:CZ8)/COUNT(CV8:CZ8)</f>
        <v>999.7</v>
      </c>
      <c r="X8" s="156">
        <f>SUM(DA8:DD8)/COUNT(DA8:DD8)</f>
        <v>956.5</v>
      </c>
      <c r="Y8" s="156">
        <f>SUM(DE8:DH8)/COUNT(DE8:DH8)</f>
        <v>911.5</v>
      </c>
      <c r="Z8" s="156">
        <f>SUM(DI8:DL8)/COUNT(DI8:DL8)</f>
        <v>911.5</v>
      </c>
      <c r="AA8" s="156">
        <f>SUM(DM8:DP8)/COUNT(DM8:DP8)</f>
        <v>919.25</v>
      </c>
      <c r="AB8" s="156">
        <f>SUM(DQ8:DT8)/COUNT(DQ8:DT8)</f>
        <v>933.125</v>
      </c>
      <c r="AC8" s="156">
        <f>SUM(DU8:DY8)/COUNT(DU8:DY8)</f>
        <v>944.7</v>
      </c>
      <c r="AD8" s="156">
        <f>SUM(DZ8:EC8)/COUNT(DZ8:EC8)</f>
        <v>954.5</v>
      </c>
      <c r="AE8" s="156">
        <f>SUM(ED8:EH8)/COUNT(ED8:EH8)</f>
        <v>918</v>
      </c>
      <c r="AF8" s="156">
        <f>SUM(EI8:EL8)/COUNT(EI8:EL8)</f>
        <v>868.375</v>
      </c>
      <c r="AG8" s="156">
        <f>SUM(EM8:EP8)/COUNT(EM8:EP8)</f>
        <v>803.5</v>
      </c>
      <c r="AH8" s="156">
        <f>SUM(EQ8:EU8)/COUNT(EQ8:EU8)</f>
        <v>794.125</v>
      </c>
      <c r="AI8" s="156" t="e">
        <f>SUM(EV8:EY8)/COUNT(EV8:EY8)</f>
        <v>#DIV/0!</v>
      </c>
      <c r="AJ8" s="156" t="e">
        <f>SUM(EW8:EZ8)/COUNT(EW8:EZ8)</f>
        <v>#DIV/0!</v>
      </c>
      <c r="AK8" s="156" t="e">
        <f>SUM(EX8:FA8)/COUNT(EX8:FA8)</f>
        <v>#DIV/0!</v>
      </c>
      <c r="AM8" s="54" t="s">
        <v>37</v>
      </c>
      <c r="AN8" s="55" t="s">
        <v>38</v>
      </c>
      <c r="AO8" s="126" t="s">
        <v>37</v>
      </c>
      <c r="AP8" s="102">
        <v>802.5</v>
      </c>
      <c r="AQ8" s="102">
        <v>802.5</v>
      </c>
      <c r="AR8" s="102">
        <v>802.5</v>
      </c>
      <c r="AS8" s="102">
        <v>803.5</v>
      </c>
      <c r="AT8" s="102">
        <v>801</v>
      </c>
      <c r="AU8" s="102">
        <v>801</v>
      </c>
      <c r="AV8" s="102">
        <v>801</v>
      </c>
      <c r="AW8" s="102">
        <v>801</v>
      </c>
      <c r="AX8" s="102">
        <v>821.5</v>
      </c>
      <c r="AY8" s="102">
        <v>821.5</v>
      </c>
      <c r="AZ8" s="102">
        <v>821.5</v>
      </c>
      <c r="BA8" s="102">
        <v>821.5</v>
      </c>
      <c r="BB8" s="102">
        <v>821.5</v>
      </c>
      <c r="BC8" s="102">
        <v>821.5</v>
      </c>
      <c r="BD8" s="102">
        <v>821.5</v>
      </c>
      <c r="BE8" s="102">
        <v>821.5</v>
      </c>
      <c r="BF8" s="102">
        <v>821.5</v>
      </c>
      <c r="BG8" s="102">
        <v>821.5</v>
      </c>
      <c r="BH8" s="102">
        <v>821.5</v>
      </c>
      <c r="BI8" s="102">
        <v>787</v>
      </c>
      <c r="BJ8" s="102">
        <v>787</v>
      </c>
      <c r="BK8" s="102">
        <v>787</v>
      </c>
      <c r="BL8" s="102">
        <v>787</v>
      </c>
      <c r="BM8" s="102">
        <v>787</v>
      </c>
      <c r="BN8" s="102">
        <v>788.5</v>
      </c>
      <c r="BO8" s="102">
        <v>825</v>
      </c>
      <c r="BP8" s="102">
        <v>825</v>
      </c>
      <c r="BQ8" s="102">
        <v>825</v>
      </c>
      <c r="BR8" s="102">
        <v>825</v>
      </c>
      <c r="BS8" s="102">
        <v>825</v>
      </c>
      <c r="BT8" s="102">
        <v>825</v>
      </c>
      <c r="BU8" s="102">
        <v>852.5</v>
      </c>
      <c r="BV8" s="102">
        <v>873.5</v>
      </c>
      <c r="BW8" s="102">
        <v>873.5</v>
      </c>
      <c r="BX8" s="102">
        <v>873.5</v>
      </c>
      <c r="BY8" s="102">
        <v>873.5</v>
      </c>
      <c r="BZ8" s="102">
        <v>978.5</v>
      </c>
      <c r="CA8" s="102">
        <v>978.5</v>
      </c>
      <c r="CB8" s="102">
        <v>978.5</v>
      </c>
      <c r="CC8" s="102">
        <v>978.5</v>
      </c>
      <c r="CD8" s="102">
        <v>978.5</v>
      </c>
      <c r="CE8" s="102">
        <v>978.5</v>
      </c>
      <c r="CF8" s="102">
        <v>978.5</v>
      </c>
      <c r="CG8" s="102">
        <v>978.5</v>
      </c>
      <c r="CH8" s="102">
        <v>978.5</v>
      </c>
      <c r="CI8" s="102">
        <v>978.5</v>
      </c>
      <c r="CJ8" s="102">
        <v>978.5</v>
      </c>
      <c r="CK8" s="102">
        <v>978.5</v>
      </c>
      <c r="CL8" s="102">
        <v>978.5</v>
      </c>
      <c r="CM8" s="102">
        <v>988.5</v>
      </c>
      <c r="CN8" s="102">
        <v>988.5</v>
      </c>
      <c r="CO8" s="102">
        <v>988.5</v>
      </c>
      <c r="CP8" s="102">
        <v>988.5</v>
      </c>
      <c r="CQ8" s="102">
        <v>1018.5</v>
      </c>
      <c r="CR8" s="102">
        <v>1018.5</v>
      </c>
      <c r="CS8" s="102">
        <v>1018.5</v>
      </c>
      <c r="CT8" s="102">
        <v>1018.5</v>
      </c>
      <c r="CU8" s="102">
        <v>1018.5</v>
      </c>
      <c r="CV8" s="102">
        <v>1018.5</v>
      </c>
      <c r="CW8" s="102">
        <v>1018.5</v>
      </c>
      <c r="CX8" s="102">
        <v>1018.5</v>
      </c>
      <c r="CY8" s="102">
        <v>971.5</v>
      </c>
      <c r="CZ8" s="102">
        <v>971.5</v>
      </c>
      <c r="DA8" s="102">
        <v>971.5</v>
      </c>
      <c r="DB8" s="102">
        <v>971.5</v>
      </c>
      <c r="DC8" s="102">
        <v>971.5</v>
      </c>
      <c r="DD8" s="102">
        <v>911.5</v>
      </c>
      <c r="DE8" s="102">
        <v>911.5</v>
      </c>
      <c r="DF8" s="102">
        <v>911.5</v>
      </c>
      <c r="DG8" s="102">
        <v>911.5</v>
      </c>
      <c r="DH8" s="102">
        <v>911.5</v>
      </c>
      <c r="DI8" s="102">
        <v>911.5</v>
      </c>
      <c r="DJ8" s="102">
        <v>911.5</v>
      </c>
      <c r="DK8" s="102">
        <v>911.5</v>
      </c>
      <c r="DL8" s="102">
        <v>911.5</v>
      </c>
      <c r="DM8" s="102">
        <v>911.5</v>
      </c>
      <c r="DN8" s="102">
        <v>911.5</v>
      </c>
      <c r="DO8" s="102">
        <v>911.5</v>
      </c>
      <c r="DP8" s="102">
        <v>942.5</v>
      </c>
      <c r="DQ8" s="102">
        <v>942.5</v>
      </c>
      <c r="DR8" s="102">
        <v>930</v>
      </c>
      <c r="DS8" s="102">
        <v>930</v>
      </c>
      <c r="DT8" s="102">
        <v>930</v>
      </c>
      <c r="DU8" s="102">
        <v>930</v>
      </c>
      <c r="DV8" s="102">
        <v>930</v>
      </c>
      <c r="DW8" s="102">
        <v>954.5</v>
      </c>
      <c r="DX8" s="102">
        <v>954.5</v>
      </c>
      <c r="DY8" s="102">
        <v>954.5</v>
      </c>
      <c r="DZ8" s="102">
        <v>954.5</v>
      </c>
      <c r="EA8" s="102">
        <v>954.5</v>
      </c>
      <c r="EB8" s="102">
        <v>954.5</v>
      </c>
      <c r="EC8" s="102">
        <v>954.5</v>
      </c>
      <c r="ED8" s="102">
        <v>954.5</v>
      </c>
      <c r="EE8" s="102">
        <v>954.5</v>
      </c>
      <c r="EF8" s="102">
        <v>910</v>
      </c>
      <c r="EG8" s="102">
        <v>885.5</v>
      </c>
      <c r="EH8" s="102">
        <v>885.5</v>
      </c>
      <c r="EI8" s="102">
        <v>875.5</v>
      </c>
      <c r="EJ8" s="102">
        <v>875.5</v>
      </c>
      <c r="EK8" s="102">
        <v>875.5</v>
      </c>
      <c r="EL8" s="102">
        <v>847</v>
      </c>
      <c r="EM8" s="102">
        <v>807</v>
      </c>
      <c r="EN8" s="102">
        <v>807</v>
      </c>
      <c r="EO8" s="102">
        <v>800</v>
      </c>
      <c r="EP8" s="102">
        <v>800</v>
      </c>
      <c r="EQ8" s="102">
        <v>800</v>
      </c>
      <c r="ER8" s="102">
        <v>800</v>
      </c>
      <c r="ES8" s="102">
        <v>800</v>
      </c>
      <c r="ET8" s="102">
        <v>776.5</v>
      </c>
      <c r="EU8" s="102"/>
      <c r="EV8" s="102"/>
      <c r="EW8" s="102"/>
      <c r="EX8" s="102"/>
      <c r="EY8" s="102"/>
      <c r="EZ8" s="102"/>
      <c r="FA8" s="102"/>
      <c r="FB8" s="102"/>
      <c r="FC8" s="102"/>
      <c r="FD8" s="102"/>
      <c r="FE8" s="102"/>
      <c r="FF8" s="102"/>
      <c r="FG8" s="102"/>
      <c r="FH8" s="102"/>
    </row>
    <row r="9" spans="1:164" ht="14">
      <c r="D9" s="54" t="s">
        <v>41</v>
      </c>
      <c r="E9" s="25"/>
      <c r="F9" s="59" t="s">
        <v>130</v>
      </c>
      <c r="G9" s="54" t="s">
        <v>24</v>
      </c>
      <c r="H9" s="110" t="s">
        <v>130</v>
      </c>
      <c r="I9" s="156">
        <f>SUM(AP9:AS9)/COUNT(AP9:AS9)</f>
        <v>935</v>
      </c>
      <c r="J9" s="156">
        <f>SUM(AT9:AW9)/COUNT(AT9:AW9)</f>
        <v>922.5</v>
      </c>
      <c r="K9" s="156">
        <f>SUM(AX9:AZ9)/COUNT(AX9:AZ9)</f>
        <v>900</v>
      </c>
      <c r="L9" s="156">
        <f>SUM(BB9:BE9)/COUNT(BB9:BE9)</f>
        <v>900</v>
      </c>
      <c r="M9" s="156">
        <f>SUM(BG9:BJ9)/COUNT(BG9:BJ9)</f>
        <v>930</v>
      </c>
      <c r="N9" s="156">
        <f>SUM(BK9:BM9)/COUNT(BK9:BM9)</f>
        <v>943.33333333333337</v>
      </c>
      <c r="O9" s="156">
        <f>SUM(BN9:BQ9)/COUNT(BN9:BQ9)</f>
        <v>940</v>
      </c>
      <c r="P9" s="156">
        <f>SUM(BR9:BU9)/COUNT(BR9:BU9)</f>
        <v>940</v>
      </c>
      <c r="Q9" s="156">
        <f>SUM(BV9:BZ9)/COUNT(BV9:BZ9)</f>
        <v>942</v>
      </c>
      <c r="R9" s="156">
        <f>SUM(CA9:CD9)/COUNT(CA9:CD9)</f>
        <v>950</v>
      </c>
      <c r="S9" s="156">
        <f>SUM(CE9:CH9)/COUNT(CE9:CH9)</f>
        <v>947.5</v>
      </c>
      <c r="T9" s="156">
        <f>SUM(CI9:CM9)/COUNT(CI9:CM9)</f>
        <v>930</v>
      </c>
      <c r="U9" s="156">
        <f>SUM(CN9:CQ9)/COUNT(CN9:CQ9)</f>
        <v>880</v>
      </c>
      <c r="V9" s="156">
        <f>SUM(CR9:CU9)/COUNT(CR9:CU9)</f>
        <v>860</v>
      </c>
      <c r="W9" s="156">
        <f>SUM(CV9:CZ9)/COUNT(CV9:CZ9)</f>
        <v>852</v>
      </c>
      <c r="X9" s="156">
        <f>SUM(DA9:DD9)/COUNT(DA9:DD9)</f>
        <v>830</v>
      </c>
      <c r="Y9" s="156">
        <f>SUM(DE9:DH9)/COUNT(DE9:DH9)</f>
        <v>827.5</v>
      </c>
      <c r="Z9" s="156">
        <f>SUM(DI9:DL9)/COUNT(DI9:DL9)</f>
        <v>840</v>
      </c>
      <c r="AA9" s="156">
        <f>SUM(DM9:DP9)/COUNT(DM9:DP9)</f>
        <v>822.5</v>
      </c>
      <c r="AB9" s="156">
        <f>SUM(DQ9:DT9)/COUNT(DQ9:DT9)</f>
        <v>765</v>
      </c>
      <c r="AC9" s="156">
        <f>SUM(DU9:DY9)/COUNT(DU9:DY9)</f>
        <v>782</v>
      </c>
      <c r="AD9" s="156">
        <f>SUM(DZ9:EC9)/COUNT(DZ9:EC9)</f>
        <v>807.5</v>
      </c>
      <c r="AE9" s="156">
        <f>SUM(ED9:EH9)/COUNT(ED9:EH9)</f>
        <v>802</v>
      </c>
      <c r="AF9" s="156">
        <f>SUM(EI9:EL9)/COUNT(EI9:EL9)</f>
        <v>795</v>
      </c>
      <c r="AG9" s="156">
        <f>SUM(EM9:EP9)/COUNT(EM9:EP9)</f>
        <v>782.5</v>
      </c>
      <c r="AH9" s="156">
        <f>SUM(EQ9:EU9)/COUNT(EQ9:EU9)</f>
        <v>772</v>
      </c>
      <c r="AI9" s="156">
        <f>SUM(EV9:EY9)/COUNT(EV9:EY9)</f>
        <v>770</v>
      </c>
      <c r="AJ9" s="156">
        <f>SUM(EZ9:FC9)/COUNT(EZ9:FC9)</f>
        <v>772.5</v>
      </c>
      <c r="AK9" s="156">
        <v>795</v>
      </c>
      <c r="AL9" s="51"/>
      <c r="AM9" s="54" t="s">
        <v>41</v>
      </c>
      <c r="AN9" s="25"/>
      <c r="AO9" s="127" t="s">
        <v>130</v>
      </c>
      <c r="AP9" s="118">
        <v>930</v>
      </c>
      <c r="AQ9" s="118">
        <v>930</v>
      </c>
      <c r="AR9" s="118">
        <v>940</v>
      </c>
      <c r="AS9" s="118">
        <v>940</v>
      </c>
      <c r="AT9" s="118">
        <v>940</v>
      </c>
      <c r="AU9" s="118">
        <v>930</v>
      </c>
      <c r="AV9" s="118">
        <v>920</v>
      </c>
      <c r="AW9" s="118">
        <v>900</v>
      </c>
      <c r="AX9" s="118">
        <v>900</v>
      </c>
      <c r="AY9" s="118">
        <v>900</v>
      </c>
      <c r="AZ9" s="118">
        <v>900</v>
      </c>
      <c r="BA9" s="118">
        <v>900</v>
      </c>
      <c r="BB9" s="118">
        <v>900</v>
      </c>
      <c r="BC9" s="118">
        <v>900</v>
      </c>
      <c r="BD9" s="118">
        <v>900</v>
      </c>
      <c r="BE9" s="118">
        <v>900</v>
      </c>
      <c r="BF9" s="118">
        <v>900</v>
      </c>
      <c r="BG9" s="118">
        <v>900</v>
      </c>
      <c r="BH9" s="118">
        <v>940</v>
      </c>
      <c r="BI9" s="118">
        <v>940</v>
      </c>
      <c r="BJ9" s="118">
        <v>940</v>
      </c>
      <c r="BK9" s="118">
        <v>950</v>
      </c>
      <c r="BL9" s="118">
        <v>940</v>
      </c>
      <c r="BM9" s="118">
        <v>940</v>
      </c>
      <c r="BN9" s="118">
        <v>940</v>
      </c>
      <c r="BO9" s="118">
        <v>940</v>
      </c>
      <c r="BP9" s="118">
        <v>940</v>
      </c>
      <c r="BQ9" s="118">
        <v>940</v>
      </c>
      <c r="BR9" s="118">
        <v>940</v>
      </c>
      <c r="BS9" s="118">
        <v>940</v>
      </c>
      <c r="BT9" s="118">
        <v>940</v>
      </c>
      <c r="BU9" s="118">
        <v>940</v>
      </c>
      <c r="BV9" s="118">
        <v>940</v>
      </c>
      <c r="BW9" s="118">
        <v>940</v>
      </c>
      <c r="BX9" s="118">
        <v>940</v>
      </c>
      <c r="BY9" s="118">
        <v>940</v>
      </c>
      <c r="BZ9" s="118">
        <v>950</v>
      </c>
      <c r="CA9" s="118">
        <v>950</v>
      </c>
      <c r="CB9" s="118">
        <v>950</v>
      </c>
      <c r="CC9" s="118">
        <v>950</v>
      </c>
      <c r="CD9" s="118">
        <v>950</v>
      </c>
      <c r="CE9" s="118">
        <v>950</v>
      </c>
      <c r="CF9" s="118">
        <v>950</v>
      </c>
      <c r="CG9" s="118">
        <v>950</v>
      </c>
      <c r="CH9" s="118">
        <v>940</v>
      </c>
      <c r="CI9" s="118">
        <v>940</v>
      </c>
      <c r="CJ9" s="118">
        <v>940</v>
      </c>
      <c r="CK9" s="118">
        <v>940</v>
      </c>
      <c r="CL9" s="118">
        <v>930</v>
      </c>
      <c r="CM9" s="118">
        <v>900</v>
      </c>
      <c r="CN9" s="118">
        <v>900</v>
      </c>
      <c r="CO9" s="118">
        <v>890</v>
      </c>
      <c r="CP9" s="118">
        <v>870</v>
      </c>
      <c r="CQ9" s="118">
        <v>860</v>
      </c>
      <c r="CR9" s="118">
        <v>860</v>
      </c>
      <c r="CS9" s="118">
        <v>860</v>
      </c>
      <c r="CT9" s="118">
        <v>860</v>
      </c>
      <c r="CU9" s="118">
        <v>860</v>
      </c>
      <c r="CV9" s="118">
        <v>860</v>
      </c>
      <c r="CW9" s="118">
        <v>860</v>
      </c>
      <c r="CX9" s="118">
        <v>860</v>
      </c>
      <c r="CY9" s="118">
        <v>840</v>
      </c>
      <c r="CZ9" s="118">
        <v>840</v>
      </c>
      <c r="DA9" s="118">
        <v>840</v>
      </c>
      <c r="DB9" s="118">
        <v>830</v>
      </c>
      <c r="DC9" s="118">
        <v>830</v>
      </c>
      <c r="DD9" s="118">
        <v>820</v>
      </c>
      <c r="DE9" s="118">
        <v>820</v>
      </c>
      <c r="DF9" s="118">
        <v>820</v>
      </c>
      <c r="DG9" s="118">
        <v>820</v>
      </c>
      <c r="DH9" s="118">
        <v>850</v>
      </c>
      <c r="DI9" s="118">
        <v>840</v>
      </c>
      <c r="DJ9" s="118">
        <v>840</v>
      </c>
      <c r="DK9" s="118">
        <v>840</v>
      </c>
      <c r="DL9" s="118">
        <v>840</v>
      </c>
      <c r="DM9" s="118">
        <v>840</v>
      </c>
      <c r="DN9" s="118">
        <v>830</v>
      </c>
      <c r="DO9" s="118">
        <v>810</v>
      </c>
      <c r="DP9" s="118">
        <v>810</v>
      </c>
      <c r="DQ9" s="118">
        <v>800</v>
      </c>
      <c r="DR9" s="118">
        <v>750</v>
      </c>
      <c r="DS9" s="118">
        <v>750</v>
      </c>
      <c r="DT9" s="118">
        <v>760</v>
      </c>
      <c r="DU9" s="118">
        <v>760</v>
      </c>
      <c r="DV9" s="118">
        <v>760</v>
      </c>
      <c r="DW9" s="118">
        <v>800</v>
      </c>
      <c r="DX9" s="118">
        <v>800</v>
      </c>
      <c r="DY9" s="118">
        <v>790</v>
      </c>
      <c r="DZ9" s="118">
        <v>800</v>
      </c>
      <c r="EA9" s="118">
        <v>790</v>
      </c>
      <c r="EB9" s="118">
        <v>820</v>
      </c>
      <c r="EC9" s="118">
        <v>820</v>
      </c>
      <c r="ED9" s="118">
        <v>820</v>
      </c>
      <c r="EE9" s="118">
        <v>820</v>
      </c>
      <c r="EF9" s="118">
        <v>790</v>
      </c>
      <c r="EG9" s="118">
        <v>790</v>
      </c>
      <c r="EH9" s="118">
        <v>790</v>
      </c>
      <c r="EI9" s="118">
        <v>800</v>
      </c>
      <c r="EJ9" s="118">
        <v>790</v>
      </c>
      <c r="EK9" s="118">
        <v>790</v>
      </c>
      <c r="EL9" s="118">
        <v>800</v>
      </c>
      <c r="EM9" s="118">
        <v>790</v>
      </c>
      <c r="EN9" s="118">
        <v>780</v>
      </c>
      <c r="EO9" s="118">
        <v>780</v>
      </c>
      <c r="EP9" s="118">
        <v>780</v>
      </c>
      <c r="EQ9" s="118">
        <v>780</v>
      </c>
      <c r="ER9" s="118">
        <v>780</v>
      </c>
      <c r="ES9" s="118">
        <v>770</v>
      </c>
      <c r="ET9" s="118">
        <v>760</v>
      </c>
      <c r="EU9" s="118">
        <v>770</v>
      </c>
      <c r="EV9" s="118">
        <v>770</v>
      </c>
      <c r="EW9" s="118">
        <v>770</v>
      </c>
      <c r="EX9" s="118">
        <v>770</v>
      </c>
      <c r="EY9" s="118">
        <v>770</v>
      </c>
      <c r="EZ9" s="118">
        <v>770</v>
      </c>
      <c r="FA9" s="118">
        <v>770</v>
      </c>
      <c r="FB9" s="118">
        <v>770</v>
      </c>
      <c r="FC9" s="118">
        <v>780</v>
      </c>
      <c r="FD9" s="118">
        <v>795</v>
      </c>
      <c r="FE9" s="118"/>
      <c r="FF9" s="118"/>
      <c r="FG9" s="118"/>
      <c r="FH9" s="118"/>
    </row>
    <row r="10" spans="1:164" ht="14">
      <c r="H10" s="117" t="s">
        <v>82</v>
      </c>
      <c r="I10" s="3">
        <f t="shared" ref="I10:N10" si="14">I9</f>
        <v>935</v>
      </c>
      <c r="J10" s="3">
        <f t="shared" si="14"/>
        <v>922.5</v>
      </c>
      <c r="K10" s="3">
        <f t="shared" si="14"/>
        <v>900</v>
      </c>
      <c r="L10" s="3">
        <f t="shared" si="14"/>
        <v>900</v>
      </c>
      <c r="M10" s="3">
        <f t="shared" si="14"/>
        <v>930</v>
      </c>
      <c r="N10" s="3">
        <f t="shared" si="14"/>
        <v>943.33333333333337</v>
      </c>
      <c r="O10" s="3">
        <f t="shared" ref="O10:P10" si="15">O9</f>
        <v>940</v>
      </c>
      <c r="P10" s="3">
        <f t="shared" si="15"/>
        <v>940</v>
      </c>
      <c r="Q10" s="3">
        <f t="shared" ref="Q10:V10" si="16">Q9</f>
        <v>942</v>
      </c>
      <c r="R10" s="3">
        <f t="shared" si="16"/>
        <v>950</v>
      </c>
      <c r="S10" s="3">
        <f t="shared" si="16"/>
        <v>947.5</v>
      </c>
      <c r="T10" s="3">
        <f t="shared" si="16"/>
        <v>930</v>
      </c>
      <c r="U10" s="3">
        <f t="shared" si="16"/>
        <v>880</v>
      </c>
      <c r="V10" s="3">
        <f t="shared" si="16"/>
        <v>860</v>
      </c>
      <c r="W10" s="3">
        <f t="shared" ref="W10:X10" si="17">W9</f>
        <v>852</v>
      </c>
      <c r="X10" s="3">
        <f t="shared" si="17"/>
        <v>830</v>
      </c>
      <c r="Y10" s="3">
        <f t="shared" ref="Y10:Z10" si="18">Y9</f>
        <v>827.5</v>
      </c>
      <c r="Z10" s="3">
        <f t="shared" si="18"/>
        <v>840</v>
      </c>
      <c r="AA10" s="3">
        <f t="shared" ref="AA10:AB10" si="19">AA9</f>
        <v>822.5</v>
      </c>
      <c r="AB10" s="3">
        <f t="shared" si="19"/>
        <v>765</v>
      </c>
      <c r="AC10" s="3">
        <f t="shared" ref="AC10:AD10" si="20">AC9</f>
        <v>782</v>
      </c>
      <c r="AD10" s="3">
        <f t="shared" si="20"/>
        <v>807.5</v>
      </c>
      <c r="AE10" s="3">
        <f t="shared" ref="AE10:AF10" si="21">AE9</f>
        <v>802</v>
      </c>
      <c r="AF10" s="3">
        <f t="shared" si="21"/>
        <v>795</v>
      </c>
      <c r="AG10" s="3">
        <f t="shared" ref="AG10:AH10" si="22">AG9</f>
        <v>782.5</v>
      </c>
      <c r="AH10" s="3">
        <f t="shared" si="22"/>
        <v>772</v>
      </c>
      <c r="AI10" s="3">
        <f t="shared" ref="AI10:AJ10" si="23">AI9</f>
        <v>770</v>
      </c>
      <c r="AJ10" s="3">
        <f t="shared" si="23"/>
        <v>772.5</v>
      </c>
      <c r="AK10" s="3">
        <f t="shared" ref="AK10" si="24">AK9</f>
        <v>795</v>
      </c>
      <c r="AO10" s="117" t="s">
        <v>82</v>
      </c>
      <c r="AP10" s="41">
        <f>AP9</f>
        <v>930</v>
      </c>
      <c r="AQ10" s="41">
        <f t="shared" ref="AQ10:BK10" si="25">AQ9</f>
        <v>930</v>
      </c>
      <c r="AR10" s="41">
        <f t="shared" si="25"/>
        <v>940</v>
      </c>
      <c r="AS10" s="41">
        <f t="shared" si="25"/>
        <v>940</v>
      </c>
      <c r="AT10" s="41">
        <f t="shared" si="25"/>
        <v>940</v>
      </c>
      <c r="AU10" s="41">
        <f t="shared" si="25"/>
        <v>930</v>
      </c>
      <c r="AV10" s="41">
        <f t="shared" si="25"/>
        <v>920</v>
      </c>
      <c r="AW10" s="41">
        <f t="shared" si="25"/>
        <v>900</v>
      </c>
      <c r="AX10" s="41">
        <f t="shared" si="25"/>
        <v>900</v>
      </c>
      <c r="AY10" s="41">
        <f t="shared" si="25"/>
        <v>900</v>
      </c>
      <c r="AZ10" s="41">
        <f t="shared" si="25"/>
        <v>900</v>
      </c>
      <c r="BA10" s="41">
        <f t="shared" si="25"/>
        <v>900</v>
      </c>
      <c r="BB10" s="41">
        <f t="shared" si="25"/>
        <v>900</v>
      </c>
      <c r="BC10" s="41">
        <f t="shared" si="25"/>
        <v>900</v>
      </c>
      <c r="BD10" s="41">
        <f t="shared" si="25"/>
        <v>900</v>
      </c>
      <c r="BE10" s="41">
        <f t="shared" si="25"/>
        <v>900</v>
      </c>
      <c r="BF10" s="41">
        <f t="shared" si="25"/>
        <v>900</v>
      </c>
      <c r="BG10" s="41">
        <f t="shared" si="25"/>
        <v>900</v>
      </c>
      <c r="BH10" s="41">
        <f t="shared" si="25"/>
        <v>940</v>
      </c>
      <c r="BI10" s="41">
        <f t="shared" si="25"/>
        <v>940</v>
      </c>
      <c r="BJ10" s="41">
        <f t="shared" si="25"/>
        <v>940</v>
      </c>
      <c r="BK10" s="41">
        <f t="shared" si="25"/>
        <v>950</v>
      </c>
      <c r="BL10" s="41">
        <f t="shared" ref="BL10:BN10" si="26">BL9</f>
        <v>940</v>
      </c>
      <c r="BM10" s="41">
        <f t="shared" si="26"/>
        <v>940</v>
      </c>
      <c r="BN10" s="41">
        <f t="shared" si="26"/>
        <v>940</v>
      </c>
      <c r="BO10" s="41">
        <f t="shared" ref="BO10:BP10" si="27">BO9</f>
        <v>940</v>
      </c>
      <c r="BP10" s="41">
        <f t="shared" si="27"/>
        <v>940</v>
      </c>
      <c r="BQ10" s="41">
        <f t="shared" ref="BQ10:BR10" si="28">BQ9</f>
        <v>940</v>
      </c>
      <c r="BR10" s="41">
        <f t="shared" si="28"/>
        <v>940</v>
      </c>
      <c r="BS10" s="41">
        <f t="shared" ref="BS10:BU10" si="29">BS9</f>
        <v>940</v>
      </c>
      <c r="BT10" s="41">
        <f t="shared" si="29"/>
        <v>940</v>
      </c>
      <c r="BU10" s="41">
        <f t="shared" si="29"/>
        <v>940</v>
      </c>
      <c r="BV10" s="41">
        <f t="shared" ref="BV10:BW10" si="30">BV9</f>
        <v>940</v>
      </c>
      <c r="BW10" s="41">
        <f t="shared" si="30"/>
        <v>940</v>
      </c>
      <c r="BX10" s="41">
        <f t="shared" ref="BX10:BY10" si="31">BX9</f>
        <v>940</v>
      </c>
      <c r="BY10" s="41">
        <f t="shared" si="31"/>
        <v>940</v>
      </c>
      <c r="BZ10" s="41">
        <f t="shared" ref="BZ10:CA10" si="32">BZ9</f>
        <v>950</v>
      </c>
      <c r="CA10" s="41">
        <f t="shared" si="32"/>
        <v>950</v>
      </c>
      <c r="CB10" s="41">
        <f t="shared" ref="CB10:CC10" si="33">CB9</f>
        <v>950</v>
      </c>
      <c r="CC10" s="41">
        <f t="shared" si="33"/>
        <v>950</v>
      </c>
      <c r="CD10" s="41">
        <f t="shared" ref="CD10:CE10" si="34">CD9</f>
        <v>950</v>
      </c>
      <c r="CE10" s="41">
        <f t="shared" si="34"/>
        <v>950</v>
      </c>
      <c r="CF10" s="41">
        <f t="shared" ref="CF10:CG10" si="35">CF9</f>
        <v>950</v>
      </c>
      <c r="CG10" s="41">
        <f t="shared" si="35"/>
        <v>950</v>
      </c>
      <c r="CH10" s="41">
        <f t="shared" ref="CH10:CI10" si="36">CH9</f>
        <v>940</v>
      </c>
      <c r="CI10" s="41">
        <f t="shared" si="36"/>
        <v>940</v>
      </c>
      <c r="CJ10" s="41">
        <f t="shared" ref="CJ10:CK10" si="37">CJ9</f>
        <v>940</v>
      </c>
      <c r="CK10" s="41">
        <f t="shared" si="37"/>
        <v>940</v>
      </c>
      <c r="CL10" s="41">
        <f t="shared" ref="CL10:CN10" si="38">CL9</f>
        <v>930</v>
      </c>
      <c r="CM10" s="41">
        <f t="shared" si="38"/>
        <v>900</v>
      </c>
      <c r="CN10" s="41">
        <f t="shared" si="38"/>
        <v>900</v>
      </c>
      <c r="CO10" s="41">
        <f t="shared" ref="CO10:CP10" si="39">CO9</f>
        <v>890</v>
      </c>
      <c r="CP10" s="41">
        <f t="shared" si="39"/>
        <v>870</v>
      </c>
      <c r="CQ10" s="41">
        <f t="shared" ref="CQ10:CS10" si="40">CQ9</f>
        <v>860</v>
      </c>
      <c r="CR10" s="41">
        <f t="shared" si="40"/>
        <v>860</v>
      </c>
      <c r="CS10" s="41">
        <f t="shared" si="40"/>
        <v>860</v>
      </c>
      <c r="CT10" s="41">
        <f t="shared" ref="CT10:CU10" si="41">CT9</f>
        <v>860</v>
      </c>
      <c r="CU10" s="41">
        <f t="shared" si="41"/>
        <v>860</v>
      </c>
      <c r="CV10" s="41">
        <f t="shared" ref="CV10:CZ10" si="42">CV9</f>
        <v>860</v>
      </c>
      <c r="CW10" s="41">
        <f t="shared" si="42"/>
        <v>860</v>
      </c>
      <c r="CX10" s="41">
        <f t="shared" si="42"/>
        <v>860</v>
      </c>
      <c r="CY10" s="41">
        <f t="shared" si="42"/>
        <v>840</v>
      </c>
      <c r="CZ10" s="41">
        <f t="shared" si="42"/>
        <v>840</v>
      </c>
      <c r="DA10" s="41">
        <f t="shared" ref="DA10:DD10" si="43">DA9</f>
        <v>840</v>
      </c>
      <c r="DB10" s="41">
        <f t="shared" si="43"/>
        <v>830</v>
      </c>
      <c r="DC10" s="41">
        <f t="shared" si="43"/>
        <v>830</v>
      </c>
      <c r="DD10" s="41">
        <f t="shared" si="43"/>
        <v>820</v>
      </c>
      <c r="DE10" s="41">
        <f t="shared" ref="DE10:DF10" si="44">DE9</f>
        <v>820</v>
      </c>
      <c r="DF10" s="41">
        <f t="shared" si="44"/>
        <v>820</v>
      </c>
      <c r="DG10" s="41">
        <f t="shared" ref="DG10:DH10" si="45">DG9</f>
        <v>820</v>
      </c>
      <c r="DH10" s="41">
        <f t="shared" si="45"/>
        <v>850</v>
      </c>
      <c r="DI10" s="41">
        <f t="shared" ref="DI10:DK10" si="46">DI9</f>
        <v>840</v>
      </c>
      <c r="DJ10" s="41">
        <f t="shared" si="46"/>
        <v>840</v>
      </c>
      <c r="DK10" s="41">
        <f t="shared" si="46"/>
        <v>840</v>
      </c>
      <c r="DL10" s="41">
        <f t="shared" ref="DL10:DM10" si="47">DL9</f>
        <v>840</v>
      </c>
      <c r="DM10" s="41">
        <f t="shared" si="47"/>
        <v>840</v>
      </c>
      <c r="DN10" s="41">
        <f t="shared" ref="DN10:DP10" si="48">DN9</f>
        <v>830</v>
      </c>
      <c r="DO10" s="41">
        <f t="shared" si="48"/>
        <v>810</v>
      </c>
      <c r="DP10" s="41">
        <f t="shared" si="48"/>
        <v>810</v>
      </c>
      <c r="DQ10" s="41">
        <f t="shared" ref="DQ10:DT10" si="49">DQ9</f>
        <v>800</v>
      </c>
      <c r="DR10" s="41">
        <f t="shared" si="49"/>
        <v>750</v>
      </c>
      <c r="DS10" s="41">
        <f t="shared" si="49"/>
        <v>750</v>
      </c>
      <c r="DT10" s="41">
        <f t="shared" si="49"/>
        <v>760</v>
      </c>
      <c r="DU10" s="41">
        <f t="shared" ref="DU10:DY10" si="50">DU9</f>
        <v>760</v>
      </c>
      <c r="DV10" s="41">
        <f t="shared" si="50"/>
        <v>760</v>
      </c>
      <c r="DW10" s="41">
        <f t="shared" si="50"/>
        <v>800</v>
      </c>
      <c r="DX10" s="41">
        <f t="shared" si="50"/>
        <v>800</v>
      </c>
      <c r="DY10" s="41">
        <f t="shared" si="50"/>
        <v>790</v>
      </c>
      <c r="DZ10" s="41">
        <f t="shared" ref="DZ10:EC10" si="51">DZ9</f>
        <v>800</v>
      </c>
      <c r="EA10" s="41">
        <f t="shared" si="51"/>
        <v>790</v>
      </c>
      <c r="EB10" s="41">
        <f t="shared" si="51"/>
        <v>820</v>
      </c>
      <c r="EC10" s="41">
        <f t="shared" si="51"/>
        <v>820</v>
      </c>
      <c r="ED10" s="41">
        <f t="shared" ref="ED10:EH10" si="52">ED9</f>
        <v>820</v>
      </c>
      <c r="EE10" s="41">
        <f t="shared" si="52"/>
        <v>820</v>
      </c>
      <c r="EF10" s="41">
        <f t="shared" si="52"/>
        <v>790</v>
      </c>
      <c r="EG10" s="41">
        <f t="shared" si="52"/>
        <v>790</v>
      </c>
      <c r="EH10" s="41">
        <f t="shared" si="52"/>
        <v>790</v>
      </c>
      <c r="EI10" s="41">
        <f t="shared" ref="EI10:EL10" si="53">EI9</f>
        <v>800</v>
      </c>
      <c r="EJ10" s="41">
        <f t="shared" si="53"/>
        <v>790</v>
      </c>
      <c r="EK10" s="41">
        <f t="shared" si="53"/>
        <v>790</v>
      </c>
      <c r="EL10" s="41">
        <f t="shared" si="53"/>
        <v>800</v>
      </c>
      <c r="EM10" s="41">
        <f t="shared" ref="EM10:EP10" si="54">EM9</f>
        <v>790</v>
      </c>
      <c r="EN10" s="41">
        <f t="shared" si="54"/>
        <v>780</v>
      </c>
      <c r="EO10" s="41">
        <f t="shared" si="54"/>
        <v>780</v>
      </c>
      <c r="EP10" s="41">
        <f t="shared" si="54"/>
        <v>780</v>
      </c>
      <c r="EQ10" s="41">
        <f t="shared" ref="EQ10:EU10" si="55">EQ9</f>
        <v>780</v>
      </c>
      <c r="ER10" s="41">
        <f t="shared" si="55"/>
        <v>780</v>
      </c>
      <c r="ES10" s="41">
        <f t="shared" si="55"/>
        <v>770</v>
      </c>
      <c r="ET10" s="41">
        <f t="shared" si="55"/>
        <v>760</v>
      </c>
      <c r="EU10" s="41">
        <f t="shared" si="55"/>
        <v>770</v>
      </c>
      <c r="EV10" s="41">
        <f t="shared" ref="EV10:EY10" si="56">EV9</f>
        <v>770</v>
      </c>
      <c r="EW10" s="41">
        <f t="shared" si="56"/>
        <v>770</v>
      </c>
      <c r="EX10" s="41">
        <f t="shared" si="56"/>
        <v>770</v>
      </c>
      <c r="EY10" s="41">
        <f t="shared" si="56"/>
        <v>770</v>
      </c>
      <c r="EZ10" s="41">
        <f t="shared" ref="EZ10:FC10" si="57">EZ9</f>
        <v>770</v>
      </c>
      <c r="FA10" s="41">
        <f t="shared" si="57"/>
        <v>770</v>
      </c>
      <c r="FB10" s="41">
        <f t="shared" si="57"/>
        <v>770</v>
      </c>
      <c r="FC10" s="41">
        <f t="shared" si="57"/>
        <v>780</v>
      </c>
      <c r="FD10" s="41">
        <f t="shared" ref="FD10:FH10" si="58">FD9</f>
        <v>795</v>
      </c>
      <c r="FE10" s="41">
        <f t="shared" si="58"/>
        <v>0</v>
      </c>
      <c r="FF10" s="41">
        <f t="shared" si="58"/>
        <v>0</v>
      </c>
      <c r="FG10" s="41">
        <f t="shared" si="58"/>
        <v>0</v>
      </c>
      <c r="FH10" s="41">
        <f t="shared" si="58"/>
        <v>0</v>
      </c>
    </row>
    <row r="11" spans="1:164" ht="15">
      <c r="F11" s="62"/>
      <c r="H11" s="117" t="s">
        <v>83</v>
      </c>
      <c r="I11" s="3" t="e">
        <f>#REF!-I10</f>
        <v>#REF!</v>
      </c>
      <c r="J11" s="41">
        <f>J7-J9</f>
        <v>127.5</v>
      </c>
      <c r="K11" s="41">
        <f t="shared" ref="K11:O11" si="59">K7-K9</f>
        <v>150</v>
      </c>
      <c r="L11" s="41">
        <f t="shared" si="59"/>
        <v>150</v>
      </c>
      <c r="M11" s="41">
        <f t="shared" si="59"/>
        <v>120</v>
      </c>
      <c r="N11" s="41">
        <f t="shared" si="59"/>
        <v>106.66666666666663</v>
      </c>
      <c r="O11" s="41">
        <f t="shared" si="59"/>
        <v>110</v>
      </c>
      <c r="P11" s="41">
        <f t="shared" ref="P11" si="60">P7-P9</f>
        <v>110</v>
      </c>
      <c r="Q11" s="41">
        <f t="shared" ref="Q11:V11" si="61">Q7-Q9</f>
        <v>158</v>
      </c>
      <c r="R11" s="41">
        <f t="shared" si="61"/>
        <v>150</v>
      </c>
      <c r="S11" s="41">
        <f t="shared" si="61"/>
        <v>152.5</v>
      </c>
      <c r="T11" s="41">
        <f t="shared" si="61"/>
        <v>170</v>
      </c>
      <c r="U11" s="41">
        <f t="shared" si="61"/>
        <v>220</v>
      </c>
      <c r="V11" s="41">
        <f t="shared" si="61"/>
        <v>240</v>
      </c>
      <c r="W11" s="41">
        <f t="shared" ref="W11:X11" si="62">W7-W9</f>
        <v>248</v>
      </c>
      <c r="X11" s="41">
        <f t="shared" si="62"/>
        <v>270</v>
      </c>
      <c r="Y11" s="41">
        <f t="shared" ref="Y11:Z11" si="63">Y7-Y9</f>
        <v>272.5</v>
      </c>
      <c r="Z11" s="41">
        <f t="shared" si="63"/>
        <v>260</v>
      </c>
      <c r="AA11" s="41">
        <f t="shared" ref="AA11:AB11" si="64">AA7-AA9</f>
        <v>277.5</v>
      </c>
      <c r="AB11" s="41">
        <f t="shared" si="64"/>
        <v>355</v>
      </c>
      <c r="AC11" s="41">
        <f t="shared" ref="AC11:AD11" si="65">AC7-AC9</f>
        <v>338</v>
      </c>
      <c r="AD11" s="41">
        <f t="shared" si="65"/>
        <v>312.5</v>
      </c>
      <c r="AE11" s="41">
        <f t="shared" ref="AE11:AF11" si="66">AE7-AE9</f>
        <v>318</v>
      </c>
      <c r="AF11" s="41">
        <f t="shared" si="66"/>
        <v>295</v>
      </c>
      <c r="AG11" s="41">
        <f t="shared" ref="AG11:AH11" si="67">AG7-AG9</f>
        <v>307.5</v>
      </c>
      <c r="AH11" s="41">
        <f t="shared" si="67"/>
        <v>308</v>
      </c>
      <c r="AI11" s="41">
        <f t="shared" ref="AI11:AJ11" si="68">AI7-AI9</f>
        <v>300</v>
      </c>
      <c r="AJ11" s="41">
        <f t="shared" si="68"/>
        <v>297.5</v>
      </c>
      <c r="AK11" s="41">
        <f t="shared" ref="AK11" si="69">AK7-AK9</f>
        <v>235</v>
      </c>
      <c r="AO11" s="117" t="s">
        <v>83</v>
      </c>
      <c r="AP11" s="41">
        <f>AP7-AP9</f>
        <v>120</v>
      </c>
      <c r="AQ11" s="41">
        <f t="shared" ref="AQ11:BJ11" si="70">AQ7-AQ9</f>
        <v>120</v>
      </c>
      <c r="AR11" s="41">
        <f t="shared" si="70"/>
        <v>110</v>
      </c>
      <c r="AS11" s="41">
        <f t="shared" si="70"/>
        <v>110</v>
      </c>
      <c r="AT11" s="41">
        <f t="shared" si="70"/>
        <v>110</v>
      </c>
      <c r="AU11" s="41">
        <f t="shared" si="70"/>
        <v>120</v>
      </c>
      <c r="AV11" s="41">
        <f t="shared" si="70"/>
        <v>130</v>
      </c>
      <c r="AW11" s="41">
        <f t="shared" si="70"/>
        <v>150</v>
      </c>
      <c r="AX11" s="41">
        <f t="shared" si="70"/>
        <v>150</v>
      </c>
      <c r="AY11" s="41">
        <f t="shared" si="70"/>
        <v>150</v>
      </c>
      <c r="AZ11" s="41">
        <f t="shared" si="70"/>
        <v>150</v>
      </c>
      <c r="BA11" s="41">
        <f t="shared" si="70"/>
        <v>150</v>
      </c>
      <c r="BB11" s="41">
        <f t="shared" si="70"/>
        <v>150</v>
      </c>
      <c r="BC11" s="41">
        <f t="shared" si="70"/>
        <v>150</v>
      </c>
      <c r="BD11" s="41">
        <f t="shared" si="70"/>
        <v>150</v>
      </c>
      <c r="BE11" s="41">
        <f t="shared" si="70"/>
        <v>150</v>
      </c>
      <c r="BF11" s="41">
        <f t="shared" si="70"/>
        <v>150</v>
      </c>
      <c r="BG11" s="41">
        <f t="shared" si="70"/>
        <v>150</v>
      </c>
      <c r="BH11" s="41">
        <f t="shared" si="70"/>
        <v>110</v>
      </c>
      <c r="BI11" s="41">
        <f t="shared" si="70"/>
        <v>110</v>
      </c>
      <c r="BJ11" s="41">
        <f t="shared" si="70"/>
        <v>110</v>
      </c>
      <c r="BK11" s="41">
        <f t="shared" ref="BK11:BL11" si="71">BK7-BK9</f>
        <v>100</v>
      </c>
      <c r="BL11" s="41">
        <f t="shared" si="71"/>
        <v>110</v>
      </c>
      <c r="BM11" s="41">
        <f t="shared" ref="BM11:BN11" si="72">BM7-BM9</f>
        <v>110</v>
      </c>
      <c r="BN11" s="41">
        <f t="shared" si="72"/>
        <v>110</v>
      </c>
      <c r="BO11" s="41">
        <f t="shared" ref="BO11:BP11" si="73">BO7-BO9</f>
        <v>110</v>
      </c>
      <c r="BP11" s="41">
        <f t="shared" si="73"/>
        <v>110</v>
      </c>
      <c r="BQ11" s="41">
        <f t="shared" ref="BQ11:BR11" si="74">BQ7-BQ9</f>
        <v>110</v>
      </c>
      <c r="BR11" s="41">
        <f t="shared" si="74"/>
        <v>110</v>
      </c>
      <c r="BS11" s="41">
        <f t="shared" ref="BS11:BU11" si="75">BS7-BS9</f>
        <v>110</v>
      </c>
      <c r="BT11" s="41">
        <f t="shared" si="75"/>
        <v>110</v>
      </c>
      <c r="BU11" s="41">
        <f t="shared" si="75"/>
        <v>110</v>
      </c>
      <c r="BV11" s="41">
        <f t="shared" ref="BV11:BW11" si="76">BV7-BV9</f>
        <v>160</v>
      </c>
      <c r="BW11" s="41">
        <f t="shared" si="76"/>
        <v>160</v>
      </c>
      <c r="BX11" s="41">
        <f t="shared" ref="BX11:BY11" si="77">BX7-BX9</f>
        <v>160</v>
      </c>
      <c r="BY11" s="41">
        <f t="shared" si="77"/>
        <v>160</v>
      </c>
      <c r="BZ11" s="41">
        <f t="shared" ref="BZ11:CA11" si="78">BZ7-BZ9</f>
        <v>150</v>
      </c>
      <c r="CA11" s="41">
        <f t="shared" si="78"/>
        <v>150</v>
      </c>
      <c r="CB11" s="41">
        <f t="shared" ref="CB11:CC11" si="79">CB7-CB9</f>
        <v>150</v>
      </c>
      <c r="CC11" s="41">
        <f t="shared" si="79"/>
        <v>150</v>
      </c>
      <c r="CD11" s="41">
        <f t="shared" ref="CD11:CE11" si="80">CD7-CD9</f>
        <v>150</v>
      </c>
      <c r="CE11" s="41">
        <f t="shared" si="80"/>
        <v>150</v>
      </c>
      <c r="CF11" s="41">
        <f t="shared" ref="CF11:CG11" si="81">CF7-CF9</f>
        <v>150</v>
      </c>
      <c r="CG11" s="41">
        <f t="shared" si="81"/>
        <v>150</v>
      </c>
      <c r="CH11" s="41">
        <f t="shared" ref="CH11:CI11" si="82">CH7-CH9</f>
        <v>160</v>
      </c>
      <c r="CI11" s="41">
        <f t="shared" si="82"/>
        <v>160</v>
      </c>
      <c r="CJ11" s="41">
        <f t="shared" ref="CJ11:CK11" si="83">CJ7-CJ9</f>
        <v>160</v>
      </c>
      <c r="CK11" s="41">
        <f t="shared" si="83"/>
        <v>160</v>
      </c>
      <c r="CL11" s="41">
        <f t="shared" ref="CL11:CN11" si="84">CL7-CL9</f>
        <v>170</v>
      </c>
      <c r="CM11" s="41">
        <f t="shared" si="84"/>
        <v>200</v>
      </c>
      <c r="CN11" s="41">
        <f t="shared" si="84"/>
        <v>200</v>
      </c>
      <c r="CO11" s="41">
        <f t="shared" ref="CO11:CP11" si="85">CO7-CO9</f>
        <v>210</v>
      </c>
      <c r="CP11" s="41">
        <f t="shared" si="85"/>
        <v>230</v>
      </c>
      <c r="CQ11" s="41">
        <f t="shared" ref="CQ11:CS11" si="86">CQ7-CQ9</f>
        <v>240</v>
      </c>
      <c r="CR11" s="41">
        <f t="shared" si="86"/>
        <v>240</v>
      </c>
      <c r="CS11" s="41">
        <f t="shared" si="86"/>
        <v>240</v>
      </c>
      <c r="CT11" s="41">
        <f t="shared" ref="CT11:CU11" si="87">CT7-CT9</f>
        <v>240</v>
      </c>
      <c r="CU11" s="41">
        <f t="shared" si="87"/>
        <v>240</v>
      </c>
      <c r="CV11" s="41">
        <f t="shared" ref="CV11:CZ11" si="88">CV7-CV9</f>
        <v>240</v>
      </c>
      <c r="CW11" s="41">
        <f t="shared" si="88"/>
        <v>240</v>
      </c>
      <c r="CX11" s="41">
        <f t="shared" si="88"/>
        <v>240</v>
      </c>
      <c r="CY11" s="41">
        <f t="shared" si="88"/>
        <v>260</v>
      </c>
      <c r="CZ11" s="41">
        <f t="shared" si="88"/>
        <v>260</v>
      </c>
      <c r="DA11" s="41">
        <f t="shared" ref="DA11:DD11" si="89">DA7-DA9</f>
        <v>260</v>
      </c>
      <c r="DB11" s="41">
        <f t="shared" si="89"/>
        <v>270</v>
      </c>
      <c r="DC11" s="41">
        <f t="shared" si="89"/>
        <v>270</v>
      </c>
      <c r="DD11" s="41">
        <f t="shared" si="89"/>
        <v>280</v>
      </c>
      <c r="DE11" s="41">
        <f t="shared" ref="DE11:DF11" si="90">DE7-DE9</f>
        <v>280</v>
      </c>
      <c r="DF11" s="41">
        <f t="shared" si="90"/>
        <v>280</v>
      </c>
      <c r="DG11" s="41">
        <f t="shared" ref="DG11:DH11" si="91">DG7-DG9</f>
        <v>280</v>
      </c>
      <c r="DH11" s="41">
        <f t="shared" si="91"/>
        <v>250</v>
      </c>
      <c r="DI11" s="41">
        <f t="shared" ref="DI11:DK11" si="92">DI7-DI9</f>
        <v>260</v>
      </c>
      <c r="DJ11" s="41">
        <f t="shared" si="92"/>
        <v>260</v>
      </c>
      <c r="DK11" s="41">
        <f t="shared" si="92"/>
        <v>260</v>
      </c>
      <c r="DL11" s="41">
        <f t="shared" ref="DL11:DM11" si="93">DL7-DL9</f>
        <v>260</v>
      </c>
      <c r="DM11" s="41">
        <f t="shared" si="93"/>
        <v>260</v>
      </c>
      <c r="DN11" s="41">
        <f t="shared" ref="DN11:DP11" si="94">DN7-DN9</f>
        <v>270</v>
      </c>
      <c r="DO11" s="41">
        <f t="shared" si="94"/>
        <v>290</v>
      </c>
      <c r="DP11" s="41">
        <f t="shared" si="94"/>
        <v>290</v>
      </c>
      <c r="DQ11" s="41">
        <f t="shared" ref="DQ11:DT11" si="95">DQ7-DQ9</f>
        <v>320</v>
      </c>
      <c r="DR11" s="41">
        <f t="shared" si="95"/>
        <v>370</v>
      </c>
      <c r="DS11" s="41">
        <f t="shared" si="95"/>
        <v>370</v>
      </c>
      <c r="DT11" s="41">
        <f t="shared" si="95"/>
        <v>360</v>
      </c>
      <c r="DU11" s="41">
        <f t="shared" ref="DU11:DY11" si="96">DU7-DU9</f>
        <v>360</v>
      </c>
      <c r="DV11" s="41">
        <f t="shared" si="96"/>
        <v>360</v>
      </c>
      <c r="DW11" s="41">
        <f t="shared" si="96"/>
        <v>320</v>
      </c>
      <c r="DX11" s="41">
        <f t="shared" si="96"/>
        <v>320</v>
      </c>
      <c r="DY11" s="41">
        <f t="shared" si="96"/>
        <v>330</v>
      </c>
      <c r="DZ11" s="41">
        <f t="shared" ref="DZ11:EC11" si="97">DZ7-DZ9</f>
        <v>320</v>
      </c>
      <c r="EA11" s="41">
        <f t="shared" si="97"/>
        <v>330</v>
      </c>
      <c r="EB11" s="41">
        <f t="shared" si="97"/>
        <v>300</v>
      </c>
      <c r="EC11" s="41">
        <f t="shared" si="97"/>
        <v>300</v>
      </c>
      <c r="ED11" s="41">
        <f t="shared" ref="ED11:EH11" si="98">ED7-ED9</f>
        <v>300</v>
      </c>
      <c r="EE11" s="41">
        <f t="shared" si="98"/>
        <v>300</v>
      </c>
      <c r="EF11" s="41">
        <f t="shared" si="98"/>
        <v>330</v>
      </c>
      <c r="EG11" s="41">
        <f t="shared" si="98"/>
        <v>330</v>
      </c>
      <c r="EH11" s="41">
        <f t="shared" si="98"/>
        <v>330</v>
      </c>
      <c r="EI11" s="41">
        <f t="shared" ref="EI11:EL11" si="99">EI7-EI9</f>
        <v>290</v>
      </c>
      <c r="EJ11" s="41">
        <f t="shared" si="99"/>
        <v>300</v>
      </c>
      <c r="EK11" s="41">
        <f t="shared" si="99"/>
        <v>300</v>
      </c>
      <c r="EL11" s="41">
        <f t="shared" si="99"/>
        <v>290</v>
      </c>
      <c r="EM11" s="41">
        <f t="shared" ref="EM11:EP11" si="100">EM7-EM9</f>
        <v>300</v>
      </c>
      <c r="EN11" s="41">
        <f t="shared" si="100"/>
        <v>310</v>
      </c>
      <c r="EO11" s="41">
        <f t="shared" si="100"/>
        <v>310</v>
      </c>
      <c r="EP11" s="41">
        <f t="shared" si="100"/>
        <v>310</v>
      </c>
      <c r="EQ11" s="41">
        <f t="shared" ref="EQ11:EU11" si="101">EQ7-EQ9</f>
        <v>300</v>
      </c>
      <c r="ER11" s="41">
        <f t="shared" si="101"/>
        <v>300</v>
      </c>
      <c r="ES11" s="41">
        <f t="shared" si="101"/>
        <v>310</v>
      </c>
      <c r="ET11" s="41">
        <f t="shared" si="101"/>
        <v>320</v>
      </c>
      <c r="EU11" s="41">
        <f t="shared" si="101"/>
        <v>310</v>
      </c>
      <c r="EV11" s="41">
        <f t="shared" ref="EV11:EY11" si="102">EV7-EV9</f>
        <v>300</v>
      </c>
      <c r="EW11" s="41">
        <f t="shared" si="102"/>
        <v>300</v>
      </c>
      <c r="EX11" s="41">
        <f t="shared" si="102"/>
        <v>300</v>
      </c>
      <c r="EY11" s="41">
        <f t="shared" si="102"/>
        <v>300</v>
      </c>
      <c r="EZ11" s="41">
        <f t="shared" ref="EZ11:FC11" si="103">EZ7-EZ9</f>
        <v>300</v>
      </c>
      <c r="FA11" s="41">
        <f t="shared" si="103"/>
        <v>300</v>
      </c>
      <c r="FB11" s="41">
        <f t="shared" si="103"/>
        <v>300</v>
      </c>
      <c r="FC11" s="41">
        <f t="shared" si="103"/>
        <v>290</v>
      </c>
      <c r="FD11" s="41">
        <f t="shared" ref="FD11:FH11" si="104">FD7-FD9</f>
        <v>235</v>
      </c>
      <c r="FE11" s="41">
        <f t="shared" si="104"/>
        <v>1030</v>
      </c>
      <c r="FF11" s="41">
        <f t="shared" si="104"/>
        <v>1030</v>
      </c>
      <c r="FG11" s="41">
        <f t="shared" si="104"/>
        <v>1030</v>
      </c>
      <c r="FH11" s="41">
        <f t="shared" si="104"/>
        <v>1030</v>
      </c>
    </row>
    <row r="12" spans="1:164" ht="15">
      <c r="F12" s="62"/>
      <c r="H12" s="1" t="s">
        <v>81</v>
      </c>
      <c r="I12" s="3" t="e">
        <f t="shared" ref="I12:N12" si="105">I11/I10</f>
        <v>#REF!</v>
      </c>
      <c r="J12" s="51">
        <f t="shared" si="105"/>
        <v>0.13821138211382114</v>
      </c>
      <c r="K12" s="51">
        <f t="shared" si="105"/>
        <v>0.16666666666666666</v>
      </c>
      <c r="L12" s="51">
        <f t="shared" si="105"/>
        <v>0.16666666666666666</v>
      </c>
      <c r="M12" s="51">
        <f t="shared" si="105"/>
        <v>0.12903225806451613</v>
      </c>
      <c r="N12" s="51">
        <f t="shared" si="105"/>
        <v>0.11307420494699642</v>
      </c>
      <c r="O12" s="51">
        <f t="shared" ref="O12:P12" si="106">O11/O10</f>
        <v>0.11702127659574468</v>
      </c>
      <c r="P12" s="51">
        <f t="shared" si="106"/>
        <v>0.11702127659574468</v>
      </c>
      <c r="Q12" s="51">
        <f t="shared" ref="Q12:R12" si="107">Q11/Q10</f>
        <v>0.16772823779193205</v>
      </c>
      <c r="R12" s="51">
        <f t="shared" si="107"/>
        <v>0.15789473684210525</v>
      </c>
      <c r="S12" s="51">
        <f t="shared" ref="S12:T12" si="108">S11/S10</f>
        <v>0.16094986807387862</v>
      </c>
      <c r="T12" s="51">
        <f t="shared" si="108"/>
        <v>0.18279569892473119</v>
      </c>
      <c r="U12" s="51">
        <f t="shared" ref="U12:V12" si="109">U11/U10</f>
        <v>0.25</v>
      </c>
      <c r="V12" s="51">
        <f t="shared" si="109"/>
        <v>0.27906976744186046</v>
      </c>
      <c r="W12" s="51">
        <f t="shared" ref="W12:X12" si="110">W11/W10</f>
        <v>0.29107981220657275</v>
      </c>
      <c r="X12" s="51">
        <f t="shared" si="110"/>
        <v>0.3253012048192771</v>
      </c>
      <c r="Y12" s="51">
        <f t="shared" ref="Y12:Z12" si="111">Y11/Y10</f>
        <v>0.32930513595166161</v>
      </c>
      <c r="Z12" s="51">
        <f t="shared" si="111"/>
        <v>0.30952380952380953</v>
      </c>
      <c r="AA12" s="51">
        <f t="shared" ref="AA12:AB12" si="112">AA11/AA10</f>
        <v>0.33738601823708209</v>
      </c>
      <c r="AB12" s="51">
        <f t="shared" si="112"/>
        <v>0.46405228758169936</v>
      </c>
      <c r="AC12" s="51">
        <f t="shared" ref="AC12:AD12" si="113">AC11/AC10</f>
        <v>0.43222506393861893</v>
      </c>
      <c r="AD12" s="51">
        <f t="shared" si="113"/>
        <v>0.38699690402476783</v>
      </c>
      <c r="AE12" s="51">
        <f t="shared" ref="AE12:AF12" si="114">AE11/AE10</f>
        <v>0.39650872817955113</v>
      </c>
      <c r="AF12" s="51">
        <f t="shared" si="114"/>
        <v>0.37106918238993708</v>
      </c>
      <c r="AG12" s="51">
        <f t="shared" ref="AG12:AH12" si="115">AG11/AG10</f>
        <v>0.39297124600638977</v>
      </c>
      <c r="AH12" s="51">
        <f t="shared" si="115"/>
        <v>0.39896373056994816</v>
      </c>
      <c r="AI12" s="51">
        <f t="shared" ref="AI12:AJ12" si="116">AI11/AI10</f>
        <v>0.38961038961038963</v>
      </c>
      <c r="AJ12" s="51">
        <f t="shared" si="116"/>
        <v>0.38511326860841422</v>
      </c>
      <c r="AK12" s="51">
        <f t="shared" ref="AK12" si="117">AK11/AK10</f>
        <v>0.29559748427672955</v>
      </c>
      <c r="AO12" s="1" t="s">
        <v>81</v>
      </c>
      <c r="AP12" s="51">
        <f t="shared" ref="AP12:AU12" si="118">+AP11/AP10</f>
        <v>0.12903225806451613</v>
      </c>
      <c r="AQ12" s="51">
        <f t="shared" si="118"/>
        <v>0.12903225806451613</v>
      </c>
      <c r="AR12" s="51">
        <f t="shared" si="118"/>
        <v>0.11702127659574468</v>
      </c>
      <c r="AS12" s="51">
        <f t="shared" si="118"/>
        <v>0.11702127659574468</v>
      </c>
      <c r="AT12" s="51">
        <f t="shared" si="118"/>
        <v>0.11702127659574468</v>
      </c>
      <c r="AU12" s="51">
        <f t="shared" si="118"/>
        <v>0.12903225806451613</v>
      </c>
      <c r="AV12" s="51">
        <f t="shared" ref="AV12:BA12" si="119">+AV11/AV10</f>
        <v>0.14130434782608695</v>
      </c>
      <c r="AW12" s="51">
        <f t="shared" si="119"/>
        <v>0.16666666666666666</v>
      </c>
      <c r="AX12" s="51">
        <f t="shared" si="119"/>
        <v>0.16666666666666666</v>
      </c>
      <c r="AY12" s="51">
        <f t="shared" si="119"/>
        <v>0.16666666666666666</v>
      </c>
      <c r="AZ12" s="51">
        <f t="shared" si="119"/>
        <v>0.16666666666666666</v>
      </c>
      <c r="BA12" s="51">
        <f t="shared" si="119"/>
        <v>0.16666666666666666</v>
      </c>
      <c r="BB12" s="51">
        <f t="shared" ref="BB12:BC12" si="120">+BB11/BB10</f>
        <v>0.16666666666666666</v>
      </c>
      <c r="BC12" s="51">
        <f t="shared" si="120"/>
        <v>0.16666666666666666</v>
      </c>
      <c r="BD12" s="51">
        <f t="shared" ref="BD12:BE12" si="121">+BD11/BD10</f>
        <v>0.16666666666666666</v>
      </c>
      <c r="BE12" s="51">
        <f t="shared" si="121"/>
        <v>0.16666666666666666</v>
      </c>
      <c r="BF12" s="51">
        <f t="shared" ref="BF12:BG12" si="122">+BF11/BF10</f>
        <v>0.16666666666666666</v>
      </c>
      <c r="BG12" s="51">
        <f t="shared" si="122"/>
        <v>0.16666666666666666</v>
      </c>
      <c r="BH12" s="51">
        <f t="shared" ref="BH12:BI12" si="123">+BH11/BH10</f>
        <v>0.11702127659574468</v>
      </c>
      <c r="BI12" s="51">
        <f t="shared" si="123"/>
        <v>0.11702127659574468</v>
      </c>
      <c r="BJ12" s="51">
        <f>+BJ11/BJ10</f>
        <v>0.11702127659574468</v>
      </c>
      <c r="BK12" s="51">
        <f>+BK11/BK10</f>
        <v>0.10526315789473684</v>
      </c>
      <c r="BL12" s="51">
        <f>+BL11/BL10</f>
        <v>0.11702127659574468</v>
      </c>
      <c r="BM12" s="51">
        <f t="shared" ref="BM12:BN12" si="124">+BM11/BM10</f>
        <v>0.11702127659574468</v>
      </c>
      <c r="BN12" s="51">
        <f t="shared" si="124"/>
        <v>0.11702127659574468</v>
      </c>
      <c r="BO12" s="51">
        <f t="shared" ref="BO12:BP12" si="125">+BO11/BO10</f>
        <v>0.11702127659574468</v>
      </c>
      <c r="BP12" s="51">
        <f t="shared" si="125"/>
        <v>0.11702127659574468</v>
      </c>
      <c r="BQ12" s="51">
        <f t="shared" ref="BQ12:BR12" si="126">+BQ11/BQ10</f>
        <v>0.11702127659574468</v>
      </c>
      <c r="BR12" s="51">
        <f t="shared" si="126"/>
        <v>0.11702127659574468</v>
      </c>
      <c r="BS12" s="51">
        <f t="shared" ref="BS12:BU12" si="127">+BS11/BS10</f>
        <v>0.11702127659574468</v>
      </c>
      <c r="BT12" s="51">
        <f t="shared" si="127"/>
        <v>0.11702127659574468</v>
      </c>
      <c r="BU12" s="51">
        <f t="shared" si="127"/>
        <v>0.11702127659574468</v>
      </c>
      <c r="BV12" s="51">
        <f t="shared" ref="BV12:BW12" si="128">+BV11/BV10</f>
        <v>0.1702127659574468</v>
      </c>
      <c r="BW12" s="51">
        <f t="shared" si="128"/>
        <v>0.1702127659574468</v>
      </c>
      <c r="BX12" s="51">
        <f t="shared" ref="BX12:BY12" si="129">+BX11/BX10</f>
        <v>0.1702127659574468</v>
      </c>
      <c r="BY12" s="51">
        <f t="shared" si="129"/>
        <v>0.1702127659574468</v>
      </c>
      <c r="BZ12" s="51">
        <f t="shared" ref="BZ12:CA12" si="130">+BZ11/BZ10</f>
        <v>0.15789473684210525</v>
      </c>
      <c r="CA12" s="51">
        <f t="shared" si="130"/>
        <v>0.15789473684210525</v>
      </c>
      <c r="CB12" s="51">
        <f t="shared" ref="CB12:CC12" si="131">+CB11/CB10</f>
        <v>0.15789473684210525</v>
      </c>
      <c r="CC12" s="51">
        <f t="shared" si="131"/>
        <v>0.15789473684210525</v>
      </c>
      <c r="CD12" s="51">
        <f t="shared" ref="CD12:CE12" si="132">+CD11/CD10</f>
        <v>0.15789473684210525</v>
      </c>
      <c r="CE12" s="51">
        <f t="shared" si="132"/>
        <v>0.15789473684210525</v>
      </c>
      <c r="CF12" s="51">
        <f t="shared" ref="CF12:CG12" si="133">+CF11/CF10</f>
        <v>0.15789473684210525</v>
      </c>
      <c r="CG12" s="51">
        <f t="shared" si="133"/>
        <v>0.15789473684210525</v>
      </c>
      <c r="CH12" s="51">
        <f t="shared" ref="CH12:CI12" si="134">+CH11/CH10</f>
        <v>0.1702127659574468</v>
      </c>
      <c r="CI12" s="51">
        <f t="shared" si="134"/>
        <v>0.1702127659574468</v>
      </c>
      <c r="CJ12" s="51">
        <f t="shared" ref="CJ12:CK12" si="135">+CJ11/CJ10</f>
        <v>0.1702127659574468</v>
      </c>
      <c r="CK12" s="51">
        <f t="shared" si="135"/>
        <v>0.1702127659574468</v>
      </c>
      <c r="CL12" s="51">
        <f t="shared" ref="CL12:CN12" si="136">+CL11/CL10</f>
        <v>0.18279569892473119</v>
      </c>
      <c r="CM12" s="51">
        <f t="shared" si="136"/>
        <v>0.22222222222222221</v>
      </c>
      <c r="CN12" s="51">
        <f t="shared" si="136"/>
        <v>0.22222222222222221</v>
      </c>
      <c r="CO12" s="51">
        <f t="shared" ref="CO12:CP12" si="137">+CO11/CO10</f>
        <v>0.23595505617977527</v>
      </c>
      <c r="CP12" s="51">
        <f t="shared" si="137"/>
        <v>0.26436781609195403</v>
      </c>
      <c r="CQ12" s="51">
        <f t="shared" ref="CQ12:CS12" si="138">+CQ11/CQ10</f>
        <v>0.27906976744186046</v>
      </c>
      <c r="CR12" s="51">
        <f t="shared" si="138"/>
        <v>0.27906976744186046</v>
      </c>
      <c r="CS12" s="51">
        <f t="shared" si="138"/>
        <v>0.27906976744186046</v>
      </c>
      <c r="CT12" s="51">
        <f t="shared" ref="CT12:CU12" si="139">+CT11/CT10</f>
        <v>0.27906976744186046</v>
      </c>
      <c r="CU12" s="51">
        <f t="shared" si="139"/>
        <v>0.27906976744186046</v>
      </c>
      <c r="CV12" s="51">
        <f t="shared" ref="CV12:CZ12" si="140">+CV11/CV10</f>
        <v>0.27906976744186046</v>
      </c>
      <c r="CW12" s="51">
        <f t="shared" si="140"/>
        <v>0.27906976744186046</v>
      </c>
      <c r="CX12" s="51">
        <f t="shared" si="140"/>
        <v>0.27906976744186046</v>
      </c>
      <c r="CY12" s="51">
        <f t="shared" si="140"/>
        <v>0.30952380952380953</v>
      </c>
      <c r="CZ12" s="51">
        <f t="shared" si="140"/>
        <v>0.30952380952380953</v>
      </c>
      <c r="DA12" s="51">
        <f t="shared" ref="DA12:DD12" si="141">+DA11/DA10</f>
        <v>0.30952380952380953</v>
      </c>
      <c r="DB12" s="51">
        <f t="shared" si="141"/>
        <v>0.3253012048192771</v>
      </c>
      <c r="DC12" s="51">
        <f t="shared" si="141"/>
        <v>0.3253012048192771</v>
      </c>
      <c r="DD12" s="51">
        <f t="shared" si="141"/>
        <v>0.34146341463414637</v>
      </c>
      <c r="DE12" s="51">
        <f t="shared" ref="DE12:DF12" si="142">+DE11/DE10</f>
        <v>0.34146341463414637</v>
      </c>
      <c r="DF12" s="51">
        <f t="shared" si="142"/>
        <v>0.34146341463414637</v>
      </c>
      <c r="DG12" s="51">
        <f t="shared" ref="DG12:DH12" si="143">+DG11/DG10</f>
        <v>0.34146341463414637</v>
      </c>
      <c r="DH12" s="51">
        <f t="shared" si="143"/>
        <v>0.29411764705882354</v>
      </c>
      <c r="DI12" s="51">
        <f t="shared" ref="DI12:DK12" si="144">+DI11/DI10</f>
        <v>0.30952380952380953</v>
      </c>
      <c r="DJ12" s="51">
        <f t="shared" si="144"/>
        <v>0.30952380952380953</v>
      </c>
      <c r="DK12" s="51">
        <f t="shared" si="144"/>
        <v>0.30952380952380953</v>
      </c>
      <c r="DL12" s="51">
        <f t="shared" ref="DL12:DM12" si="145">+DL11/DL10</f>
        <v>0.30952380952380953</v>
      </c>
      <c r="DM12" s="51">
        <f t="shared" si="145"/>
        <v>0.30952380952380953</v>
      </c>
      <c r="DN12" s="51">
        <f t="shared" ref="DN12:DP12" si="146">+DN11/DN10</f>
        <v>0.3253012048192771</v>
      </c>
      <c r="DO12" s="51">
        <f t="shared" si="146"/>
        <v>0.35802469135802467</v>
      </c>
      <c r="DP12" s="51">
        <f t="shared" si="146"/>
        <v>0.35802469135802467</v>
      </c>
      <c r="DQ12" s="51">
        <f t="shared" ref="DQ12:DT12" si="147">+DQ11/DQ10</f>
        <v>0.4</v>
      </c>
      <c r="DR12" s="51">
        <f t="shared" si="147"/>
        <v>0.49333333333333335</v>
      </c>
      <c r="DS12" s="51">
        <f t="shared" si="147"/>
        <v>0.49333333333333335</v>
      </c>
      <c r="DT12" s="51">
        <f t="shared" si="147"/>
        <v>0.47368421052631576</v>
      </c>
      <c r="DU12" s="51">
        <f t="shared" ref="DU12:DY12" si="148">+DU11/DU10</f>
        <v>0.47368421052631576</v>
      </c>
      <c r="DV12" s="51">
        <f t="shared" si="148"/>
        <v>0.47368421052631576</v>
      </c>
      <c r="DW12" s="51">
        <f t="shared" si="148"/>
        <v>0.4</v>
      </c>
      <c r="DX12" s="51">
        <f t="shared" si="148"/>
        <v>0.4</v>
      </c>
      <c r="DY12" s="51">
        <f t="shared" si="148"/>
        <v>0.41772151898734178</v>
      </c>
      <c r="DZ12" s="51">
        <f t="shared" ref="DZ12:EC12" si="149">+DZ11/DZ10</f>
        <v>0.4</v>
      </c>
      <c r="EA12" s="51">
        <f t="shared" si="149"/>
        <v>0.41772151898734178</v>
      </c>
      <c r="EB12" s="51">
        <f t="shared" si="149"/>
        <v>0.36585365853658536</v>
      </c>
      <c r="EC12" s="51">
        <f t="shared" si="149"/>
        <v>0.36585365853658536</v>
      </c>
      <c r="ED12" s="51">
        <f t="shared" ref="ED12:EH12" si="150">+ED11/ED10</f>
        <v>0.36585365853658536</v>
      </c>
      <c r="EE12" s="51">
        <f t="shared" si="150"/>
        <v>0.36585365853658536</v>
      </c>
      <c r="EF12" s="51">
        <f t="shared" si="150"/>
        <v>0.41772151898734178</v>
      </c>
      <c r="EG12" s="51">
        <f t="shared" si="150"/>
        <v>0.41772151898734178</v>
      </c>
      <c r="EH12" s="51">
        <f t="shared" si="150"/>
        <v>0.41772151898734178</v>
      </c>
      <c r="EI12" s="51">
        <f t="shared" ref="EI12:EL12" si="151">+EI11/EI10</f>
        <v>0.36249999999999999</v>
      </c>
      <c r="EJ12" s="51">
        <f t="shared" si="151"/>
        <v>0.379746835443038</v>
      </c>
      <c r="EK12" s="51">
        <f t="shared" si="151"/>
        <v>0.379746835443038</v>
      </c>
      <c r="EL12" s="51">
        <f t="shared" si="151"/>
        <v>0.36249999999999999</v>
      </c>
      <c r="EM12" s="51">
        <f t="shared" ref="EM12:EP12" si="152">+EM11/EM10</f>
        <v>0.379746835443038</v>
      </c>
      <c r="EN12" s="51">
        <f t="shared" si="152"/>
        <v>0.39743589743589741</v>
      </c>
      <c r="EO12" s="51">
        <f t="shared" si="152"/>
        <v>0.39743589743589741</v>
      </c>
      <c r="EP12" s="51">
        <f t="shared" si="152"/>
        <v>0.39743589743589741</v>
      </c>
      <c r="EQ12" s="51">
        <f t="shared" ref="EQ12:EU12" si="153">+EQ11/EQ10</f>
        <v>0.38461538461538464</v>
      </c>
      <c r="ER12" s="51">
        <f t="shared" si="153"/>
        <v>0.38461538461538464</v>
      </c>
      <c r="ES12" s="51">
        <f t="shared" si="153"/>
        <v>0.40259740259740262</v>
      </c>
      <c r="ET12" s="51">
        <f t="shared" si="153"/>
        <v>0.42105263157894735</v>
      </c>
      <c r="EU12" s="51">
        <f t="shared" si="153"/>
        <v>0.40259740259740262</v>
      </c>
      <c r="EV12" s="51">
        <f t="shared" ref="EV12:EY12" si="154">+EV11/EV10</f>
        <v>0.38961038961038963</v>
      </c>
      <c r="EW12" s="51">
        <f t="shared" si="154"/>
        <v>0.38961038961038963</v>
      </c>
      <c r="EX12" s="51">
        <f t="shared" si="154"/>
        <v>0.38961038961038963</v>
      </c>
      <c r="EY12" s="51">
        <f t="shared" si="154"/>
        <v>0.38961038961038963</v>
      </c>
      <c r="EZ12" s="51">
        <f t="shared" ref="EZ12:FC12" si="155">+EZ11/EZ10</f>
        <v>0.38961038961038963</v>
      </c>
      <c r="FA12" s="51">
        <f t="shared" si="155"/>
        <v>0.38961038961038963</v>
      </c>
      <c r="FB12" s="51">
        <f t="shared" si="155"/>
        <v>0.38961038961038963</v>
      </c>
      <c r="FC12" s="51">
        <f t="shared" si="155"/>
        <v>0.37179487179487181</v>
      </c>
      <c r="FD12" s="51">
        <f t="shared" ref="FD12:FH12" si="156">+FD11/FD10</f>
        <v>0.29559748427672955</v>
      </c>
      <c r="FE12" s="51" t="e">
        <f t="shared" si="156"/>
        <v>#DIV/0!</v>
      </c>
      <c r="FF12" s="51" t="e">
        <f t="shared" si="156"/>
        <v>#DIV/0!</v>
      </c>
      <c r="FG12" s="51" t="e">
        <f t="shared" si="156"/>
        <v>#DIV/0!</v>
      </c>
      <c r="FH12" s="51" t="e">
        <f t="shared" si="156"/>
        <v>#DIV/0!</v>
      </c>
    </row>
    <row r="13" spans="1:164" ht="15.5">
      <c r="F13" s="63"/>
      <c r="H13" s="1" t="s">
        <v>87</v>
      </c>
      <c r="I13" s="3">
        <v>903</v>
      </c>
      <c r="J13" s="3">
        <v>729</v>
      </c>
      <c r="K13" s="3">
        <v>729</v>
      </c>
      <c r="L13" s="3">
        <v>729</v>
      </c>
      <c r="M13" s="3">
        <v>729</v>
      </c>
      <c r="N13" s="3">
        <v>729</v>
      </c>
      <c r="O13" s="3">
        <v>729</v>
      </c>
      <c r="P13" s="3">
        <v>729</v>
      </c>
      <c r="Q13" s="3">
        <v>729</v>
      </c>
      <c r="R13" s="3">
        <v>729</v>
      </c>
      <c r="S13" s="3">
        <v>679</v>
      </c>
      <c r="T13" s="3">
        <v>729</v>
      </c>
      <c r="U13" s="3">
        <v>729</v>
      </c>
      <c r="V13" s="3">
        <v>736.19206717841803</v>
      </c>
      <c r="W13" s="3">
        <v>736.19206717841803</v>
      </c>
      <c r="X13" s="3">
        <v>679.74611518704489</v>
      </c>
      <c r="Y13" s="3">
        <v>668.04613132777956</v>
      </c>
      <c r="Z13" s="3">
        <v>694.46136145567061</v>
      </c>
      <c r="AA13" s="3">
        <v>704.64253339668858</v>
      </c>
      <c r="AB13" s="3">
        <v>693.32467456021789</v>
      </c>
      <c r="AC13" s="3">
        <v>701.49240475275428</v>
      </c>
      <c r="AD13" s="3">
        <v>711.95211896874696</v>
      </c>
      <c r="AE13" s="3">
        <v>716.07583093115807</v>
      </c>
      <c r="AF13" s="3">
        <v>711.5515229380502</v>
      </c>
      <c r="AG13" s="3">
        <v>657.6425700422576</v>
      </c>
      <c r="AH13" s="3">
        <v>655.42324121217587</v>
      </c>
      <c r="AI13" s="3">
        <v>687.77689086730652</v>
      </c>
      <c r="AJ13" s="3">
        <v>599.05685394273485</v>
      </c>
      <c r="AK13" s="3">
        <v>646.08292221736849</v>
      </c>
      <c r="AO13" s="1" t="s">
        <v>87</v>
      </c>
      <c r="AP13" s="3">
        <v>729</v>
      </c>
      <c r="AQ13" s="3">
        <v>729</v>
      </c>
      <c r="AR13" s="3">
        <v>729</v>
      </c>
      <c r="AS13" s="3">
        <v>729</v>
      </c>
      <c r="AT13" s="3">
        <v>729</v>
      </c>
      <c r="AU13" s="3">
        <v>729</v>
      </c>
      <c r="AV13" s="3">
        <v>729</v>
      </c>
      <c r="AW13" s="3">
        <v>729</v>
      </c>
      <c r="AX13" s="3">
        <v>729</v>
      </c>
      <c r="AY13" s="3">
        <v>729</v>
      </c>
      <c r="AZ13" s="3">
        <v>729</v>
      </c>
      <c r="BA13" s="3">
        <v>729</v>
      </c>
      <c r="BB13" s="3">
        <v>729</v>
      </c>
      <c r="BC13" s="3">
        <v>729</v>
      </c>
      <c r="BD13" s="3">
        <v>729</v>
      </c>
      <c r="BE13" s="3">
        <v>729</v>
      </c>
      <c r="BF13" s="3">
        <v>729</v>
      </c>
      <c r="BG13" s="3">
        <v>729</v>
      </c>
      <c r="BH13" s="3">
        <v>729</v>
      </c>
      <c r="BI13" s="3">
        <v>729</v>
      </c>
      <c r="BJ13" s="3">
        <v>729</v>
      </c>
      <c r="BK13" s="3">
        <v>729</v>
      </c>
      <c r="BL13" s="3">
        <v>729</v>
      </c>
      <c r="BM13" s="3">
        <v>729</v>
      </c>
      <c r="BN13" s="3">
        <v>729</v>
      </c>
      <c r="BO13" s="3">
        <v>729</v>
      </c>
      <c r="BP13" s="3">
        <v>729</v>
      </c>
      <c r="BQ13" s="3">
        <v>729</v>
      </c>
      <c r="BR13" s="3">
        <v>729</v>
      </c>
      <c r="BS13" s="3">
        <v>729</v>
      </c>
      <c r="BT13" s="3">
        <v>729</v>
      </c>
      <c r="BU13" s="3">
        <v>729</v>
      </c>
      <c r="BV13" s="3">
        <v>729</v>
      </c>
      <c r="BW13" s="3">
        <v>729</v>
      </c>
      <c r="BX13" s="3">
        <v>729</v>
      </c>
      <c r="BY13" s="3">
        <v>729</v>
      </c>
      <c r="BZ13" s="3">
        <v>729</v>
      </c>
      <c r="CA13" s="3">
        <v>729</v>
      </c>
      <c r="CB13" s="3">
        <v>729</v>
      </c>
      <c r="CC13" s="3">
        <v>729</v>
      </c>
      <c r="CD13" s="3">
        <v>729</v>
      </c>
      <c r="CE13" s="3">
        <v>679</v>
      </c>
      <c r="CF13" s="3">
        <v>679</v>
      </c>
      <c r="CG13" s="3">
        <v>679</v>
      </c>
      <c r="CH13" s="3">
        <v>679</v>
      </c>
      <c r="CI13" s="3">
        <v>729</v>
      </c>
      <c r="CJ13" s="3">
        <v>729</v>
      </c>
      <c r="CK13" s="3">
        <v>729</v>
      </c>
      <c r="CL13" s="3">
        <v>729</v>
      </c>
      <c r="CM13" s="3">
        <v>729</v>
      </c>
      <c r="CN13" s="3">
        <v>729</v>
      </c>
      <c r="CO13" s="3">
        <v>729</v>
      </c>
      <c r="CP13" s="3">
        <v>729</v>
      </c>
      <c r="CQ13" s="3">
        <v>729</v>
      </c>
      <c r="CR13" s="3">
        <v>736.19206717841803</v>
      </c>
      <c r="CS13" s="3">
        <v>736.19206717841803</v>
      </c>
      <c r="CT13" s="3">
        <v>736.19206717841803</v>
      </c>
      <c r="CU13" s="3">
        <v>736.19206717841803</v>
      </c>
      <c r="CV13" s="3">
        <v>736.19206717841803</v>
      </c>
      <c r="CW13" s="3">
        <v>736.19206717841803</v>
      </c>
      <c r="CX13" s="3">
        <v>736.19206717841803</v>
      </c>
      <c r="CY13" s="3">
        <v>736.19206717841803</v>
      </c>
      <c r="CZ13" s="3">
        <v>736.19206717841803</v>
      </c>
      <c r="DA13" s="3">
        <v>679.74611518704489</v>
      </c>
      <c r="DB13" s="3">
        <v>679.74611518704489</v>
      </c>
      <c r="DC13" s="3">
        <v>679.74611518704489</v>
      </c>
      <c r="DD13" s="3">
        <v>679.74611518704489</v>
      </c>
      <c r="DE13" s="3">
        <v>668.04613132777956</v>
      </c>
      <c r="DF13" s="3">
        <v>668.04613132777956</v>
      </c>
      <c r="DG13" s="3">
        <v>668.04613132777956</v>
      </c>
      <c r="DH13" s="3">
        <v>668.04613132777956</v>
      </c>
      <c r="DI13" s="3">
        <v>694.46136145567061</v>
      </c>
      <c r="DJ13" s="3">
        <v>694.46136145567061</v>
      </c>
      <c r="DK13" s="3">
        <v>694.46136145567061</v>
      </c>
      <c r="DL13" s="3">
        <v>694.46136145567061</v>
      </c>
      <c r="DM13" s="3">
        <v>704.64253339668858</v>
      </c>
      <c r="DN13" s="3">
        <v>704.64253339668858</v>
      </c>
      <c r="DO13" s="3">
        <v>704.64253339668858</v>
      </c>
      <c r="DP13" s="3">
        <v>704.64253339668858</v>
      </c>
      <c r="DQ13" s="3">
        <v>693.32467456021789</v>
      </c>
      <c r="DR13" s="3">
        <v>693.32467456021789</v>
      </c>
      <c r="DS13" s="3">
        <v>693.32467456021789</v>
      </c>
      <c r="DT13" s="3">
        <v>693.32467456021789</v>
      </c>
      <c r="DU13" s="3">
        <v>701.49240475275428</v>
      </c>
      <c r="DV13" s="3">
        <v>701.49240475275428</v>
      </c>
      <c r="DW13" s="3">
        <v>701.49240475275428</v>
      </c>
      <c r="DX13" s="3">
        <v>701.49240475275428</v>
      </c>
      <c r="DY13" s="3">
        <v>701.49240475275428</v>
      </c>
      <c r="DZ13" s="3">
        <v>711.95211896874696</v>
      </c>
      <c r="EA13" s="3">
        <v>711.95211896874696</v>
      </c>
      <c r="EB13" s="3">
        <v>711.95211896874696</v>
      </c>
      <c r="EC13" s="3">
        <v>711.95211896874696</v>
      </c>
      <c r="ED13" s="3">
        <v>716.07583093115807</v>
      </c>
      <c r="EE13" s="3">
        <v>716.07583093115807</v>
      </c>
      <c r="EF13" s="3">
        <v>716.07583093115807</v>
      </c>
      <c r="EG13" s="3">
        <v>716.07583093115807</v>
      </c>
      <c r="EH13" s="3">
        <v>716.07583093115807</v>
      </c>
      <c r="EI13" s="3">
        <v>711.5515229380502</v>
      </c>
      <c r="EJ13" s="3">
        <v>711.5515229380502</v>
      </c>
      <c r="EK13" s="3">
        <v>711.5515229380502</v>
      </c>
      <c r="EL13" s="3">
        <v>711.5515229380502</v>
      </c>
      <c r="EM13" s="3">
        <v>657.6425700422576</v>
      </c>
      <c r="EN13" s="3">
        <v>657.6425700422576</v>
      </c>
      <c r="EO13" s="3">
        <v>657.6425700422576</v>
      </c>
      <c r="EP13" s="3">
        <v>657.6425700422576</v>
      </c>
      <c r="EQ13" s="3">
        <v>655.42324121217587</v>
      </c>
      <c r="ER13" s="3">
        <v>655.42324121217587</v>
      </c>
      <c r="ES13" s="3">
        <v>655.42324121217587</v>
      </c>
      <c r="ET13" s="3">
        <v>655.42324121217587</v>
      </c>
      <c r="EU13" s="3">
        <v>655.42324121217587</v>
      </c>
      <c r="EV13" s="3">
        <v>687.77689086730652</v>
      </c>
      <c r="EW13" s="3">
        <v>687.77689086730652</v>
      </c>
      <c r="EX13" s="3">
        <v>687.77689086730652</v>
      </c>
      <c r="EY13" s="3">
        <v>687.77689086730652</v>
      </c>
      <c r="EZ13" s="3">
        <v>599.05685394273485</v>
      </c>
      <c r="FA13" s="3">
        <v>599.05685394273485</v>
      </c>
      <c r="FB13" s="3">
        <v>599.05685394273485</v>
      </c>
      <c r="FC13" s="3">
        <v>599.05685394273485</v>
      </c>
      <c r="FD13" s="3">
        <v>646.08292221736849</v>
      </c>
      <c r="FE13" s="3">
        <v>646.08292221736849</v>
      </c>
      <c r="FF13" s="3">
        <v>646.08292221736849</v>
      </c>
      <c r="FG13" s="3">
        <v>646.08292221736849</v>
      </c>
      <c r="FH13" s="3">
        <v>646.08292221736849</v>
      </c>
    </row>
    <row r="14" spans="1:164" ht="15.5">
      <c r="F14" s="64"/>
      <c r="H14" s="1" t="s">
        <v>111</v>
      </c>
      <c r="I14" s="3">
        <v>1140</v>
      </c>
      <c r="J14" s="3">
        <v>1140</v>
      </c>
      <c r="K14" s="3">
        <v>1140</v>
      </c>
      <c r="L14" s="3">
        <v>1140</v>
      </c>
      <c r="M14" s="3">
        <v>1140</v>
      </c>
      <c r="N14" s="3">
        <v>1140</v>
      </c>
      <c r="O14" s="3">
        <v>1140</v>
      </c>
      <c r="P14" s="3">
        <v>1140</v>
      </c>
      <c r="Q14" s="3">
        <v>1140</v>
      </c>
      <c r="R14" s="3">
        <v>1140</v>
      </c>
      <c r="AO14" s="1" t="s">
        <v>134</v>
      </c>
      <c r="AP14" s="41">
        <v>1140</v>
      </c>
      <c r="AQ14" s="41">
        <v>1140</v>
      </c>
      <c r="AR14" s="41">
        <v>1140</v>
      </c>
      <c r="AS14" s="41">
        <v>1140</v>
      </c>
      <c r="AT14" s="41">
        <v>1140</v>
      </c>
      <c r="AU14" s="41">
        <v>1140</v>
      </c>
      <c r="AV14" s="41">
        <v>1140</v>
      </c>
      <c r="AW14" s="41">
        <v>1140</v>
      </c>
      <c r="AX14" s="41">
        <v>1140</v>
      </c>
      <c r="AY14" s="41">
        <v>1140</v>
      </c>
      <c r="AZ14" s="41">
        <v>1140</v>
      </c>
      <c r="BA14" s="41">
        <v>1140</v>
      </c>
      <c r="BB14" s="41">
        <v>1140</v>
      </c>
      <c r="BC14" s="41">
        <v>1140</v>
      </c>
      <c r="BD14" s="41">
        <v>1140</v>
      </c>
      <c r="BE14" s="41">
        <v>1140</v>
      </c>
      <c r="BF14" s="41">
        <v>1140</v>
      </c>
      <c r="BG14" s="41">
        <v>1140</v>
      </c>
      <c r="BH14" s="41">
        <v>1140</v>
      </c>
      <c r="BI14" s="41">
        <v>1140</v>
      </c>
      <c r="BJ14" s="41">
        <v>1140</v>
      </c>
      <c r="BK14" s="41">
        <v>1140</v>
      </c>
      <c r="BL14" s="41">
        <v>1140</v>
      </c>
      <c r="BM14" s="41">
        <v>1140</v>
      </c>
      <c r="BN14" s="41">
        <v>1140</v>
      </c>
      <c r="BO14" s="41">
        <v>1140</v>
      </c>
      <c r="BP14" s="41">
        <v>1140</v>
      </c>
      <c r="BQ14" s="41">
        <v>1140</v>
      </c>
      <c r="BR14" s="41">
        <v>1140</v>
      </c>
      <c r="BS14" s="41">
        <v>1140</v>
      </c>
      <c r="BT14" s="41">
        <v>1140</v>
      </c>
      <c r="BU14" s="41">
        <v>1140</v>
      </c>
      <c r="BV14" s="41">
        <v>1140</v>
      </c>
      <c r="BW14" s="41">
        <v>1140</v>
      </c>
      <c r="BX14" s="41">
        <v>1140</v>
      </c>
      <c r="BY14" s="41">
        <v>1140</v>
      </c>
      <c r="BZ14" s="41">
        <v>1140</v>
      </c>
      <c r="CA14" s="41">
        <v>1140</v>
      </c>
      <c r="CB14" s="41">
        <v>1140</v>
      </c>
      <c r="CC14" s="41">
        <v>1140</v>
      </c>
      <c r="CD14" s="41">
        <v>1140</v>
      </c>
      <c r="CE14" s="41"/>
      <c r="CF14" s="41"/>
      <c r="CG14" s="41"/>
      <c r="CH14" s="41"/>
      <c r="CI14" s="41"/>
      <c r="CJ14" s="41"/>
      <c r="CK14" s="41"/>
      <c r="CL14" s="41"/>
      <c r="CM14" s="41"/>
      <c r="CN14" s="41"/>
      <c r="CO14" s="41"/>
      <c r="CP14" s="41"/>
      <c r="CQ14" s="41"/>
      <c r="CR14" s="41"/>
      <c r="CS14" s="41"/>
      <c r="CT14" s="41"/>
      <c r="CU14" s="41"/>
      <c r="CV14" s="41"/>
      <c r="CW14" s="41"/>
      <c r="CX14" s="41"/>
      <c r="CY14" s="41"/>
      <c r="CZ14" s="41"/>
      <c r="DA14" s="41"/>
      <c r="DB14" s="41"/>
      <c r="DC14" s="41"/>
      <c r="DD14" s="41"/>
      <c r="DE14" s="41"/>
      <c r="DF14" s="41"/>
      <c r="DG14" s="41"/>
      <c r="DH14" s="41"/>
      <c r="DI14" s="41"/>
      <c r="DJ14" s="41"/>
      <c r="DK14" s="41"/>
      <c r="DL14" s="41"/>
      <c r="DM14" s="41"/>
      <c r="DN14" s="41"/>
      <c r="DO14" s="41"/>
      <c r="DP14" s="41"/>
      <c r="DQ14" s="41"/>
      <c r="DR14" s="41"/>
      <c r="DS14" s="41"/>
      <c r="DT14" s="41"/>
      <c r="DU14" s="41"/>
      <c r="DV14" s="41"/>
      <c r="DW14" s="41"/>
      <c r="DX14" s="41"/>
      <c r="DY14" s="41"/>
      <c r="DZ14" s="41"/>
      <c r="EA14" s="41"/>
      <c r="EB14" s="41"/>
      <c r="EC14" s="41"/>
      <c r="ED14" s="41"/>
      <c r="EE14" s="41"/>
      <c r="EF14" s="41"/>
      <c r="EG14" s="41"/>
      <c r="EH14" s="41"/>
      <c r="EI14" s="41"/>
      <c r="EJ14" s="41"/>
      <c r="EK14" s="41"/>
      <c r="EL14" s="41"/>
      <c r="EM14" s="41"/>
      <c r="EN14" s="41"/>
      <c r="EO14" s="41"/>
      <c r="EP14" s="41"/>
      <c r="EQ14" s="41"/>
      <c r="ER14" s="41"/>
      <c r="ES14" s="41"/>
      <c r="ET14" s="41"/>
      <c r="EU14" s="41"/>
      <c r="EV14" s="41"/>
      <c r="EW14" s="41"/>
      <c r="EX14" s="41"/>
      <c r="EY14" s="41"/>
      <c r="EZ14" s="41"/>
      <c r="FA14" s="41"/>
      <c r="FB14" s="41"/>
      <c r="FC14" s="41"/>
      <c r="FD14" s="41"/>
      <c r="FE14" s="41"/>
      <c r="FF14" s="41"/>
      <c r="FG14" s="41"/>
      <c r="FH14" s="41"/>
    </row>
    <row r="15" spans="1:164" ht="15">
      <c r="F15" s="62"/>
      <c r="H15" s="1" t="s">
        <v>112</v>
      </c>
      <c r="I15" s="3">
        <v>1090</v>
      </c>
      <c r="J15" s="3">
        <v>1090</v>
      </c>
      <c r="K15" s="3">
        <v>1090</v>
      </c>
      <c r="L15" s="3">
        <v>1090</v>
      </c>
      <c r="M15" s="3">
        <v>1090</v>
      </c>
      <c r="N15" s="3">
        <v>1090</v>
      </c>
      <c r="O15" s="3">
        <v>1090</v>
      </c>
      <c r="P15" s="3">
        <v>1090</v>
      </c>
      <c r="Q15" s="3">
        <v>1090</v>
      </c>
      <c r="R15" s="3">
        <v>1090</v>
      </c>
      <c r="AO15" s="1" t="s">
        <v>135</v>
      </c>
      <c r="AP15" s="3">
        <v>1090</v>
      </c>
      <c r="AQ15" s="3">
        <v>1090</v>
      </c>
      <c r="AR15" s="3">
        <v>1090</v>
      </c>
      <c r="AS15" s="3">
        <v>1090</v>
      </c>
      <c r="AT15" s="3">
        <v>1090</v>
      </c>
      <c r="AU15" s="3">
        <v>1090</v>
      </c>
      <c r="AV15" s="3">
        <v>1090</v>
      </c>
      <c r="AW15" s="3">
        <v>1090</v>
      </c>
      <c r="AX15" s="3">
        <v>1090</v>
      </c>
      <c r="AY15" s="3">
        <v>1090</v>
      </c>
      <c r="AZ15" s="3">
        <v>1090</v>
      </c>
      <c r="BA15" s="3">
        <v>1090</v>
      </c>
      <c r="BB15" s="3">
        <v>1090</v>
      </c>
      <c r="BC15" s="3">
        <v>1090</v>
      </c>
      <c r="BD15" s="3">
        <v>1090</v>
      </c>
      <c r="BE15" s="3">
        <v>1090</v>
      </c>
      <c r="BF15" s="3">
        <v>1090</v>
      </c>
      <c r="BG15" s="3">
        <v>1090</v>
      </c>
      <c r="BH15" s="3">
        <v>1090</v>
      </c>
      <c r="BI15" s="3">
        <v>1090</v>
      </c>
      <c r="BJ15" s="3">
        <v>1090</v>
      </c>
      <c r="BK15" s="3">
        <v>1090</v>
      </c>
      <c r="BL15" s="3">
        <v>1090</v>
      </c>
      <c r="BM15" s="3">
        <v>1090</v>
      </c>
      <c r="BN15" s="3">
        <v>1090</v>
      </c>
      <c r="BO15" s="3">
        <v>1090</v>
      </c>
      <c r="BP15" s="3">
        <v>1090</v>
      </c>
      <c r="BQ15" s="3">
        <v>1090</v>
      </c>
      <c r="BR15" s="3">
        <v>1090</v>
      </c>
      <c r="BS15" s="3">
        <v>1090</v>
      </c>
      <c r="BT15" s="3">
        <v>1090</v>
      </c>
      <c r="BU15" s="3">
        <v>1090</v>
      </c>
      <c r="BV15" s="3">
        <v>1090</v>
      </c>
      <c r="BW15" s="3">
        <v>1090</v>
      </c>
      <c r="BX15" s="3">
        <v>1090</v>
      </c>
      <c r="BY15" s="3">
        <v>1090</v>
      </c>
      <c r="BZ15" s="3">
        <v>1090</v>
      </c>
      <c r="CA15" s="3">
        <v>1090</v>
      </c>
      <c r="CB15" s="3">
        <v>1090</v>
      </c>
      <c r="CC15" s="3">
        <v>1090</v>
      </c>
      <c r="CD15" s="3">
        <v>1090</v>
      </c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  <c r="DN15" s="3"/>
      <c r="DO15" s="3"/>
      <c r="DP15" s="3"/>
      <c r="DQ15" s="3"/>
      <c r="DR15" s="3"/>
      <c r="DS15" s="3"/>
      <c r="DT15" s="3"/>
      <c r="DU15" s="3"/>
      <c r="DV15" s="3"/>
      <c r="DW15" s="3"/>
      <c r="DX15" s="3"/>
      <c r="DY15" s="3"/>
      <c r="DZ15" s="3"/>
      <c r="EA15" s="3"/>
      <c r="EB15" s="3"/>
      <c r="EC15" s="3"/>
      <c r="ED15" s="3"/>
      <c r="EE15" s="3"/>
      <c r="EF15" s="3"/>
      <c r="EG15" s="3"/>
      <c r="EH15" s="3"/>
      <c r="EI15" s="3"/>
      <c r="EJ15" s="3"/>
      <c r="EK15" s="3"/>
      <c r="EL15" s="3"/>
      <c r="EM15" s="3"/>
      <c r="EN15" s="3"/>
      <c r="EO15" s="3"/>
      <c r="EP15" s="3"/>
      <c r="EQ15" s="3"/>
      <c r="ER15" s="3"/>
      <c r="ES15" s="3"/>
      <c r="ET15" s="3"/>
      <c r="EU15" s="3"/>
      <c r="EV15" s="3"/>
      <c r="EW15" s="3"/>
      <c r="EX15" s="3"/>
      <c r="EY15" s="3"/>
      <c r="EZ15" s="3"/>
      <c r="FA15" s="3"/>
      <c r="FB15" s="3"/>
      <c r="FC15" s="3"/>
      <c r="FD15" s="3"/>
      <c r="FE15" s="3"/>
      <c r="FF15" s="3"/>
      <c r="FG15" s="3"/>
      <c r="FH15" s="3"/>
    </row>
    <row r="16" spans="1:164">
      <c r="I16" s="157"/>
      <c r="J16" s="157"/>
      <c r="K16" s="157"/>
      <c r="L16" s="157"/>
      <c r="M16" s="157"/>
      <c r="N16" s="157"/>
      <c r="O16" s="157"/>
      <c r="P16" s="157"/>
      <c r="Q16" s="157"/>
      <c r="R16" s="157"/>
      <c r="S16" s="157"/>
      <c r="T16" s="157"/>
      <c r="U16" s="157"/>
      <c r="V16" s="157"/>
      <c r="W16" s="157"/>
      <c r="X16" s="157"/>
      <c r="Y16" s="157"/>
      <c r="Z16" s="157"/>
      <c r="AA16" s="157"/>
      <c r="AB16" s="157"/>
      <c r="AC16" s="157"/>
      <c r="AD16" s="157"/>
      <c r="AE16" s="157"/>
      <c r="AF16" s="157"/>
      <c r="AG16" s="157"/>
      <c r="AH16" s="157"/>
      <c r="AI16" s="157"/>
      <c r="AJ16" s="157"/>
      <c r="AK16" s="157"/>
    </row>
    <row r="17" spans="6:68">
      <c r="AP17" s="142"/>
      <c r="AQ17" s="142"/>
      <c r="AR17" s="142"/>
      <c r="AS17" s="142"/>
      <c r="AT17" s="142"/>
      <c r="AU17" s="142"/>
      <c r="AV17" s="142"/>
      <c r="AW17" s="142"/>
      <c r="AX17" s="142"/>
      <c r="AY17" s="142"/>
      <c r="AZ17" s="142"/>
      <c r="BA17" s="142"/>
      <c r="BB17" s="142"/>
      <c r="BC17" s="142"/>
      <c r="BD17" s="142"/>
      <c r="BE17" s="142"/>
      <c r="BF17" s="142"/>
      <c r="BG17" s="142"/>
      <c r="BH17" s="142"/>
      <c r="BI17" s="142"/>
      <c r="BJ17" s="142"/>
      <c r="BK17" s="142"/>
      <c r="BL17" s="142"/>
      <c r="BM17" s="142"/>
      <c r="BN17" s="142"/>
      <c r="BO17" s="142"/>
      <c r="BP17" s="142"/>
    </row>
    <row r="28" spans="6:68">
      <c r="F28" s="32"/>
      <c r="G28" s="32"/>
      <c r="H28" s="32"/>
    </row>
    <row r="29" spans="6:68">
      <c r="F29" s="32"/>
      <c r="G29" s="32"/>
      <c r="H29" s="32"/>
    </row>
    <row r="30" spans="6:68">
      <c r="F30" s="32"/>
      <c r="G30" s="32"/>
      <c r="H30" s="32"/>
    </row>
    <row r="31" spans="6:68">
      <c r="F31" s="32"/>
      <c r="G31" s="32"/>
      <c r="H31" s="32"/>
    </row>
    <row r="32" spans="6:68">
      <c r="F32" s="31"/>
      <c r="G32" s="32"/>
      <c r="H32" s="31"/>
    </row>
  </sheetData>
  <phoneticPr fontId="20" type="noConversion"/>
  <pageMargins left="0.70866141732283472" right="0.70866141732283472" top="0.74803149606299213" bottom="0.74803149606299213" header="0.31496062992125984" footer="0.31496062992125984"/>
  <pageSetup orientation="landscape" horizontalDpi="200" verticalDpi="200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CE4229-C545-47EB-ADBA-4A9824DF5E37}">
  <sheetPr>
    <tabColor theme="4"/>
    <pageSetUpPr fitToPage="1"/>
  </sheetPr>
  <dimension ref="B8:AA86"/>
  <sheetViews>
    <sheetView showGridLines="0" tabSelected="1" topLeftCell="B45" zoomScale="80" zoomScaleNormal="80" workbookViewId="0">
      <selection activeCell="P68" sqref="P68"/>
    </sheetView>
  </sheetViews>
  <sheetFormatPr defaultColWidth="8.81640625" defaultRowHeight="14.5"/>
  <cols>
    <col min="1" max="1" width="5.81640625" customWidth="1"/>
    <col min="2" max="2" width="3.453125" bestFit="1" customWidth="1"/>
    <col min="3" max="3" width="18.1796875" customWidth="1"/>
    <col min="4" max="4" width="7.453125" customWidth="1"/>
    <col min="5" max="5" width="16.81640625" bestFit="1" customWidth="1"/>
    <col min="6" max="6" width="8.81640625" customWidth="1"/>
    <col min="7" max="7" width="14.1796875" bestFit="1" customWidth="1"/>
    <col min="8" max="8" width="17.1796875" bestFit="1" customWidth="1"/>
    <col min="11" max="11" width="10.453125" bestFit="1" customWidth="1"/>
    <col min="17" max="17" width="11.81640625" customWidth="1"/>
    <col min="21" max="21" width="12.81640625" customWidth="1"/>
    <col min="22" max="22" width="6" customWidth="1"/>
    <col min="23" max="23" width="13" customWidth="1"/>
  </cols>
  <sheetData>
    <row r="8" spans="24:24">
      <c r="X8" t="s">
        <v>156</v>
      </c>
    </row>
    <row r="11" spans="24:24">
      <c r="X11" t="s">
        <v>157</v>
      </c>
    </row>
    <row r="13" spans="24:24">
      <c r="X13" t="s">
        <v>158</v>
      </c>
    </row>
    <row r="16" spans="24:24">
      <c r="X16" t="s">
        <v>159</v>
      </c>
    </row>
    <row r="19" spans="24:24">
      <c r="X19" t="s">
        <v>160</v>
      </c>
    </row>
    <row r="42" spans="19:27" ht="15.65" customHeight="1"/>
    <row r="43" spans="19:27" ht="14.9" customHeight="1"/>
    <row r="46" spans="19:27" ht="15.5">
      <c r="S46" s="182"/>
      <c r="T46" s="182"/>
      <c r="AA46" s="70"/>
    </row>
    <row r="47" spans="19:27">
      <c r="S47" s="182"/>
      <c r="T47" s="182"/>
    </row>
    <row r="52" spans="19:19">
      <c r="S52" s="76"/>
    </row>
    <row r="53" spans="19:19">
      <c r="S53" s="76"/>
    </row>
    <row r="54" spans="19:19">
      <c r="S54" s="76"/>
    </row>
    <row r="55" spans="19:19">
      <c r="S55" s="76"/>
    </row>
    <row r="56" spans="19:19">
      <c r="S56" s="76"/>
    </row>
    <row r="65" spans="2:17" s="14" customFormat="1" ht="14"/>
    <row r="66" spans="2:17" s="14" customFormat="1" ht="14"/>
    <row r="67" spans="2:17" s="14" customFormat="1" ht="14"/>
    <row r="68" spans="2:17" s="14" customFormat="1" ht="14"/>
    <row r="69" spans="2:17" s="31" customFormat="1" ht="14">
      <c r="B69" s="78"/>
      <c r="C69" s="78"/>
      <c r="D69" s="79"/>
      <c r="E69" s="79"/>
      <c r="F69" s="79"/>
      <c r="G69" s="79"/>
      <c r="H69" s="80"/>
    </row>
    <row r="70" spans="2:17" s="61" customFormat="1" ht="14">
      <c r="B70" s="81"/>
      <c r="C70" s="82"/>
      <c r="D70" s="83"/>
      <c r="E70" s="83"/>
      <c r="F70" s="83"/>
      <c r="G70" s="83"/>
      <c r="H70" s="84"/>
    </row>
    <row r="71" spans="2:17" s="61" customFormat="1" ht="14">
      <c r="B71" s="81"/>
      <c r="C71" s="82"/>
      <c r="D71" s="83"/>
      <c r="E71" s="83"/>
      <c r="F71" s="83"/>
      <c r="G71" s="83"/>
      <c r="H71" s="84"/>
    </row>
    <row r="72" spans="2:17" s="61" customFormat="1" ht="14">
      <c r="B72" s="81"/>
      <c r="C72" s="82"/>
      <c r="D72" s="83"/>
      <c r="E72" s="83"/>
      <c r="F72" s="83"/>
      <c r="G72" s="83"/>
      <c r="H72" s="84"/>
    </row>
    <row r="73" spans="2:17" s="61" customFormat="1" ht="14">
      <c r="B73" s="81"/>
      <c r="C73" s="82"/>
      <c r="D73" s="83"/>
      <c r="E73" s="83"/>
      <c r="F73" s="83"/>
      <c r="G73" s="83"/>
      <c r="H73" s="84"/>
    </row>
    <row r="80" spans="2:17" ht="15">
      <c r="Q80" s="62"/>
    </row>
    <row r="81" spans="17:17" ht="15.5">
      <c r="Q81" s="63"/>
    </row>
    <row r="82" spans="17:17" ht="15.5">
      <c r="Q82" s="63"/>
    </row>
    <row r="83" spans="17:17" ht="15.5">
      <c r="Q83" s="63"/>
    </row>
    <row r="84" spans="17:17" ht="15.5">
      <c r="Q84" s="64"/>
    </row>
    <row r="86" spans="17:17" ht="15">
      <c r="Q86" s="62"/>
    </row>
  </sheetData>
  <mergeCells count="1">
    <mergeCell ref="S46:T47"/>
  </mergeCells>
  <pageMargins left="0.2" right="0.2" top="0.75" bottom="0.75" header="0.3" footer="0.3"/>
  <pageSetup paperSize="9" scale="60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F86FC7-DB4F-46B6-8BC2-DB8B0C2B4FE1}">
  <sheetPr>
    <tabColor theme="4"/>
    <pageSetUpPr fitToPage="1"/>
  </sheetPr>
  <dimension ref="A16:Y85"/>
  <sheetViews>
    <sheetView showGridLines="0" topLeftCell="A13" zoomScale="80" zoomScaleNormal="80" workbookViewId="0">
      <selection activeCell="E34" sqref="E34"/>
    </sheetView>
  </sheetViews>
  <sheetFormatPr defaultColWidth="8.81640625" defaultRowHeight="14.5"/>
  <cols>
    <col min="1" max="1" width="3.453125" bestFit="1" customWidth="1"/>
    <col min="2" max="2" width="18.1796875" customWidth="1"/>
    <col min="3" max="3" width="7.453125" customWidth="1"/>
    <col min="4" max="4" width="16.81640625" bestFit="1" customWidth="1"/>
    <col min="5" max="5" width="8.81640625" customWidth="1"/>
    <col min="6" max="6" width="14.1796875" bestFit="1" customWidth="1"/>
    <col min="7" max="7" width="17.1796875" bestFit="1" customWidth="1"/>
    <col min="10" max="10" width="10.453125" bestFit="1" customWidth="1"/>
    <col min="16" max="16" width="11.81640625" customWidth="1"/>
    <col min="19" max="19" width="19.1796875" customWidth="1"/>
    <col min="20" max="20" width="11.1796875" customWidth="1"/>
    <col min="21" max="21" width="10" customWidth="1"/>
  </cols>
  <sheetData>
    <row r="16" ht="14.15" customHeight="1"/>
    <row r="33" spans="7:25">
      <c r="P33" s="76"/>
    </row>
    <row r="41" spans="7:25" ht="15.65" customHeight="1">
      <c r="R41" s="182"/>
      <c r="S41" s="182"/>
      <c r="T41" s="88"/>
      <c r="U41" s="88"/>
    </row>
    <row r="42" spans="7:25" ht="21" customHeight="1">
      <c r="R42" s="182"/>
      <c r="S42" s="182"/>
      <c r="T42" s="88"/>
      <c r="U42" s="88"/>
    </row>
    <row r="43" spans="7:25" ht="14.9" customHeight="1">
      <c r="T43" s="88"/>
      <c r="U43" s="88"/>
    </row>
    <row r="44" spans="7:25" ht="14.9" customHeight="1">
      <c r="T44" s="189"/>
      <c r="U44" s="189"/>
    </row>
    <row r="45" spans="7:25" ht="15.65" customHeight="1">
      <c r="T45" s="189"/>
      <c r="U45" s="189"/>
    </row>
    <row r="46" spans="7:25" ht="14.9" customHeight="1">
      <c r="T46" s="189"/>
      <c r="U46" s="189"/>
      <c r="X46" s="182"/>
      <c r="Y46" s="182"/>
    </row>
    <row r="47" spans="7:25" ht="32.15" customHeight="1">
      <c r="T47" s="189"/>
      <c r="U47" s="189"/>
      <c r="X47" s="182"/>
      <c r="Y47" s="182"/>
    </row>
    <row r="48" spans="7:25" ht="21">
      <c r="G48" s="98"/>
      <c r="T48" s="104"/>
      <c r="U48" s="104"/>
      <c r="X48" s="182"/>
      <c r="Y48" s="182"/>
    </row>
    <row r="49" spans="7:25">
      <c r="G49" s="98"/>
      <c r="X49" s="182"/>
      <c r="Y49" s="182"/>
    </row>
    <row r="50" spans="7:25" ht="59.15" customHeight="1">
      <c r="T50" s="188"/>
      <c r="U50" s="188"/>
    </row>
    <row r="51" spans="7:25" ht="45.65" customHeight="1">
      <c r="R51" s="76"/>
      <c r="T51" s="186"/>
      <c r="U51" s="186"/>
    </row>
    <row r="52" spans="7:25" ht="27.65" customHeight="1">
      <c r="R52" s="76"/>
      <c r="T52" s="186"/>
      <c r="U52" s="186"/>
    </row>
    <row r="53" spans="7:25" ht="27.65" customHeight="1">
      <c r="R53" s="76"/>
      <c r="T53" s="187"/>
      <c r="U53" s="187"/>
    </row>
    <row r="54" spans="7:25" ht="27.65" customHeight="1">
      <c r="R54" s="76"/>
      <c r="T54" s="187"/>
      <c r="U54" s="187"/>
    </row>
    <row r="55" spans="7:25">
      <c r="R55" s="76"/>
    </row>
    <row r="64" spans="7:25" s="14" customFormat="1" ht="14">
      <c r="U64" s="103"/>
    </row>
    <row r="65" spans="1:16" s="14" customFormat="1" ht="14"/>
    <row r="66" spans="1:16" s="14" customFormat="1" ht="14"/>
    <row r="67" spans="1:16" s="14" customFormat="1" ht="14"/>
    <row r="68" spans="1:16" s="31" customFormat="1" ht="14">
      <c r="A68" s="78"/>
      <c r="B68" s="78"/>
      <c r="C68" s="79"/>
      <c r="D68" s="79"/>
      <c r="E68" s="79"/>
      <c r="F68" s="79"/>
      <c r="G68" s="80"/>
    </row>
    <row r="69" spans="1:16" s="61" customFormat="1" ht="14">
      <c r="A69" s="81"/>
      <c r="B69" s="82"/>
      <c r="C69" s="83"/>
      <c r="D69" s="83"/>
      <c r="E69" s="83"/>
      <c r="F69" s="83"/>
      <c r="G69" s="84"/>
    </row>
    <row r="70" spans="1:16" s="61" customFormat="1" ht="14">
      <c r="A70" s="81"/>
      <c r="B70" s="82"/>
      <c r="C70" s="83"/>
      <c r="D70" s="83"/>
      <c r="E70" s="83"/>
      <c r="F70" s="83"/>
      <c r="G70" s="84"/>
    </row>
    <row r="71" spans="1:16" s="61" customFormat="1" ht="14">
      <c r="A71" s="81"/>
      <c r="B71" s="82"/>
      <c r="C71" s="83"/>
      <c r="D71" s="83"/>
      <c r="E71" s="83"/>
      <c r="F71" s="83"/>
      <c r="G71" s="84"/>
    </row>
    <row r="72" spans="1:16" s="61" customFormat="1">
      <c r="A72" s="81"/>
      <c r="B72" s="82"/>
      <c r="C72" s="83"/>
      <c r="D72" s="83"/>
      <c r="E72"/>
      <c r="F72" s="83"/>
      <c r="G72" s="84"/>
    </row>
    <row r="79" spans="1:16" ht="15">
      <c r="P79" s="62"/>
    </row>
    <row r="80" spans="1:16" ht="15.5">
      <c r="P80" s="63"/>
    </row>
    <row r="81" spans="16:16" ht="15.5">
      <c r="P81" s="63"/>
    </row>
    <row r="82" spans="16:16" ht="15.5">
      <c r="P82" s="63"/>
    </row>
    <row r="83" spans="16:16" ht="15.5">
      <c r="P83" s="64"/>
    </row>
    <row r="85" spans="16:16" ht="15">
      <c r="P85" s="62"/>
    </row>
  </sheetData>
  <mergeCells count="7">
    <mergeCell ref="T51:U52"/>
    <mergeCell ref="T53:U54"/>
    <mergeCell ref="R41:S42"/>
    <mergeCell ref="X46:Y47"/>
    <mergeCell ref="X48:Y49"/>
    <mergeCell ref="T50:U50"/>
    <mergeCell ref="T44:U47"/>
  </mergeCells>
  <pageMargins left="0.2" right="0.2" top="0.75" bottom="0.75" header="0.3" footer="0.3"/>
  <pageSetup paperSize="9" scale="60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D96257-0C76-4746-B996-71DD67B685A9}">
  <dimension ref="A1:JD46"/>
  <sheetViews>
    <sheetView showGridLines="0" topLeftCell="H3" zoomScale="90" zoomScaleNormal="90" workbookViewId="0">
      <pane xSplit="30" ySplit="3" topLeftCell="AX9" activePane="bottomRight" state="frozen"/>
      <selection activeCell="BS18" sqref="BS18"/>
      <selection pane="topRight" activeCell="BS18" sqref="BS18"/>
      <selection pane="bottomLeft" activeCell="BS18" sqref="BS18"/>
      <selection pane="bottomRight" activeCell="IU33" sqref="IU33"/>
    </sheetView>
  </sheetViews>
  <sheetFormatPr defaultColWidth="9.1796875" defaultRowHeight="13"/>
  <cols>
    <col min="1" max="1" width="6.1796875" style="1" hidden="1" customWidth="1"/>
    <col min="2" max="2" width="10.1796875" style="1" hidden="1" customWidth="1"/>
    <col min="3" max="3" width="8.81640625" style="1" hidden="1" customWidth="1"/>
    <col min="4" max="4" width="11.453125" style="1" hidden="1" customWidth="1"/>
    <col min="5" max="5" width="33.1796875" style="1" hidden="1" customWidth="1"/>
    <col min="6" max="6" width="39.453125" style="1" hidden="1" customWidth="1"/>
    <col min="7" max="7" width="10.54296875" style="1" hidden="1" customWidth="1"/>
    <col min="8" max="8" width="29" style="1" customWidth="1"/>
    <col min="9" max="15" width="13.81640625" style="1" hidden="1" customWidth="1"/>
    <col min="16" max="16" width="9.1796875" style="1" hidden="1" customWidth="1"/>
    <col min="17" max="17" width="10.1796875" style="1" hidden="1" customWidth="1"/>
    <col min="18" max="18" width="7.81640625" style="1" hidden="1" customWidth="1"/>
    <col min="19" max="28" width="9.81640625" style="1" hidden="1" customWidth="1"/>
    <col min="29" max="29" width="11.81640625" style="1" hidden="1" customWidth="1"/>
    <col min="30" max="31" width="9.1796875" style="1" hidden="1" customWidth="1"/>
    <col min="32" max="38" width="8.1796875" style="1" hidden="1" customWidth="1"/>
    <col min="39" max="39" width="9.1796875" style="1" hidden="1" customWidth="1"/>
    <col min="40" max="49" width="8.1796875" style="1" hidden="1" customWidth="1"/>
    <col min="50" max="74" width="8.1796875" style="1" customWidth="1"/>
    <col min="75" max="75" width="12" style="61" bestFit="1" customWidth="1"/>
    <col min="76" max="76" width="9.1796875" style="1"/>
    <col min="77" max="77" width="9.1796875" style="1" hidden="1" customWidth="1"/>
    <col min="78" max="78" width="22.81640625" style="1" customWidth="1"/>
    <col min="79" max="87" width="9.1796875" style="1" hidden="1" customWidth="1"/>
    <col min="88" max="88" width="9" style="1" hidden="1" customWidth="1"/>
    <col min="89" max="96" width="9.1796875" style="1" hidden="1" customWidth="1"/>
    <col min="97" max="105" width="10.1796875" style="1" hidden="1" customWidth="1"/>
    <col min="106" max="106" width="7.1796875" style="1" hidden="1" customWidth="1"/>
    <col min="107" max="107" width="7" style="1" hidden="1" customWidth="1"/>
    <col min="108" max="108" width="10" style="1" hidden="1" customWidth="1"/>
    <col min="109" max="109" width="9.81640625" style="1" hidden="1" customWidth="1"/>
    <col min="110" max="110" width="10" style="1" hidden="1" customWidth="1"/>
    <col min="111" max="117" width="10.453125" style="1" hidden="1" customWidth="1"/>
    <col min="118" max="119" width="10.1796875" style="1" hidden="1" customWidth="1"/>
    <col min="120" max="129" width="9.453125" style="1" hidden="1" customWidth="1"/>
    <col min="130" max="131" width="9.1796875" style="1" hidden="1" customWidth="1"/>
    <col min="132" max="208" width="0" style="1" hidden="1" customWidth="1"/>
    <col min="209" max="251" width="9.1796875" style="1"/>
    <col min="252" max="264" width="8.81640625" style="1" customWidth="1"/>
    <col min="265" max="16384" width="9.1796875" style="1"/>
  </cols>
  <sheetData>
    <row r="1" spans="1:264" hidden="1"/>
    <row r="2" spans="1:264" hidden="1"/>
    <row r="3" spans="1:264" ht="19.399999999999999" customHeight="1">
      <c r="F3" s="15" t="s">
        <v>57</v>
      </c>
      <c r="H3" s="15" t="s">
        <v>57</v>
      </c>
      <c r="DD3" s="170">
        <v>2023</v>
      </c>
      <c r="FC3" s="170">
        <v>2024</v>
      </c>
    </row>
    <row r="4" spans="1:264" s="61" customFormat="1" ht="17.5">
      <c r="A4" s="71"/>
      <c r="B4" s="71"/>
      <c r="C4" s="71"/>
      <c r="D4" s="72"/>
      <c r="E4" s="71"/>
      <c r="F4" s="73" t="s">
        <v>3</v>
      </c>
      <c r="G4" s="73"/>
      <c r="H4" s="73"/>
      <c r="I4" s="74">
        <v>23147</v>
      </c>
      <c r="J4" s="74">
        <v>23135</v>
      </c>
      <c r="K4" s="74">
        <v>23142</v>
      </c>
      <c r="L4" s="74">
        <v>23194</v>
      </c>
      <c r="M4" s="74">
        <v>23204</v>
      </c>
      <c r="N4" s="74">
        <v>23160</v>
      </c>
      <c r="O4" s="74">
        <v>23141</v>
      </c>
      <c r="P4" s="74">
        <v>23161</v>
      </c>
      <c r="Q4" s="74">
        <v>23161</v>
      </c>
      <c r="R4" s="74">
        <v>23123</v>
      </c>
      <c r="S4" s="74">
        <v>23156</v>
      </c>
      <c r="T4" s="74">
        <v>23126</v>
      </c>
      <c r="U4" s="74">
        <v>23180</v>
      </c>
      <c r="V4" s="74">
        <v>23108</v>
      </c>
      <c r="W4" s="74">
        <f>V4</f>
        <v>23108</v>
      </c>
      <c r="X4" s="74">
        <f>W4</f>
        <v>23108</v>
      </c>
      <c r="Y4" s="74">
        <f>X4</f>
        <v>23108</v>
      </c>
      <c r="Z4" s="74">
        <v>23150</v>
      </c>
      <c r="AA4" s="74">
        <v>23150</v>
      </c>
      <c r="AB4" s="74">
        <v>23150</v>
      </c>
      <c r="AC4" s="74">
        <v>23150</v>
      </c>
      <c r="AD4" s="74">
        <v>23500</v>
      </c>
      <c r="AE4" s="74">
        <v>23500</v>
      </c>
      <c r="AF4" s="74">
        <v>23500</v>
      </c>
      <c r="AG4" s="74">
        <v>23500</v>
      </c>
      <c r="AH4" s="74">
        <v>23500</v>
      </c>
      <c r="AI4" s="74">
        <v>23500</v>
      </c>
      <c r="AJ4" s="74">
        <v>24600</v>
      </c>
      <c r="AK4" s="74">
        <v>24600</v>
      </c>
      <c r="AL4" s="74">
        <v>24000</v>
      </c>
      <c r="AM4" s="74">
        <v>24000</v>
      </c>
      <c r="AN4" s="74">
        <v>24000</v>
      </c>
      <c r="AO4" s="74">
        <v>24000</v>
      </c>
      <c r="AP4" s="74">
        <v>24000</v>
      </c>
      <c r="AQ4" s="74">
        <v>24000</v>
      </c>
      <c r="AR4" s="74">
        <v>24000</v>
      </c>
      <c r="AS4" s="74">
        <v>24000</v>
      </c>
      <c r="AT4" s="74">
        <v>24000</v>
      </c>
      <c r="AU4" s="74">
        <v>24000</v>
      </c>
      <c r="AV4" s="74">
        <v>24000</v>
      </c>
      <c r="AW4" s="74">
        <v>24000</v>
      </c>
      <c r="AX4" s="74"/>
      <c r="AY4" s="74"/>
      <c r="AZ4" s="74"/>
      <c r="BA4" s="74"/>
      <c r="BB4" s="74"/>
      <c r="BC4" s="74"/>
      <c r="BD4" s="74"/>
      <c r="BE4" s="74"/>
      <c r="BF4" s="74"/>
      <c r="BG4" s="74"/>
      <c r="BH4" s="74"/>
      <c r="BI4" s="74"/>
      <c r="BJ4" s="74"/>
      <c r="BK4" s="74"/>
      <c r="BL4" s="74"/>
      <c r="BM4" s="74"/>
      <c r="BN4" s="74"/>
      <c r="BO4" s="74"/>
      <c r="BP4" s="74"/>
      <c r="BQ4" s="74"/>
      <c r="BR4" s="74"/>
      <c r="BS4" s="74"/>
      <c r="BT4" s="74"/>
      <c r="BU4" s="74"/>
      <c r="BV4" s="74"/>
      <c r="CA4" s="74">
        <v>23150</v>
      </c>
      <c r="CB4" s="74">
        <v>23150</v>
      </c>
      <c r="CC4" s="74">
        <v>23150</v>
      </c>
      <c r="CD4" s="74">
        <v>23150</v>
      </c>
      <c r="CE4" s="74">
        <v>23150</v>
      </c>
      <c r="CF4" s="74">
        <v>23150</v>
      </c>
      <c r="CG4" s="74">
        <v>23150</v>
      </c>
      <c r="CH4" s="74">
        <v>23150</v>
      </c>
      <c r="CI4" s="74">
        <v>23150</v>
      </c>
      <c r="CJ4" s="74">
        <v>23150</v>
      </c>
      <c r="CK4" s="74">
        <v>23150</v>
      </c>
      <c r="CL4" s="74">
        <v>23150</v>
      </c>
      <c r="CM4" s="74">
        <v>23500</v>
      </c>
      <c r="CN4" s="74">
        <v>23500</v>
      </c>
      <c r="CO4" s="74">
        <v>23500</v>
      </c>
      <c r="CP4" s="74">
        <v>23500</v>
      </c>
      <c r="CQ4" s="74">
        <v>23500</v>
      </c>
      <c r="CR4" s="74">
        <v>23500</v>
      </c>
      <c r="CS4" s="74">
        <v>23500</v>
      </c>
      <c r="CT4" s="74">
        <v>23500</v>
      </c>
      <c r="CU4" s="74">
        <v>24600</v>
      </c>
      <c r="CV4" s="74">
        <v>24600</v>
      </c>
      <c r="CW4" s="74">
        <v>24600</v>
      </c>
      <c r="CX4" s="74">
        <v>24600</v>
      </c>
      <c r="CY4" s="74">
        <v>24600</v>
      </c>
      <c r="CZ4" s="74">
        <v>24000</v>
      </c>
      <c r="DA4" s="74">
        <v>24000</v>
      </c>
      <c r="DB4" s="74">
        <v>24000</v>
      </c>
      <c r="DC4" s="74">
        <v>24000</v>
      </c>
      <c r="DD4" s="74">
        <v>24000</v>
      </c>
      <c r="DE4" s="74">
        <v>24000</v>
      </c>
      <c r="DF4" s="74">
        <v>24000</v>
      </c>
      <c r="DG4" s="74">
        <v>24000</v>
      </c>
      <c r="DH4" s="74">
        <v>24000</v>
      </c>
      <c r="DI4" s="74">
        <v>24000</v>
      </c>
      <c r="DJ4" s="74">
        <v>24000</v>
      </c>
      <c r="DK4" s="74">
        <v>24000</v>
      </c>
      <c r="DL4" s="74">
        <v>24000</v>
      </c>
      <c r="DM4" s="74">
        <v>24000</v>
      </c>
      <c r="DN4" s="74">
        <v>24000</v>
      </c>
      <c r="DO4" s="74">
        <v>24000</v>
      </c>
      <c r="DP4" s="74">
        <v>24000</v>
      </c>
      <c r="DQ4" s="74">
        <v>24000</v>
      </c>
      <c r="DR4" s="74">
        <v>24000</v>
      </c>
      <c r="DS4" s="74">
        <v>24000</v>
      </c>
      <c r="DT4" s="74">
        <v>24000</v>
      </c>
      <c r="DU4" s="74">
        <v>24000</v>
      </c>
      <c r="DV4" s="74">
        <v>24000</v>
      </c>
      <c r="DW4" s="74">
        <v>24000</v>
      </c>
      <c r="DX4" s="74">
        <v>24000</v>
      </c>
      <c r="DY4" s="74">
        <v>24000</v>
      </c>
      <c r="DZ4" s="74">
        <v>24000</v>
      </c>
      <c r="EA4" s="74">
        <v>24000</v>
      </c>
      <c r="EB4" s="74">
        <v>24000</v>
      </c>
      <c r="EC4" s="74">
        <v>24000</v>
      </c>
      <c r="ED4" s="74">
        <v>24000</v>
      </c>
      <c r="EE4" s="74">
        <v>24000</v>
      </c>
      <c r="EF4" s="74">
        <v>24000</v>
      </c>
      <c r="EG4" s="74">
        <v>24000</v>
      </c>
      <c r="EH4" s="74">
        <v>24000</v>
      </c>
      <c r="EI4" s="74">
        <v>24000</v>
      </c>
      <c r="EJ4" s="74">
        <v>24000</v>
      </c>
      <c r="EK4" s="74">
        <v>24000</v>
      </c>
      <c r="EL4" s="74">
        <v>24000</v>
      </c>
      <c r="EM4" s="74">
        <v>24000</v>
      </c>
      <c r="EN4" s="74">
        <v>24000</v>
      </c>
      <c r="EO4" s="74">
        <v>24000</v>
      </c>
      <c r="EP4" s="74">
        <v>24000</v>
      </c>
      <c r="EQ4" s="74">
        <v>24000</v>
      </c>
      <c r="ER4" s="74">
        <v>24000</v>
      </c>
      <c r="ES4" s="74">
        <v>24000</v>
      </c>
      <c r="ET4" s="74">
        <v>24000</v>
      </c>
      <c r="EU4" s="74">
        <v>24000</v>
      </c>
      <c r="EV4" s="74">
        <v>24000</v>
      </c>
      <c r="EW4" s="74">
        <v>24000</v>
      </c>
      <c r="EX4" s="74">
        <v>24000</v>
      </c>
      <c r="EY4" s="74">
        <v>24000</v>
      </c>
      <c r="EZ4" s="74">
        <v>24000</v>
      </c>
      <c r="FA4" s="74">
        <v>24000</v>
      </c>
      <c r="FB4" s="74">
        <v>24000</v>
      </c>
      <c r="FC4" s="74">
        <v>24000</v>
      </c>
      <c r="FD4" s="74">
        <v>24000</v>
      </c>
      <c r="FE4" s="74"/>
      <c r="FF4" s="74"/>
      <c r="FG4" s="74"/>
      <c r="FH4" s="74"/>
      <c r="FI4" s="74"/>
      <c r="FJ4" s="74"/>
      <c r="FK4" s="74"/>
      <c r="FL4" s="74"/>
      <c r="FM4" s="74"/>
      <c r="FN4" s="74"/>
      <c r="FO4" s="74"/>
      <c r="FP4" s="74"/>
      <c r="FQ4" s="74"/>
      <c r="FR4" s="74"/>
      <c r="HA4" s="178">
        <v>2025</v>
      </c>
      <c r="IZ4" s="178">
        <v>2026</v>
      </c>
    </row>
    <row r="5" spans="1:264" s="32" customFormat="1" ht="19.5" customHeight="1">
      <c r="A5" s="33" t="s">
        <v>0</v>
      </c>
      <c r="B5" s="33" t="s">
        <v>1</v>
      </c>
      <c r="C5" s="33" t="s">
        <v>4</v>
      </c>
      <c r="D5" s="34" t="s">
        <v>5</v>
      </c>
      <c r="E5" s="33" t="s">
        <v>6</v>
      </c>
      <c r="F5" s="33" t="s">
        <v>2</v>
      </c>
      <c r="G5" s="33" t="s">
        <v>7</v>
      </c>
      <c r="H5" s="33" t="s">
        <v>2</v>
      </c>
      <c r="I5" s="33" t="s">
        <v>8</v>
      </c>
      <c r="J5" s="33" t="s">
        <v>9</v>
      </c>
      <c r="K5" s="33" t="s">
        <v>10</v>
      </c>
      <c r="L5" s="33" t="s">
        <v>11</v>
      </c>
      <c r="M5" s="33" t="s">
        <v>12</v>
      </c>
      <c r="N5" s="33" t="s">
        <v>13</v>
      </c>
      <c r="O5" s="33" t="s">
        <v>14</v>
      </c>
      <c r="P5" s="33" t="s">
        <v>15</v>
      </c>
      <c r="Q5" s="33" t="s">
        <v>16</v>
      </c>
      <c r="R5" s="33" t="s">
        <v>17</v>
      </c>
      <c r="S5" s="33" t="s">
        <v>18</v>
      </c>
      <c r="T5" s="33" t="s">
        <v>19</v>
      </c>
      <c r="U5" s="33">
        <v>1</v>
      </c>
      <c r="V5" s="33">
        <v>2</v>
      </c>
      <c r="W5" s="33">
        <v>3</v>
      </c>
      <c r="X5" s="33">
        <v>4</v>
      </c>
      <c r="Y5" s="33">
        <v>5</v>
      </c>
      <c r="Z5" s="33">
        <v>6</v>
      </c>
      <c r="AA5" s="33">
        <v>7</v>
      </c>
      <c r="AB5" s="33">
        <v>8</v>
      </c>
      <c r="AC5" s="33" t="s">
        <v>63</v>
      </c>
      <c r="AD5" s="33">
        <v>9</v>
      </c>
      <c r="AE5" s="33">
        <v>10</v>
      </c>
      <c r="AF5" s="86" t="s">
        <v>65</v>
      </c>
      <c r="AG5" s="86" t="s">
        <v>66</v>
      </c>
      <c r="AH5" s="86" t="s">
        <v>67</v>
      </c>
      <c r="AI5" s="86" t="s">
        <v>68</v>
      </c>
      <c r="AJ5" s="86">
        <v>11</v>
      </c>
      <c r="AK5" s="86">
        <v>12</v>
      </c>
      <c r="AL5" s="94" t="s">
        <v>74</v>
      </c>
      <c r="AM5" s="94">
        <v>2</v>
      </c>
      <c r="AN5" s="94">
        <v>3</v>
      </c>
      <c r="AO5" s="94">
        <v>4</v>
      </c>
      <c r="AP5" s="94">
        <v>5</v>
      </c>
      <c r="AQ5" s="94">
        <v>6</v>
      </c>
      <c r="AR5" s="94">
        <v>7</v>
      </c>
      <c r="AS5" s="94">
        <v>8</v>
      </c>
      <c r="AT5" s="94">
        <v>9</v>
      </c>
      <c r="AU5" s="94">
        <v>10</v>
      </c>
      <c r="AV5" s="99">
        <v>11</v>
      </c>
      <c r="AW5" s="99">
        <v>12</v>
      </c>
      <c r="AX5" s="99" t="s">
        <v>122</v>
      </c>
      <c r="AY5" s="99">
        <v>2</v>
      </c>
      <c r="AZ5" s="99">
        <v>3</v>
      </c>
      <c r="BA5" s="99">
        <v>4</v>
      </c>
      <c r="BB5" s="99">
        <v>5</v>
      </c>
      <c r="BC5" s="99">
        <v>6</v>
      </c>
      <c r="BD5" s="99">
        <v>7</v>
      </c>
      <c r="BE5" s="99">
        <v>8</v>
      </c>
      <c r="BF5" s="99">
        <v>9</v>
      </c>
      <c r="BG5" s="99">
        <v>10</v>
      </c>
      <c r="BH5" s="99">
        <v>11</v>
      </c>
      <c r="BI5" s="99">
        <v>12</v>
      </c>
      <c r="BJ5" s="99" t="s">
        <v>174</v>
      </c>
      <c r="BK5" s="99">
        <v>2</v>
      </c>
      <c r="BL5" s="99">
        <v>3</v>
      </c>
      <c r="BM5" s="99">
        <v>4</v>
      </c>
      <c r="BN5" s="99">
        <v>5</v>
      </c>
      <c r="BO5" s="99">
        <v>6</v>
      </c>
      <c r="BP5" s="99">
        <v>7</v>
      </c>
      <c r="BQ5" s="99">
        <v>8</v>
      </c>
      <c r="BR5" s="99">
        <v>9</v>
      </c>
      <c r="BS5" s="99">
        <v>10</v>
      </c>
      <c r="BT5" s="99">
        <v>11</v>
      </c>
      <c r="BU5" s="99">
        <v>12</v>
      </c>
      <c r="BV5" s="99" t="s">
        <v>198</v>
      </c>
      <c r="BW5" s="148"/>
      <c r="BX5" s="34" t="s">
        <v>5</v>
      </c>
      <c r="BY5" s="33" t="s">
        <v>6</v>
      </c>
      <c r="BZ5" s="33" t="s">
        <v>2</v>
      </c>
      <c r="CA5" s="94">
        <v>24</v>
      </c>
      <c r="CB5" s="94">
        <v>25</v>
      </c>
      <c r="CC5" s="94">
        <v>26</v>
      </c>
      <c r="CD5" s="94">
        <v>27</v>
      </c>
      <c r="CE5" s="94">
        <v>28</v>
      </c>
      <c r="CF5" s="94">
        <v>29</v>
      </c>
      <c r="CG5" s="94">
        <v>30</v>
      </c>
      <c r="CH5" s="94">
        <v>31</v>
      </c>
      <c r="CI5" s="94">
        <v>32</v>
      </c>
      <c r="CJ5" s="94">
        <v>33</v>
      </c>
      <c r="CK5" s="94">
        <v>34</v>
      </c>
      <c r="CL5" s="94">
        <v>35</v>
      </c>
      <c r="CM5" s="94">
        <v>36</v>
      </c>
      <c r="CN5" s="94">
        <v>37</v>
      </c>
      <c r="CO5" s="94">
        <v>38</v>
      </c>
      <c r="CP5" s="94">
        <v>39</v>
      </c>
      <c r="CQ5" s="94">
        <v>40</v>
      </c>
      <c r="CR5" s="94">
        <v>41</v>
      </c>
      <c r="CS5" s="94">
        <v>42</v>
      </c>
      <c r="CT5" s="94">
        <v>43</v>
      </c>
      <c r="CU5" s="94">
        <v>44</v>
      </c>
      <c r="CV5" s="94">
        <v>45</v>
      </c>
      <c r="CW5" s="99">
        <v>46</v>
      </c>
      <c r="CX5" s="99">
        <v>47</v>
      </c>
      <c r="CY5" s="99">
        <v>48</v>
      </c>
      <c r="CZ5" s="99">
        <v>49</v>
      </c>
      <c r="DA5" s="99">
        <v>50</v>
      </c>
      <c r="DB5" s="99">
        <v>51</v>
      </c>
      <c r="DC5" s="99">
        <v>52</v>
      </c>
      <c r="DD5" s="94" t="s">
        <v>97</v>
      </c>
      <c r="DE5" s="94">
        <v>2</v>
      </c>
      <c r="DF5" s="94">
        <v>3</v>
      </c>
      <c r="DG5" s="94">
        <v>5</v>
      </c>
      <c r="DH5" s="94">
        <v>6</v>
      </c>
      <c r="DI5" s="94">
        <v>7</v>
      </c>
      <c r="DJ5" s="94">
        <v>8</v>
      </c>
      <c r="DK5" s="94">
        <v>9</v>
      </c>
      <c r="DL5" s="94">
        <v>10</v>
      </c>
      <c r="DM5" s="94">
        <v>11</v>
      </c>
      <c r="DN5" s="94">
        <v>12</v>
      </c>
      <c r="DO5" s="94">
        <v>13</v>
      </c>
      <c r="DP5" s="94">
        <v>14</v>
      </c>
      <c r="DQ5" s="94">
        <v>15</v>
      </c>
      <c r="DR5" s="94">
        <v>16</v>
      </c>
      <c r="DS5" s="94">
        <v>17</v>
      </c>
      <c r="DT5" s="94">
        <v>18</v>
      </c>
      <c r="DU5" s="94">
        <v>19</v>
      </c>
      <c r="DV5" s="94">
        <v>20</v>
      </c>
      <c r="DW5" s="94">
        <v>21</v>
      </c>
      <c r="DX5" s="94">
        <v>22</v>
      </c>
      <c r="DY5" s="94">
        <v>23</v>
      </c>
      <c r="DZ5" s="94">
        <v>24</v>
      </c>
      <c r="EA5" s="94">
        <v>25</v>
      </c>
      <c r="EB5" s="94">
        <v>26</v>
      </c>
      <c r="EC5" s="94">
        <v>27</v>
      </c>
      <c r="ED5" s="94">
        <v>28</v>
      </c>
      <c r="EE5" s="94">
        <v>29</v>
      </c>
      <c r="EF5" s="94">
        <v>30</v>
      </c>
      <c r="EG5" s="94">
        <v>31</v>
      </c>
      <c r="EH5" s="94">
        <v>32</v>
      </c>
      <c r="EI5" s="94">
        <v>33</v>
      </c>
      <c r="EJ5" s="99">
        <v>34</v>
      </c>
      <c r="EK5" s="99">
        <v>35</v>
      </c>
      <c r="EL5" s="99">
        <v>36</v>
      </c>
      <c r="EM5" s="99">
        <v>37</v>
      </c>
      <c r="EN5" s="99">
        <v>38</v>
      </c>
      <c r="EO5" s="99">
        <v>39</v>
      </c>
      <c r="EP5" s="99">
        <v>40</v>
      </c>
      <c r="EQ5" s="99">
        <v>41</v>
      </c>
      <c r="ER5" s="99">
        <v>42</v>
      </c>
      <c r="ES5" s="99">
        <v>43</v>
      </c>
      <c r="ET5" s="99">
        <v>44</v>
      </c>
      <c r="EU5" s="99">
        <v>45</v>
      </c>
      <c r="EV5" s="99">
        <v>46</v>
      </c>
      <c r="EW5" s="99">
        <v>47</v>
      </c>
      <c r="EX5" s="99">
        <v>48</v>
      </c>
      <c r="EY5" s="99">
        <v>49</v>
      </c>
      <c r="EZ5" s="99">
        <v>50</v>
      </c>
      <c r="FA5" s="99">
        <v>51</v>
      </c>
      <c r="FB5" s="99">
        <v>52</v>
      </c>
      <c r="FC5" s="99" t="s">
        <v>117</v>
      </c>
      <c r="FD5" s="94" t="s">
        <v>123</v>
      </c>
      <c r="FE5" s="94" t="s">
        <v>124</v>
      </c>
      <c r="FF5" s="94" t="s">
        <v>125</v>
      </c>
      <c r="FG5" s="94" t="s">
        <v>126</v>
      </c>
      <c r="FH5" s="94" t="s">
        <v>142</v>
      </c>
      <c r="FI5" s="94" t="s">
        <v>143</v>
      </c>
      <c r="FJ5" s="94" t="s">
        <v>144</v>
      </c>
      <c r="FK5" s="94" t="s">
        <v>145</v>
      </c>
      <c r="FL5" s="94" t="s">
        <v>146</v>
      </c>
      <c r="FM5" s="94">
        <v>13</v>
      </c>
      <c r="FN5" s="94">
        <v>14</v>
      </c>
      <c r="FO5" s="94">
        <v>15</v>
      </c>
      <c r="FP5" s="94">
        <v>16</v>
      </c>
      <c r="FQ5" s="94">
        <v>17</v>
      </c>
      <c r="FR5" s="94">
        <v>18</v>
      </c>
      <c r="FS5" s="94">
        <v>19</v>
      </c>
      <c r="FT5" s="94">
        <v>20</v>
      </c>
      <c r="FU5" s="94">
        <v>21</v>
      </c>
      <c r="FV5" s="94">
        <v>22</v>
      </c>
      <c r="FW5" s="94">
        <v>23</v>
      </c>
      <c r="FX5" s="94">
        <v>24</v>
      </c>
      <c r="FY5" s="94">
        <v>25</v>
      </c>
      <c r="FZ5" s="94">
        <v>26</v>
      </c>
      <c r="GA5" s="94">
        <v>27</v>
      </c>
      <c r="GB5" s="94">
        <v>28</v>
      </c>
      <c r="GC5" s="94">
        <v>29</v>
      </c>
      <c r="GD5" s="94">
        <v>30</v>
      </c>
      <c r="GE5" s="94">
        <v>31</v>
      </c>
      <c r="GF5" s="94">
        <v>32</v>
      </c>
      <c r="GG5" s="94">
        <v>33</v>
      </c>
      <c r="GH5" s="94">
        <v>34</v>
      </c>
      <c r="GI5" s="94">
        <v>35</v>
      </c>
      <c r="GJ5" s="94">
        <v>36</v>
      </c>
      <c r="GK5" s="94">
        <v>37</v>
      </c>
      <c r="GL5" s="94">
        <v>38</v>
      </c>
      <c r="GM5" s="94">
        <v>39</v>
      </c>
      <c r="GN5" s="94">
        <v>40</v>
      </c>
      <c r="GO5" s="94">
        <v>41</v>
      </c>
      <c r="GP5" s="94">
        <v>42</v>
      </c>
      <c r="GQ5" s="94">
        <v>43</v>
      </c>
      <c r="GR5" s="94">
        <v>44</v>
      </c>
      <c r="GS5" s="94">
        <v>45</v>
      </c>
      <c r="GT5" s="94">
        <v>46</v>
      </c>
      <c r="GU5" s="94">
        <v>47</v>
      </c>
      <c r="GV5" s="94">
        <v>48</v>
      </c>
      <c r="GW5" s="94">
        <v>49</v>
      </c>
      <c r="GX5" s="94">
        <v>50</v>
      </c>
      <c r="GY5" s="94">
        <v>51</v>
      </c>
      <c r="GZ5" s="94">
        <v>52</v>
      </c>
      <c r="HA5" s="94" t="s">
        <v>121</v>
      </c>
      <c r="HB5" s="94" t="s">
        <v>123</v>
      </c>
      <c r="HC5" s="94" t="s">
        <v>124</v>
      </c>
      <c r="HD5" s="94" t="s">
        <v>125</v>
      </c>
      <c r="HE5" s="94" t="s">
        <v>175</v>
      </c>
      <c r="HF5" s="94" t="s">
        <v>177</v>
      </c>
      <c r="HG5" s="94" t="s">
        <v>142</v>
      </c>
      <c r="HH5" s="94" t="s">
        <v>143</v>
      </c>
      <c r="HI5" s="94" t="s">
        <v>144</v>
      </c>
      <c r="HJ5" s="94" t="s">
        <v>145</v>
      </c>
      <c r="HK5" s="94" t="s">
        <v>146</v>
      </c>
      <c r="HL5" s="94" t="s">
        <v>147</v>
      </c>
      <c r="HM5" s="94" t="s">
        <v>148</v>
      </c>
      <c r="HN5" s="94" t="s">
        <v>149</v>
      </c>
      <c r="HO5" s="94" t="s">
        <v>150</v>
      </c>
      <c r="HP5" s="94" t="s">
        <v>151</v>
      </c>
      <c r="HQ5" s="94" t="s">
        <v>152</v>
      </c>
      <c r="HR5" s="94" t="s">
        <v>153</v>
      </c>
      <c r="HS5" s="94" t="s">
        <v>154</v>
      </c>
      <c r="HT5" s="94" t="s">
        <v>155</v>
      </c>
      <c r="HU5" s="94" t="s">
        <v>162</v>
      </c>
      <c r="HV5" s="94" t="s">
        <v>163</v>
      </c>
      <c r="HW5" s="94" t="s">
        <v>164</v>
      </c>
      <c r="HX5" s="94" t="s">
        <v>165</v>
      </c>
      <c r="HY5" s="94" t="s">
        <v>166</v>
      </c>
      <c r="HZ5" s="94" t="s">
        <v>167</v>
      </c>
      <c r="IA5" s="94" t="s">
        <v>168</v>
      </c>
      <c r="IB5" s="94" t="s">
        <v>169</v>
      </c>
      <c r="IC5" s="94" t="s">
        <v>170</v>
      </c>
      <c r="ID5" s="94" t="s">
        <v>171</v>
      </c>
      <c r="IE5" s="94" t="s">
        <v>172</v>
      </c>
      <c r="IF5" s="94" t="s">
        <v>173</v>
      </c>
      <c r="IG5" s="94" t="s">
        <v>179</v>
      </c>
      <c r="IH5" s="94" t="s">
        <v>180</v>
      </c>
      <c r="II5" s="94" t="s">
        <v>181</v>
      </c>
      <c r="IJ5" s="94" t="s">
        <v>182</v>
      </c>
      <c r="IK5" s="94" t="s">
        <v>183</v>
      </c>
      <c r="IL5" s="94" t="s">
        <v>184</v>
      </c>
      <c r="IM5" s="94" t="s">
        <v>185</v>
      </c>
      <c r="IN5" s="94" t="s">
        <v>186</v>
      </c>
      <c r="IO5" s="94" t="s">
        <v>187</v>
      </c>
      <c r="IP5" s="94" t="s">
        <v>188</v>
      </c>
      <c r="IQ5" s="94" t="s">
        <v>189</v>
      </c>
      <c r="IR5" s="94" t="s">
        <v>190</v>
      </c>
      <c r="IS5" s="94" t="s">
        <v>191</v>
      </c>
      <c r="IT5" s="94" t="s">
        <v>192</v>
      </c>
      <c r="IU5" s="94" t="s">
        <v>193</v>
      </c>
      <c r="IV5" s="94" t="s">
        <v>194</v>
      </c>
      <c r="IW5" s="94" t="s">
        <v>195</v>
      </c>
      <c r="IX5" s="94" t="s">
        <v>196</v>
      </c>
      <c r="IY5" s="94" t="s">
        <v>197</v>
      </c>
      <c r="IZ5" s="94" t="s">
        <v>121</v>
      </c>
      <c r="JA5" s="94" t="s">
        <v>123</v>
      </c>
      <c r="JB5" s="94" t="s">
        <v>124</v>
      </c>
      <c r="JC5" s="94" t="s">
        <v>125</v>
      </c>
      <c r="JD5" s="94" t="s">
        <v>126</v>
      </c>
    </row>
    <row r="6" spans="1:264" ht="14" hidden="1">
      <c r="A6" s="4">
        <v>3</v>
      </c>
      <c r="B6" s="8">
        <v>150000007</v>
      </c>
      <c r="C6" s="8" t="s">
        <v>20</v>
      </c>
      <c r="D6" s="4" t="s">
        <v>43</v>
      </c>
      <c r="E6" s="5" t="s">
        <v>44</v>
      </c>
      <c r="F6" s="7" t="s">
        <v>45</v>
      </c>
      <c r="G6" s="16" t="s">
        <v>23</v>
      </c>
      <c r="H6" s="7" t="s">
        <v>45</v>
      </c>
      <c r="I6" s="6">
        <v>20500</v>
      </c>
      <c r="J6" s="6">
        <v>20500</v>
      </c>
      <c r="K6" s="6">
        <v>21500</v>
      </c>
      <c r="L6" s="6">
        <v>21500</v>
      </c>
      <c r="M6" s="6">
        <v>22500</v>
      </c>
      <c r="N6" s="6">
        <v>22500</v>
      </c>
      <c r="O6" s="6">
        <v>22500</v>
      </c>
      <c r="P6" s="6">
        <v>22500</v>
      </c>
      <c r="Q6" s="6">
        <v>22500</v>
      </c>
      <c r="R6" s="6">
        <v>22500</v>
      </c>
      <c r="S6" s="6">
        <v>22500</v>
      </c>
      <c r="T6" s="6">
        <v>22500</v>
      </c>
      <c r="U6" s="6">
        <v>22500</v>
      </c>
      <c r="V6" s="6">
        <v>22500</v>
      </c>
      <c r="W6" s="6">
        <v>22500</v>
      </c>
      <c r="X6" s="6">
        <v>22500</v>
      </c>
      <c r="Y6" s="6">
        <v>22500</v>
      </c>
      <c r="Z6" s="6">
        <v>22500</v>
      </c>
      <c r="AA6" s="6">
        <v>22500</v>
      </c>
      <c r="AB6" s="6">
        <v>22500</v>
      </c>
      <c r="AC6" s="6">
        <v>22500</v>
      </c>
      <c r="AD6" s="6">
        <v>22500</v>
      </c>
      <c r="AE6" s="6">
        <v>22500</v>
      </c>
      <c r="AF6" s="6">
        <v>22500</v>
      </c>
      <c r="AG6" s="6">
        <v>22500</v>
      </c>
      <c r="AH6" s="6">
        <v>22500</v>
      </c>
      <c r="AI6" s="6">
        <v>22500</v>
      </c>
      <c r="AJ6" s="6">
        <v>22500</v>
      </c>
      <c r="AK6" s="6">
        <v>23000</v>
      </c>
      <c r="AL6" s="6">
        <v>25000</v>
      </c>
      <c r="AM6" s="6">
        <v>25000</v>
      </c>
      <c r="AN6" s="6">
        <v>25000</v>
      </c>
      <c r="AO6" s="6">
        <v>25000</v>
      </c>
      <c r="AP6" s="6">
        <v>25000</v>
      </c>
      <c r="AQ6" s="6">
        <v>25000</v>
      </c>
      <c r="AR6" s="6">
        <v>23000</v>
      </c>
      <c r="AS6" s="6">
        <v>22500</v>
      </c>
      <c r="AT6" s="6">
        <v>22500</v>
      </c>
      <c r="AU6" s="6">
        <v>22500</v>
      </c>
      <c r="AV6" s="91">
        <v>22500</v>
      </c>
      <c r="AW6" s="91">
        <v>22500</v>
      </c>
      <c r="AX6" s="91">
        <v>22500</v>
      </c>
      <c r="AY6" s="91">
        <v>22500</v>
      </c>
      <c r="AZ6" s="91">
        <v>22000</v>
      </c>
      <c r="BA6" s="91">
        <v>22000</v>
      </c>
      <c r="BB6" s="91">
        <v>22000</v>
      </c>
      <c r="BC6" s="91">
        <v>22000</v>
      </c>
      <c r="BD6" s="91">
        <v>22000</v>
      </c>
      <c r="BE6" s="91">
        <v>22000</v>
      </c>
      <c r="BF6" s="91">
        <v>22000</v>
      </c>
      <c r="BG6" s="91">
        <v>22000</v>
      </c>
      <c r="BH6" s="91">
        <v>22000</v>
      </c>
      <c r="BI6" s="91">
        <v>22000</v>
      </c>
      <c r="BJ6" s="91">
        <v>22000</v>
      </c>
      <c r="BK6" s="91">
        <v>22000</v>
      </c>
      <c r="BL6" s="91">
        <v>22000</v>
      </c>
      <c r="BM6" s="91">
        <v>22000</v>
      </c>
      <c r="BN6" s="91">
        <v>22000</v>
      </c>
      <c r="BO6" s="91">
        <v>22000</v>
      </c>
      <c r="BP6" s="91">
        <v>22000</v>
      </c>
      <c r="BQ6" s="91">
        <v>22000</v>
      </c>
      <c r="BR6" s="91">
        <v>22000</v>
      </c>
      <c r="BS6" s="91">
        <v>22000</v>
      </c>
      <c r="BT6" s="91">
        <v>22000</v>
      </c>
      <c r="BU6" s="91">
        <v>22000</v>
      </c>
      <c r="BV6" s="91">
        <v>22000</v>
      </c>
      <c r="BW6" s="149"/>
      <c r="BX6" s="4" t="s">
        <v>43</v>
      </c>
      <c r="BY6" s="5" t="s">
        <v>44</v>
      </c>
      <c r="BZ6" s="7" t="s">
        <v>45</v>
      </c>
      <c r="CA6" s="6">
        <v>22500</v>
      </c>
      <c r="CB6" s="6">
        <v>22500</v>
      </c>
      <c r="CC6" s="6">
        <v>22500</v>
      </c>
      <c r="CD6" s="6">
        <v>23500</v>
      </c>
      <c r="CE6" s="6">
        <v>23500</v>
      </c>
      <c r="CF6" s="6">
        <v>23500</v>
      </c>
      <c r="CG6" s="6">
        <v>23500</v>
      </c>
      <c r="CH6" s="6">
        <v>23500</v>
      </c>
      <c r="CI6" s="6">
        <v>23500</v>
      </c>
      <c r="CJ6" s="6">
        <v>23500</v>
      </c>
      <c r="CK6" s="6">
        <v>23500</v>
      </c>
      <c r="CL6" s="6">
        <v>23500</v>
      </c>
      <c r="CM6" s="6">
        <v>22500</v>
      </c>
      <c r="CN6" s="6">
        <v>22500</v>
      </c>
      <c r="CO6" s="6">
        <v>22500</v>
      </c>
      <c r="CP6" s="6">
        <v>22500</v>
      </c>
      <c r="CQ6" s="6">
        <v>22500</v>
      </c>
      <c r="CR6" s="6">
        <v>22500</v>
      </c>
      <c r="CS6" s="6">
        <v>22500</v>
      </c>
      <c r="CT6" s="6">
        <v>22500</v>
      </c>
      <c r="CU6" s="6">
        <v>22500</v>
      </c>
      <c r="CV6" s="6">
        <v>22500</v>
      </c>
      <c r="CW6" s="6">
        <v>22500</v>
      </c>
      <c r="CX6" s="6">
        <v>22500</v>
      </c>
      <c r="CY6" s="6">
        <v>22500</v>
      </c>
      <c r="CZ6" s="6">
        <v>22500</v>
      </c>
      <c r="DA6" s="6">
        <v>22500</v>
      </c>
      <c r="DB6" s="6">
        <v>22500</v>
      </c>
      <c r="DC6" s="6">
        <v>22500</v>
      </c>
      <c r="DD6" s="6">
        <v>22500</v>
      </c>
      <c r="DE6" s="6">
        <v>22500</v>
      </c>
      <c r="DF6" s="6">
        <v>22500</v>
      </c>
      <c r="DG6" s="6">
        <v>22500</v>
      </c>
      <c r="DH6" s="6">
        <v>22500</v>
      </c>
      <c r="DI6" s="6">
        <v>22500</v>
      </c>
      <c r="DJ6" s="6">
        <v>22500</v>
      </c>
      <c r="DK6" s="6">
        <v>22500</v>
      </c>
      <c r="DL6" s="6">
        <v>22500</v>
      </c>
      <c r="DM6" s="6">
        <v>22500</v>
      </c>
      <c r="DN6" s="6">
        <v>22500</v>
      </c>
      <c r="DO6" s="6">
        <v>22500</v>
      </c>
      <c r="DP6" s="6">
        <v>22500</v>
      </c>
      <c r="DQ6" s="6">
        <v>22500</v>
      </c>
      <c r="DR6" s="6">
        <v>22500</v>
      </c>
      <c r="DS6" s="6">
        <v>22500</v>
      </c>
      <c r="DT6" s="6">
        <v>22500</v>
      </c>
      <c r="DU6" s="6">
        <v>22500</v>
      </c>
      <c r="DV6" s="6">
        <v>22500</v>
      </c>
      <c r="DW6" s="6">
        <v>22500</v>
      </c>
      <c r="DX6" s="6">
        <v>22500</v>
      </c>
      <c r="DY6" s="6">
        <v>22500</v>
      </c>
      <c r="DZ6" s="6">
        <v>22500</v>
      </c>
      <c r="EA6" s="6">
        <v>23000</v>
      </c>
      <c r="EB6" s="6">
        <v>23000</v>
      </c>
      <c r="EC6" s="6">
        <v>23000</v>
      </c>
      <c r="ED6" s="6">
        <v>23000</v>
      </c>
      <c r="EE6" s="6">
        <v>23000</v>
      </c>
      <c r="EF6" s="6">
        <v>23000</v>
      </c>
      <c r="EG6" s="6">
        <v>22500</v>
      </c>
      <c r="EH6" s="6">
        <v>22500</v>
      </c>
      <c r="EI6" s="6">
        <v>22500</v>
      </c>
      <c r="EJ6" s="91">
        <v>22500</v>
      </c>
      <c r="EK6" s="91">
        <v>22500</v>
      </c>
      <c r="EL6" s="91">
        <v>22500</v>
      </c>
      <c r="EM6" s="91">
        <v>22500</v>
      </c>
      <c r="EN6" s="91">
        <v>22500</v>
      </c>
      <c r="EO6" s="91">
        <v>22500</v>
      </c>
      <c r="EP6" s="91">
        <v>22500</v>
      </c>
      <c r="EQ6" s="91">
        <v>22500</v>
      </c>
      <c r="ER6" s="91">
        <v>22500</v>
      </c>
      <c r="ES6" s="91">
        <v>22500</v>
      </c>
      <c r="ET6" s="91">
        <v>22500</v>
      </c>
      <c r="EU6" s="91">
        <v>22500</v>
      </c>
      <c r="EV6" s="91">
        <v>22500</v>
      </c>
      <c r="EW6" s="91">
        <v>22500</v>
      </c>
      <c r="EX6" s="91">
        <v>22500</v>
      </c>
      <c r="EY6" s="91">
        <v>22500</v>
      </c>
      <c r="EZ6" s="91">
        <v>22500</v>
      </c>
      <c r="FA6" s="91">
        <v>22500</v>
      </c>
      <c r="FB6" s="91">
        <v>22500</v>
      </c>
      <c r="FC6" s="91">
        <v>22500</v>
      </c>
      <c r="FD6" s="91">
        <v>22500</v>
      </c>
      <c r="FE6" s="91">
        <v>22500</v>
      </c>
      <c r="FF6" s="91">
        <v>22500</v>
      </c>
      <c r="FG6" s="91">
        <v>22500</v>
      </c>
      <c r="FH6" s="91">
        <v>22500</v>
      </c>
      <c r="FI6" s="91">
        <v>22500</v>
      </c>
      <c r="FJ6" s="91">
        <v>22000</v>
      </c>
      <c r="FK6" s="91">
        <v>22000</v>
      </c>
      <c r="FL6" s="91">
        <v>22000</v>
      </c>
      <c r="FM6" s="91">
        <v>22000</v>
      </c>
      <c r="FN6" s="91">
        <v>22000</v>
      </c>
      <c r="FO6" s="91">
        <v>22000</v>
      </c>
      <c r="FP6" s="91">
        <v>22000</v>
      </c>
      <c r="FQ6" s="91">
        <v>22000</v>
      </c>
      <c r="FR6" s="91">
        <v>22000</v>
      </c>
      <c r="FS6" s="91">
        <v>22000</v>
      </c>
      <c r="FT6" s="91">
        <v>22000</v>
      </c>
      <c r="FU6" s="91">
        <v>22000</v>
      </c>
      <c r="FV6" s="91">
        <v>22000</v>
      </c>
      <c r="FW6" s="91">
        <v>22000</v>
      </c>
      <c r="FX6" s="91">
        <v>22000</v>
      </c>
      <c r="FY6" s="91">
        <v>22000</v>
      </c>
      <c r="FZ6" s="91">
        <v>22000</v>
      </c>
      <c r="GA6" s="91">
        <v>22000</v>
      </c>
      <c r="GB6" s="91">
        <v>22000</v>
      </c>
      <c r="GC6" s="91">
        <v>22000</v>
      </c>
      <c r="GD6" s="91">
        <v>22000</v>
      </c>
      <c r="GE6" s="91">
        <v>22000</v>
      </c>
      <c r="GF6" s="91">
        <v>22000</v>
      </c>
      <c r="GG6" s="91">
        <v>22000</v>
      </c>
      <c r="GH6" s="91">
        <v>22000</v>
      </c>
      <c r="GI6" s="91">
        <v>22000</v>
      </c>
      <c r="GJ6" s="91">
        <v>22000</v>
      </c>
      <c r="GK6" s="91">
        <v>22000</v>
      </c>
      <c r="GL6" s="91">
        <v>22000</v>
      </c>
      <c r="GM6" s="91">
        <v>22000</v>
      </c>
      <c r="GN6" s="91">
        <v>22000</v>
      </c>
      <c r="GO6" s="91">
        <v>22000</v>
      </c>
      <c r="GP6" s="91">
        <v>22000</v>
      </c>
      <c r="GQ6" s="91">
        <v>22000</v>
      </c>
      <c r="GR6" s="91">
        <v>22000</v>
      </c>
      <c r="GS6" s="91">
        <v>22000</v>
      </c>
      <c r="GT6" s="91">
        <v>22000</v>
      </c>
      <c r="GU6" s="91">
        <v>22000</v>
      </c>
      <c r="GV6" s="91">
        <v>22000</v>
      </c>
      <c r="GW6" s="91">
        <v>22000</v>
      </c>
      <c r="GX6" s="91">
        <v>22000</v>
      </c>
      <c r="GY6" s="91">
        <v>22000</v>
      </c>
      <c r="GZ6" s="91">
        <v>22000</v>
      </c>
      <c r="HA6" s="91"/>
      <c r="HB6" s="91"/>
      <c r="HC6" s="91"/>
      <c r="HD6" s="91"/>
      <c r="HE6" s="91"/>
      <c r="HF6" s="91"/>
      <c r="HG6" s="91"/>
      <c r="HH6" s="91"/>
      <c r="HI6" s="91"/>
      <c r="HJ6" s="91"/>
      <c r="HK6" s="91"/>
      <c r="HL6" s="91"/>
      <c r="HM6" s="91"/>
      <c r="HN6" s="91"/>
      <c r="HO6" s="91"/>
      <c r="HP6" s="91"/>
      <c r="HQ6" s="91"/>
      <c r="HR6" s="91"/>
      <c r="HS6" s="91"/>
      <c r="HT6" s="91"/>
      <c r="HU6" s="91"/>
      <c r="HV6" s="91"/>
      <c r="HW6" s="91"/>
      <c r="HX6" s="91"/>
      <c r="HY6" s="91"/>
      <c r="HZ6" s="91"/>
      <c r="IA6" s="91"/>
      <c r="IB6" s="91"/>
      <c r="IC6" s="91"/>
      <c r="ID6" s="91"/>
      <c r="IE6" s="91"/>
      <c r="IF6" s="91"/>
      <c r="IG6" s="91"/>
      <c r="IH6" s="91"/>
      <c r="II6" s="91"/>
      <c r="IJ6" s="91"/>
      <c r="IK6" s="91"/>
      <c r="IL6" s="91"/>
      <c r="IM6" s="91"/>
      <c r="IN6" s="91"/>
      <c r="IO6" s="91"/>
      <c r="IP6" s="91"/>
      <c r="IQ6" s="91"/>
      <c r="IR6" s="91"/>
      <c r="IS6" s="91"/>
      <c r="IT6" s="91"/>
      <c r="IU6" s="91"/>
      <c r="IV6" s="91"/>
      <c r="IW6" s="91"/>
      <c r="IX6" s="91"/>
      <c r="IY6" s="91"/>
      <c r="IZ6" s="91"/>
      <c r="JA6" s="91"/>
      <c r="JB6" s="91"/>
      <c r="JC6" s="91"/>
      <c r="JD6" s="91"/>
    </row>
    <row r="7" spans="1:264" ht="18" hidden="1" customHeight="1">
      <c r="A7" s="4">
        <v>3</v>
      </c>
      <c r="B7" s="8">
        <v>150000007</v>
      </c>
      <c r="C7" s="8" t="s">
        <v>20</v>
      </c>
      <c r="D7" s="4" t="s">
        <v>43</v>
      </c>
      <c r="E7" s="5" t="s">
        <v>44</v>
      </c>
      <c r="F7" s="7" t="s">
        <v>45</v>
      </c>
      <c r="G7" s="4" t="s">
        <v>24</v>
      </c>
      <c r="H7" s="7" t="s">
        <v>45</v>
      </c>
      <c r="I7" s="10">
        <f t="shared" ref="I7:AC7" si="0">I6/I4*1000</f>
        <v>885.64392793882575</v>
      </c>
      <c r="J7" s="10">
        <f t="shared" si="0"/>
        <v>886.10330667819323</v>
      </c>
      <c r="K7" s="10">
        <f t="shared" si="0"/>
        <v>929.04675481807965</v>
      </c>
      <c r="L7" s="10">
        <f t="shared" si="0"/>
        <v>926.96386996637057</v>
      </c>
      <c r="M7" s="10">
        <f t="shared" si="0"/>
        <v>969.66040337872778</v>
      </c>
      <c r="N7" s="10">
        <f t="shared" si="0"/>
        <v>971.50259067357513</v>
      </c>
      <c r="O7" s="10">
        <f t="shared" si="0"/>
        <v>972.30024631606238</v>
      </c>
      <c r="P7" s="10">
        <f t="shared" si="0"/>
        <v>971.46064504986828</v>
      </c>
      <c r="Q7" s="10">
        <f t="shared" si="0"/>
        <v>971.46064504986828</v>
      </c>
      <c r="R7" s="10">
        <f t="shared" si="0"/>
        <v>973.05712926523381</v>
      </c>
      <c r="S7" s="10">
        <f t="shared" si="0"/>
        <v>971.6704093971324</v>
      </c>
      <c r="T7" s="10">
        <f t="shared" si="0"/>
        <v>972.93090028539314</v>
      </c>
      <c r="U7" s="10">
        <f t="shared" si="0"/>
        <v>970.66436583261429</v>
      </c>
      <c r="V7" s="10">
        <f t="shared" si="0"/>
        <v>973.68876579539551</v>
      </c>
      <c r="W7" s="10">
        <f t="shared" si="0"/>
        <v>973.68876579539551</v>
      </c>
      <c r="X7" s="10">
        <f t="shared" si="0"/>
        <v>973.68876579539551</v>
      </c>
      <c r="Y7" s="10">
        <f t="shared" si="0"/>
        <v>973.68876579539551</v>
      </c>
      <c r="Z7" s="10">
        <f t="shared" si="0"/>
        <v>971.92224622030233</v>
      </c>
      <c r="AA7" s="10">
        <f t="shared" si="0"/>
        <v>971.92224622030233</v>
      </c>
      <c r="AB7" s="10">
        <f t="shared" si="0"/>
        <v>971.92224622030233</v>
      </c>
      <c r="AC7" s="10">
        <f t="shared" si="0"/>
        <v>971.92224622030233</v>
      </c>
      <c r="AD7" s="10">
        <f t="shared" ref="AD7:AK7" si="1">AD6/AD4*1000</f>
        <v>957.44680851063833</v>
      </c>
      <c r="AE7" s="10">
        <f t="shared" si="1"/>
        <v>957.44680851063833</v>
      </c>
      <c r="AF7" s="10">
        <f t="shared" si="1"/>
        <v>957.44680851063833</v>
      </c>
      <c r="AG7" s="10">
        <f t="shared" si="1"/>
        <v>957.44680851063833</v>
      </c>
      <c r="AH7" s="10">
        <f t="shared" si="1"/>
        <v>957.44680851063833</v>
      </c>
      <c r="AI7" s="10">
        <f t="shared" si="1"/>
        <v>957.44680851063833</v>
      </c>
      <c r="AJ7" s="10">
        <f t="shared" si="1"/>
        <v>914.63414634146341</v>
      </c>
      <c r="AK7" s="10">
        <f t="shared" si="1"/>
        <v>934.95934959349586</v>
      </c>
      <c r="AL7" s="10">
        <f t="shared" ref="AL7:AQ7" si="2">AL6/AL4*1000</f>
        <v>1041.6666666666667</v>
      </c>
      <c r="AM7" s="10">
        <f t="shared" si="2"/>
        <v>1041.6666666666667</v>
      </c>
      <c r="AN7" s="10">
        <f t="shared" si="2"/>
        <v>1041.6666666666667</v>
      </c>
      <c r="AO7" s="10">
        <f t="shared" si="2"/>
        <v>1041.6666666666667</v>
      </c>
      <c r="AP7" s="10">
        <f t="shared" si="2"/>
        <v>1041.6666666666667</v>
      </c>
      <c r="AQ7" s="10">
        <f t="shared" si="2"/>
        <v>1041.6666666666667</v>
      </c>
      <c r="AR7" s="10">
        <f t="shared" ref="AR7:AW7" si="3">AR6/AR4*1000</f>
        <v>958.33333333333337</v>
      </c>
      <c r="AS7" s="10">
        <f t="shared" si="3"/>
        <v>937.5</v>
      </c>
      <c r="AT7" s="10">
        <f t="shared" si="3"/>
        <v>937.5</v>
      </c>
      <c r="AU7" s="10">
        <f t="shared" si="3"/>
        <v>937.5</v>
      </c>
      <c r="AV7" s="75">
        <f t="shared" si="3"/>
        <v>937.5</v>
      </c>
      <c r="AW7" s="75">
        <f t="shared" si="3"/>
        <v>937.5</v>
      </c>
      <c r="AX7" s="75" t="e">
        <f t="shared" ref="AX7:AY7" si="4">AX6/AX4*1000</f>
        <v>#DIV/0!</v>
      </c>
      <c r="AY7" s="75" t="e">
        <f t="shared" si="4"/>
        <v>#DIV/0!</v>
      </c>
      <c r="AZ7" s="75" t="e">
        <f t="shared" ref="AZ7:BA7" si="5">AZ6/AZ4*1000</f>
        <v>#DIV/0!</v>
      </c>
      <c r="BA7" s="75" t="e">
        <f t="shared" si="5"/>
        <v>#DIV/0!</v>
      </c>
      <c r="BB7" s="75" t="e">
        <f t="shared" ref="BB7:BC7" si="6">BB6/BB4*1000</f>
        <v>#DIV/0!</v>
      </c>
      <c r="BC7" s="75" t="e">
        <f t="shared" si="6"/>
        <v>#DIV/0!</v>
      </c>
      <c r="BD7" s="75" t="e">
        <f t="shared" ref="BD7:BE7" si="7">BD6/BD4*1000</f>
        <v>#DIV/0!</v>
      </c>
      <c r="BE7" s="75" t="e">
        <f t="shared" si="7"/>
        <v>#DIV/0!</v>
      </c>
      <c r="BF7" s="75" t="e">
        <f t="shared" ref="BF7:BG7" si="8">BF6/BF4*1000</f>
        <v>#DIV/0!</v>
      </c>
      <c r="BG7" s="75" t="e">
        <f t="shared" si="8"/>
        <v>#DIV/0!</v>
      </c>
      <c r="BH7" s="75" t="e">
        <f t="shared" ref="BH7:BI7" si="9">BH6/BH4*1000</f>
        <v>#DIV/0!</v>
      </c>
      <c r="BI7" s="75" t="e">
        <f t="shared" si="9"/>
        <v>#DIV/0!</v>
      </c>
      <c r="BJ7" s="75" t="e">
        <f t="shared" ref="BJ7:BK7" si="10">BJ6/BJ4*1000</f>
        <v>#DIV/0!</v>
      </c>
      <c r="BK7" s="75" t="e">
        <f t="shared" si="10"/>
        <v>#DIV/0!</v>
      </c>
      <c r="BL7" s="75" t="e">
        <f t="shared" ref="BL7:BM7" si="11">BL6/BL4*1000</f>
        <v>#DIV/0!</v>
      </c>
      <c r="BM7" s="75" t="e">
        <f t="shared" si="11"/>
        <v>#DIV/0!</v>
      </c>
      <c r="BN7" s="75" t="e">
        <f t="shared" ref="BN7:BO7" si="12">BN6/BN4*1000</f>
        <v>#DIV/0!</v>
      </c>
      <c r="BO7" s="75" t="e">
        <f t="shared" si="12"/>
        <v>#DIV/0!</v>
      </c>
      <c r="BP7" s="75" t="e">
        <f t="shared" ref="BP7:BQ7" si="13">BP6/BP4*1000</f>
        <v>#DIV/0!</v>
      </c>
      <c r="BQ7" s="75" t="e">
        <f t="shared" si="13"/>
        <v>#DIV/0!</v>
      </c>
      <c r="BR7" s="75" t="e">
        <f t="shared" ref="BR7:BS7" si="14">BR6/BR4*1000</f>
        <v>#DIV/0!</v>
      </c>
      <c r="BS7" s="75" t="e">
        <f t="shared" si="14"/>
        <v>#DIV/0!</v>
      </c>
      <c r="BT7" s="75" t="e">
        <f t="shared" ref="BT7:BU7" si="15">BT6/BT4*1000</f>
        <v>#DIV/0!</v>
      </c>
      <c r="BU7" s="75" t="e">
        <f t="shared" si="15"/>
        <v>#DIV/0!</v>
      </c>
      <c r="BV7" s="75" t="e">
        <f t="shared" ref="BV7" si="16">BV6/BV4*1000</f>
        <v>#DIV/0!</v>
      </c>
      <c r="BX7" s="4" t="s">
        <v>43</v>
      </c>
      <c r="BY7" s="5" t="s">
        <v>44</v>
      </c>
      <c r="BZ7" s="7" t="s">
        <v>45</v>
      </c>
      <c r="CA7" s="10">
        <f>CA6/CA4*1000</f>
        <v>971.92224622030233</v>
      </c>
      <c r="CB7" s="10">
        <f t="shared" ref="CB7:CP7" si="17">CB6/CB4*1000</f>
        <v>971.92224622030233</v>
      </c>
      <c r="CC7" s="10">
        <f t="shared" si="17"/>
        <v>971.92224622030233</v>
      </c>
      <c r="CD7" s="10">
        <f t="shared" si="17"/>
        <v>1015.1187904967602</v>
      </c>
      <c r="CE7" s="10">
        <f t="shared" si="17"/>
        <v>1015.1187904967602</v>
      </c>
      <c r="CF7" s="10">
        <f t="shared" si="17"/>
        <v>1015.1187904967602</v>
      </c>
      <c r="CG7" s="10">
        <f t="shared" si="17"/>
        <v>1015.1187904967602</v>
      </c>
      <c r="CH7" s="10">
        <f t="shared" si="17"/>
        <v>1015.1187904967602</v>
      </c>
      <c r="CI7" s="10">
        <f t="shared" si="17"/>
        <v>1015.1187904967602</v>
      </c>
      <c r="CJ7" s="10">
        <f t="shared" si="17"/>
        <v>1015.1187904967602</v>
      </c>
      <c r="CK7" s="10">
        <f t="shared" si="17"/>
        <v>1015.1187904967602</v>
      </c>
      <c r="CL7" s="10">
        <f t="shared" si="17"/>
        <v>1015.1187904967602</v>
      </c>
      <c r="CM7" s="10">
        <f t="shared" si="17"/>
        <v>957.44680851063833</v>
      </c>
      <c r="CN7" s="10">
        <f t="shared" si="17"/>
        <v>957.44680851063833</v>
      </c>
      <c r="CO7" s="10">
        <f t="shared" si="17"/>
        <v>957.44680851063833</v>
      </c>
      <c r="CP7" s="10">
        <f t="shared" si="17"/>
        <v>957.44680851063833</v>
      </c>
      <c r="CQ7" s="10">
        <f t="shared" ref="CQ7:DB7" si="18">CQ6/CQ4*1000</f>
        <v>957.44680851063833</v>
      </c>
      <c r="CR7" s="10">
        <f t="shared" si="18"/>
        <v>957.44680851063833</v>
      </c>
      <c r="CS7" s="10">
        <f t="shared" si="18"/>
        <v>957.44680851063833</v>
      </c>
      <c r="CT7" s="10">
        <f t="shared" si="18"/>
        <v>957.44680851063833</v>
      </c>
      <c r="CU7" s="10">
        <f t="shared" si="18"/>
        <v>914.63414634146341</v>
      </c>
      <c r="CV7" s="10">
        <f t="shared" si="18"/>
        <v>914.63414634146341</v>
      </c>
      <c r="CW7" s="10">
        <f t="shared" si="18"/>
        <v>914.63414634146341</v>
      </c>
      <c r="CX7" s="10">
        <f t="shared" si="18"/>
        <v>914.63414634146341</v>
      </c>
      <c r="CY7" s="10">
        <f t="shared" si="18"/>
        <v>914.63414634146341</v>
      </c>
      <c r="CZ7" s="10">
        <f t="shared" si="18"/>
        <v>937.5</v>
      </c>
      <c r="DA7" s="10">
        <f t="shared" si="18"/>
        <v>937.5</v>
      </c>
      <c r="DB7" s="10">
        <f t="shared" si="18"/>
        <v>937.5</v>
      </c>
      <c r="DC7" s="10">
        <f t="shared" ref="DC7:DL7" si="19">DC6/DC4*1000</f>
        <v>937.5</v>
      </c>
      <c r="DD7" s="10">
        <f t="shared" si="19"/>
        <v>937.5</v>
      </c>
      <c r="DE7" s="10">
        <f t="shared" si="19"/>
        <v>937.5</v>
      </c>
      <c r="DF7" s="10">
        <f t="shared" si="19"/>
        <v>937.5</v>
      </c>
      <c r="DG7" s="10">
        <f t="shared" si="19"/>
        <v>937.5</v>
      </c>
      <c r="DH7" s="10">
        <f t="shared" si="19"/>
        <v>937.5</v>
      </c>
      <c r="DI7" s="10">
        <f t="shared" si="19"/>
        <v>937.5</v>
      </c>
      <c r="DJ7" s="10">
        <f t="shared" si="19"/>
        <v>937.5</v>
      </c>
      <c r="DK7" s="10">
        <f t="shared" si="19"/>
        <v>937.5</v>
      </c>
      <c r="DL7" s="10">
        <f t="shared" si="19"/>
        <v>937.5</v>
      </c>
      <c r="DM7" s="10">
        <f>DM6/DM4*1000</f>
        <v>937.5</v>
      </c>
      <c r="DN7" s="10">
        <f>DN6/DN4*1000</f>
        <v>937.5</v>
      </c>
      <c r="DO7" s="10">
        <f t="shared" ref="DO7:DT7" si="20">DO6/DO4*1000</f>
        <v>937.5</v>
      </c>
      <c r="DP7" s="10">
        <f t="shared" si="20"/>
        <v>937.5</v>
      </c>
      <c r="DQ7" s="10">
        <f t="shared" si="20"/>
        <v>937.5</v>
      </c>
      <c r="DR7" s="10">
        <f t="shared" si="20"/>
        <v>937.5</v>
      </c>
      <c r="DS7" s="10">
        <f t="shared" si="20"/>
        <v>937.5</v>
      </c>
      <c r="DT7" s="10">
        <f t="shared" si="20"/>
        <v>937.5</v>
      </c>
      <c r="DU7" s="10">
        <f>DU6/DU4*1000</f>
        <v>937.5</v>
      </c>
      <c r="DV7" s="10">
        <f t="shared" ref="DV7:EB7" si="21">DV6/DV4*1000</f>
        <v>937.5</v>
      </c>
      <c r="DW7" s="10">
        <f t="shared" si="21"/>
        <v>937.5</v>
      </c>
      <c r="DX7" s="10">
        <f t="shared" si="21"/>
        <v>937.5</v>
      </c>
      <c r="DY7" s="10">
        <f t="shared" si="21"/>
        <v>937.5</v>
      </c>
      <c r="DZ7" s="10">
        <f t="shared" si="21"/>
        <v>937.5</v>
      </c>
      <c r="EA7" s="10">
        <f t="shared" si="21"/>
        <v>958.33333333333337</v>
      </c>
      <c r="EB7" s="10">
        <f t="shared" si="21"/>
        <v>958.33333333333337</v>
      </c>
      <c r="EC7" s="10">
        <f t="shared" ref="EC7:EH7" si="22">EC6/EC4*1000</f>
        <v>958.33333333333337</v>
      </c>
      <c r="ED7" s="10">
        <f t="shared" si="22"/>
        <v>958.33333333333337</v>
      </c>
      <c r="EE7" s="10">
        <f t="shared" si="22"/>
        <v>958.33333333333337</v>
      </c>
      <c r="EF7" s="10">
        <f t="shared" si="22"/>
        <v>958.33333333333337</v>
      </c>
      <c r="EG7" s="10">
        <f t="shared" si="22"/>
        <v>937.5</v>
      </c>
      <c r="EH7" s="10">
        <f t="shared" si="22"/>
        <v>937.5</v>
      </c>
      <c r="EI7" s="10">
        <f>EI6/EI4*1000</f>
        <v>937.5</v>
      </c>
      <c r="EJ7" s="75">
        <f t="shared" ref="EJ7:EO7" si="23">EJ6/EJ4*1000</f>
        <v>937.5</v>
      </c>
      <c r="EK7" s="75">
        <f t="shared" si="23"/>
        <v>937.5</v>
      </c>
      <c r="EL7" s="75">
        <f t="shared" si="23"/>
        <v>937.5</v>
      </c>
      <c r="EM7" s="75">
        <f t="shared" si="23"/>
        <v>937.5</v>
      </c>
      <c r="EN7" s="75">
        <f t="shared" si="23"/>
        <v>937.5</v>
      </c>
      <c r="EO7" s="75">
        <f t="shared" si="23"/>
        <v>937.5</v>
      </c>
      <c r="EP7" s="75">
        <f t="shared" ref="EP7:EV7" si="24">EP6/EP4*1000</f>
        <v>937.5</v>
      </c>
      <c r="EQ7" s="75">
        <f t="shared" si="24"/>
        <v>937.5</v>
      </c>
      <c r="ER7" s="75">
        <f t="shared" si="24"/>
        <v>937.5</v>
      </c>
      <c r="ES7" s="75">
        <f t="shared" si="24"/>
        <v>937.5</v>
      </c>
      <c r="ET7" s="75">
        <f t="shared" si="24"/>
        <v>937.5</v>
      </c>
      <c r="EU7" s="75">
        <f t="shared" si="24"/>
        <v>937.5</v>
      </c>
      <c r="EV7" s="75">
        <f t="shared" si="24"/>
        <v>937.5</v>
      </c>
      <c r="EW7" s="75">
        <f t="shared" ref="EW7:EX7" si="25">EW6/EW4*1000</f>
        <v>937.5</v>
      </c>
      <c r="EX7" s="75">
        <f t="shared" si="25"/>
        <v>937.5</v>
      </c>
      <c r="EY7" s="75">
        <f t="shared" ref="EY7:EZ7" si="26">EY6/EY4*1000</f>
        <v>937.5</v>
      </c>
      <c r="EZ7" s="75">
        <f t="shared" si="26"/>
        <v>937.5</v>
      </c>
      <c r="FA7" s="75">
        <f t="shared" ref="FA7:FB7" si="27">FA6/FA4*1000</f>
        <v>937.5</v>
      </c>
      <c r="FB7" s="75">
        <f t="shared" si="27"/>
        <v>937.5</v>
      </c>
      <c r="FC7" s="75">
        <f t="shared" ref="FC7:FD7" si="28">FC6/FC4*1000</f>
        <v>937.5</v>
      </c>
      <c r="FD7" s="75">
        <f t="shared" si="28"/>
        <v>937.5</v>
      </c>
      <c r="FE7" s="75" t="e">
        <f t="shared" ref="FE7:FF7" si="29">FE6/FE4*1000</f>
        <v>#DIV/0!</v>
      </c>
      <c r="FF7" s="75" t="e">
        <f t="shared" si="29"/>
        <v>#DIV/0!</v>
      </c>
      <c r="FG7" s="75" t="e">
        <f t="shared" ref="FG7:FH7" si="30">FG6/FG4*1000</f>
        <v>#DIV/0!</v>
      </c>
      <c r="FH7" s="75" t="e">
        <f t="shared" si="30"/>
        <v>#DIV/0!</v>
      </c>
      <c r="FI7" s="75" t="e">
        <f t="shared" ref="FI7:FJ7" si="31">FI6/FI4*1000</f>
        <v>#DIV/0!</v>
      </c>
      <c r="FJ7" s="75" t="e">
        <f t="shared" si="31"/>
        <v>#DIV/0!</v>
      </c>
      <c r="FK7" s="75" t="e">
        <f t="shared" ref="FK7:FL7" si="32">FK6/FK4*1000</f>
        <v>#DIV/0!</v>
      </c>
      <c r="FL7" s="75" t="e">
        <f t="shared" si="32"/>
        <v>#DIV/0!</v>
      </c>
      <c r="FM7" s="75" t="e">
        <f t="shared" ref="FM7:FN7" si="33">FM6/FM4*1000</f>
        <v>#DIV/0!</v>
      </c>
      <c r="FN7" s="75" t="e">
        <f t="shared" si="33"/>
        <v>#DIV/0!</v>
      </c>
      <c r="FO7" s="75" t="e">
        <f t="shared" ref="FO7:FQ7" si="34">FO6/FO4*1000</f>
        <v>#DIV/0!</v>
      </c>
      <c r="FP7" s="75" t="e">
        <f t="shared" si="34"/>
        <v>#DIV/0!</v>
      </c>
      <c r="FQ7" s="75" t="e">
        <f t="shared" si="34"/>
        <v>#DIV/0!</v>
      </c>
      <c r="FR7" s="75"/>
      <c r="FS7" s="75"/>
      <c r="FT7" s="75"/>
      <c r="FU7" s="75"/>
      <c r="FV7" s="75"/>
      <c r="FW7" s="75"/>
      <c r="FX7" s="75"/>
      <c r="FY7" s="75"/>
      <c r="FZ7" s="75"/>
      <c r="GA7" s="75"/>
      <c r="GB7" s="75"/>
      <c r="GC7" s="75"/>
      <c r="GD7" s="75"/>
      <c r="GE7" s="75"/>
      <c r="GF7" s="75"/>
      <c r="GG7" s="75"/>
      <c r="GH7" s="75"/>
      <c r="GI7" s="75"/>
      <c r="GJ7" s="75"/>
      <c r="GK7" s="75"/>
      <c r="GL7" s="75"/>
      <c r="GM7" s="75"/>
      <c r="GN7" s="75"/>
      <c r="GO7" s="75"/>
      <c r="GP7" s="75"/>
      <c r="GQ7" s="75"/>
      <c r="GR7" s="75"/>
      <c r="GS7" s="75"/>
      <c r="GT7" s="75"/>
      <c r="GU7" s="75"/>
      <c r="GV7" s="75"/>
      <c r="GW7" s="75"/>
      <c r="GX7" s="75"/>
      <c r="GY7" s="75"/>
      <c r="GZ7" s="75"/>
      <c r="HA7" s="75"/>
      <c r="HB7" s="75"/>
      <c r="HC7" s="75"/>
      <c r="HD7" s="75"/>
      <c r="HE7" s="75"/>
      <c r="HF7" s="75"/>
      <c r="HG7" s="75"/>
      <c r="HH7" s="75"/>
      <c r="HI7" s="75"/>
      <c r="HJ7" s="75"/>
      <c r="HK7" s="75"/>
      <c r="HL7" s="75"/>
      <c r="HM7" s="75"/>
      <c r="HN7" s="75"/>
      <c r="HO7" s="75"/>
      <c r="HP7" s="75"/>
      <c r="HQ7" s="75"/>
      <c r="HR7" s="75"/>
      <c r="HS7" s="75"/>
      <c r="HT7" s="75"/>
      <c r="HU7" s="75"/>
      <c r="HV7" s="75"/>
      <c r="HW7" s="75"/>
      <c r="HX7" s="75"/>
      <c r="HY7" s="75"/>
      <c r="HZ7" s="75"/>
      <c r="IA7" s="75"/>
      <c r="IB7" s="75"/>
      <c r="IC7" s="75"/>
      <c r="ID7" s="75"/>
      <c r="IE7" s="75"/>
      <c r="IF7" s="75"/>
      <c r="IG7" s="75"/>
      <c r="IH7" s="75"/>
      <c r="II7" s="75"/>
      <c r="IJ7" s="75"/>
      <c r="IK7" s="75"/>
      <c r="IL7" s="75"/>
      <c r="IM7" s="75"/>
      <c r="IN7" s="75"/>
      <c r="IO7" s="75"/>
      <c r="IP7" s="75"/>
      <c r="IQ7" s="75"/>
      <c r="IR7" s="75"/>
      <c r="IS7" s="75"/>
      <c r="IT7" s="75"/>
      <c r="IU7" s="75"/>
      <c r="IV7" s="75"/>
      <c r="IW7" s="75"/>
      <c r="IX7" s="75"/>
      <c r="IY7" s="75"/>
      <c r="IZ7" s="75"/>
      <c r="JA7" s="75"/>
      <c r="JB7" s="75"/>
      <c r="JC7" s="75"/>
      <c r="JD7" s="75"/>
    </row>
    <row r="8" spans="1:264" ht="18" hidden="1" customHeight="1">
      <c r="A8" s="4"/>
      <c r="B8" s="8"/>
      <c r="C8" s="8"/>
      <c r="D8" s="105" t="s">
        <v>37</v>
      </c>
      <c r="E8" s="5"/>
      <c r="F8" s="7" t="s">
        <v>64</v>
      </c>
      <c r="G8" s="4" t="s">
        <v>24</v>
      </c>
      <c r="H8" s="7" t="s">
        <v>64</v>
      </c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>
        <v>820</v>
      </c>
      <c r="V8" s="10">
        <v>837.5</v>
      </c>
      <c r="W8" s="10">
        <v>903</v>
      </c>
      <c r="X8" s="10">
        <v>928.75</v>
      </c>
      <c r="Y8" s="10">
        <v>932.5</v>
      </c>
      <c r="Z8" s="10">
        <v>922.5</v>
      </c>
      <c r="AA8" s="10">
        <v>901.25</v>
      </c>
      <c r="AB8" s="10">
        <v>850</v>
      </c>
      <c r="AC8" s="10"/>
      <c r="AD8" s="10">
        <v>804</v>
      </c>
      <c r="AE8" s="10">
        <v>760</v>
      </c>
      <c r="AF8" s="10">
        <v>760</v>
      </c>
      <c r="AG8" s="10">
        <v>760</v>
      </c>
      <c r="AH8" s="10">
        <v>760</v>
      </c>
      <c r="AI8" s="10">
        <v>760</v>
      </c>
      <c r="AJ8" s="10">
        <v>760</v>
      </c>
      <c r="AK8" s="10">
        <v>760</v>
      </c>
      <c r="AL8" s="10">
        <v>680</v>
      </c>
      <c r="AM8" s="10">
        <v>680</v>
      </c>
      <c r="AN8" s="10">
        <v>680</v>
      </c>
      <c r="AO8" s="10">
        <v>680</v>
      </c>
      <c r="AP8" s="10">
        <v>680</v>
      </c>
      <c r="AQ8" s="10">
        <v>680</v>
      </c>
      <c r="AR8" s="10">
        <v>680</v>
      </c>
      <c r="AS8" s="10">
        <v>680</v>
      </c>
      <c r="AT8" s="10">
        <v>680</v>
      </c>
      <c r="AU8" s="10">
        <v>680</v>
      </c>
      <c r="AV8" s="75">
        <v>680</v>
      </c>
      <c r="AW8" s="75">
        <v>680</v>
      </c>
      <c r="AX8" s="75">
        <v>680</v>
      </c>
      <c r="AY8" s="75">
        <v>680</v>
      </c>
      <c r="AZ8" s="75">
        <v>680</v>
      </c>
      <c r="BA8" s="75">
        <v>680</v>
      </c>
      <c r="BB8" s="75">
        <v>680</v>
      </c>
      <c r="BC8" s="75">
        <v>680</v>
      </c>
      <c r="BD8" s="75">
        <v>680</v>
      </c>
      <c r="BE8" s="75">
        <v>680</v>
      </c>
      <c r="BF8" s="75">
        <v>680</v>
      </c>
      <c r="BG8" s="75">
        <v>680</v>
      </c>
      <c r="BH8" s="75">
        <v>680</v>
      </c>
      <c r="BI8" s="75">
        <v>680</v>
      </c>
      <c r="BJ8" s="75">
        <v>680</v>
      </c>
      <c r="BK8" s="75">
        <v>680</v>
      </c>
      <c r="BL8" s="75">
        <v>680</v>
      </c>
      <c r="BM8" s="75">
        <v>680</v>
      </c>
      <c r="BN8" s="75">
        <v>680</v>
      </c>
      <c r="BO8" s="75">
        <v>680</v>
      </c>
      <c r="BP8" s="75">
        <v>680</v>
      </c>
      <c r="BQ8" s="75">
        <v>680</v>
      </c>
      <c r="BR8" s="75">
        <v>680</v>
      </c>
      <c r="BS8" s="75">
        <v>680</v>
      </c>
      <c r="BT8" s="75">
        <v>680</v>
      </c>
      <c r="BU8" s="75">
        <v>680</v>
      </c>
      <c r="BV8" s="75">
        <v>680</v>
      </c>
      <c r="BX8" s="4" t="s">
        <v>37</v>
      </c>
      <c r="BY8" s="5"/>
      <c r="BZ8" s="7" t="s">
        <v>64</v>
      </c>
      <c r="CA8" s="10">
        <v>922.5</v>
      </c>
      <c r="CB8" s="10">
        <v>922.5</v>
      </c>
      <c r="CC8" s="10">
        <v>922.5</v>
      </c>
      <c r="CD8" s="10">
        <v>922.5</v>
      </c>
      <c r="CE8" s="10">
        <v>922.5</v>
      </c>
      <c r="CF8" s="95">
        <v>880</v>
      </c>
      <c r="CG8" s="95">
        <v>880</v>
      </c>
      <c r="CH8" s="95">
        <v>880</v>
      </c>
      <c r="CI8" s="95">
        <v>880</v>
      </c>
      <c r="CJ8" s="95">
        <v>820</v>
      </c>
      <c r="CK8" s="95">
        <v>820</v>
      </c>
      <c r="CL8" s="95">
        <v>820</v>
      </c>
      <c r="CM8" s="95">
        <v>820</v>
      </c>
      <c r="CN8" s="95">
        <v>820</v>
      </c>
      <c r="CO8" s="95">
        <v>800</v>
      </c>
      <c r="CP8" s="95">
        <v>760</v>
      </c>
      <c r="CQ8" s="10">
        <v>760</v>
      </c>
      <c r="CR8" s="10">
        <v>760</v>
      </c>
      <c r="CS8" s="10">
        <v>760</v>
      </c>
      <c r="CT8" s="10">
        <v>760</v>
      </c>
      <c r="CU8" s="10">
        <v>720</v>
      </c>
      <c r="CV8" s="10">
        <v>720</v>
      </c>
      <c r="CW8" s="10">
        <v>720</v>
      </c>
      <c r="CX8" s="10">
        <v>680</v>
      </c>
      <c r="CY8" s="10">
        <v>680</v>
      </c>
      <c r="CZ8" s="10">
        <v>680</v>
      </c>
      <c r="DA8" s="10">
        <v>680</v>
      </c>
      <c r="DB8" s="10">
        <v>680</v>
      </c>
      <c r="DC8" s="10">
        <v>680</v>
      </c>
      <c r="DD8" s="10">
        <v>680</v>
      </c>
      <c r="DE8" s="10">
        <v>680</v>
      </c>
      <c r="DF8" s="10">
        <v>680</v>
      </c>
      <c r="DG8" s="10">
        <v>680</v>
      </c>
      <c r="DH8" s="10">
        <v>680</v>
      </c>
      <c r="DI8" s="10">
        <v>680</v>
      </c>
      <c r="DJ8" s="10">
        <v>680</v>
      </c>
      <c r="DK8" s="10">
        <v>680</v>
      </c>
      <c r="DL8" s="10">
        <v>680</v>
      </c>
      <c r="DM8" s="10">
        <v>680</v>
      </c>
      <c r="DN8" s="10">
        <v>680</v>
      </c>
      <c r="DO8" s="10">
        <v>680</v>
      </c>
      <c r="DP8" s="10">
        <v>680</v>
      </c>
      <c r="DQ8" s="10">
        <v>680</v>
      </c>
      <c r="DR8" s="10">
        <v>680</v>
      </c>
      <c r="DS8" s="10">
        <v>680</v>
      </c>
      <c r="DT8" s="10">
        <v>680</v>
      </c>
      <c r="DU8" s="10">
        <v>680</v>
      </c>
      <c r="DV8" s="10">
        <v>680</v>
      </c>
      <c r="DW8" s="10">
        <v>680</v>
      </c>
      <c r="DX8" s="10">
        <v>680</v>
      </c>
      <c r="DY8" s="10">
        <v>680</v>
      </c>
      <c r="DZ8" s="10">
        <v>680</v>
      </c>
      <c r="EA8" s="10">
        <v>680</v>
      </c>
      <c r="EB8" s="10">
        <v>680</v>
      </c>
      <c r="EC8" s="10">
        <v>680</v>
      </c>
      <c r="ED8" s="10">
        <v>680</v>
      </c>
      <c r="EE8" s="10">
        <v>680</v>
      </c>
      <c r="EF8" s="10">
        <v>680</v>
      </c>
      <c r="EG8" s="10">
        <v>680</v>
      </c>
      <c r="EH8" s="10">
        <v>680</v>
      </c>
      <c r="EI8" s="10">
        <v>680</v>
      </c>
      <c r="EJ8" s="75">
        <v>680</v>
      </c>
      <c r="EK8" s="75">
        <v>680</v>
      </c>
      <c r="EL8" s="75">
        <v>680</v>
      </c>
      <c r="EM8" s="75">
        <v>680</v>
      </c>
      <c r="EN8" s="75">
        <v>680</v>
      </c>
      <c r="EO8" s="75">
        <v>680</v>
      </c>
      <c r="EP8" s="75">
        <v>680</v>
      </c>
      <c r="EQ8" s="75">
        <v>680</v>
      </c>
      <c r="ER8" s="75">
        <v>680</v>
      </c>
      <c r="ES8" s="75">
        <v>680</v>
      </c>
      <c r="ET8" s="75">
        <v>680</v>
      </c>
      <c r="EU8" s="75">
        <v>680</v>
      </c>
      <c r="EV8" s="75">
        <v>680</v>
      </c>
      <c r="EW8" s="75">
        <v>680</v>
      </c>
      <c r="EX8" s="75">
        <v>680</v>
      </c>
      <c r="EY8" s="75">
        <v>680</v>
      </c>
      <c r="EZ8" s="75">
        <v>680</v>
      </c>
      <c r="FA8" s="75">
        <v>680</v>
      </c>
      <c r="FB8" s="75">
        <v>680</v>
      </c>
      <c r="FC8" s="75">
        <v>680</v>
      </c>
      <c r="FD8" s="75">
        <v>680</v>
      </c>
      <c r="FE8" s="75">
        <v>680</v>
      </c>
      <c r="FF8" s="75">
        <v>680</v>
      </c>
      <c r="FG8" s="75">
        <v>680</v>
      </c>
      <c r="FH8" s="75">
        <v>680</v>
      </c>
      <c r="FI8" s="75">
        <v>680</v>
      </c>
      <c r="FJ8" s="75">
        <v>680</v>
      </c>
      <c r="FK8" s="75">
        <v>680</v>
      </c>
      <c r="FL8" s="75">
        <v>680</v>
      </c>
      <c r="FM8" s="75">
        <v>680</v>
      </c>
      <c r="FN8" s="75">
        <v>680</v>
      </c>
      <c r="FO8" s="75">
        <v>680</v>
      </c>
      <c r="FP8" s="75">
        <v>680</v>
      </c>
      <c r="FQ8" s="75">
        <v>680</v>
      </c>
      <c r="FR8" s="75"/>
      <c r="FS8" s="75"/>
      <c r="FT8" s="75"/>
      <c r="FU8" s="75"/>
      <c r="FV8" s="75"/>
      <c r="FW8" s="75"/>
      <c r="FX8" s="75"/>
      <c r="FY8" s="75"/>
      <c r="FZ8" s="75"/>
      <c r="GA8" s="75"/>
      <c r="GB8" s="75"/>
      <c r="GC8" s="75"/>
      <c r="GD8" s="75"/>
      <c r="GE8" s="75"/>
      <c r="GF8" s="75"/>
      <c r="GG8" s="75"/>
      <c r="GH8" s="75"/>
      <c r="GI8" s="75"/>
      <c r="GJ8" s="75"/>
      <c r="GK8" s="75"/>
      <c r="GL8" s="75"/>
      <c r="GM8" s="75"/>
      <c r="GN8" s="75"/>
      <c r="GO8" s="75"/>
      <c r="GP8" s="75"/>
      <c r="GQ8" s="75"/>
      <c r="GR8" s="75"/>
      <c r="GS8" s="75"/>
      <c r="GT8" s="75"/>
      <c r="GU8" s="75"/>
      <c r="GV8" s="75"/>
      <c r="GW8" s="75"/>
      <c r="GX8" s="75"/>
      <c r="GY8" s="75"/>
      <c r="GZ8" s="75"/>
      <c r="HA8" s="75"/>
      <c r="HB8" s="75"/>
      <c r="HC8" s="75"/>
      <c r="HD8" s="75"/>
      <c r="HE8" s="75"/>
      <c r="HF8" s="75"/>
      <c r="HG8" s="75"/>
      <c r="HH8" s="75"/>
      <c r="HI8" s="75"/>
      <c r="HJ8" s="75"/>
      <c r="HK8" s="75"/>
      <c r="HL8" s="75"/>
      <c r="HM8" s="75"/>
      <c r="HN8" s="75"/>
      <c r="HO8" s="75"/>
      <c r="HP8" s="75"/>
      <c r="HQ8" s="75"/>
      <c r="HR8" s="75"/>
      <c r="HS8" s="75"/>
      <c r="HT8" s="75"/>
      <c r="HU8" s="75"/>
      <c r="HV8" s="75"/>
      <c r="HW8" s="75"/>
      <c r="HX8" s="75"/>
      <c r="HY8" s="75"/>
      <c r="HZ8" s="75"/>
      <c r="IA8" s="75"/>
      <c r="IB8" s="75"/>
      <c r="IC8" s="75"/>
      <c r="ID8" s="75"/>
      <c r="IE8" s="75"/>
      <c r="IF8" s="75"/>
      <c r="IG8" s="75"/>
      <c r="IH8" s="75"/>
      <c r="II8" s="75"/>
      <c r="IJ8" s="75"/>
      <c r="IK8" s="75"/>
      <c r="IL8" s="75"/>
      <c r="IM8" s="75"/>
      <c r="IN8" s="75"/>
      <c r="IO8" s="75"/>
      <c r="IP8" s="75"/>
      <c r="IQ8" s="75"/>
      <c r="IR8" s="75"/>
      <c r="IS8" s="75"/>
      <c r="IT8" s="75"/>
      <c r="IU8" s="75"/>
      <c r="IV8" s="75"/>
      <c r="IW8" s="75"/>
      <c r="IX8" s="75"/>
      <c r="IY8" s="75"/>
      <c r="IZ8" s="75"/>
      <c r="JA8" s="75"/>
      <c r="JB8" s="75"/>
      <c r="JC8" s="75"/>
      <c r="JD8" s="75"/>
    </row>
    <row r="9" spans="1:264" s="32" customFormat="1" ht="14">
      <c r="A9" s="44"/>
      <c r="B9" s="45" t="s">
        <v>46</v>
      </c>
      <c r="C9" s="45" t="s">
        <v>47</v>
      </c>
      <c r="D9" s="44" t="s">
        <v>48</v>
      </c>
      <c r="E9" s="45" t="s">
        <v>29</v>
      </c>
      <c r="F9" s="45" t="s">
        <v>100</v>
      </c>
      <c r="G9" s="46" t="s">
        <v>24</v>
      </c>
      <c r="H9" s="96" t="s">
        <v>140</v>
      </c>
      <c r="I9" s="46">
        <v>1430</v>
      </c>
      <c r="J9" s="46">
        <v>1430</v>
      </c>
      <c r="K9" s="46">
        <v>1430</v>
      </c>
      <c r="L9" s="46">
        <v>1430</v>
      </c>
      <c r="M9" s="46">
        <v>1430</v>
      </c>
      <c r="N9" s="46">
        <v>1430</v>
      </c>
      <c r="O9" s="46">
        <v>1430</v>
      </c>
      <c r="P9" s="46">
        <v>1430</v>
      </c>
      <c r="Q9" s="46">
        <v>1430</v>
      </c>
      <c r="R9" s="46">
        <v>1530</v>
      </c>
      <c r="S9" s="46">
        <v>1530</v>
      </c>
      <c r="T9" s="46">
        <v>1530</v>
      </c>
      <c r="U9" s="46">
        <v>1530</v>
      </c>
      <c r="V9" s="46">
        <v>1530</v>
      </c>
      <c r="W9" s="46">
        <v>1560</v>
      </c>
      <c r="X9" s="46">
        <v>1610</v>
      </c>
      <c r="Y9" s="46">
        <v>1610</v>
      </c>
      <c r="Z9" s="46">
        <v>1610</v>
      </c>
      <c r="AA9" s="46">
        <v>1610</v>
      </c>
      <c r="AB9" s="46">
        <v>1610</v>
      </c>
      <c r="AC9" s="46">
        <v>1610</v>
      </c>
      <c r="AD9" s="46">
        <v>1530</v>
      </c>
      <c r="AE9" s="46">
        <v>1530</v>
      </c>
      <c r="AF9" s="46">
        <v>1530</v>
      </c>
      <c r="AG9" s="46">
        <v>1530</v>
      </c>
      <c r="AH9" s="46">
        <v>1530</v>
      </c>
      <c r="AI9" s="46">
        <v>1530</v>
      </c>
      <c r="AJ9" s="46">
        <v>1530</v>
      </c>
      <c r="AK9" s="46">
        <v>1530</v>
      </c>
      <c r="AL9" s="46">
        <v>1400</v>
      </c>
      <c r="AM9" s="46">
        <v>1400</v>
      </c>
      <c r="AN9" s="46">
        <v>1400</v>
      </c>
      <c r="AO9" s="46">
        <v>1530</v>
      </c>
      <c r="AP9" s="46">
        <v>1530</v>
      </c>
      <c r="AQ9" s="46">
        <v>1530</v>
      </c>
      <c r="AR9" s="46">
        <v>1450</v>
      </c>
      <c r="AS9" s="46">
        <v>1400</v>
      </c>
      <c r="AT9" s="46">
        <v>1400</v>
      </c>
      <c r="AU9" s="46">
        <v>1400</v>
      </c>
      <c r="AV9" s="46">
        <v>1400</v>
      </c>
      <c r="AW9" s="46">
        <v>1400</v>
      </c>
      <c r="AX9" s="46">
        <v>1400</v>
      </c>
      <c r="AY9" s="46">
        <v>1400</v>
      </c>
      <c r="AZ9" s="46">
        <v>1400</v>
      </c>
      <c r="BA9" s="46">
        <v>1400</v>
      </c>
      <c r="BB9" s="46">
        <v>1400</v>
      </c>
      <c r="BC9" s="46">
        <v>1400</v>
      </c>
      <c r="BD9" s="46">
        <v>1400</v>
      </c>
      <c r="BE9" s="46">
        <v>1400</v>
      </c>
      <c r="BF9" s="46">
        <v>1400</v>
      </c>
      <c r="BG9" s="46">
        <v>1400</v>
      </c>
      <c r="BH9" s="46">
        <v>1400</v>
      </c>
      <c r="BI9" s="46">
        <v>1400</v>
      </c>
      <c r="BJ9" s="46">
        <v>1400</v>
      </c>
      <c r="BK9" s="46">
        <v>1400</v>
      </c>
      <c r="BL9" s="46">
        <f>1400-50</f>
        <v>1350</v>
      </c>
      <c r="BM9" s="46">
        <f>1400-50</f>
        <v>1350</v>
      </c>
      <c r="BN9" s="46">
        <f>1400-50</f>
        <v>1350</v>
      </c>
      <c r="BO9" s="46">
        <f>1400-50</f>
        <v>1350</v>
      </c>
      <c r="BP9" s="46">
        <f>1400-50</f>
        <v>1350</v>
      </c>
      <c r="BQ9" s="46">
        <f>1400-50-20</f>
        <v>1330</v>
      </c>
      <c r="BR9" s="46">
        <f>1400-50-20-20</f>
        <v>1310</v>
      </c>
      <c r="BS9" s="46">
        <f>1400-50-20-20</f>
        <v>1310</v>
      </c>
      <c r="BT9" s="46">
        <f>1400-50-20-20-10</f>
        <v>1300</v>
      </c>
      <c r="BU9" s="46">
        <f>1400-50-20-20-10</f>
        <v>1300</v>
      </c>
      <c r="BV9" s="46">
        <f>1400-50-20-20-10</f>
        <v>1300</v>
      </c>
      <c r="BW9" s="150"/>
      <c r="BX9" s="44" t="s">
        <v>48</v>
      </c>
      <c r="BY9" s="45" t="s">
        <v>29</v>
      </c>
      <c r="BZ9" s="96" t="s">
        <v>140</v>
      </c>
      <c r="CA9" s="46">
        <v>1610</v>
      </c>
      <c r="CB9" s="46">
        <v>1610</v>
      </c>
      <c r="CC9" s="46">
        <v>1610</v>
      </c>
      <c r="CD9" s="46">
        <v>1610</v>
      </c>
      <c r="CE9" s="46">
        <v>1610</v>
      </c>
      <c r="CF9" s="46">
        <v>1610</v>
      </c>
      <c r="CG9" s="46">
        <v>1610</v>
      </c>
      <c r="CH9" s="46">
        <v>1610</v>
      </c>
      <c r="CI9" s="46">
        <v>1610</v>
      </c>
      <c r="CJ9" s="46">
        <v>1610</v>
      </c>
      <c r="CK9" s="46">
        <v>1610</v>
      </c>
      <c r="CL9" s="46">
        <v>1610</v>
      </c>
      <c r="CM9" s="46">
        <v>1530</v>
      </c>
      <c r="CN9" s="46">
        <v>1530</v>
      </c>
      <c r="CO9" s="46">
        <v>1530</v>
      </c>
      <c r="CP9" s="46">
        <v>1530</v>
      </c>
      <c r="CQ9" s="46">
        <v>1530</v>
      </c>
      <c r="CR9" s="46">
        <v>1530</v>
      </c>
      <c r="CS9" s="46">
        <v>1530</v>
      </c>
      <c r="CT9" s="46">
        <v>1530</v>
      </c>
      <c r="CU9" s="46">
        <v>1530</v>
      </c>
      <c r="CV9" s="46">
        <v>1530</v>
      </c>
      <c r="CW9" s="46">
        <v>1530</v>
      </c>
      <c r="CX9" s="46">
        <v>1530</v>
      </c>
      <c r="CY9" s="46">
        <v>1530</v>
      </c>
      <c r="CZ9" s="46">
        <v>1530</v>
      </c>
      <c r="DA9" s="46">
        <v>1530</v>
      </c>
      <c r="DB9" s="46">
        <v>1400</v>
      </c>
      <c r="DC9" s="46">
        <v>1400</v>
      </c>
      <c r="DD9" s="133">
        <v>1400</v>
      </c>
      <c r="DE9" s="133">
        <v>1400</v>
      </c>
      <c r="DF9" s="133">
        <v>1400</v>
      </c>
      <c r="DG9" s="133">
        <v>1400</v>
      </c>
      <c r="DH9" s="133">
        <v>1400</v>
      </c>
      <c r="DI9" s="133">
        <v>1400</v>
      </c>
      <c r="DJ9" s="133">
        <v>1400</v>
      </c>
      <c r="DK9" s="133">
        <v>1400</v>
      </c>
      <c r="DL9" s="133">
        <v>1400</v>
      </c>
      <c r="DM9" s="133">
        <v>1400</v>
      </c>
      <c r="DN9" s="133">
        <v>1400</v>
      </c>
      <c r="DO9" s="133">
        <v>1400</v>
      </c>
      <c r="DP9" s="133">
        <v>1530</v>
      </c>
      <c r="DQ9" s="133">
        <v>1530</v>
      </c>
      <c r="DR9" s="133">
        <v>1530</v>
      </c>
      <c r="DS9" s="133">
        <v>1530</v>
      </c>
      <c r="DT9" s="133">
        <v>1530</v>
      </c>
      <c r="DU9" s="133">
        <v>1530</v>
      </c>
      <c r="DV9" s="133">
        <v>1530</v>
      </c>
      <c r="DW9" s="133">
        <v>1530</v>
      </c>
      <c r="DX9" s="133">
        <v>1530</v>
      </c>
      <c r="DY9" s="133">
        <v>1530</v>
      </c>
      <c r="DZ9" s="133">
        <v>1450</v>
      </c>
      <c r="EA9" s="133">
        <v>1450</v>
      </c>
      <c r="EB9" s="133">
        <v>1450</v>
      </c>
      <c r="EC9" s="133">
        <v>1450</v>
      </c>
      <c r="ED9" s="133">
        <v>1450</v>
      </c>
      <c r="EE9" s="133">
        <v>1400</v>
      </c>
      <c r="EF9" s="133">
        <v>1400</v>
      </c>
      <c r="EG9" s="133">
        <v>1400</v>
      </c>
      <c r="EH9" s="133">
        <v>1400</v>
      </c>
      <c r="EI9" s="133">
        <v>1400</v>
      </c>
      <c r="EJ9" s="133">
        <v>1400</v>
      </c>
      <c r="EK9" s="133">
        <v>1400</v>
      </c>
      <c r="EL9" s="133">
        <v>1400</v>
      </c>
      <c r="EM9" s="133">
        <v>1400</v>
      </c>
      <c r="EN9" s="133">
        <v>1400</v>
      </c>
      <c r="EO9" s="133">
        <v>1400</v>
      </c>
      <c r="EP9" s="133">
        <v>1400</v>
      </c>
      <c r="EQ9" s="133">
        <v>1400</v>
      </c>
      <c r="ER9" s="133">
        <v>1400</v>
      </c>
      <c r="ES9" s="133">
        <v>1400</v>
      </c>
      <c r="ET9" s="133">
        <v>1400</v>
      </c>
      <c r="EU9" s="133">
        <v>1400</v>
      </c>
      <c r="EV9" s="133">
        <v>1400</v>
      </c>
      <c r="EW9" s="133">
        <v>1400</v>
      </c>
      <c r="EX9" s="133">
        <v>1400</v>
      </c>
      <c r="EY9" s="133">
        <v>1400</v>
      </c>
      <c r="EZ9" s="133">
        <v>1400</v>
      </c>
      <c r="FA9" s="133">
        <v>1400</v>
      </c>
      <c r="FB9" s="133">
        <v>1400</v>
      </c>
      <c r="FC9" s="133">
        <v>1400</v>
      </c>
      <c r="FD9" s="133">
        <v>1400</v>
      </c>
      <c r="FE9" s="133">
        <v>1400</v>
      </c>
      <c r="FF9" s="133">
        <v>1400</v>
      </c>
      <c r="FG9" s="133">
        <v>1400</v>
      </c>
      <c r="FH9" s="133">
        <v>1400</v>
      </c>
      <c r="FI9" s="133">
        <v>1400</v>
      </c>
      <c r="FJ9" s="133">
        <v>1400</v>
      </c>
      <c r="FK9" s="133">
        <v>1400</v>
      </c>
      <c r="FL9" s="133">
        <v>1400</v>
      </c>
      <c r="FM9" s="133">
        <v>1400</v>
      </c>
      <c r="FN9" s="133">
        <v>1400</v>
      </c>
      <c r="FO9" s="133">
        <v>1400</v>
      </c>
      <c r="FP9" s="133">
        <v>1400</v>
      </c>
      <c r="FQ9" s="133">
        <v>1400</v>
      </c>
      <c r="FR9" s="133">
        <v>1400</v>
      </c>
      <c r="FS9" s="133">
        <v>1400</v>
      </c>
      <c r="FT9" s="133">
        <v>1400</v>
      </c>
      <c r="FU9" s="133">
        <v>1400</v>
      </c>
      <c r="FV9" s="133">
        <v>1400</v>
      </c>
      <c r="FW9" s="133">
        <v>1400</v>
      </c>
      <c r="FX9" s="133">
        <v>1400</v>
      </c>
      <c r="FY9" s="133">
        <v>1400</v>
      </c>
      <c r="FZ9" s="133">
        <v>1400</v>
      </c>
      <c r="GA9" s="133">
        <v>1400</v>
      </c>
      <c r="GB9" s="133">
        <v>1400</v>
      </c>
      <c r="GC9" s="133">
        <v>1400</v>
      </c>
      <c r="GD9" s="133">
        <v>1400</v>
      </c>
      <c r="GE9" s="133">
        <v>1400</v>
      </c>
      <c r="GF9" s="133">
        <v>1400</v>
      </c>
      <c r="GG9" s="133">
        <v>1400</v>
      </c>
      <c r="GH9" s="133">
        <v>1400</v>
      </c>
      <c r="GI9" s="133">
        <v>1400</v>
      </c>
      <c r="GJ9" s="133">
        <v>1400</v>
      </c>
      <c r="GK9" s="133">
        <v>1400</v>
      </c>
      <c r="GL9" s="133">
        <v>1400</v>
      </c>
      <c r="GM9" s="133">
        <v>1400</v>
      </c>
      <c r="GN9" s="133">
        <v>1400</v>
      </c>
      <c r="GO9" s="133">
        <v>1400</v>
      </c>
      <c r="GP9" s="133">
        <v>1400</v>
      </c>
      <c r="GQ9" s="133">
        <v>1400</v>
      </c>
      <c r="GR9" s="133">
        <v>1400</v>
      </c>
      <c r="GS9" s="133">
        <v>1400</v>
      </c>
      <c r="GT9" s="133">
        <v>1400</v>
      </c>
      <c r="GU9" s="133">
        <v>1400</v>
      </c>
      <c r="GV9" s="133">
        <v>1400</v>
      </c>
      <c r="GW9" s="133">
        <v>1400</v>
      </c>
      <c r="GX9" s="133">
        <v>1400</v>
      </c>
      <c r="GY9" s="133">
        <v>1400</v>
      </c>
      <c r="GZ9" s="133">
        <v>1400</v>
      </c>
      <c r="HA9" s="133">
        <v>1400</v>
      </c>
      <c r="HB9" s="133">
        <v>1400</v>
      </c>
      <c r="HC9" s="133">
        <v>1400</v>
      </c>
      <c r="HD9" s="133">
        <v>1400</v>
      </c>
      <c r="HE9" s="133">
        <v>1400</v>
      </c>
      <c r="HF9" s="133">
        <v>1400</v>
      </c>
      <c r="HG9" s="133">
        <v>1400</v>
      </c>
      <c r="HH9" s="133">
        <v>1400</v>
      </c>
      <c r="HI9" s="133">
        <f>1400-50</f>
        <v>1350</v>
      </c>
      <c r="HJ9" s="133">
        <f t="shared" ref="HJ9:ID9" si="35">1400-50</f>
        <v>1350</v>
      </c>
      <c r="HK9" s="133">
        <f t="shared" si="35"/>
        <v>1350</v>
      </c>
      <c r="HL9" s="133">
        <f t="shared" si="35"/>
        <v>1350</v>
      </c>
      <c r="HM9" s="133">
        <f t="shared" si="35"/>
        <v>1350</v>
      </c>
      <c r="HN9" s="133">
        <f t="shared" si="35"/>
        <v>1350</v>
      </c>
      <c r="HO9" s="133">
        <f t="shared" si="35"/>
        <v>1350</v>
      </c>
      <c r="HP9" s="133">
        <f t="shared" si="35"/>
        <v>1350</v>
      </c>
      <c r="HQ9" s="133">
        <f t="shared" si="35"/>
        <v>1350</v>
      </c>
      <c r="HR9" s="133">
        <f t="shared" si="35"/>
        <v>1350</v>
      </c>
      <c r="HS9" s="133">
        <f t="shared" si="35"/>
        <v>1350</v>
      </c>
      <c r="HT9" s="133">
        <f t="shared" si="35"/>
        <v>1350</v>
      </c>
      <c r="HU9" s="133">
        <f t="shared" si="35"/>
        <v>1350</v>
      </c>
      <c r="HV9" s="133">
        <f t="shared" si="35"/>
        <v>1350</v>
      </c>
      <c r="HW9" s="133">
        <f t="shared" si="35"/>
        <v>1350</v>
      </c>
      <c r="HX9" s="133">
        <f t="shared" si="35"/>
        <v>1350</v>
      </c>
      <c r="HY9" s="133">
        <f t="shared" si="35"/>
        <v>1350</v>
      </c>
      <c r="HZ9" s="133">
        <f t="shared" si="35"/>
        <v>1350</v>
      </c>
      <c r="IA9" s="133">
        <f t="shared" si="35"/>
        <v>1350</v>
      </c>
      <c r="IB9" s="133">
        <f t="shared" si="35"/>
        <v>1350</v>
      </c>
      <c r="IC9" s="133">
        <f t="shared" si="35"/>
        <v>1350</v>
      </c>
      <c r="ID9" s="133">
        <f t="shared" si="35"/>
        <v>1350</v>
      </c>
      <c r="IE9" s="133">
        <f>1400-50-20</f>
        <v>1330</v>
      </c>
      <c r="IF9" s="133">
        <f t="shared" ref="IF9:IH9" si="36">1400-50-20</f>
        <v>1330</v>
      </c>
      <c r="IG9" s="133">
        <f t="shared" si="36"/>
        <v>1330</v>
      </c>
      <c r="IH9" s="133">
        <f t="shared" si="36"/>
        <v>1330</v>
      </c>
      <c r="II9" s="133">
        <f>1400-50-20-20</f>
        <v>1310</v>
      </c>
      <c r="IJ9" s="133">
        <f t="shared" ref="IJ9:IQ9" si="37">1400-50-20-20</f>
        <v>1310</v>
      </c>
      <c r="IK9" s="133">
        <f t="shared" si="37"/>
        <v>1310</v>
      </c>
      <c r="IL9" s="133">
        <f t="shared" si="37"/>
        <v>1310</v>
      </c>
      <c r="IM9" s="133">
        <f t="shared" si="37"/>
        <v>1310</v>
      </c>
      <c r="IN9" s="133">
        <f t="shared" si="37"/>
        <v>1310</v>
      </c>
      <c r="IO9" s="133">
        <f t="shared" si="37"/>
        <v>1310</v>
      </c>
      <c r="IP9" s="133">
        <f t="shared" si="37"/>
        <v>1310</v>
      </c>
      <c r="IQ9" s="133">
        <f t="shared" si="37"/>
        <v>1310</v>
      </c>
      <c r="IR9" s="133">
        <f>1400-50-20-20-10</f>
        <v>1300</v>
      </c>
      <c r="IS9" s="133">
        <f t="shared" ref="IS9:JD9" si="38">1400-50-20-20-10</f>
        <v>1300</v>
      </c>
      <c r="IT9" s="133">
        <f t="shared" si="38"/>
        <v>1300</v>
      </c>
      <c r="IU9" s="133">
        <f t="shared" si="38"/>
        <v>1300</v>
      </c>
      <c r="IV9" s="133">
        <f t="shared" si="38"/>
        <v>1300</v>
      </c>
      <c r="IW9" s="133">
        <f t="shared" si="38"/>
        <v>1300</v>
      </c>
      <c r="IX9" s="133">
        <f t="shared" si="38"/>
        <v>1300</v>
      </c>
      <c r="IY9" s="133">
        <f t="shared" si="38"/>
        <v>1300</v>
      </c>
      <c r="IZ9" s="133">
        <f t="shared" si="38"/>
        <v>1300</v>
      </c>
      <c r="JA9" s="133">
        <f t="shared" si="38"/>
        <v>1300</v>
      </c>
      <c r="JB9" s="133">
        <f t="shared" si="38"/>
        <v>1300</v>
      </c>
      <c r="JC9" s="133">
        <f t="shared" si="38"/>
        <v>1300</v>
      </c>
      <c r="JD9" s="133">
        <f t="shared" si="38"/>
        <v>1300</v>
      </c>
    </row>
    <row r="10" spans="1:264" s="32" customFormat="1" ht="14">
      <c r="A10" s="166"/>
      <c r="B10" s="167"/>
      <c r="C10" s="167"/>
      <c r="D10" s="44"/>
      <c r="E10" s="167"/>
      <c r="F10" s="167"/>
      <c r="G10" s="46"/>
      <c r="H10" s="96" t="s">
        <v>141</v>
      </c>
      <c r="I10" s="164"/>
      <c r="J10" s="164"/>
      <c r="K10" s="164"/>
      <c r="L10" s="164"/>
      <c r="M10" s="164"/>
      <c r="N10" s="164"/>
      <c r="O10" s="164"/>
      <c r="P10" s="164"/>
      <c r="Q10" s="164"/>
      <c r="R10" s="164"/>
      <c r="S10" s="164"/>
      <c r="T10" s="164"/>
      <c r="U10" s="164"/>
      <c r="V10" s="164"/>
      <c r="W10" s="164"/>
      <c r="X10" s="164"/>
      <c r="Y10" s="164"/>
      <c r="Z10" s="164"/>
      <c r="AA10" s="164"/>
      <c r="AB10" s="164"/>
      <c r="AC10" s="164"/>
      <c r="AD10" s="164"/>
      <c r="AE10" s="164"/>
      <c r="AF10" s="164"/>
      <c r="AG10" s="164"/>
      <c r="AH10" s="164"/>
      <c r="AI10" s="164"/>
      <c r="AJ10" s="164"/>
      <c r="AK10" s="164"/>
      <c r="AL10" s="164">
        <f>AL9-50</f>
        <v>1350</v>
      </c>
      <c r="AM10" s="164">
        <f t="shared" ref="AM10:AY10" si="39">AM9-50</f>
        <v>1350</v>
      </c>
      <c r="AN10" s="164">
        <f t="shared" si="39"/>
        <v>1350</v>
      </c>
      <c r="AO10" s="164">
        <f t="shared" si="39"/>
        <v>1480</v>
      </c>
      <c r="AP10" s="164">
        <f t="shared" si="39"/>
        <v>1480</v>
      </c>
      <c r="AQ10" s="164">
        <f t="shared" si="39"/>
        <v>1480</v>
      </c>
      <c r="AR10" s="164">
        <f t="shared" si="39"/>
        <v>1400</v>
      </c>
      <c r="AS10" s="164">
        <f t="shared" si="39"/>
        <v>1350</v>
      </c>
      <c r="AT10" s="164">
        <f t="shared" si="39"/>
        <v>1350</v>
      </c>
      <c r="AU10" s="164">
        <f t="shared" si="39"/>
        <v>1350</v>
      </c>
      <c r="AV10" s="164">
        <f t="shared" si="39"/>
        <v>1350</v>
      </c>
      <c r="AW10" s="164">
        <f t="shared" si="39"/>
        <v>1350</v>
      </c>
      <c r="AX10" s="164">
        <f t="shared" si="39"/>
        <v>1350</v>
      </c>
      <c r="AY10" s="164">
        <f t="shared" si="39"/>
        <v>1350</v>
      </c>
      <c r="AZ10" s="164">
        <f t="shared" ref="AZ10:BA10" si="40">AZ9-50</f>
        <v>1350</v>
      </c>
      <c r="BA10" s="164">
        <f t="shared" si="40"/>
        <v>1350</v>
      </c>
      <c r="BB10" s="164">
        <f t="shared" ref="BB10:BC10" si="41">BB9-50</f>
        <v>1350</v>
      </c>
      <c r="BC10" s="164">
        <f t="shared" si="41"/>
        <v>1350</v>
      </c>
      <c r="BD10" s="164">
        <f t="shared" ref="BD10:BE10" si="42">BD9-50</f>
        <v>1350</v>
      </c>
      <c r="BE10" s="164">
        <f t="shared" si="42"/>
        <v>1350</v>
      </c>
      <c r="BF10" s="164">
        <f t="shared" ref="BF10:BG10" si="43">BF9-50</f>
        <v>1350</v>
      </c>
      <c r="BG10" s="164">
        <f t="shared" si="43"/>
        <v>1350</v>
      </c>
      <c r="BH10" s="164">
        <f t="shared" ref="BH10:BI10" si="44">BH9-50</f>
        <v>1350</v>
      </c>
      <c r="BI10" s="164">
        <f t="shared" si="44"/>
        <v>1350</v>
      </c>
      <c r="BJ10" s="164">
        <f t="shared" ref="BJ10:BK10" si="45">BJ9-50</f>
        <v>1350</v>
      </c>
      <c r="BK10" s="164">
        <f t="shared" si="45"/>
        <v>1350</v>
      </c>
      <c r="BL10" s="164">
        <f t="shared" ref="BL10:BM10" si="46">BL9-50</f>
        <v>1300</v>
      </c>
      <c r="BM10" s="164">
        <f t="shared" si="46"/>
        <v>1300</v>
      </c>
      <c r="BN10" s="164">
        <f t="shared" ref="BN10:BO10" si="47">BN9-50</f>
        <v>1300</v>
      </c>
      <c r="BO10" s="164">
        <f t="shared" si="47"/>
        <v>1300</v>
      </c>
      <c r="BP10" s="164">
        <f t="shared" ref="BP10:BQ10" si="48">BP9-50</f>
        <v>1300</v>
      </c>
      <c r="BQ10" s="164">
        <f t="shared" si="48"/>
        <v>1280</v>
      </c>
      <c r="BR10" s="164">
        <f t="shared" ref="BR10:BS10" si="49">BR9-50</f>
        <v>1260</v>
      </c>
      <c r="BS10" s="164">
        <f t="shared" si="49"/>
        <v>1260</v>
      </c>
      <c r="BT10" s="164">
        <f t="shared" ref="BT10:BU10" si="50">BT9-50</f>
        <v>1250</v>
      </c>
      <c r="BU10" s="164">
        <f t="shared" si="50"/>
        <v>1250</v>
      </c>
      <c r="BV10" s="164">
        <f t="shared" ref="BV10" si="51">BV9-50</f>
        <v>1250</v>
      </c>
      <c r="BW10" s="150"/>
      <c r="BX10" s="44"/>
      <c r="BY10" s="167"/>
      <c r="BZ10" s="96" t="s">
        <v>141</v>
      </c>
      <c r="CA10" s="164"/>
      <c r="CB10" s="164"/>
      <c r="CC10" s="164"/>
      <c r="CD10" s="164"/>
      <c r="CE10" s="164"/>
      <c r="CF10" s="164"/>
      <c r="CG10" s="164"/>
      <c r="CH10" s="164"/>
      <c r="CI10" s="164"/>
      <c r="CJ10" s="164"/>
      <c r="CK10" s="164"/>
      <c r="CL10" s="164"/>
      <c r="CM10" s="164"/>
      <c r="CN10" s="164"/>
      <c r="CO10" s="164"/>
      <c r="CP10" s="164"/>
      <c r="CQ10" s="164"/>
      <c r="CR10" s="164"/>
      <c r="CS10" s="164"/>
      <c r="CT10" s="164"/>
      <c r="CU10" s="164"/>
      <c r="CV10" s="164"/>
      <c r="CW10" s="164"/>
      <c r="CX10" s="164"/>
      <c r="CY10" s="164"/>
      <c r="CZ10" s="164"/>
      <c r="DA10" s="164"/>
      <c r="DB10" s="164"/>
      <c r="DC10" s="164"/>
      <c r="DD10" s="165">
        <f>DD9-50</f>
        <v>1350</v>
      </c>
      <c r="DE10" s="165">
        <f t="shared" ref="DE10:FG10" si="52">DE9-50</f>
        <v>1350</v>
      </c>
      <c r="DF10" s="165">
        <f t="shared" si="52"/>
        <v>1350</v>
      </c>
      <c r="DG10" s="165">
        <f t="shared" si="52"/>
        <v>1350</v>
      </c>
      <c r="DH10" s="165">
        <f t="shared" si="52"/>
        <v>1350</v>
      </c>
      <c r="DI10" s="165">
        <f t="shared" si="52"/>
        <v>1350</v>
      </c>
      <c r="DJ10" s="165">
        <f t="shared" si="52"/>
        <v>1350</v>
      </c>
      <c r="DK10" s="165">
        <f t="shared" si="52"/>
        <v>1350</v>
      </c>
      <c r="DL10" s="165">
        <f t="shared" si="52"/>
        <v>1350</v>
      </c>
      <c r="DM10" s="165">
        <f t="shared" si="52"/>
        <v>1350</v>
      </c>
      <c r="DN10" s="165">
        <f t="shared" si="52"/>
        <v>1350</v>
      </c>
      <c r="DO10" s="165">
        <f t="shared" si="52"/>
        <v>1350</v>
      </c>
      <c r="DP10" s="165">
        <f t="shared" si="52"/>
        <v>1480</v>
      </c>
      <c r="DQ10" s="165">
        <f t="shared" si="52"/>
        <v>1480</v>
      </c>
      <c r="DR10" s="165">
        <f t="shared" si="52"/>
        <v>1480</v>
      </c>
      <c r="DS10" s="165">
        <f t="shared" si="52"/>
        <v>1480</v>
      </c>
      <c r="DT10" s="165">
        <f t="shared" si="52"/>
        <v>1480</v>
      </c>
      <c r="DU10" s="165">
        <f t="shared" si="52"/>
        <v>1480</v>
      </c>
      <c r="DV10" s="165">
        <f t="shared" si="52"/>
        <v>1480</v>
      </c>
      <c r="DW10" s="165">
        <f t="shared" si="52"/>
        <v>1480</v>
      </c>
      <c r="DX10" s="165">
        <f t="shared" si="52"/>
        <v>1480</v>
      </c>
      <c r="DY10" s="165">
        <f t="shared" si="52"/>
        <v>1480</v>
      </c>
      <c r="DZ10" s="165">
        <f t="shared" si="52"/>
        <v>1400</v>
      </c>
      <c r="EA10" s="165">
        <f t="shared" si="52"/>
        <v>1400</v>
      </c>
      <c r="EB10" s="165">
        <f t="shared" si="52"/>
        <v>1400</v>
      </c>
      <c r="EC10" s="165">
        <f t="shared" si="52"/>
        <v>1400</v>
      </c>
      <c r="ED10" s="165">
        <f t="shared" si="52"/>
        <v>1400</v>
      </c>
      <c r="EE10" s="165">
        <f t="shared" si="52"/>
        <v>1350</v>
      </c>
      <c r="EF10" s="165">
        <f t="shared" si="52"/>
        <v>1350</v>
      </c>
      <c r="EG10" s="165">
        <f t="shared" si="52"/>
        <v>1350</v>
      </c>
      <c r="EH10" s="165">
        <f t="shared" si="52"/>
        <v>1350</v>
      </c>
      <c r="EI10" s="165">
        <f t="shared" si="52"/>
        <v>1350</v>
      </c>
      <c r="EJ10" s="165">
        <f t="shared" si="52"/>
        <v>1350</v>
      </c>
      <c r="EK10" s="165">
        <f t="shared" si="52"/>
        <v>1350</v>
      </c>
      <c r="EL10" s="165">
        <f t="shared" si="52"/>
        <v>1350</v>
      </c>
      <c r="EM10" s="165">
        <f t="shared" si="52"/>
        <v>1350</v>
      </c>
      <c r="EN10" s="165">
        <f t="shared" si="52"/>
        <v>1350</v>
      </c>
      <c r="EO10" s="165">
        <f t="shared" si="52"/>
        <v>1350</v>
      </c>
      <c r="EP10" s="165">
        <f t="shared" si="52"/>
        <v>1350</v>
      </c>
      <c r="EQ10" s="165">
        <f t="shared" si="52"/>
        <v>1350</v>
      </c>
      <c r="ER10" s="165">
        <f t="shared" si="52"/>
        <v>1350</v>
      </c>
      <c r="ES10" s="165">
        <f t="shared" si="52"/>
        <v>1350</v>
      </c>
      <c r="ET10" s="165">
        <f t="shared" si="52"/>
        <v>1350</v>
      </c>
      <c r="EU10" s="165">
        <f t="shared" si="52"/>
        <v>1350</v>
      </c>
      <c r="EV10" s="165">
        <f t="shared" si="52"/>
        <v>1350</v>
      </c>
      <c r="EW10" s="165">
        <f t="shared" si="52"/>
        <v>1350</v>
      </c>
      <c r="EX10" s="165">
        <f t="shared" si="52"/>
        <v>1350</v>
      </c>
      <c r="EY10" s="165">
        <f t="shared" si="52"/>
        <v>1350</v>
      </c>
      <c r="EZ10" s="165">
        <f t="shared" si="52"/>
        <v>1350</v>
      </c>
      <c r="FA10" s="165">
        <f t="shared" si="52"/>
        <v>1350</v>
      </c>
      <c r="FB10" s="165">
        <f t="shared" si="52"/>
        <v>1350</v>
      </c>
      <c r="FC10" s="165">
        <f t="shared" si="52"/>
        <v>1350</v>
      </c>
      <c r="FD10" s="165">
        <f t="shared" si="52"/>
        <v>1350</v>
      </c>
      <c r="FE10" s="165">
        <f t="shared" si="52"/>
        <v>1350</v>
      </c>
      <c r="FF10" s="165">
        <f t="shared" si="52"/>
        <v>1350</v>
      </c>
      <c r="FG10" s="165">
        <f t="shared" si="52"/>
        <v>1350</v>
      </c>
      <c r="FH10" s="165">
        <f t="shared" ref="FH10:FJ10" si="53">FH9-50</f>
        <v>1350</v>
      </c>
      <c r="FI10" s="165">
        <f t="shared" si="53"/>
        <v>1350</v>
      </c>
      <c r="FJ10" s="165">
        <f t="shared" si="53"/>
        <v>1350</v>
      </c>
      <c r="FK10" s="165">
        <f t="shared" ref="FK10:FL10" si="54">FK9-50</f>
        <v>1350</v>
      </c>
      <c r="FL10" s="165">
        <f t="shared" si="54"/>
        <v>1350</v>
      </c>
      <c r="FM10" s="165">
        <f t="shared" ref="FM10:FN10" si="55">FM9-50</f>
        <v>1350</v>
      </c>
      <c r="FN10" s="165">
        <f t="shared" si="55"/>
        <v>1350</v>
      </c>
      <c r="FO10" s="165">
        <f t="shared" ref="FO10:FQ10" si="56">FO9-50</f>
        <v>1350</v>
      </c>
      <c r="FP10" s="165">
        <f t="shared" si="56"/>
        <v>1350</v>
      </c>
      <c r="FQ10" s="165">
        <f t="shared" si="56"/>
        <v>1350</v>
      </c>
      <c r="FR10" s="165">
        <f t="shared" ref="FR10:FS10" si="57">FR9-50</f>
        <v>1350</v>
      </c>
      <c r="FS10" s="165">
        <f t="shared" si="57"/>
        <v>1350</v>
      </c>
      <c r="FT10" s="165">
        <f t="shared" ref="FT10:FU10" si="58">FT9-50</f>
        <v>1350</v>
      </c>
      <c r="FU10" s="165">
        <f t="shared" si="58"/>
        <v>1350</v>
      </c>
      <c r="FV10" s="165">
        <f t="shared" ref="FV10:FW10" si="59">FV9-50</f>
        <v>1350</v>
      </c>
      <c r="FW10" s="165">
        <f t="shared" si="59"/>
        <v>1350</v>
      </c>
      <c r="FX10" s="165">
        <f t="shared" ref="FX10:FY10" si="60">FX9-50</f>
        <v>1350</v>
      </c>
      <c r="FY10" s="165">
        <f t="shared" si="60"/>
        <v>1350</v>
      </c>
      <c r="FZ10" s="165">
        <f t="shared" ref="FZ10:GA10" si="61">FZ9-50</f>
        <v>1350</v>
      </c>
      <c r="GA10" s="165">
        <f t="shared" si="61"/>
        <v>1350</v>
      </c>
      <c r="GB10" s="165">
        <f t="shared" ref="GB10:GC10" si="62">GB9-50</f>
        <v>1350</v>
      </c>
      <c r="GC10" s="165">
        <f t="shared" si="62"/>
        <v>1350</v>
      </c>
      <c r="GD10" s="165">
        <f t="shared" ref="GD10:GE10" si="63">GD9-50</f>
        <v>1350</v>
      </c>
      <c r="GE10" s="165">
        <f t="shared" si="63"/>
        <v>1350</v>
      </c>
      <c r="GF10" s="165">
        <f t="shared" ref="GF10:GG10" si="64">GF9-50</f>
        <v>1350</v>
      </c>
      <c r="GG10" s="165">
        <f t="shared" si="64"/>
        <v>1350</v>
      </c>
      <c r="GH10" s="165">
        <f t="shared" ref="GH10:GI10" si="65">GH9-50</f>
        <v>1350</v>
      </c>
      <c r="GI10" s="165">
        <f t="shared" si="65"/>
        <v>1350</v>
      </c>
      <c r="GJ10" s="165">
        <f t="shared" ref="GJ10:GK10" si="66">GJ9-50</f>
        <v>1350</v>
      </c>
      <c r="GK10" s="165">
        <f t="shared" si="66"/>
        <v>1350</v>
      </c>
      <c r="GL10" s="165">
        <f t="shared" ref="GL10:GM10" si="67">GL9-50</f>
        <v>1350</v>
      </c>
      <c r="GM10" s="165">
        <f t="shared" si="67"/>
        <v>1350</v>
      </c>
      <c r="GN10" s="165">
        <f t="shared" ref="GN10:GO10" si="68">GN9-50</f>
        <v>1350</v>
      </c>
      <c r="GO10" s="165">
        <f t="shared" si="68"/>
        <v>1350</v>
      </c>
      <c r="GP10" s="165">
        <f t="shared" ref="GP10:GQ10" si="69">GP9-50</f>
        <v>1350</v>
      </c>
      <c r="GQ10" s="165">
        <f t="shared" si="69"/>
        <v>1350</v>
      </c>
      <c r="GR10" s="165">
        <f t="shared" ref="GR10:GV10" si="70">GR9-50</f>
        <v>1350</v>
      </c>
      <c r="GS10" s="165">
        <f t="shared" si="70"/>
        <v>1350</v>
      </c>
      <c r="GT10" s="165">
        <f t="shared" si="70"/>
        <v>1350</v>
      </c>
      <c r="GU10" s="165">
        <f t="shared" si="70"/>
        <v>1350</v>
      </c>
      <c r="GV10" s="165">
        <f t="shared" si="70"/>
        <v>1350</v>
      </c>
      <c r="GW10" s="165">
        <f t="shared" ref="GW10:GZ10" si="71">GW9-50</f>
        <v>1350</v>
      </c>
      <c r="GX10" s="165">
        <f t="shared" si="71"/>
        <v>1350</v>
      </c>
      <c r="GY10" s="165">
        <f t="shared" si="71"/>
        <v>1350</v>
      </c>
      <c r="GZ10" s="165">
        <f t="shared" si="71"/>
        <v>1350</v>
      </c>
      <c r="HA10" s="165">
        <f t="shared" ref="HA10:HB10" si="72">HA9-50</f>
        <v>1350</v>
      </c>
      <c r="HB10" s="165">
        <f t="shared" si="72"/>
        <v>1350</v>
      </c>
      <c r="HC10" s="165">
        <f t="shared" ref="HC10:HD10" si="73">HC9-50</f>
        <v>1350</v>
      </c>
      <c r="HD10" s="165">
        <f t="shared" si="73"/>
        <v>1350</v>
      </c>
      <c r="HE10" s="165">
        <f t="shared" ref="HE10:HF10" si="74">HE9-50</f>
        <v>1350</v>
      </c>
      <c r="HF10" s="165">
        <f t="shared" si="74"/>
        <v>1350</v>
      </c>
      <c r="HG10" s="165">
        <f t="shared" ref="HG10" si="75">HG9-50</f>
        <v>1350</v>
      </c>
      <c r="HH10" s="165">
        <f t="shared" ref="HH10" si="76">HH9-50</f>
        <v>1350</v>
      </c>
      <c r="HI10" s="165">
        <f t="shared" ref="HI10:HL10" si="77">HI9-50</f>
        <v>1300</v>
      </c>
      <c r="HJ10" s="165">
        <f t="shared" si="77"/>
        <v>1300</v>
      </c>
      <c r="HK10" s="165">
        <f t="shared" si="77"/>
        <v>1300</v>
      </c>
      <c r="HL10" s="165">
        <f t="shared" si="77"/>
        <v>1300</v>
      </c>
      <c r="HM10" s="165">
        <f t="shared" ref="HM10:HP10" si="78">HM9-50</f>
        <v>1300</v>
      </c>
      <c r="HN10" s="165">
        <f t="shared" si="78"/>
        <v>1300</v>
      </c>
      <c r="HO10" s="165">
        <f t="shared" si="78"/>
        <v>1300</v>
      </c>
      <c r="HP10" s="165">
        <f t="shared" si="78"/>
        <v>1300</v>
      </c>
      <c r="HQ10" s="165">
        <f t="shared" ref="HQ10:HU10" si="79">HQ9-50</f>
        <v>1300</v>
      </c>
      <c r="HR10" s="165">
        <f t="shared" si="79"/>
        <v>1300</v>
      </c>
      <c r="HS10" s="165">
        <f t="shared" si="79"/>
        <v>1300</v>
      </c>
      <c r="HT10" s="165">
        <f t="shared" si="79"/>
        <v>1300</v>
      </c>
      <c r="HU10" s="165">
        <f t="shared" si="79"/>
        <v>1300</v>
      </c>
      <c r="HV10" s="165">
        <f t="shared" ref="HV10:HY10" si="80">HV9-50</f>
        <v>1300</v>
      </c>
      <c r="HW10" s="165">
        <f t="shared" si="80"/>
        <v>1300</v>
      </c>
      <c r="HX10" s="165">
        <f t="shared" si="80"/>
        <v>1300</v>
      </c>
      <c r="HY10" s="165">
        <f t="shared" si="80"/>
        <v>1300</v>
      </c>
      <c r="HZ10" s="165">
        <f t="shared" ref="HZ10:ID10" si="81">HZ9-50</f>
        <v>1300</v>
      </c>
      <c r="IA10" s="165">
        <f t="shared" si="81"/>
        <v>1300</v>
      </c>
      <c r="IB10" s="165">
        <f t="shared" si="81"/>
        <v>1300</v>
      </c>
      <c r="IC10" s="165">
        <f t="shared" si="81"/>
        <v>1300</v>
      </c>
      <c r="ID10" s="165">
        <f t="shared" si="81"/>
        <v>1300</v>
      </c>
      <c r="IE10" s="165">
        <f t="shared" ref="IE10:IH10" si="82">IE9-50</f>
        <v>1280</v>
      </c>
      <c r="IF10" s="165">
        <f t="shared" si="82"/>
        <v>1280</v>
      </c>
      <c r="IG10" s="165">
        <f t="shared" si="82"/>
        <v>1280</v>
      </c>
      <c r="IH10" s="165">
        <f t="shared" si="82"/>
        <v>1280</v>
      </c>
      <c r="II10" s="165">
        <f t="shared" ref="II10:IL10" si="83">II9-50</f>
        <v>1260</v>
      </c>
      <c r="IJ10" s="165">
        <f t="shared" si="83"/>
        <v>1260</v>
      </c>
      <c r="IK10" s="165">
        <f t="shared" si="83"/>
        <v>1260</v>
      </c>
      <c r="IL10" s="165">
        <f t="shared" si="83"/>
        <v>1260</v>
      </c>
      <c r="IM10" s="165">
        <f t="shared" ref="IM10:IQ10" si="84">IM9-50</f>
        <v>1260</v>
      </c>
      <c r="IN10" s="165">
        <f t="shared" si="84"/>
        <v>1260</v>
      </c>
      <c r="IO10" s="165">
        <f t="shared" si="84"/>
        <v>1260</v>
      </c>
      <c r="IP10" s="165">
        <f t="shared" si="84"/>
        <v>1260</v>
      </c>
      <c r="IQ10" s="165">
        <f t="shared" si="84"/>
        <v>1260</v>
      </c>
      <c r="IR10" s="165">
        <f t="shared" ref="IR10:IU10" si="85">IR9-50</f>
        <v>1250</v>
      </c>
      <c r="IS10" s="165">
        <f t="shared" si="85"/>
        <v>1250</v>
      </c>
      <c r="IT10" s="165">
        <f t="shared" si="85"/>
        <v>1250</v>
      </c>
      <c r="IU10" s="165">
        <f t="shared" si="85"/>
        <v>1250</v>
      </c>
      <c r="IV10" s="165">
        <f t="shared" ref="IV10:IY10" si="86">IV9-50</f>
        <v>1250</v>
      </c>
      <c r="IW10" s="165">
        <f t="shared" si="86"/>
        <v>1250</v>
      </c>
      <c r="IX10" s="165">
        <f t="shared" si="86"/>
        <v>1250</v>
      </c>
      <c r="IY10" s="165">
        <f t="shared" si="86"/>
        <v>1250</v>
      </c>
      <c r="IZ10" s="165">
        <f t="shared" ref="IZ10:JD10" si="87">IZ9-50</f>
        <v>1250</v>
      </c>
      <c r="JA10" s="165">
        <f t="shared" si="87"/>
        <v>1250</v>
      </c>
      <c r="JB10" s="165">
        <f t="shared" si="87"/>
        <v>1250</v>
      </c>
      <c r="JC10" s="165">
        <f t="shared" si="87"/>
        <v>1250</v>
      </c>
      <c r="JD10" s="165">
        <f t="shared" si="87"/>
        <v>1250</v>
      </c>
    </row>
    <row r="11" spans="1:264" s="37" customFormat="1" ht="14" hidden="1">
      <c r="D11" s="38" t="s">
        <v>30</v>
      </c>
      <c r="F11" s="37" t="s">
        <v>49</v>
      </c>
      <c r="G11" s="39" t="s">
        <v>23</v>
      </c>
      <c r="H11" s="37" t="s">
        <v>49</v>
      </c>
      <c r="W11" s="40">
        <f>W9*23100/1000</f>
        <v>36036</v>
      </c>
      <c r="X11" s="40">
        <f>X9*23108/1000</f>
        <v>37203.879999999997</v>
      </c>
      <c r="Y11" s="40">
        <f>Y9*23108/1000</f>
        <v>37203.879999999997</v>
      </c>
      <c r="Z11" s="40">
        <f>Z9*Z4/1000</f>
        <v>37271.5</v>
      </c>
      <c r="AA11" s="40">
        <f>AA9*AA4/1000</f>
        <v>37271.5</v>
      </c>
      <c r="AB11" s="40">
        <v>37826</v>
      </c>
      <c r="AC11" s="40">
        <v>37826</v>
      </c>
      <c r="AD11" s="40">
        <v>35948.725752789389</v>
      </c>
      <c r="AE11" s="40">
        <v>35948.725752789389</v>
      </c>
      <c r="AF11" s="40">
        <v>35948.725752789389</v>
      </c>
      <c r="AG11" s="40">
        <v>35948.725752789389</v>
      </c>
      <c r="AH11" s="40">
        <v>35948.725752789389</v>
      </c>
      <c r="AI11" s="40">
        <v>35948.725752789389</v>
      </c>
      <c r="AJ11" s="40">
        <v>37626.350439123809</v>
      </c>
      <c r="AK11" s="40">
        <v>37626.350439123809</v>
      </c>
      <c r="AL11" s="40">
        <v>37626</v>
      </c>
      <c r="AM11" s="40">
        <v>37626</v>
      </c>
      <c r="AN11" s="40">
        <v>37626</v>
      </c>
      <c r="AO11" s="40">
        <v>37626</v>
      </c>
      <c r="AP11" s="40">
        <v>37626</v>
      </c>
      <c r="AQ11" s="40">
        <v>37626</v>
      </c>
      <c r="AR11" s="40">
        <v>37626</v>
      </c>
      <c r="AS11" s="40">
        <v>37626</v>
      </c>
      <c r="AT11" s="40">
        <v>37626</v>
      </c>
      <c r="AU11" s="40">
        <v>37626</v>
      </c>
      <c r="AV11" s="40">
        <v>37626</v>
      </c>
      <c r="AW11" s="40">
        <v>37626</v>
      </c>
      <c r="AX11" s="40">
        <v>37626</v>
      </c>
      <c r="AY11" s="40">
        <v>37626</v>
      </c>
      <c r="AZ11" s="40">
        <v>37626</v>
      </c>
      <c r="BA11" s="40">
        <v>37626</v>
      </c>
      <c r="BB11" s="40">
        <v>37626</v>
      </c>
      <c r="BC11" s="40">
        <v>37626</v>
      </c>
      <c r="BD11" s="40">
        <v>37626</v>
      </c>
      <c r="BE11" s="40">
        <v>37626</v>
      </c>
      <c r="BF11" s="40">
        <v>37626</v>
      </c>
      <c r="BG11" s="40">
        <v>37626</v>
      </c>
      <c r="BH11" s="40">
        <v>37626</v>
      </c>
      <c r="BI11" s="40">
        <v>37626</v>
      </c>
      <c r="BJ11" s="40">
        <v>37626</v>
      </c>
      <c r="BK11" s="40">
        <v>37626</v>
      </c>
      <c r="BL11" s="40">
        <v>37626</v>
      </c>
      <c r="BM11" s="40">
        <v>37626</v>
      </c>
      <c r="BN11" s="40">
        <v>37626</v>
      </c>
      <c r="BO11" s="40">
        <v>37626</v>
      </c>
      <c r="BP11" s="40">
        <v>37626</v>
      </c>
      <c r="BQ11" s="40">
        <v>37626</v>
      </c>
      <c r="BR11" s="40">
        <v>37626</v>
      </c>
      <c r="BS11" s="40">
        <v>37626</v>
      </c>
      <c r="BT11" s="40">
        <v>37626</v>
      </c>
      <c r="BU11" s="40">
        <v>37626</v>
      </c>
      <c r="BV11" s="40">
        <v>37626</v>
      </c>
      <c r="BW11" s="151"/>
      <c r="BX11" s="38" t="s">
        <v>30</v>
      </c>
      <c r="BZ11" s="37" t="s">
        <v>49</v>
      </c>
      <c r="CA11" s="40"/>
      <c r="CB11" s="40"/>
      <c r="CC11" s="40"/>
      <c r="CD11" s="40"/>
      <c r="CE11" s="40"/>
      <c r="CF11" s="40"/>
      <c r="CG11" s="40"/>
      <c r="CH11" s="40"/>
      <c r="CI11" s="40"/>
      <c r="CJ11" s="40"/>
      <c r="CK11" s="40"/>
      <c r="CL11" s="40"/>
      <c r="CM11" s="40"/>
      <c r="CN11" s="40"/>
      <c r="CO11" s="40"/>
      <c r="CP11" s="40"/>
      <c r="CQ11" s="40">
        <v>35948.725752789389</v>
      </c>
      <c r="CR11" s="40">
        <v>35948.725752789389</v>
      </c>
      <c r="CS11" s="40">
        <v>35948.725752789389</v>
      </c>
      <c r="CT11" s="40">
        <v>35948.725752789389</v>
      </c>
      <c r="CU11" s="40">
        <v>37626</v>
      </c>
      <c r="CV11" s="40">
        <v>37626</v>
      </c>
      <c r="CW11" s="40">
        <v>37626</v>
      </c>
      <c r="CX11" s="40">
        <v>37626</v>
      </c>
      <c r="CY11" s="40">
        <v>37626</v>
      </c>
      <c r="CZ11" s="40">
        <v>37626</v>
      </c>
      <c r="DA11" s="40">
        <v>37626</v>
      </c>
      <c r="DB11" s="40">
        <v>37626</v>
      </c>
      <c r="DC11" s="40">
        <v>37626</v>
      </c>
      <c r="DD11" s="40">
        <v>37626</v>
      </c>
      <c r="DE11" s="40">
        <v>37626</v>
      </c>
      <c r="DF11" s="40">
        <v>37626</v>
      </c>
      <c r="DG11" s="40">
        <v>37626</v>
      </c>
      <c r="DH11" s="40">
        <v>37626</v>
      </c>
      <c r="DI11" s="40">
        <v>37626</v>
      </c>
      <c r="DJ11" s="40">
        <v>37626</v>
      </c>
      <c r="DK11" s="40">
        <v>37626</v>
      </c>
      <c r="DL11" s="40">
        <v>37626</v>
      </c>
      <c r="DM11" s="40">
        <v>37626</v>
      </c>
      <c r="DN11" s="40">
        <v>37626</v>
      </c>
      <c r="DO11" s="40">
        <v>37626</v>
      </c>
      <c r="DP11" s="40">
        <f t="shared" ref="DP11:DU11" si="88">DP9*DP4/1000</f>
        <v>36720</v>
      </c>
      <c r="DQ11" s="40">
        <f t="shared" si="88"/>
        <v>36720</v>
      </c>
      <c r="DR11" s="40">
        <f t="shared" si="88"/>
        <v>36720</v>
      </c>
      <c r="DS11" s="40">
        <f t="shared" si="88"/>
        <v>36720</v>
      </c>
      <c r="DT11" s="40">
        <f t="shared" si="88"/>
        <v>36720</v>
      </c>
      <c r="DU11" s="40">
        <f t="shared" si="88"/>
        <v>36720</v>
      </c>
      <c r="DV11" s="40">
        <f t="shared" ref="DV11:EB11" si="89">DV9*DV4/1000</f>
        <v>36720</v>
      </c>
      <c r="DW11" s="40">
        <f t="shared" si="89"/>
        <v>36720</v>
      </c>
      <c r="DX11" s="40">
        <f t="shared" si="89"/>
        <v>36720</v>
      </c>
      <c r="DY11" s="40">
        <f t="shared" si="89"/>
        <v>36720</v>
      </c>
      <c r="DZ11" s="40">
        <f t="shared" si="89"/>
        <v>34800</v>
      </c>
      <c r="EA11" s="40">
        <f t="shared" si="89"/>
        <v>34800</v>
      </c>
      <c r="EB11" s="40">
        <f t="shared" si="89"/>
        <v>34800</v>
      </c>
      <c r="EC11" s="40">
        <f t="shared" ref="EC11:EH11" si="90">EC9*EC4/1000</f>
        <v>34800</v>
      </c>
      <c r="ED11" s="40">
        <f t="shared" si="90"/>
        <v>34800</v>
      </c>
      <c r="EE11" s="40">
        <f t="shared" si="90"/>
        <v>33600</v>
      </c>
      <c r="EF11" s="40">
        <f t="shared" si="90"/>
        <v>33600</v>
      </c>
      <c r="EG11" s="40">
        <f t="shared" si="90"/>
        <v>33600</v>
      </c>
      <c r="EH11" s="40">
        <f t="shared" si="90"/>
        <v>33600</v>
      </c>
      <c r="EI11" s="40">
        <f>EI9*EI4/1000</f>
        <v>33600</v>
      </c>
      <c r="EJ11" s="40">
        <f t="shared" ref="EJ11:EO11" si="91">EJ9*EJ4/1000</f>
        <v>33600</v>
      </c>
      <c r="EK11" s="40">
        <f t="shared" si="91"/>
        <v>33600</v>
      </c>
      <c r="EL11" s="40">
        <f t="shared" si="91"/>
        <v>33600</v>
      </c>
      <c r="EM11" s="40">
        <f t="shared" si="91"/>
        <v>33600</v>
      </c>
      <c r="EN11" s="40">
        <f t="shared" si="91"/>
        <v>33600</v>
      </c>
      <c r="EO11" s="40">
        <f t="shared" si="91"/>
        <v>33600</v>
      </c>
      <c r="EP11" s="40">
        <f t="shared" ref="EP11:EV11" si="92">EP9*EP4/1000</f>
        <v>33600</v>
      </c>
      <c r="EQ11" s="40">
        <f t="shared" si="92"/>
        <v>33600</v>
      </c>
      <c r="ER11" s="40">
        <f t="shared" si="92"/>
        <v>33600</v>
      </c>
      <c r="ES11" s="40">
        <f t="shared" si="92"/>
        <v>33600</v>
      </c>
      <c r="ET11" s="40">
        <f t="shared" si="92"/>
        <v>33600</v>
      </c>
      <c r="EU11" s="40">
        <f t="shared" si="92"/>
        <v>33600</v>
      </c>
      <c r="EV11" s="40">
        <f t="shared" si="92"/>
        <v>33600</v>
      </c>
      <c r="EW11" s="40">
        <f t="shared" ref="EW11:EX11" si="93">EW9*EW4/1000</f>
        <v>33600</v>
      </c>
      <c r="EX11" s="40">
        <f t="shared" si="93"/>
        <v>33600</v>
      </c>
      <c r="EY11" s="40">
        <f t="shared" ref="EY11:EZ11" si="94">EY9*EY4/1000</f>
        <v>33600</v>
      </c>
      <c r="EZ11" s="40">
        <f t="shared" si="94"/>
        <v>33600</v>
      </c>
      <c r="FA11" s="40">
        <f t="shared" ref="FA11:FB11" si="95">FA9*FA4/1000</f>
        <v>33600</v>
      </c>
      <c r="FB11" s="40">
        <f t="shared" si="95"/>
        <v>33600</v>
      </c>
      <c r="FC11" s="40">
        <f t="shared" ref="FC11:FD11" si="96">FC9*FC4/1000</f>
        <v>33600</v>
      </c>
      <c r="FD11" s="40">
        <f t="shared" si="96"/>
        <v>33600</v>
      </c>
      <c r="FE11" s="40">
        <f t="shared" ref="FE11:FF11" si="97">FE9*FE4/1000</f>
        <v>0</v>
      </c>
      <c r="FF11" s="40">
        <f t="shared" si="97"/>
        <v>0</v>
      </c>
      <c r="FG11" s="40">
        <f t="shared" ref="FG11:FH11" si="98">FG9*FG4/1000</f>
        <v>0</v>
      </c>
      <c r="FH11" s="40">
        <f t="shared" si="98"/>
        <v>0</v>
      </c>
      <c r="FI11" s="40">
        <f t="shared" ref="FI11:FJ11" si="99">FI9*FI4/1000</f>
        <v>0</v>
      </c>
      <c r="FJ11" s="40">
        <f t="shared" si="99"/>
        <v>0</v>
      </c>
      <c r="FK11" s="40">
        <f t="shared" ref="FK11:FL11" si="100">FK9*FK4/1000</f>
        <v>0</v>
      </c>
      <c r="FL11" s="40">
        <f t="shared" si="100"/>
        <v>0</v>
      </c>
      <c r="FM11" s="40">
        <f t="shared" ref="FM11:FN11" si="101">FM9*FM4/1000</f>
        <v>0</v>
      </c>
      <c r="FN11" s="40">
        <f t="shared" si="101"/>
        <v>0</v>
      </c>
      <c r="FO11" s="40">
        <f t="shared" ref="FO11:FQ11" si="102">FO9*FO4/1000</f>
        <v>0</v>
      </c>
      <c r="FP11" s="40">
        <f t="shared" si="102"/>
        <v>0</v>
      </c>
      <c r="FQ11" s="40">
        <f t="shared" si="102"/>
        <v>0</v>
      </c>
      <c r="FR11" s="40">
        <f t="shared" ref="FR11:FS11" si="103">FR9*FR4/1000</f>
        <v>0</v>
      </c>
      <c r="FS11" s="40">
        <f t="shared" si="103"/>
        <v>0</v>
      </c>
      <c r="FT11" s="40">
        <f t="shared" ref="FT11:FU11" si="104">FT9*FT4/1000</f>
        <v>0</v>
      </c>
      <c r="FU11" s="40">
        <f t="shared" si="104"/>
        <v>0</v>
      </c>
      <c r="FV11" s="40">
        <f t="shared" ref="FV11:FW11" si="105">FV9*FV4/1000</f>
        <v>0</v>
      </c>
      <c r="FW11" s="40">
        <f t="shared" si="105"/>
        <v>0</v>
      </c>
      <c r="FX11" s="40">
        <f t="shared" ref="FX11:FY11" si="106">FX9*FX4/1000</f>
        <v>0</v>
      </c>
      <c r="FY11" s="40">
        <f t="shared" si="106"/>
        <v>0</v>
      </c>
      <c r="FZ11" s="40">
        <f t="shared" ref="FZ11:GA11" si="107">FZ9*FZ4/1000</f>
        <v>0</v>
      </c>
      <c r="GA11" s="40">
        <f t="shared" si="107"/>
        <v>0</v>
      </c>
      <c r="GB11" s="40">
        <f t="shared" ref="GB11:GC11" si="108">GB9*GB4/1000</f>
        <v>0</v>
      </c>
      <c r="GC11" s="40">
        <f t="shared" si="108"/>
        <v>0</v>
      </c>
      <c r="GD11" s="40">
        <f t="shared" ref="GD11:GE11" si="109">GD9*GD4/1000</f>
        <v>0</v>
      </c>
      <c r="GE11" s="40">
        <f t="shared" si="109"/>
        <v>0</v>
      </c>
      <c r="GF11" s="40">
        <f t="shared" ref="GF11:GG11" si="110">GF9*GF4/1000</f>
        <v>0</v>
      </c>
      <c r="GG11" s="40">
        <f t="shared" si="110"/>
        <v>0</v>
      </c>
      <c r="GH11" s="40">
        <f t="shared" ref="GH11:GI11" si="111">GH9*GH4/1000</f>
        <v>0</v>
      </c>
      <c r="GI11" s="40">
        <f t="shared" si="111"/>
        <v>0</v>
      </c>
      <c r="GJ11" s="40">
        <f t="shared" ref="GJ11:GK11" si="112">GJ9*GJ4/1000</f>
        <v>0</v>
      </c>
      <c r="GK11" s="40">
        <f t="shared" si="112"/>
        <v>0</v>
      </c>
      <c r="GL11" s="40">
        <f t="shared" ref="GL11:GM11" si="113">GL9*GL4/1000</f>
        <v>0</v>
      </c>
      <c r="GM11" s="40">
        <f t="shared" si="113"/>
        <v>0</v>
      </c>
      <c r="GN11" s="40">
        <f t="shared" ref="GN11:GO11" si="114">GN9*GN4/1000</f>
        <v>0</v>
      </c>
      <c r="GO11" s="40">
        <f t="shared" si="114"/>
        <v>0</v>
      </c>
      <c r="GP11" s="40">
        <f t="shared" ref="GP11:GQ11" si="115">GP9*GP4/1000</f>
        <v>0</v>
      </c>
      <c r="GQ11" s="40">
        <f t="shared" si="115"/>
        <v>0</v>
      </c>
      <c r="GR11" s="40">
        <f t="shared" ref="GR11:GV11" si="116">GR9*GR4/1000</f>
        <v>0</v>
      </c>
      <c r="GS11" s="40">
        <f t="shared" si="116"/>
        <v>0</v>
      </c>
      <c r="GT11" s="40">
        <f t="shared" si="116"/>
        <v>0</v>
      </c>
      <c r="GU11" s="40">
        <f t="shared" si="116"/>
        <v>0</v>
      </c>
      <c r="GV11" s="40">
        <f t="shared" si="116"/>
        <v>0</v>
      </c>
      <c r="GW11" s="40">
        <f t="shared" ref="GW11:GZ11" si="117">GW9*GW4/1000</f>
        <v>0</v>
      </c>
      <c r="GX11" s="40">
        <f t="shared" si="117"/>
        <v>0</v>
      </c>
      <c r="GY11" s="40">
        <f t="shared" si="117"/>
        <v>0</v>
      </c>
      <c r="GZ11" s="40">
        <f t="shared" si="117"/>
        <v>0</v>
      </c>
      <c r="HA11" s="40">
        <f t="shared" ref="HA11:HB11" si="118">HA9*HA4/1000</f>
        <v>2835</v>
      </c>
      <c r="HB11" s="40">
        <f t="shared" si="118"/>
        <v>0</v>
      </c>
      <c r="HC11" s="40">
        <f t="shared" ref="HC11:HD11" si="119">HC9*HC4/1000</f>
        <v>0</v>
      </c>
      <c r="HD11" s="40">
        <f t="shared" si="119"/>
        <v>0</v>
      </c>
      <c r="HE11" s="40">
        <f t="shared" ref="HE11:HF11" si="120">HE9*HE4/1000</f>
        <v>0</v>
      </c>
      <c r="HF11" s="40">
        <f t="shared" si="120"/>
        <v>0</v>
      </c>
      <c r="HG11" s="40">
        <f t="shared" ref="HG11:HH11" si="121">HG9*HG4/1000</f>
        <v>0</v>
      </c>
      <c r="HH11" s="40">
        <f t="shared" si="121"/>
        <v>0</v>
      </c>
      <c r="HI11" s="40">
        <f t="shared" ref="HI11:HL11" si="122">HI9*HI4/1000</f>
        <v>0</v>
      </c>
      <c r="HJ11" s="40">
        <f t="shared" si="122"/>
        <v>0</v>
      </c>
      <c r="HK11" s="40">
        <f t="shared" si="122"/>
        <v>0</v>
      </c>
      <c r="HL11" s="40">
        <f t="shared" si="122"/>
        <v>0</v>
      </c>
      <c r="HM11" s="40">
        <f t="shared" ref="HM11:HP11" si="123">HM9*HM4/1000</f>
        <v>0</v>
      </c>
      <c r="HN11" s="40">
        <f t="shared" si="123"/>
        <v>0</v>
      </c>
      <c r="HO11" s="40">
        <f t="shared" si="123"/>
        <v>0</v>
      </c>
      <c r="HP11" s="40">
        <f t="shared" si="123"/>
        <v>0</v>
      </c>
      <c r="HQ11" s="40">
        <f t="shared" ref="HQ11:HU11" si="124">HQ9*HQ4/1000</f>
        <v>0</v>
      </c>
      <c r="HR11" s="40">
        <f t="shared" si="124"/>
        <v>0</v>
      </c>
      <c r="HS11" s="40">
        <f t="shared" si="124"/>
        <v>0</v>
      </c>
      <c r="HT11" s="40">
        <f t="shared" si="124"/>
        <v>0</v>
      </c>
      <c r="HU11" s="40">
        <f t="shared" si="124"/>
        <v>0</v>
      </c>
      <c r="HV11" s="40">
        <f t="shared" ref="HV11:HY11" si="125">HV9*HV4/1000</f>
        <v>0</v>
      </c>
      <c r="HW11" s="40">
        <f t="shared" si="125"/>
        <v>0</v>
      </c>
      <c r="HX11" s="40">
        <f t="shared" si="125"/>
        <v>0</v>
      </c>
      <c r="HY11" s="40">
        <f t="shared" si="125"/>
        <v>0</v>
      </c>
      <c r="HZ11" s="40">
        <f t="shared" ref="HZ11:ID11" si="126">HZ9*HZ4/1000</f>
        <v>0</v>
      </c>
      <c r="IA11" s="40">
        <f t="shared" si="126"/>
        <v>0</v>
      </c>
      <c r="IB11" s="40">
        <f t="shared" si="126"/>
        <v>0</v>
      </c>
      <c r="IC11" s="40">
        <f t="shared" si="126"/>
        <v>0</v>
      </c>
      <c r="ID11" s="40">
        <f t="shared" si="126"/>
        <v>0</v>
      </c>
      <c r="IE11" s="40">
        <f t="shared" ref="IE11:IH11" si="127">IE9*IE4/1000</f>
        <v>0</v>
      </c>
      <c r="IF11" s="40">
        <f t="shared" si="127"/>
        <v>0</v>
      </c>
      <c r="IG11" s="40">
        <f t="shared" si="127"/>
        <v>0</v>
      </c>
      <c r="IH11" s="40">
        <f t="shared" si="127"/>
        <v>0</v>
      </c>
      <c r="II11" s="40">
        <f t="shared" ref="II11:IL11" si="128">II9*II4/1000</f>
        <v>0</v>
      </c>
      <c r="IJ11" s="40">
        <f t="shared" si="128"/>
        <v>0</v>
      </c>
      <c r="IK11" s="40">
        <f t="shared" si="128"/>
        <v>0</v>
      </c>
      <c r="IL11" s="40">
        <f t="shared" si="128"/>
        <v>0</v>
      </c>
      <c r="IM11" s="40">
        <f t="shared" ref="IM11:IQ11" si="129">IM9*IM4/1000</f>
        <v>0</v>
      </c>
      <c r="IN11" s="40">
        <f t="shared" si="129"/>
        <v>0</v>
      </c>
      <c r="IO11" s="40">
        <f t="shared" si="129"/>
        <v>0</v>
      </c>
      <c r="IP11" s="40">
        <f t="shared" si="129"/>
        <v>0</v>
      </c>
      <c r="IQ11" s="40">
        <f t="shared" si="129"/>
        <v>0</v>
      </c>
      <c r="IR11" s="40">
        <f t="shared" ref="IR11:IU11" si="130">IR9*IR4/1000</f>
        <v>0</v>
      </c>
      <c r="IS11" s="40">
        <f t="shared" si="130"/>
        <v>0</v>
      </c>
      <c r="IT11" s="40">
        <f t="shared" si="130"/>
        <v>0</v>
      </c>
      <c r="IU11" s="40">
        <f t="shared" si="130"/>
        <v>0</v>
      </c>
      <c r="IV11" s="40">
        <f t="shared" ref="IV11:IY11" si="131">IV9*IV4/1000</f>
        <v>0</v>
      </c>
      <c r="IW11" s="40">
        <f t="shared" si="131"/>
        <v>0</v>
      </c>
      <c r="IX11" s="40">
        <f t="shared" si="131"/>
        <v>0</v>
      </c>
      <c r="IY11" s="40">
        <f t="shared" si="131"/>
        <v>0</v>
      </c>
      <c r="IZ11" s="40">
        <f t="shared" ref="IZ11:JD11" si="132">IZ9*IZ4/1000</f>
        <v>2633.8</v>
      </c>
      <c r="JA11" s="40">
        <f t="shared" si="132"/>
        <v>0</v>
      </c>
      <c r="JB11" s="40">
        <f t="shared" si="132"/>
        <v>0</v>
      </c>
      <c r="JC11" s="40">
        <f t="shared" si="132"/>
        <v>0</v>
      </c>
      <c r="JD11" s="40">
        <f t="shared" si="132"/>
        <v>0</v>
      </c>
    </row>
    <row r="12" spans="1:264" ht="14" hidden="1">
      <c r="A12" s="9"/>
      <c r="B12" s="11"/>
      <c r="C12" s="11"/>
      <c r="D12" s="17"/>
      <c r="E12" s="18"/>
      <c r="F12" s="18" t="s">
        <v>31</v>
      </c>
      <c r="G12" s="17"/>
      <c r="H12" s="18" t="s">
        <v>31</v>
      </c>
      <c r="I12" s="19">
        <f t="shared" ref="I12:Z12" si="133">1-I7/I9</f>
        <v>0.38066858186096098</v>
      </c>
      <c r="J12" s="19">
        <f t="shared" si="133"/>
        <v>0.38034733798727749</v>
      </c>
      <c r="K12" s="19">
        <f t="shared" si="133"/>
        <v>0.35031695467267154</v>
      </c>
      <c r="L12" s="19">
        <f t="shared" si="133"/>
        <v>0.35177351750603458</v>
      </c>
      <c r="M12" s="19">
        <f t="shared" si="133"/>
        <v>0.32191580183305746</v>
      </c>
      <c r="N12" s="19">
        <f t="shared" si="133"/>
        <v>0.32062755896952788</v>
      </c>
      <c r="O12" s="19">
        <f t="shared" si="133"/>
        <v>0.32006975782093539</v>
      </c>
      <c r="P12" s="19">
        <f t="shared" si="133"/>
        <v>0.32065689157351873</v>
      </c>
      <c r="Q12" s="19">
        <f t="shared" si="133"/>
        <v>0.32065689157351873</v>
      </c>
      <c r="R12" s="19">
        <f t="shared" si="133"/>
        <v>0.36401494819265767</v>
      </c>
      <c r="S12" s="19">
        <f t="shared" si="133"/>
        <v>0.36492130104762588</v>
      </c>
      <c r="T12" s="19">
        <f t="shared" si="133"/>
        <v>0.36409745079386069</v>
      </c>
      <c r="U12" s="19">
        <f t="shared" si="133"/>
        <v>0.36557884586103639</v>
      </c>
      <c r="V12" s="19">
        <f t="shared" si="133"/>
        <v>0.36360211385921859</v>
      </c>
      <c r="W12" s="19">
        <f t="shared" si="133"/>
        <v>0.37584053474654133</v>
      </c>
      <c r="X12" s="19">
        <f t="shared" si="133"/>
        <v>0.39522436907118286</v>
      </c>
      <c r="Y12" s="19">
        <f t="shared" si="133"/>
        <v>0.39522436907118286</v>
      </c>
      <c r="Z12" s="19">
        <f t="shared" si="133"/>
        <v>0.39632158619856994</v>
      </c>
      <c r="AA12" s="19">
        <f t="shared" ref="AA12:AF12" si="134">1-AA7/AA9</f>
        <v>0.39632158619856994</v>
      </c>
      <c r="AB12" s="19">
        <f t="shared" si="134"/>
        <v>0.39632158619856994</v>
      </c>
      <c r="AC12" s="19">
        <f t="shared" si="134"/>
        <v>0.39632158619856994</v>
      </c>
      <c r="AD12" s="19">
        <f t="shared" si="134"/>
        <v>0.37421777221526908</v>
      </c>
      <c r="AE12" s="19">
        <f t="shared" si="134"/>
        <v>0.37421777221526908</v>
      </c>
      <c r="AF12" s="19">
        <f t="shared" si="134"/>
        <v>0.37421777221526908</v>
      </c>
      <c r="AG12" s="19">
        <f>1-AG7/AG9</f>
        <v>0.37421777221526908</v>
      </c>
      <c r="AH12" s="19">
        <f>1-AH7/AH9</f>
        <v>0.37421777221526908</v>
      </c>
      <c r="AI12" s="19">
        <f>1-AI7/AI9</f>
        <v>0.37421777221526908</v>
      </c>
      <c r="AJ12" s="19">
        <f>1-AJ7/AJ9</f>
        <v>0.40219990435198472</v>
      </c>
      <c r="AK12" s="19">
        <f>1-AK7/AK9</f>
        <v>0.38891545778202885</v>
      </c>
      <c r="AL12" s="19">
        <f t="shared" ref="AL12:AQ12" si="135">1-AL7/AL9</f>
        <v>0.25595238095238093</v>
      </c>
      <c r="AM12" s="19">
        <f t="shared" si="135"/>
        <v>0.25595238095238093</v>
      </c>
      <c r="AN12" s="19">
        <f t="shared" si="135"/>
        <v>0.25595238095238093</v>
      </c>
      <c r="AO12" s="19">
        <f t="shared" si="135"/>
        <v>0.31917211328976025</v>
      </c>
      <c r="AP12" s="19">
        <f t="shared" si="135"/>
        <v>0.31917211328976025</v>
      </c>
      <c r="AQ12" s="19">
        <f t="shared" si="135"/>
        <v>0.31917211328976025</v>
      </c>
      <c r="AR12" s="19">
        <f t="shared" ref="AR12:AW12" si="136">1-AR7/AR9</f>
        <v>0.33908045977011492</v>
      </c>
      <c r="AS12" s="19">
        <f t="shared" si="136"/>
        <v>0.3303571428571429</v>
      </c>
      <c r="AT12" s="19">
        <f t="shared" si="136"/>
        <v>0.3303571428571429</v>
      </c>
      <c r="AU12" s="19">
        <f t="shared" si="136"/>
        <v>0.3303571428571429</v>
      </c>
      <c r="AV12" s="77">
        <f t="shared" si="136"/>
        <v>0.3303571428571429</v>
      </c>
      <c r="AW12" s="77">
        <f t="shared" si="136"/>
        <v>0.3303571428571429</v>
      </c>
      <c r="AX12" s="77" t="e">
        <f t="shared" ref="AX12:AY12" si="137">1-AX7/AX9</f>
        <v>#DIV/0!</v>
      </c>
      <c r="AY12" s="77" t="e">
        <f t="shared" si="137"/>
        <v>#DIV/0!</v>
      </c>
      <c r="AZ12" s="77" t="e">
        <f t="shared" ref="AZ12:BA12" si="138">1-AZ7/AZ9</f>
        <v>#DIV/0!</v>
      </c>
      <c r="BA12" s="77" t="e">
        <f t="shared" si="138"/>
        <v>#DIV/0!</v>
      </c>
      <c r="BB12" s="77" t="e">
        <f t="shared" ref="BB12:BC12" si="139">1-BB7/BB9</f>
        <v>#DIV/0!</v>
      </c>
      <c r="BC12" s="77" t="e">
        <f t="shared" si="139"/>
        <v>#DIV/0!</v>
      </c>
      <c r="BD12" s="77" t="e">
        <f t="shared" ref="BD12:BE12" si="140">1-BD7/BD9</f>
        <v>#DIV/0!</v>
      </c>
      <c r="BE12" s="77" t="e">
        <f t="shared" si="140"/>
        <v>#DIV/0!</v>
      </c>
      <c r="BF12" s="77" t="e">
        <f t="shared" ref="BF12:BG12" si="141">1-BF7/BF9</f>
        <v>#DIV/0!</v>
      </c>
      <c r="BG12" s="77" t="e">
        <f t="shared" si="141"/>
        <v>#DIV/0!</v>
      </c>
      <c r="BH12" s="77" t="e">
        <f t="shared" ref="BH12:BI12" si="142">1-BH7/BH9</f>
        <v>#DIV/0!</v>
      </c>
      <c r="BI12" s="77" t="e">
        <f t="shared" si="142"/>
        <v>#DIV/0!</v>
      </c>
      <c r="BJ12" s="77" t="e">
        <f t="shared" ref="BJ12:BK12" si="143">1-BJ7/BJ9</f>
        <v>#DIV/0!</v>
      </c>
      <c r="BK12" s="77" t="e">
        <f t="shared" si="143"/>
        <v>#DIV/0!</v>
      </c>
      <c r="BL12" s="77" t="e">
        <f t="shared" ref="BL12:BM12" si="144">1-BL7/BL9</f>
        <v>#DIV/0!</v>
      </c>
      <c r="BM12" s="77" t="e">
        <f t="shared" si="144"/>
        <v>#DIV/0!</v>
      </c>
      <c r="BN12" s="77" t="e">
        <f t="shared" ref="BN12:BO12" si="145">1-BN7/BN9</f>
        <v>#DIV/0!</v>
      </c>
      <c r="BO12" s="77" t="e">
        <f t="shared" si="145"/>
        <v>#DIV/0!</v>
      </c>
      <c r="BP12" s="77" t="e">
        <f t="shared" ref="BP12:BQ12" si="146">1-BP7/BP9</f>
        <v>#DIV/0!</v>
      </c>
      <c r="BQ12" s="77" t="e">
        <f t="shared" si="146"/>
        <v>#DIV/0!</v>
      </c>
      <c r="BR12" s="77" t="e">
        <f t="shared" ref="BR12:BS12" si="147">1-BR7/BR9</f>
        <v>#DIV/0!</v>
      </c>
      <c r="BS12" s="77" t="e">
        <f t="shared" si="147"/>
        <v>#DIV/0!</v>
      </c>
      <c r="BT12" s="77" t="e">
        <f t="shared" ref="BT12:BU12" si="148">1-BT7/BT9</f>
        <v>#DIV/0!</v>
      </c>
      <c r="BU12" s="77" t="e">
        <f t="shared" si="148"/>
        <v>#DIV/0!</v>
      </c>
      <c r="BV12" s="77" t="e">
        <f t="shared" ref="BV12" si="149">1-BV7/BV9</f>
        <v>#DIV/0!</v>
      </c>
      <c r="BX12" s="17"/>
      <c r="BY12" s="18"/>
      <c r="BZ12" s="18" t="s">
        <v>31</v>
      </c>
      <c r="CA12" s="19"/>
      <c r="CB12" s="19"/>
      <c r="CC12" s="19"/>
      <c r="CD12" s="19"/>
      <c r="CE12" s="19"/>
      <c r="CF12" s="19"/>
      <c r="CG12" s="19"/>
      <c r="CH12" s="19"/>
      <c r="CI12" s="19"/>
      <c r="CJ12" s="19"/>
      <c r="CK12" s="19"/>
      <c r="CL12" s="19"/>
      <c r="CM12" s="19"/>
      <c r="CN12" s="19"/>
      <c r="CO12" s="19"/>
      <c r="CP12" s="19"/>
      <c r="CQ12" s="19">
        <f t="shared" ref="CQ12:DB12" si="150">1-CQ7/CQ9</f>
        <v>0.37421777221526908</v>
      </c>
      <c r="CR12" s="19">
        <f t="shared" si="150"/>
        <v>0.37421777221526908</v>
      </c>
      <c r="CS12" s="19">
        <f t="shared" si="150"/>
        <v>0.37421777221526908</v>
      </c>
      <c r="CT12" s="19">
        <f t="shared" si="150"/>
        <v>0.37421777221526908</v>
      </c>
      <c r="CU12" s="19">
        <f t="shared" si="150"/>
        <v>0.40219990435198472</v>
      </c>
      <c r="CV12" s="19">
        <f t="shared" si="150"/>
        <v>0.40219990435198472</v>
      </c>
      <c r="CW12" s="19">
        <f t="shared" si="150"/>
        <v>0.40219990435198472</v>
      </c>
      <c r="CX12" s="19">
        <f t="shared" si="150"/>
        <v>0.40219990435198472</v>
      </c>
      <c r="CY12" s="19">
        <f t="shared" si="150"/>
        <v>0.40219990435198472</v>
      </c>
      <c r="CZ12" s="19">
        <f t="shared" si="150"/>
        <v>0.38725490196078427</v>
      </c>
      <c r="DA12" s="19">
        <f t="shared" si="150"/>
        <v>0.38725490196078427</v>
      </c>
      <c r="DB12" s="19">
        <f t="shared" si="150"/>
        <v>0.3303571428571429</v>
      </c>
      <c r="DC12" s="19">
        <f t="shared" ref="DC12:DL12" si="151">1-DC7/DC9</f>
        <v>0.3303571428571429</v>
      </c>
      <c r="DD12" s="19">
        <f t="shared" si="151"/>
        <v>0.3303571428571429</v>
      </c>
      <c r="DE12" s="19">
        <f t="shared" si="151"/>
        <v>0.3303571428571429</v>
      </c>
      <c r="DF12" s="19">
        <f t="shared" si="151"/>
        <v>0.3303571428571429</v>
      </c>
      <c r="DG12" s="19">
        <f t="shared" si="151"/>
        <v>0.3303571428571429</v>
      </c>
      <c r="DH12" s="19">
        <f t="shared" si="151"/>
        <v>0.3303571428571429</v>
      </c>
      <c r="DI12" s="19">
        <f t="shared" si="151"/>
        <v>0.3303571428571429</v>
      </c>
      <c r="DJ12" s="19">
        <f t="shared" si="151"/>
        <v>0.3303571428571429</v>
      </c>
      <c r="DK12" s="19">
        <f t="shared" si="151"/>
        <v>0.3303571428571429</v>
      </c>
      <c r="DL12" s="19">
        <f t="shared" si="151"/>
        <v>0.3303571428571429</v>
      </c>
      <c r="DM12" s="19">
        <f t="shared" ref="DM12:DU12" si="152">1-DM7/DM9</f>
        <v>0.3303571428571429</v>
      </c>
      <c r="DN12" s="19">
        <f t="shared" si="152"/>
        <v>0.3303571428571429</v>
      </c>
      <c r="DO12" s="19">
        <f t="shared" si="152"/>
        <v>0.3303571428571429</v>
      </c>
      <c r="DP12" s="19">
        <f t="shared" si="152"/>
        <v>0.38725490196078427</v>
      </c>
      <c r="DQ12" s="19">
        <f t="shared" si="152"/>
        <v>0.38725490196078427</v>
      </c>
      <c r="DR12" s="19">
        <f t="shared" si="152"/>
        <v>0.38725490196078427</v>
      </c>
      <c r="DS12" s="19">
        <f t="shared" si="152"/>
        <v>0.38725490196078427</v>
      </c>
      <c r="DT12" s="19">
        <f t="shared" si="152"/>
        <v>0.38725490196078427</v>
      </c>
      <c r="DU12" s="19">
        <f t="shared" si="152"/>
        <v>0.38725490196078427</v>
      </c>
      <c r="DV12" s="19">
        <f t="shared" ref="DV12:EB12" si="153">1-DV7/DV9</f>
        <v>0.38725490196078427</v>
      </c>
      <c r="DW12" s="19">
        <f t="shared" si="153"/>
        <v>0.38725490196078427</v>
      </c>
      <c r="DX12" s="19">
        <f t="shared" si="153"/>
        <v>0.38725490196078427</v>
      </c>
      <c r="DY12" s="19">
        <f t="shared" si="153"/>
        <v>0.38725490196078427</v>
      </c>
      <c r="DZ12" s="19">
        <f t="shared" si="153"/>
        <v>0.35344827586206895</v>
      </c>
      <c r="EA12" s="19">
        <f t="shared" si="153"/>
        <v>0.33908045977011492</v>
      </c>
      <c r="EB12" s="19">
        <f t="shared" si="153"/>
        <v>0.33908045977011492</v>
      </c>
      <c r="EC12" s="19">
        <f t="shared" ref="EC12:EH12" si="154">1-EC7/EC9</f>
        <v>0.33908045977011492</v>
      </c>
      <c r="ED12" s="19">
        <f t="shared" si="154"/>
        <v>0.33908045977011492</v>
      </c>
      <c r="EE12" s="19">
        <f t="shared" si="154"/>
        <v>0.31547619047619047</v>
      </c>
      <c r="EF12" s="19">
        <f t="shared" si="154"/>
        <v>0.31547619047619047</v>
      </c>
      <c r="EG12" s="19">
        <f t="shared" si="154"/>
        <v>0.3303571428571429</v>
      </c>
      <c r="EH12" s="19">
        <f t="shared" si="154"/>
        <v>0.3303571428571429</v>
      </c>
      <c r="EI12" s="19">
        <f>1-EI7/EI9</f>
        <v>0.3303571428571429</v>
      </c>
      <c r="EJ12" s="77">
        <f t="shared" ref="EJ12:EO12" si="155">1-EJ7/EJ9</f>
        <v>0.3303571428571429</v>
      </c>
      <c r="EK12" s="77">
        <f t="shared" si="155"/>
        <v>0.3303571428571429</v>
      </c>
      <c r="EL12" s="77">
        <f t="shared" si="155"/>
        <v>0.3303571428571429</v>
      </c>
      <c r="EM12" s="77">
        <f t="shared" si="155"/>
        <v>0.3303571428571429</v>
      </c>
      <c r="EN12" s="77">
        <f t="shared" si="155"/>
        <v>0.3303571428571429</v>
      </c>
      <c r="EO12" s="77">
        <f t="shared" si="155"/>
        <v>0.3303571428571429</v>
      </c>
      <c r="EP12" s="77">
        <f t="shared" ref="EP12:EU12" si="156">1-EP7/EP9</f>
        <v>0.3303571428571429</v>
      </c>
      <c r="EQ12" s="77">
        <f t="shared" si="156"/>
        <v>0.3303571428571429</v>
      </c>
      <c r="ER12" s="77">
        <f t="shared" si="156"/>
        <v>0.3303571428571429</v>
      </c>
      <c r="ES12" s="77">
        <f t="shared" si="156"/>
        <v>0.3303571428571429</v>
      </c>
      <c r="ET12" s="77">
        <f t="shared" si="156"/>
        <v>0.3303571428571429</v>
      </c>
      <c r="EU12" s="77">
        <f t="shared" si="156"/>
        <v>0.3303571428571429</v>
      </c>
      <c r="EV12" s="77">
        <f t="shared" ref="EV12:EW12" si="157">1-EV7/EV9</f>
        <v>0.3303571428571429</v>
      </c>
      <c r="EW12" s="77">
        <f t="shared" si="157"/>
        <v>0.3303571428571429</v>
      </c>
      <c r="EX12" s="77">
        <f t="shared" ref="EX12:EY12" si="158">1-EX7/EX9</f>
        <v>0.3303571428571429</v>
      </c>
      <c r="EY12" s="77">
        <f t="shared" si="158"/>
        <v>0.3303571428571429</v>
      </c>
      <c r="EZ12" s="77">
        <f t="shared" ref="EZ12:FA12" si="159">1-EZ7/EZ9</f>
        <v>0.3303571428571429</v>
      </c>
      <c r="FA12" s="77">
        <f t="shared" si="159"/>
        <v>0.3303571428571429</v>
      </c>
      <c r="FB12" s="77">
        <f t="shared" ref="FB12:FC12" si="160">1-FB7/FB9</f>
        <v>0.3303571428571429</v>
      </c>
      <c r="FC12" s="77">
        <f t="shared" si="160"/>
        <v>0.3303571428571429</v>
      </c>
      <c r="FD12" s="77">
        <f t="shared" ref="FD12:FE12" si="161">1-FD7/FD9</f>
        <v>0.3303571428571429</v>
      </c>
      <c r="FE12" s="77" t="e">
        <f t="shared" si="161"/>
        <v>#DIV/0!</v>
      </c>
      <c r="FF12" s="77" t="e">
        <f t="shared" ref="FF12:FG12" si="162">1-FF7/FF9</f>
        <v>#DIV/0!</v>
      </c>
      <c r="FG12" s="77" t="e">
        <f t="shared" si="162"/>
        <v>#DIV/0!</v>
      </c>
      <c r="FH12" s="77" t="e">
        <f t="shared" ref="FH12:FJ12" si="163">1-FH7/FH9</f>
        <v>#DIV/0!</v>
      </c>
      <c r="FI12" s="77" t="e">
        <f t="shared" si="163"/>
        <v>#DIV/0!</v>
      </c>
      <c r="FJ12" s="77" t="e">
        <f t="shared" si="163"/>
        <v>#DIV/0!</v>
      </c>
      <c r="FK12" s="77" t="e">
        <f t="shared" ref="FK12:FL12" si="164">1-FK7/FK9</f>
        <v>#DIV/0!</v>
      </c>
      <c r="FL12" s="77" t="e">
        <f t="shared" si="164"/>
        <v>#DIV/0!</v>
      </c>
      <c r="FM12" s="77" t="e">
        <f t="shared" ref="FM12:FN12" si="165">1-FM7/FM9</f>
        <v>#DIV/0!</v>
      </c>
      <c r="FN12" s="77" t="e">
        <f t="shared" si="165"/>
        <v>#DIV/0!</v>
      </c>
      <c r="FO12" s="77" t="e">
        <f t="shared" ref="FO12:FQ12" si="166">1-FO7/FO9</f>
        <v>#DIV/0!</v>
      </c>
      <c r="FP12" s="77" t="e">
        <f t="shared" si="166"/>
        <v>#DIV/0!</v>
      </c>
      <c r="FQ12" s="77" t="e">
        <f t="shared" si="166"/>
        <v>#DIV/0!</v>
      </c>
      <c r="FR12" s="77">
        <f t="shared" ref="FR12:FS12" si="167">1-FR7/FR9</f>
        <v>1</v>
      </c>
      <c r="FS12" s="77">
        <f t="shared" si="167"/>
        <v>1</v>
      </c>
      <c r="FT12" s="77">
        <f t="shared" ref="FT12:FU12" si="168">1-FT7/FT9</f>
        <v>1</v>
      </c>
      <c r="FU12" s="77">
        <f t="shared" si="168"/>
        <v>1</v>
      </c>
      <c r="FV12" s="77">
        <f t="shared" ref="FV12:FW12" si="169">1-FV7/FV9</f>
        <v>1</v>
      </c>
      <c r="FW12" s="77">
        <f t="shared" si="169"/>
        <v>1</v>
      </c>
      <c r="FX12" s="77">
        <f t="shared" ref="FX12:FY12" si="170">1-FX7/FX9</f>
        <v>1</v>
      </c>
      <c r="FY12" s="77">
        <f t="shared" si="170"/>
        <v>1</v>
      </c>
      <c r="FZ12" s="77">
        <f t="shared" ref="FZ12:GA12" si="171">1-FZ7/FZ9</f>
        <v>1</v>
      </c>
      <c r="GA12" s="77">
        <f t="shared" si="171"/>
        <v>1</v>
      </c>
      <c r="GB12" s="77">
        <f t="shared" ref="GB12:GC12" si="172">1-GB7/GB9</f>
        <v>1</v>
      </c>
      <c r="GC12" s="77">
        <f t="shared" si="172"/>
        <v>1</v>
      </c>
      <c r="GD12" s="77">
        <f t="shared" ref="GD12:GE12" si="173">1-GD7/GD9</f>
        <v>1</v>
      </c>
      <c r="GE12" s="77">
        <f t="shared" si="173"/>
        <v>1</v>
      </c>
      <c r="GF12" s="77">
        <f t="shared" ref="GF12:GG12" si="174">1-GF7/GF9</f>
        <v>1</v>
      </c>
      <c r="GG12" s="77">
        <f t="shared" si="174"/>
        <v>1</v>
      </c>
      <c r="GH12" s="77">
        <f t="shared" ref="GH12:GI12" si="175">1-GH7/GH9</f>
        <v>1</v>
      </c>
      <c r="GI12" s="77">
        <f t="shared" si="175"/>
        <v>1</v>
      </c>
      <c r="GJ12" s="77">
        <f t="shared" ref="GJ12:GK12" si="176">1-GJ7/GJ9</f>
        <v>1</v>
      </c>
      <c r="GK12" s="77">
        <f t="shared" si="176"/>
        <v>1</v>
      </c>
      <c r="GL12" s="77">
        <f t="shared" ref="GL12:GM12" si="177">1-GL7/GL9</f>
        <v>1</v>
      </c>
      <c r="GM12" s="77">
        <f t="shared" si="177"/>
        <v>1</v>
      </c>
      <c r="GN12" s="77">
        <f t="shared" ref="GN12:GO12" si="178">1-GN7/GN9</f>
        <v>1</v>
      </c>
      <c r="GO12" s="77">
        <f t="shared" si="178"/>
        <v>1</v>
      </c>
      <c r="GP12" s="77">
        <f t="shared" ref="GP12:GQ12" si="179">1-GP7/GP9</f>
        <v>1</v>
      </c>
      <c r="GQ12" s="77">
        <f t="shared" si="179"/>
        <v>1</v>
      </c>
      <c r="GR12" s="77">
        <f t="shared" ref="GR12:GV12" si="180">1-GR7/GR9</f>
        <v>1</v>
      </c>
      <c r="GS12" s="77">
        <f t="shared" si="180"/>
        <v>1</v>
      </c>
      <c r="GT12" s="77">
        <f t="shared" si="180"/>
        <v>1</v>
      </c>
      <c r="GU12" s="77">
        <f t="shared" si="180"/>
        <v>1</v>
      </c>
      <c r="GV12" s="77">
        <f t="shared" si="180"/>
        <v>1</v>
      </c>
      <c r="GW12" s="77">
        <f t="shared" ref="GW12:GZ12" si="181">1-GW7/GW9</f>
        <v>1</v>
      </c>
      <c r="GX12" s="77">
        <f t="shared" si="181"/>
        <v>1</v>
      </c>
      <c r="GY12" s="77">
        <f t="shared" si="181"/>
        <v>1</v>
      </c>
      <c r="GZ12" s="77">
        <f t="shared" si="181"/>
        <v>1</v>
      </c>
      <c r="HA12" s="77">
        <f t="shared" ref="HA12:HB12" si="182">1-HA7/HA9</f>
        <v>1</v>
      </c>
      <c r="HB12" s="77">
        <f t="shared" si="182"/>
        <v>1</v>
      </c>
      <c r="HC12" s="77">
        <f t="shared" ref="HC12:HD12" si="183">1-HC7/HC9</f>
        <v>1</v>
      </c>
      <c r="HD12" s="77">
        <f t="shared" si="183"/>
        <v>1</v>
      </c>
      <c r="HE12" s="77">
        <f t="shared" ref="HE12:HF12" si="184">1-HE7/HE9</f>
        <v>1</v>
      </c>
      <c r="HF12" s="77">
        <f t="shared" si="184"/>
        <v>1</v>
      </c>
      <c r="HG12" s="77">
        <f t="shared" ref="HG12:HH12" si="185">1-HG7/HG9</f>
        <v>1</v>
      </c>
      <c r="HH12" s="77">
        <f t="shared" si="185"/>
        <v>1</v>
      </c>
      <c r="HI12" s="77">
        <f t="shared" ref="HI12:HL12" si="186">1-HI7/HI9</f>
        <v>1</v>
      </c>
      <c r="HJ12" s="77">
        <f t="shared" si="186"/>
        <v>1</v>
      </c>
      <c r="HK12" s="77">
        <f t="shared" si="186"/>
        <v>1</v>
      </c>
      <c r="HL12" s="77">
        <f t="shared" si="186"/>
        <v>1</v>
      </c>
      <c r="HM12" s="77">
        <f t="shared" ref="HM12:HP12" si="187">1-HM7/HM9</f>
        <v>1</v>
      </c>
      <c r="HN12" s="77">
        <f t="shared" si="187"/>
        <v>1</v>
      </c>
      <c r="HO12" s="77">
        <f t="shared" si="187"/>
        <v>1</v>
      </c>
      <c r="HP12" s="77">
        <f t="shared" si="187"/>
        <v>1</v>
      </c>
      <c r="HQ12" s="77">
        <f t="shared" ref="HQ12:HU12" si="188">1-HQ7/HQ9</f>
        <v>1</v>
      </c>
      <c r="HR12" s="77">
        <f t="shared" si="188"/>
        <v>1</v>
      </c>
      <c r="HS12" s="77">
        <f t="shared" si="188"/>
        <v>1</v>
      </c>
      <c r="HT12" s="77">
        <f t="shared" si="188"/>
        <v>1</v>
      </c>
      <c r="HU12" s="77">
        <f t="shared" si="188"/>
        <v>1</v>
      </c>
      <c r="HV12" s="77">
        <f t="shared" ref="HV12:HY12" si="189">1-HV7/HV9</f>
        <v>1</v>
      </c>
      <c r="HW12" s="77">
        <f t="shared" si="189"/>
        <v>1</v>
      </c>
      <c r="HX12" s="77">
        <f t="shared" si="189"/>
        <v>1</v>
      </c>
      <c r="HY12" s="77">
        <f t="shared" si="189"/>
        <v>1</v>
      </c>
      <c r="HZ12" s="77">
        <f t="shared" ref="HZ12:ID12" si="190">1-HZ7/HZ9</f>
        <v>1</v>
      </c>
      <c r="IA12" s="77">
        <f t="shared" si="190"/>
        <v>1</v>
      </c>
      <c r="IB12" s="77">
        <f t="shared" si="190"/>
        <v>1</v>
      </c>
      <c r="IC12" s="77">
        <f t="shared" si="190"/>
        <v>1</v>
      </c>
      <c r="ID12" s="77">
        <f t="shared" si="190"/>
        <v>1</v>
      </c>
      <c r="IE12" s="77">
        <f t="shared" ref="IE12:IH12" si="191">1-IE7/IE9</f>
        <v>1</v>
      </c>
      <c r="IF12" s="77">
        <f t="shared" si="191"/>
        <v>1</v>
      </c>
      <c r="IG12" s="77">
        <f t="shared" si="191"/>
        <v>1</v>
      </c>
      <c r="IH12" s="77">
        <f t="shared" si="191"/>
        <v>1</v>
      </c>
      <c r="II12" s="77">
        <f t="shared" ref="II12:IL12" si="192">1-II7/II9</f>
        <v>1</v>
      </c>
      <c r="IJ12" s="77">
        <f t="shared" si="192"/>
        <v>1</v>
      </c>
      <c r="IK12" s="77">
        <f t="shared" si="192"/>
        <v>1</v>
      </c>
      <c r="IL12" s="77">
        <f t="shared" si="192"/>
        <v>1</v>
      </c>
      <c r="IM12" s="77">
        <f t="shared" ref="IM12:IQ12" si="193">1-IM7/IM9</f>
        <v>1</v>
      </c>
      <c r="IN12" s="77">
        <f t="shared" si="193"/>
        <v>1</v>
      </c>
      <c r="IO12" s="77">
        <f t="shared" si="193"/>
        <v>1</v>
      </c>
      <c r="IP12" s="77">
        <f t="shared" si="193"/>
        <v>1</v>
      </c>
      <c r="IQ12" s="77">
        <f t="shared" si="193"/>
        <v>1</v>
      </c>
      <c r="IR12" s="77">
        <f t="shared" ref="IR12:IU12" si="194">1-IR7/IR9</f>
        <v>1</v>
      </c>
      <c r="IS12" s="77">
        <f t="shared" si="194"/>
        <v>1</v>
      </c>
      <c r="IT12" s="77">
        <f t="shared" si="194"/>
        <v>1</v>
      </c>
      <c r="IU12" s="77">
        <f t="shared" si="194"/>
        <v>1</v>
      </c>
      <c r="IV12" s="77">
        <f t="shared" ref="IV12:IY12" si="195">1-IV7/IV9</f>
        <v>1</v>
      </c>
      <c r="IW12" s="77">
        <f t="shared" si="195"/>
        <v>1</v>
      </c>
      <c r="IX12" s="77">
        <f t="shared" si="195"/>
        <v>1</v>
      </c>
      <c r="IY12" s="77">
        <f t="shared" si="195"/>
        <v>1</v>
      </c>
      <c r="IZ12" s="77">
        <f t="shared" ref="IZ12:JD12" si="196">1-IZ7/IZ9</f>
        <v>1</v>
      </c>
      <c r="JA12" s="77">
        <f t="shared" si="196"/>
        <v>1</v>
      </c>
      <c r="JB12" s="77">
        <f t="shared" si="196"/>
        <v>1</v>
      </c>
      <c r="JC12" s="77">
        <f t="shared" si="196"/>
        <v>1</v>
      </c>
      <c r="JD12" s="77">
        <f t="shared" si="196"/>
        <v>1</v>
      </c>
    </row>
    <row r="13" spans="1:264" ht="14" hidden="1">
      <c r="A13" s="26"/>
      <c r="B13" s="27" t="s">
        <v>46</v>
      </c>
      <c r="C13" s="27" t="s">
        <v>47</v>
      </c>
      <c r="D13" s="26" t="s">
        <v>48</v>
      </c>
      <c r="E13" s="27" t="s">
        <v>50</v>
      </c>
      <c r="F13" s="27" t="s">
        <v>51</v>
      </c>
      <c r="G13" s="28" t="s">
        <v>24</v>
      </c>
      <c r="H13" s="27" t="s">
        <v>73</v>
      </c>
      <c r="I13" s="28">
        <f t="shared" ref="I13:Z13" si="197">I9+20</f>
        <v>1450</v>
      </c>
      <c r="J13" s="28">
        <f t="shared" si="197"/>
        <v>1450</v>
      </c>
      <c r="K13" s="28">
        <f t="shared" si="197"/>
        <v>1450</v>
      </c>
      <c r="L13" s="28">
        <f t="shared" si="197"/>
        <v>1450</v>
      </c>
      <c r="M13" s="28">
        <f t="shared" si="197"/>
        <v>1450</v>
      </c>
      <c r="N13" s="28">
        <f t="shared" si="197"/>
        <v>1450</v>
      </c>
      <c r="O13" s="28">
        <f t="shared" si="197"/>
        <v>1450</v>
      </c>
      <c r="P13" s="28">
        <f t="shared" si="197"/>
        <v>1450</v>
      </c>
      <c r="Q13" s="28">
        <f t="shared" si="197"/>
        <v>1450</v>
      </c>
      <c r="R13" s="28">
        <f t="shared" si="197"/>
        <v>1550</v>
      </c>
      <c r="S13" s="28">
        <f t="shared" si="197"/>
        <v>1550</v>
      </c>
      <c r="T13" s="28">
        <f t="shared" si="197"/>
        <v>1550</v>
      </c>
      <c r="U13" s="28">
        <f t="shared" si="197"/>
        <v>1550</v>
      </c>
      <c r="V13" s="28">
        <f t="shared" si="197"/>
        <v>1550</v>
      </c>
      <c r="W13" s="28">
        <f t="shared" si="197"/>
        <v>1580</v>
      </c>
      <c r="X13" s="28">
        <f t="shared" si="197"/>
        <v>1630</v>
      </c>
      <c r="Y13" s="28">
        <f t="shared" si="197"/>
        <v>1630</v>
      </c>
      <c r="Z13" s="28">
        <f t="shared" si="197"/>
        <v>1630</v>
      </c>
      <c r="AA13" s="28">
        <f>AA9+20</f>
        <v>1630</v>
      </c>
      <c r="AB13" s="28">
        <f>AB9+20</f>
        <v>1630</v>
      </c>
      <c r="AC13" s="28">
        <f>AC9+20</f>
        <v>1630</v>
      </c>
      <c r="AD13" s="28">
        <f t="shared" ref="AD13:AK13" si="198">AD9+40</f>
        <v>1570</v>
      </c>
      <c r="AE13" s="28">
        <f t="shared" si="198"/>
        <v>1570</v>
      </c>
      <c r="AF13" s="28">
        <f t="shared" si="198"/>
        <v>1570</v>
      </c>
      <c r="AG13" s="28">
        <f t="shared" si="198"/>
        <v>1570</v>
      </c>
      <c r="AH13" s="28">
        <f t="shared" si="198"/>
        <v>1570</v>
      </c>
      <c r="AI13" s="28">
        <f t="shared" si="198"/>
        <v>1570</v>
      </c>
      <c r="AJ13" s="28">
        <f t="shared" si="198"/>
        <v>1570</v>
      </c>
      <c r="AK13" s="28">
        <f t="shared" si="198"/>
        <v>1570</v>
      </c>
      <c r="AL13" s="28">
        <f t="shared" ref="AL13:AR13" si="199">AL9+40</f>
        <v>1440</v>
      </c>
      <c r="AM13" s="28">
        <f t="shared" si="199"/>
        <v>1440</v>
      </c>
      <c r="AN13" s="28">
        <f t="shared" si="199"/>
        <v>1440</v>
      </c>
      <c r="AO13" s="28">
        <f t="shared" si="199"/>
        <v>1570</v>
      </c>
      <c r="AP13" s="28">
        <f t="shared" si="199"/>
        <v>1570</v>
      </c>
      <c r="AQ13" s="28">
        <f t="shared" si="199"/>
        <v>1570</v>
      </c>
      <c r="AR13" s="28">
        <f t="shared" si="199"/>
        <v>1490</v>
      </c>
      <c r="AS13" s="28">
        <f t="shared" ref="AS13:AX13" si="200">AS9+40</f>
        <v>1440</v>
      </c>
      <c r="AT13" s="28">
        <f t="shared" si="200"/>
        <v>1440</v>
      </c>
      <c r="AU13" s="28">
        <f t="shared" si="200"/>
        <v>1440</v>
      </c>
      <c r="AV13" s="28">
        <f t="shared" si="200"/>
        <v>1440</v>
      </c>
      <c r="AW13" s="28">
        <f t="shared" si="200"/>
        <v>1440</v>
      </c>
      <c r="AX13" s="28">
        <f t="shared" si="200"/>
        <v>1440</v>
      </c>
      <c r="AY13" s="28">
        <f t="shared" ref="AY13:AZ13" si="201">AY9+40</f>
        <v>1440</v>
      </c>
      <c r="AZ13" s="28">
        <f t="shared" si="201"/>
        <v>1440</v>
      </c>
      <c r="BA13" s="28">
        <f t="shared" ref="BA13:BB13" si="202">BA9+40</f>
        <v>1440</v>
      </c>
      <c r="BB13" s="28">
        <f t="shared" si="202"/>
        <v>1440</v>
      </c>
      <c r="BC13" s="28">
        <f t="shared" ref="BC13:BD13" si="203">BC9+40</f>
        <v>1440</v>
      </c>
      <c r="BD13" s="28">
        <f t="shared" si="203"/>
        <v>1440</v>
      </c>
      <c r="BE13" s="28">
        <f t="shared" ref="BE13:BF13" si="204">BE9+40</f>
        <v>1440</v>
      </c>
      <c r="BF13" s="28">
        <f t="shared" si="204"/>
        <v>1440</v>
      </c>
      <c r="BG13" s="28">
        <f t="shared" ref="BG13:BL13" si="205">BG9+40</f>
        <v>1440</v>
      </c>
      <c r="BH13" s="28">
        <f t="shared" si="205"/>
        <v>1440</v>
      </c>
      <c r="BI13" s="28">
        <f t="shared" si="205"/>
        <v>1440</v>
      </c>
      <c r="BJ13" s="28">
        <f t="shared" si="205"/>
        <v>1440</v>
      </c>
      <c r="BK13" s="28">
        <f t="shared" si="205"/>
        <v>1440</v>
      </c>
      <c r="BL13" s="28">
        <f t="shared" si="205"/>
        <v>1390</v>
      </c>
      <c r="BM13" s="28">
        <f t="shared" ref="BM13:BN13" si="206">BM9+40</f>
        <v>1390</v>
      </c>
      <c r="BN13" s="28">
        <f t="shared" si="206"/>
        <v>1390</v>
      </c>
      <c r="BO13" s="28">
        <f t="shared" ref="BO13:BP13" si="207">BO9+40</f>
        <v>1390</v>
      </c>
      <c r="BP13" s="28">
        <f t="shared" si="207"/>
        <v>1390</v>
      </c>
      <c r="BQ13" s="28">
        <f t="shared" ref="BQ13:BR13" si="208">BQ9+40</f>
        <v>1370</v>
      </c>
      <c r="BR13" s="28">
        <f t="shared" si="208"/>
        <v>1350</v>
      </c>
      <c r="BS13" s="28">
        <f t="shared" ref="BS13:BT13" si="209">BS9+40</f>
        <v>1350</v>
      </c>
      <c r="BT13" s="28">
        <f t="shared" si="209"/>
        <v>1340</v>
      </c>
      <c r="BU13" s="28">
        <f t="shared" ref="BU13:BV13" si="210">BU9+40</f>
        <v>1340</v>
      </c>
      <c r="BV13" s="28">
        <f t="shared" si="210"/>
        <v>1340</v>
      </c>
      <c r="BW13" s="152"/>
      <c r="BX13" s="26" t="s">
        <v>48</v>
      </c>
      <c r="BY13" s="27" t="s">
        <v>50</v>
      </c>
      <c r="BZ13" s="27" t="s">
        <v>73</v>
      </c>
      <c r="CA13" s="28">
        <v>1630</v>
      </c>
      <c r="CB13" s="28">
        <v>1630</v>
      </c>
      <c r="CC13" s="28">
        <v>1630</v>
      </c>
      <c r="CD13" s="28">
        <v>1630</v>
      </c>
      <c r="CE13" s="28">
        <v>1630</v>
      </c>
      <c r="CF13" s="28">
        <v>1630</v>
      </c>
      <c r="CG13" s="28">
        <v>1630</v>
      </c>
      <c r="CH13" s="28">
        <v>1630</v>
      </c>
      <c r="CI13" s="28">
        <v>1630</v>
      </c>
      <c r="CJ13" s="28">
        <v>1630</v>
      </c>
      <c r="CK13" s="28">
        <v>1630</v>
      </c>
      <c r="CL13" s="28">
        <v>1630</v>
      </c>
      <c r="CM13" s="28">
        <v>1570</v>
      </c>
      <c r="CN13" s="28">
        <v>1570</v>
      </c>
      <c r="CO13" s="28">
        <v>1570</v>
      </c>
      <c r="CP13" s="28">
        <v>1570</v>
      </c>
      <c r="CQ13" s="28">
        <f t="shared" ref="CQ13:DB13" si="211">CQ9+40</f>
        <v>1570</v>
      </c>
      <c r="CR13" s="28">
        <f t="shared" si="211"/>
        <v>1570</v>
      </c>
      <c r="CS13" s="28">
        <f t="shared" si="211"/>
        <v>1570</v>
      </c>
      <c r="CT13" s="28">
        <f t="shared" si="211"/>
        <v>1570</v>
      </c>
      <c r="CU13" s="28">
        <f t="shared" si="211"/>
        <v>1570</v>
      </c>
      <c r="CV13" s="28">
        <f t="shared" si="211"/>
        <v>1570</v>
      </c>
      <c r="CW13" s="28">
        <f t="shared" si="211"/>
        <v>1570</v>
      </c>
      <c r="CX13" s="28">
        <f t="shared" si="211"/>
        <v>1570</v>
      </c>
      <c r="CY13" s="28">
        <f t="shared" si="211"/>
        <v>1570</v>
      </c>
      <c r="CZ13" s="28">
        <f t="shared" si="211"/>
        <v>1570</v>
      </c>
      <c r="DA13" s="28">
        <f t="shared" si="211"/>
        <v>1570</v>
      </c>
      <c r="DB13" s="28">
        <f t="shared" si="211"/>
        <v>1440</v>
      </c>
      <c r="DC13" s="28">
        <f>DC9+40</f>
        <v>1440</v>
      </c>
      <c r="DD13" s="28">
        <f>DD9+25</f>
        <v>1425</v>
      </c>
      <c r="DE13" s="28">
        <f t="shared" ref="DE13:EE13" si="212">DE9+25</f>
        <v>1425</v>
      </c>
      <c r="DF13" s="28">
        <f t="shared" si="212"/>
        <v>1425</v>
      </c>
      <c r="DG13" s="28">
        <f t="shared" si="212"/>
        <v>1425</v>
      </c>
      <c r="DH13" s="28">
        <f t="shared" si="212"/>
        <v>1425</v>
      </c>
      <c r="DI13" s="28">
        <f t="shared" si="212"/>
        <v>1425</v>
      </c>
      <c r="DJ13" s="28">
        <f t="shared" si="212"/>
        <v>1425</v>
      </c>
      <c r="DK13" s="28">
        <f t="shared" si="212"/>
        <v>1425</v>
      </c>
      <c r="DL13" s="28">
        <f t="shared" si="212"/>
        <v>1425</v>
      </c>
      <c r="DM13" s="28">
        <f t="shared" si="212"/>
        <v>1425</v>
      </c>
      <c r="DN13" s="28">
        <f t="shared" si="212"/>
        <v>1425</v>
      </c>
      <c r="DO13" s="28">
        <f t="shared" si="212"/>
        <v>1425</v>
      </c>
      <c r="DP13" s="28">
        <f t="shared" si="212"/>
        <v>1555</v>
      </c>
      <c r="DQ13" s="28">
        <f t="shared" si="212"/>
        <v>1555</v>
      </c>
      <c r="DR13" s="28">
        <f t="shared" si="212"/>
        <v>1555</v>
      </c>
      <c r="DS13" s="28">
        <f t="shared" si="212"/>
        <v>1555</v>
      </c>
      <c r="DT13" s="28">
        <f t="shared" si="212"/>
        <v>1555</v>
      </c>
      <c r="DU13" s="28">
        <f t="shared" si="212"/>
        <v>1555</v>
      </c>
      <c r="DV13" s="28">
        <f t="shared" si="212"/>
        <v>1555</v>
      </c>
      <c r="DW13" s="28">
        <f t="shared" si="212"/>
        <v>1555</v>
      </c>
      <c r="DX13" s="28">
        <f t="shared" si="212"/>
        <v>1555</v>
      </c>
      <c r="DY13" s="28">
        <f t="shared" si="212"/>
        <v>1555</v>
      </c>
      <c r="DZ13" s="28">
        <f t="shared" si="212"/>
        <v>1475</v>
      </c>
      <c r="EA13" s="28">
        <f t="shared" si="212"/>
        <v>1475</v>
      </c>
      <c r="EB13" s="28">
        <f t="shared" si="212"/>
        <v>1475</v>
      </c>
      <c r="EC13" s="28">
        <f t="shared" si="212"/>
        <v>1475</v>
      </c>
      <c r="ED13" s="28">
        <f t="shared" si="212"/>
        <v>1475</v>
      </c>
      <c r="EE13" s="28">
        <f t="shared" si="212"/>
        <v>1425</v>
      </c>
      <c r="EF13" s="28">
        <f>EF9+25</f>
        <v>1425</v>
      </c>
      <c r="EG13" s="28">
        <f>EG9+25</f>
        <v>1425</v>
      </c>
      <c r="EH13" s="28">
        <f>EH9+25</f>
        <v>1425</v>
      </c>
      <c r="EI13" s="28">
        <f>EI9+25</f>
        <v>1425</v>
      </c>
      <c r="EJ13" s="28">
        <f t="shared" ref="EJ13:EO13" si="213">EJ9+25</f>
        <v>1425</v>
      </c>
      <c r="EK13" s="28">
        <f t="shared" si="213"/>
        <v>1425</v>
      </c>
      <c r="EL13" s="28">
        <f t="shared" si="213"/>
        <v>1425</v>
      </c>
      <c r="EM13" s="28">
        <f t="shared" si="213"/>
        <v>1425</v>
      </c>
      <c r="EN13" s="28">
        <f t="shared" si="213"/>
        <v>1425</v>
      </c>
      <c r="EO13" s="28">
        <f t="shared" si="213"/>
        <v>1425</v>
      </c>
      <c r="EP13" s="28">
        <f t="shared" ref="EP13:EU13" si="214">EP9+25</f>
        <v>1425</v>
      </c>
      <c r="EQ13" s="28">
        <f t="shared" si="214"/>
        <v>1425</v>
      </c>
      <c r="ER13" s="28">
        <f t="shared" si="214"/>
        <v>1425</v>
      </c>
      <c r="ES13" s="28">
        <f t="shared" si="214"/>
        <v>1425</v>
      </c>
      <c r="ET13" s="28">
        <f t="shared" si="214"/>
        <v>1425</v>
      </c>
      <c r="EU13" s="28">
        <f t="shared" si="214"/>
        <v>1425</v>
      </c>
      <c r="EV13" s="28">
        <f t="shared" ref="EV13:EW13" si="215">EV9+25</f>
        <v>1425</v>
      </c>
      <c r="EW13" s="28">
        <f t="shared" si="215"/>
        <v>1425</v>
      </c>
      <c r="EX13" s="28">
        <f t="shared" ref="EX13:EY13" si="216">EX9+25</f>
        <v>1425</v>
      </c>
      <c r="EY13" s="28">
        <f t="shared" si="216"/>
        <v>1425</v>
      </c>
      <c r="EZ13" s="28">
        <f t="shared" ref="EZ13:FA13" si="217">EZ9+25</f>
        <v>1425</v>
      </c>
      <c r="FA13" s="28">
        <f t="shared" si="217"/>
        <v>1425</v>
      </c>
      <c r="FB13" s="28">
        <f t="shared" ref="FB13:FC13" si="218">FB9+25</f>
        <v>1425</v>
      </c>
      <c r="FC13" s="28">
        <f t="shared" si="218"/>
        <v>1425</v>
      </c>
      <c r="FD13" s="28">
        <f t="shared" ref="FD13:FE13" si="219">FD9+25</f>
        <v>1425</v>
      </c>
      <c r="FE13" s="28">
        <f t="shared" si="219"/>
        <v>1425</v>
      </c>
      <c r="FF13" s="28">
        <f t="shared" ref="FF13:FG13" si="220">FF9+25</f>
        <v>1425</v>
      </c>
      <c r="FG13" s="28">
        <f t="shared" si="220"/>
        <v>1425</v>
      </c>
      <c r="FH13" s="28">
        <f t="shared" ref="FH13:FJ13" si="221">FH9+25</f>
        <v>1425</v>
      </c>
      <c r="FI13" s="28">
        <f t="shared" si="221"/>
        <v>1425</v>
      </c>
      <c r="FJ13" s="28">
        <f t="shared" si="221"/>
        <v>1425</v>
      </c>
      <c r="FK13" s="28">
        <f t="shared" ref="FK13:FM13" si="222">FK9+25</f>
        <v>1425</v>
      </c>
      <c r="FL13" s="28">
        <f t="shared" si="222"/>
        <v>1425</v>
      </c>
      <c r="FM13" s="28">
        <f t="shared" si="222"/>
        <v>1425</v>
      </c>
      <c r="FN13" s="28">
        <f t="shared" ref="FN13:FO13" si="223">FN9+25</f>
        <v>1425</v>
      </c>
      <c r="FO13" s="28">
        <f t="shared" si="223"/>
        <v>1425</v>
      </c>
      <c r="FP13" s="28">
        <f t="shared" ref="FP13:FQ13" si="224">FP9+25</f>
        <v>1425</v>
      </c>
      <c r="FQ13" s="28">
        <f t="shared" si="224"/>
        <v>1425</v>
      </c>
      <c r="FR13" s="28">
        <f t="shared" ref="FR13:FS13" si="225">FR9+25</f>
        <v>1425</v>
      </c>
      <c r="FS13" s="28">
        <f t="shared" si="225"/>
        <v>1425</v>
      </c>
      <c r="FT13" s="28">
        <f t="shared" ref="FT13:FU13" si="226">FT9+25</f>
        <v>1425</v>
      </c>
      <c r="FU13" s="28">
        <f t="shared" si="226"/>
        <v>1425</v>
      </c>
      <c r="FV13" s="28">
        <f t="shared" ref="FV13:FW13" si="227">FV9+25</f>
        <v>1425</v>
      </c>
      <c r="FW13" s="28">
        <f t="shared" si="227"/>
        <v>1425</v>
      </c>
      <c r="FX13" s="28">
        <f t="shared" ref="FX13:FY13" si="228">FX9+25</f>
        <v>1425</v>
      </c>
      <c r="FY13" s="28">
        <f t="shared" si="228"/>
        <v>1425</v>
      </c>
      <c r="FZ13" s="28">
        <f t="shared" ref="FZ13:GA13" si="229">FZ9+25</f>
        <v>1425</v>
      </c>
      <c r="GA13" s="28">
        <f t="shared" si="229"/>
        <v>1425</v>
      </c>
      <c r="GB13" s="28">
        <f t="shared" ref="GB13:GC13" si="230">GB9+25</f>
        <v>1425</v>
      </c>
      <c r="GC13" s="28">
        <f t="shared" si="230"/>
        <v>1425</v>
      </c>
      <c r="GD13" s="28">
        <f t="shared" ref="GD13:GE13" si="231">GD9+25</f>
        <v>1425</v>
      </c>
      <c r="GE13" s="28">
        <f t="shared" si="231"/>
        <v>1425</v>
      </c>
      <c r="GF13" s="28">
        <f t="shared" ref="GF13:GG13" si="232">GF9+25</f>
        <v>1425</v>
      </c>
      <c r="GG13" s="28">
        <f t="shared" si="232"/>
        <v>1425</v>
      </c>
      <c r="GH13" s="28">
        <f t="shared" ref="GH13:GI13" si="233">GH9+25</f>
        <v>1425</v>
      </c>
      <c r="GI13" s="28">
        <f t="shared" si="233"/>
        <v>1425</v>
      </c>
      <c r="GJ13" s="28">
        <f t="shared" ref="GJ13:GK13" si="234">GJ9+25</f>
        <v>1425</v>
      </c>
      <c r="GK13" s="28">
        <f t="shared" si="234"/>
        <v>1425</v>
      </c>
      <c r="GL13" s="28">
        <f t="shared" ref="GL13:GM13" si="235">GL9+25</f>
        <v>1425</v>
      </c>
      <c r="GM13" s="28">
        <f t="shared" si="235"/>
        <v>1425</v>
      </c>
      <c r="GN13" s="28">
        <f t="shared" ref="GN13:GO13" si="236">GN9+25</f>
        <v>1425</v>
      </c>
      <c r="GO13" s="28">
        <f t="shared" si="236"/>
        <v>1425</v>
      </c>
      <c r="GP13" s="28">
        <f t="shared" ref="GP13:GQ13" si="237">GP9+25</f>
        <v>1425</v>
      </c>
      <c r="GQ13" s="28">
        <f t="shared" si="237"/>
        <v>1425</v>
      </c>
      <c r="GR13" s="28">
        <f t="shared" ref="GR13:GV13" si="238">GR9+25</f>
        <v>1425</v>
      </c>
      <c r="GS13" s="28">
        <f t="shared" si="238"/>
        <v>1425</v>
      </c>
      <c r="GT13" s="28">
        <f t="shared" si="238"/>
        <v>1425</v>
      </c>
      <c r="GU13" s="28">
        <f t="shared" si="238"/>
        <v>1425</v>
      </c>
      <c r="GV13" s="28">
        <f t="shared" si="238"/>
        <v>1425</v>
      </c>
      <c r="GW13" s="28">
        <f t="shared" ref="GW13:GZ13" si="239">GW9+25</f>
        <v>1425</v>
      </c>
      <c r="GX13" s="28">
        <f t="shared" si="239"/>
        <v>1425</v>
      </c>
      <c r="GY13" s="28">
        <f t="shared" si="239"/>
        <v>1425</v>
      </c>
      <c r="GZ13" s="28">
        <f t="shared" si="239"/>
        <v>1425</v>
      </c>
      <c r="HA13" s="28">
        <f t="shared" ref="HA13:HB13" si="240">HA9+25</f>
        <v>1425</v>
      </c>
      <c r="HB13" s="28">
        <f t="shared" si="240"/>
        <v>1425</v>
      </c>
      <c r="HC13" s="28">
        <f t="shared" ref="HC13:HD13" si="241">HC9+25</f>
        <v>1425</v>
      </c>
      <c r="HD13" s="28">
        <f t="shared" si="241"/>
        <v>1425</v>
      </c>
      <c r="HE13" s="28">
        <f t="shared" ref="HE13:HF13" si="242">HE9+25</f>
        <v>1425</v>
      </c>
      <c r="HF13" s="28">
        <f t="shared" si="242"/>
        <v>1425</v>
      </c>
      <c r="HG13" s="28">
        <f t="shared" ref="HG13:HH13" si="243">HG9+25</f>
        <v>1425</v>
      </c>
      <c r="HH13" s="28">
        <f t="shared" si="243"/>
        <v>1425</v>
      </c>
      <c r="HI13" s="28">
        <f t="shared" ref="HI13:HL13" si="244">HI9+25</f>
        <v>1375</v>
      </c>
      <c r="HJ13" s="28">
        <f t="shared" si="244"/>
        <v>1375</v>
      </c>
      <c r="HK13" s="28">
        <f t="shared" si="244"/>
        <v>1375</v>
      </c>
      <c r="HL13" s="28">
        <f t="shared" si="244"/>
        <v>1375</v>
      </c>
      <c r="HM13" s="28">
        <f t="shared" ref="HM13:HP13" si="245">HM9+25</f>
        <v>1375</v>
      </c>
      <c r="HN13" s="28">
        <f t="shared" si="245"/>
        <v>1375</v>
      </c>
      <c r="HO13" s="28">
        <f t="shared" si="245"/>
        <v>1375</v>
      </c>
      <c r="HP13" s="28">
        <f t="shared" si="245"/>
        <v>1375</v>
      </c>
      <c r="HQ13" s="28">
        <f t="shared" ref="HQ13:HU13" si="246">HQ9+25</f>
        <v>1375</v>
      </c>
      <c r="HR13" s="28">
        <f t="shared" si="246"/>
        <v>1375</v>
      </c>
      <c r="HS13" s="28">
        <f t="shared" si="246"/>
        <v>1375</v>
      </c>
      <c r="HT13" s="28">
        <f t="shared" si="246"/>
        <v>1375</v>
      </c>
      <c r="HU13" s="28">
        <f t="shared" si="246"/>
        <v>1375</v>
      </c>
      <c r="HV13" s="28">
        <f t="shared" ref="HV13:HY13" si="247">HV9+25</f>
        <v>1375</v>
      </c>
      <c r="HW13" s="28">
        <f t="shared" si="247"/>
        <v>1375</v>
      </c>
      <c r="HX13" s="28">
        <f t="shared" si="247"/>
        <v>1375</v>
      </c>
      <c r="HY13" s="28">
        <f t="shared" si="247"/>
        <v>1375</v>
      </c>
      <c r="HZ13" s="28">
        <f t="shared" ref="HZ13:ID13" si="248">HZ9+25</f>
        <v>1375</v>
      </c>
      <c r="IA13" s="28">
        <f t="shared" si="248"/>
        <v>1375</v>
      </c>
      <c r="IB13" s="28">
        <f t="shared" si="248"/>
        <v>1375</v>
      </c>
      <c r="IC13" s="28">
        <f t="shared" si="248"/>
        <v>1375</v>
      </c>
      <c r="ID13" s="28">
        <f t="shared" si="248"/>
        <v>1375</v>
      </c>
      <c r="IE13" s="28">
        <f t="shared" ref="IE13:IH13" si="249">IE9+25</f>
        <v>1355</v>
      </c>
      <c r="IF13" s="28">
        <f t="shared" si="249"/>
        <v>1355</v>
      </c>
      <c r="IG13" s="28">
        <f t="shared" si="249"/>
        <v>1355</v>
      </c>
      <c r="IH13" s="28">
        <f t="shared" si="249"/>
        <v>1355</v>
      </c>
      <c r="II13" s="28">
        <f t="shared" ref="II13:IL13" si="250">II9+25</f>
        <v>1335</v>
      </c>
      <c r="IJ13" s="28">
        <f t="shared" si="250"/>
        <v>1335</v>
      </c>
      <c r="IK13" s="28">
        <f t="shared" si="250"/>
        <v>1335</v>
      </c>
      <c r="IL13" s="28">
        <f t="shared" si="250"/>
        <v>1335</v>
      </c>
      <c r="IM13" s="28">
        <f t="shared" ref="IM13:IQ13" si="251">IM9+25</f>
        <v>1335</v>
      </c>
      <c r="IN13" s="28">
        <f t="shared" si="251"/>
        <v>1335</v>
      </c>
      <c r="IO13" s="28">
        <f t="shared" si="251"/>
        <v>1335</v>
      </c>
      <c r="IP13" s="28">
        <f t="shared" si="251"/>
        <v>1335</v>
      </c>
      <c r="IQ13" s="28">
        <f t="shared" si="251"/>
        <v>1335</v>
      </c>
      <c r="IR13" s="28">
        <f t="shared" ref="IR13:IU13" si="252">IR9+25</f>
        <v>1325</v>
      </c>
      <c r="IS13" s="28">
        <f t="shared" si="252"/>
        <v>1325</v>
      </c>
      <c r="IT13" s="28">
        <f t="shared" si="252"/>
        <v>1325</v>
      </c>
      <c r="IU13" s="28">
        <f t="shared" si="252"/>
        <v>1325</v>
      </c>
      <c r="IV13" s="28">
        <f t="shared" ref="IV13:IY13" si="253">IV9+25</f>
        <v>1325</v>
      </c>
      <c r="IW13" s="28">
        <f t="shared" si="253"/>
        <v>1325</v>
      </c>
      <c r="IX13" s="28">
        <f t="shared" si="253"/>
        <v>1325</v>
      </c>
      <c r="IY13" s="28">
        <f t="shared" si="253"/>
        <v>1325</v>
      </c>
      <c r="IZ13" s="28">
        <f t="shared" ref="IZ13:JD13" si="254">IZ9+25</f>
        <v>1325</v>
      </c>
      <c r="JA13" s="28">
        <f t="shared" si="254"/>
        <v>1325</v>
      </c>
      <c r="JB13" s="28">
        <f t="shared" si="254"/>
        <v>1325</v>
      </c>
      <c r="JC13" s="28">
        <f t="shared" si="254"/>
        <v>1325</v>
      </c>
      <c r="JD13" s="28">
        <f t="shared" si="254"/>
        <v>1325</v>
      </c>
    </row>
    <row r="14" spans="1:264" ht="12.65" hidden="1" customHeight="1">
      <c r="A14" s="20"/>
      <c r="B14" s="21"/>
      <c r="C14" s="21"/>
      <c r="D14" s="38" t="s">
        <v>30</v>
      </c>
      <c r="E14" s="37"/>
      <c r="F14" s="37" t="s">
        <v>52</v>
      </c>
      <c r="G14" s="39" t="s">
        <v>23</v>
      </c>
      <c r="H14" s="37" t="s">
        <v>52</v>
      </c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40">
        <f>W13*23100/1000</f>
        <v>36498</v>
      </c>
      <c r="X14" s="40">
        <f>X13*23108/1000</f>
        <v>37666.04</v>
      </c>
      <c r="Y14" s="40">
        <f>Y13*23108/1000</f>
        <v>37666.04</v>
      </c>
      <c r="Z14" s="40">
        <f>Z13*Z4/1000</f>
        <v>37734.5</v>
      </c>
      <c r="AA14" s="40"/>
      <c r="AB14" s="40"/>
      <c r="AC14" s="40">
        <f t="shared" ref="AC14:AH14" si="255">AC13*AC4/1000</f>
        <v>37734.5</v>
      </c>
      <c r="AD14" s="40">
        <f t="shared" si="255"/>
        <v>36895</v>
      </c>
      <c r="AE14" s="40">
        <f t="shared" si="255"/>
        <v>36895</v>
      </c>
      <c r="AF14" s="40">
        <f t="shared" si="255"/>
        <v>36895</v>
      </c>
      <c r="AG14" s="40">
        <f t="shared" si="255"/>
        <v>36895</v>
      </c>
      <c r="AH14" s="40">
        <f t="shared" si="255"/>
        <v>36895</v>
      </c>
      <c r="AI14" s="40">
        <f>AI13*AI4/1000</f>
        <v>36895</v>
      </c>
      <c r="AJ14" s="40">
        <f>AJ13*AJ4/1000</f>
        <v>38622</v>
      </c>
      <c r="AK14" s="40">
        <f>AK13*AK4/1000</f>
        <v>38622</v>
      </c>
      <c r="AL14" s="40">
        <f>AL13*AL4/1000</f>
        <v>34560</v>
      </c>
      <c r="AM14" s="40">
        <f>AM13*AM4/1000</f>
        <v>34560</v>
      </c>
      <c r="AN14" s="40"/>
      <c r="AO14" s="40"/>
      <c r="AP14" s="40"/>
      <c r="AQ14" s="40"/>
      <c r="AR14" s="40"/>
      <c r="AS14" s="40"/>
      <c r="AT14" s="40"/>
      <c r="AU14" s="40"/>
      <c r="AV14" s="40"/>
      <c r="AW14" s="40"/>
      <c r="AX14" s="40"/>
      <c r="AY14" s="40"/>
      <c r="AZ14" s="40"/>
      <c r="BA14" s="40"/>
      <c r="BB14" s="40"/>
      <c r="BC14" s="40"/>
      <c r="BD14" s="40"/>
      <c r="BE14" s="40"/>
      <c r="BF14" s="40"/>
      <c r="BG14" s="40"/>
      <c r="BH14" s="40"/>
      <c r="BI14" s="40"/>
      <c r="BJ14" s="40"/>
      <c r="BK14" s="40"/>
      <c r="BL14" s="40"/>
      <c r="BM14" s="40"/>
      <c r="BN14" s="40"/>
      <c r="BO14" s="40"/>
      <c r="BP14" s="40"/>
      <c r="BQ14" s="40"/>
      <c r="BR14" s="40"/>
      <c r="BS14" s="40"/>
      <c r="BT14" s="40"/>
      <c r="BU14" s="40"/>
      <c r="BV14" s="40"/>
      <c r="BX14" s="38" t="s">
        <v>30</v>
      </c>
      <c r="BY14" s="37"/>
      <c r="BZ14" s="37" t="s">
        <v>52</v>
      </c>
      <c r="CA14" s="40"/>
      <c r="CB14" s="40"/>
      <c r="CC14" s="40"/>
      <c r="CD14" s="40"/>
      <c r="CE14" s="40"/>
      <c r="CF14" s="40"/>
      <c r="CG14" s="40"/>
      <c r="CH14" s="40"/>
      <c r="CI14" s="40"/>
      <c r="CJ14" s="40"/>
      <c r="CK14" s="40"/>
      <c r="CL14" s="40"/>
      <c r="CM14" s="40"/>
      <c r="CN14" s="40"/>
      <c r="CO14" s="40"/>
      <c r="CP14" s="40"/>
      <c r="CQ14" s="40">
        <f t="shared" ref="CQ14:DB14" si="256">CQ13*CQ4/1000</f>
        <v>36895</v>
      </c>
      <c r="CR14" s="40">
        <f t="shared" si="256"/>
        <v>36895</v>
      </c>
      <c r="CS14" s="40">
        <f t="shared" si="256"/>
        <v>36895</v>
      </c>
      <c r="CT14" s="40">
        <f t="shared" si="256"/>
        <v>36895</v>
      </c>
      <c r="CU14" s="40">
        <f t="shared" si="256"/>
        <v>38622</v>
      </c>
      <c r="CV14" s="40">
        <f t="shared" si="256"/>
        <v>38622</v>
      </c>
      <c r="CW14" s="40">
        <f t="shared" si="256"/>
        <v>38622</v>
      </c>
      <c r="CX14" s="40">
        <f t="shared" si="256"/>
        <v>38622</v>
      </c>
      <c r="CY14" s="40">
        <f t="shared" si="256"/>
        <v>38622</v>
      </c>
      <c r="CZ14" s="40">
        <f t="shared" si="256"/>
        <v>37680</v>
      </c>
      <c r="DA14" s="40">
        <f t="shared" si="256"/>
        <v>37680</v>
      </c>
      <c r="DB14" s="40">
        <f t="shared" si="256"/>
        <v>34560</v>
      </c>
      <c r="DC14" s="40">
        <f t="shared" ref="DC14:DL14" si="257">DC13*DC4/1000</f>
        <v>34560</v>
      </c>
      <c r="DD14" s="40">
        <f t="shared" si="257"/>
        <v>34200</v>
      </c>
      <c r="DE14" s="40">
        <f t="shared" si="257"/>
        <v>34200</v>
      </c>
      <c r="DF14" s="40">
        <f t="shared" si="257"/>
        <v>34200</v>
      </c>
      <c r="DG14" s="40">
        <f t="shared" si="257"/>
        <v>34200</v>
      </c>
      <c r="DH14" s="40">
        <f t="shared" si="257"/>
        <v>34200</v>
      </c>
      <c r="DI14" s="40">
        <f t="shared" si="257"/>
        <v>34200</v>
      </c>
      <c r="DJ14" s="40">
        <f t="shared" si="257"/>
        <v>34200</v>
      </c>
      <c r="DK14" s="40">
        <f t="shared" si="257"/>
        <v>34200</v>
      </c>
      <c r="DL14" s="40">
        <f t="shared" si="257"/>
        <v>34200</v>
      </c>
      <c r="DM14" s="40">
        <f>DM13*DM4/1000</f>
        <v>34200</v>
      </c>
      <c r="DN14" s="40"/>
      <c r="DO14" s="40"/>
      <c r="DP14" s="40"/>
      <c r="DQ14" s="40"/>
      <c r="DR14" s="40"/>
      <c r="DS14" s="40"/>
      <c r="DT14" s="40"/>
      <c r="DU14" s="40"/>
      <c r="DV14" s="40"/>
      <c r="DW14" s="40"/>
      <c r="DX14" s="40"/>
      <c r="DY14" s="40"/>
      <c r="DZ14" s="40"/>
      <c r="EA14" s="40"/>
      <c r="EB14" s="40"/>
      <c r="EC14" s="40"/>
      <c r="ED14" s="40"/>
      <c r="EE14" s="40"/>
      <c r="EF14" s="40"/>
      <c r="EG14" s="40"/>
      <c r="EH14" s="40"/>
      <c r="EI14" s="40"/>
      <c r="EJ14" s="40"/>
      <c r="EK14" s="40"/>
      <c r="EL14" s="40"/>
      <c r="EM14" s="40"/>
      <c r="EN14" s="40"/>
      <c r="EO14" s="40"/>
      <c r="EP14" s="40"/>
      <c r="EQ14" s="40"/>
      <c r="ER14" s="40"/>
      <c r="ES14" s="40"/>
      <c r="ET14" s="40"/>
      <c r="EU14" s="40"/>
      <c r="EV14" s="40"/>
      <c r="EW14" s="40"/>
      <c r="EX14" s="40"/>
      <c r="EY14" s="40"/>
      <c r="EZ14" s="40"/>
      <c r="FA14" s="40"/>
      <c r="FB14" s="40"/>
      <c r="FC14" s="40"/>
      <c r="FD14" s="40"/>
      <c r="FE14" s="40"/>
      <c r="FF14" s="40"/>
      <c r="FG14" s="40"/>
      <c r="FH14" s="40"/>
      <c r="FI14" s="40"/>
      <c r="FJ14" s="40"/>
      <c r="FK14" s="40"/>
      <c r="FL14" s="40"/>
      <c r="FM14" s="40"/>
      <c r="FN14" s="40"/>
      <c r="FO14" s="40"/>
      <c r="FP14" s="40"/>
      <c r="FQ14" s="40"/>
      <c r="FR14" s="40"/>
      <c r="FS14" s="40"/>
      <c r="FT14" s="40"/>
      <c r="FU14" s="40"/>
      <c r="FV14" s="40"/>
      <c r="FW14" s="40"/>
      <c r="FX14" s="40"/>
      <c r="FY14" s="40"/>
      <c r="FZ14" s="40"/>
      <c r="GA14" s="40"/>
      <c r="GB14" s="40"/>
      <c r="GC14" s="40"/>
      <c r="GD14" s="40"/>
      <c r="GE14" s="40"/>
      <c r="GF14" s="40"/>
      <c r="GG14" s="40"/>
      <c r="GH14" s="40"/>
      <c r="GI14" s="40"/>
      <c r="GJ14" s="40"/>
      <c r="GK14" s="40"/>
      <c r="GL14" s="40"/>
      <c r="GM14" s="40"/>
      <c r="GN14" s="40"/>
      <c r="GO14" s="40"/>
      <c r="GP14" s="40"/>
      <c r="GQ14" s="40"/>
      <c r="GR14" s="40"/>
      <c r="GS14" s="40"/>
      <c r="GT14" s="40"/>
      <c r="GU14" s="40"/>
      <c r="GV14" s="40"/>
      <c r="GW14" s="40"/>
      <c r="GX14" s="40"/>
      <c r="GY14" s="40"/>
      <c r="GZ14" s="40"/>
      <c r="HA14" s="40"/>
      <c r="HB14" s="40"/>
      <c r="HC14" s="40"/>
      <c r="HD14" s="40"/>
      <c r="HE14" s="40"/>
      <c r="HF14" s="40"/>
      <c r="HG14" s="40"/>
      <c r="HH14" s="40"/>
      <c r="HI14" s="40"/>
      <c r="HJ14" s="40"/>
      <c r="HK14" s="40"/>
      <c r="HL14" s="40"/>
      <c r="HM14" s="40"/>
      <c r="HN14" s="40"/>
      <c r="HO14" s="40"/>
      <c r="HP14" s="40"/>
      <c r="HQ14" s="40"/>
      <c r="HR14" s="40"/>
      <c r="HS14" s="40"/>
      <c r="HT14" s="40"/>
      <c r="HU14" s="40"/>
      <c r="HV14" s="40"/>
      <c r="HW14" s="40"/>
      <c r="HX14" s="40"/>
      <c r="HY14" s="40"/>
      <c r="HZ14" s="40"/>
      <c r="IA14" s="40"/>
      <c r="IB14" s="40"/>
      <c r="IC14" s="40"/>
      <c r="ID14" s="40"/>
      <c r="IE14" s="40"/>
      <c r="IF14" s="40"/>
      <c r="IG14" s="40"/>
      <c r="IH14" s="40"/>
      <c r="II14" s="40"/>
      <c r="IJ14" s="40"/>
      <c r="IK14" s="40"/>
      <c r="IL14" s="40"/>
      <c r="IM14" s="40"/>
      <c r="IN14" s="40"/>
      <c r="IO14" s="40"/>
      <c r="IP14" s="40"/>
      <c r="IQ14" s="40"/>
      <c r="IR14" s="40"/>
      <c r="IS14" s="40"/>
      <c r="IT14" s="40"/>
      <c r="IU14" s="40"/>
      <c r="IV14" s="40"/>
      <c r="IW14" s="40"/>
      <c r="IX14" s="40"/>
      <c r="IY14" s="40"/>
      <c r="IZ14" s="40"/>
      <c r="JA14" s="40"/>
      <c r="JB14" s="40"/>
      <c r="JC14" s="40"/>
      <c r="JD14" s="40"/>
    </row>
    <row r="15" spans="1:264" ht="14.15" hidden="1" customHeight="1">
      <c r="A15" s="29"/>
      <c r="B15" s="30"/>
      <c r="C15" s="30"/>
      <c r="D15" s="4" t="s">
        <v>37</v>
      </c>
      <c r="E15" s="8" t="s">
        <v>53</v>
      </c>
      <c r="F15" s="8" t="s">
        <v>54</v>
      </c>
      <c r="G15" s="10" t="s">
        <v>24</v>
      </c>
      <c r="H15" s="8" t="s">
        <v>54</v>
      </c>
      <c r="I15" s="10">
        <v>1470</v>
      </c>
      <c r="J15" s="10">
        <v>1480</v>
      </c>
      <c r="K15" s="10">
        <v>1480</v>
      </c>
      <c r="L15" s="10">
        <v>1595</v>
      </c>
      <c r="M15" s="10">
        <v>1595</v>
      </c>
      <c r="N15" s="10">
        <v>1595</v>
      </c>
      <c r="O15" s="10">
        <v>1595</v>
      </c>
      <c r="P15" s="10">
        <v>1595</v>
      </c>
      <c r="Q15" s="10">
        <v>1595</v>
      </c>
      <c r="R15" s="10">
        <v>1595</v>
      </c>
      <c r="S15" s="10">
        <v>1595</v>
      </c>
      <c r="T15" s="10">
        <v>1660</v>
      </c>
      <c r="U15" s="10">
        <v>1675</v>
      </c>
      <c r="V15" s="10">
        <v>1675</v>
      </c>
      <c r="W15" s="10">
        <v>1675</v>
      </c>
      <c r="X15" s="10">
        <v>1675</v>
      </c>
      <c r="Y15" s="42">
        <v>1650</v>
      </c>
      <c r="Z15" s="42">
        <v>1735</v>
      </c>
      <c r="AA15" s="42"/>
      <c r="AB15" s="42"/>
      <c r="AC15" s="42">
        <v>1735</v>
      </c>
      <c r="AD15" s="42">
        <v>1735</v>
      </c>
      <c r="AE15" s="42">
        <v>1735</v>
      </c>
      <c r="AF15" s="42">
        <v>1735</v>
      </c>
      <c r="AG15" s="42">
        <v>1735</v>
      </c>
      <c r="AH15" s="42">
        <v>1735</v>
      </c>
      <c r="AI15" s="42">
        <v>1735</v>
      </c>
      <c r="AJ15" s="42">
        <v>1735</v>
      </c>
      <c r="AK15" s="42">
        <v>1735</v>
      </c>
      <c r="AL15" s="42">
        <v>1735</v>
      </c>
      <c r="AM15" s="42">
        <v>1735</v>
      </c>
      <c r="AN15" s="42"/>
      <c r="AO15" s="42"/>
      <c r="AP15" s="42"/>
      <c r="AQ15" s="42"/>
      <c r="AR15" s="42"/>
      <c r="AS15" s="42"/>
      <c r="AT15" s="42"/>
      <c r="AU15" s="42"/>
      <c r="AV15" s="145"/>
      <c r="AW15" s="145"/>
      <c r="AX15" s="145"/>
      <c r="AY15" s="145"/>
      <c r="AZ15" s="145"/>
      <c r="BA15" s="145"/>
      <c r="BB15" s="145"/>
      <c r="BC15" s="145"/>
      <c r="BD15" s="145"/>
      <c r="BE15" s="145"/>
      <c r="BF15" s="145"/>
      <c r="BG15" s="145"/>
      <c r="BH15" s="145"/>
      <c r="BI15" s="145"/>
      <c r="BJ15" s="145"/>
      <c r="BK15" s="145"/>
      <c r="BL15" s="145"/>
      <c r="BM15" s="145"/>
      <c r="BN15" s="145"/>
      <c r="BO15" s="145"/>
      <c r="BP15" s="145"/>
      <c r="BQ15" s="145"/>
      <c r="BR15" s="145"/>
      <c r="BS15" s="145"/>
      <c r="BT15" s="145"/>
      <c r="BU15" s="145"/>
      <c r="BV15" s="145"/>
      <c r="BW15" s="153"/>
      <c r="BX15" s="4" t="s">
        <v>37</v>
      </c>
      <c r="BY15" s="8" t="s">
        <v>53</v>
      </c>
      <c r="BZ15" s="8" t="s">
        <v>54</v>
      </c>
      <c r="CA15" s="42"/>
      <c r="CB15" s="42"/>
      <c r="CC15" s="42"/>
      <c r="CD15" s="42"/>
      <c r="CE15" s="42"/>
      <c r="CF15" s="42"/>
      <c r="CG15" s="42"/>
      <c r="CH15" s="42"/>
      <c r="CI15" s="42"/>
      <c r="CJ15" s="42"/>
      <c r="CK15" s="42"/>
      <c r="CL15" s="42"/>
      <c r="CM15" s="42"/>
      <c r="CN15" s="42"/>
      <c r="CO15" s="42"/>
      <c r="CP15" s="42"/>
      <c r="CQ15" s="42">
        <v>1735</v>
      </c>
      <c r="CR15" s="42">
        <v>1735</v>
      </c>
      <c r="CS15" s="42">
        <v>1735</v>
      </c>
      <c r="CT15" s="42">
        <v>1735</v>
      </c>
      <c r="CU15" s="42">
        <v>1735</v>
      </c>
      <c r="CV15" s="42">
        <v>1735</v>
      </c>
      <c r="CW15" s="42">
        <v>1735</v>
      </c>
      <c r="CX15" s="42">
        <v>1735</v>
      </c>
      <c r="CY15" s="42">
        <v>1735</v>
      </c>
      <c r="CZ15" s="42">
        <v>1735</v>
      </c>
      <c r="DA15" s="42">
        <v>1735</v>
      </c>
      <c r="DB15" s="42">
        <v>1735</v>
      </c>
      <c r="DC15" s="42">
        <v>1735</v>
      </c>
      <c r="DD15" s="42">
        <v>1735</v>
      </c>
      <c r="DE15" s="42">
        <v>1735</v>
      </c>
      <c r="DF15" s="42">
        <v>1735</v>
      </c>
      <c r="DG15" s="42">
        <v>1735</v>
      </c>
      <c r="DH15" s="42">
        <v>1735</v>
      </c>
      <c r="DI15" s="42">
        <v>1735</v>
      </c>
      <c r="DJ15" s="42">
        <v>1735</v>
      </c>
      <c r="DK15" s="42">
        <v>1735</v>
      </c>
      <c r="DL15" s="42">
        <v>1735</v>
      </c>
      <c r="DM15" s="42">
        <v>1735</v>
      </c>
      <c r="DN15" s="42"/>
      <c r="DO15" s="42"/>
      <c r="DP15" s="42"/>
      <c r="DQ15" s="42"/>
      <c r="DR15" s="42"/>
      <c r="DS15" s="42"/>
      <c r="DT15" s="42"/>
      <c r="DU15" s="42"/>
      <c r="DV15" s="42"/>
      <c r="DW15" s="42"/>
      <c r="DX15" s="42"/>
      <c r="DY15" s="42"/>
      <c r="DZ15" s="42"/>
      <c r="EA15" s="42"/>
      <c r="EB15" s="42"/>
      <c r="EC15" s="42"/>
      <c r="ED15" s="42"/>
      <c r="EE15" s="42"/>
      <c r="EF15" s="42"/>
      <c r="EG15" s="42"/>
      <c r="EH15" s="42"/>
      <c r="EI15" s="42"/>
      <c r="EJ15" s="145"/>
      <c r="EK15" s="145"/>
      <c r="EL15" s="145"/>
      <c r="EM15" s="145"/>
      <c r="EN15" s="145"/>
      <c r="EO15" s="145"/>
      <c r="EP15" s="145"/>
      <c r="EQ15" s="145"/>
      <c r="ER15" s="145"/>
      <c r="ES15" s="145"/>
      <c r="ET15" s="145"/>
      <c r="EU15" s="145"/>
      <c r="EV15" s="145"/>
      <c r="EW15" s="145"/>
      <c r="EX15" s="145"/>
      <c r="EY15" s="145"/>
      <c r="EZ15" s="145"/>
      <c r="FA15" s="145"/>
      <c r="FB15" s="145"/>
      <c r="FC15" s="145"/>
      <c r="FD15" s="145"/>
      <c r="FE15" s="145"/>
      <c r="FF15" s="145"/>
      <c r="FG15" s="145"/>
      <c r="FH15" s="145"/>
      <c r="FI15" s="145"/>
      <c r="FJ15" s="145"/>
      <c r="FK15" s="145"/>
      <c r="FL15" s="145"/>
      <c r="FM15" s="145"/>
      <c r="FN15" s="145"/>
      <c r="FO15" s="145"/>
      <c r="FP15" s="145"/>
      <c r="FQ15" s="145"/>
      <c r="FR15" s="145"/>
      <c r="FS15" s="145"/>
      <c r="FT15" s="145"/>
      <c r="FU15" s="145"/>
      <c r="FV15" s="145"/>
      <c r="FW15" s="145"/>
      <c r="FX15" s="145"/>
      <c r="FY15" s="145"/>
      <c r="FZ15" s="145"/>
      <c r="GA15" s="145"/>
      <c r="GB15" s="145"/>
      <c r="GC15" s="145"/>
      <c r="GD15" s="145"/>
      <c r="GE15" s="145"/>
      <c r="GF15" s="145"/>
      <c r="GG15" s="145"/>
      <c r="GH15" s="145"/>
      <c r="GI15" s="145"/>
      <c r="GJ15" s="145"/>
      <c r="GK15" s="145"/>
      <c r="GL15" s="145"/>
      <c r="GM15" s="145"/>
      <c r="GN15" s="145"/>
      <c r="GO15" s="145"/>
      <c r="GP15" s="145"/>
      <c r="GQ15" s="145"/>
      <c r="GR15" s="145"/>
      <c r="GS15" s="145"/>
      <c r="GT15" s="145"/>
      <c r="GU15" s="145"/>
      <c r="GV15" s="145"/>
      <c r="GW15" s="145"/>
      <c r="GX15" s="145"/>
      <c r="GY15" s="145"/>
      <c r="GZ15" s="145"/>
      <c r="HA15" s="145"/>
      <c r="HB15" s="145"/>
      <c r="HC15" s="145"/>
      <c r="HD15" s="145"/>
      <c r="HE15" s="145"/>
      <c r="HF15" s="145"/>
      <c r="HG15" s="145"/>
      <c r="HH15" s="145"/>
      <c r="HI15" s="145"/>
      <c r="HJ15" s="145"/>
      <c r="HK15" s="145"/>
      <c r="HL15" s="145"/>
      <c r="HM15" s="145"/>
      <c r="HN15" s="145"/>
      <c r="HO15" s="145"/>
      <c r="HP15" s="145"/>
      <c r="HQ15" s="145"/>
      <c r="HR15" s="145"/>
      <c r="HS15" s="145"/>
      <c r="HT15" s="145"/>
      <c r="HU15" s="145"/>
      <c r="HV15" s="145"/>
      <c r="HW15" s="145"/>
      <c r="HX15" s="145"/>
      <c r="HY15" s="145"/>
      <c r="HZ15" s="145"/>
      <c r="IA15" s="145"/>
      <c r="IB15" s="145"/>
      <c r="IC15" s="145"/>
      <c r="ID15" s="145"/>
      <c r="IE15" s="145"/>
      <c r="IF15" s="145"/>
      <c r="IG15" s="145"/>
      <c r="IH15" s="145"/>
      <c r="II15" s="145"/>
      <c r="IJ15" s="145"/>
      <c r="IK15" s="145"/>
      <c r="IL15" s="145"/>
      <c r="IM15" s="145"/>
      <c r="IN15" s="145"/>
      <c r="IO15" s="145"/>
      <c r="IP15" s="145"/>
      <c r="IQ15" s="145"/>
      <c r="IR15" s="145"/>
      <c r="IS15" s="145"/>
      <c r="IT15" s="145"/>
      <c r="IU15" s="145"/>
      <c r="IV15" s="145"/>
      <c r="IW15" s="145"/>
      <c r="IX15" s="145"/>
      <c r="IY15" s="145"/>
      <c r="IZ15" s="145"/>
      <c r="JA15" s="145"/>
      <c r="JB15" s="145"/>
      <c r="JC15" s="145"/>
      <c r="JD15" s="145"/>
    </row>
    <row r="16" spans="1:264" s="65" customFormat="1" ht="14">
      <c r="A16" s="54">
        <v>9</v>
      </c>
      <c r="B16" s="55"/>
      <c r="C16" s="55"/>
      <c r="D16" s="106" t="s">
        <v>37</v>
      </c>
      <c r="E16" s="54" t="s">
        <v>38</v>
      </c>
      <c r="F16" s="55" t="s">
        <v>39</v>
      </c>
      <c r="G16" s="56" t="s">
        <v>24</v>
      </c>
      <c r="H16" s="97" t="s">
        <v>37</v>
      </c>
      <c r="I16" s="56"/>
      <c r="J16" s="56"/>
      <c r="K16" s="56"/>
      <c r="L16" s="56"/>
      <c r="M16" s="56"/>
      <c r="N16" s="56"/>
      <c r="O16" s="56"/>
      <c r="P16" s="56">
        <v>1300</v>
      </c>
      <c r="Q16" s="56">
        <v>1300</v>
      </c>
      <c r="R16" s="56">
        <v>1350</v>
      </c>
      <c r="S16" s="56"/>
      <c r="T16" s="56">
        <v>1279</v>
      </c>
      <c r="U16" s="56">
        <v>1313</v>
      </c>
      <c r="V16" s="56">
        <v>1302</v>
      </c>
      <c r="W16" s="56">
        <v>1360</v>
      </c>
      <c r="X16" s="56">
        <v>1397</v>
      </c>
      <c r="Y16" s="56">
        <v>1425</v>
      </c>
      <c r="Z16" s="56">
        <v>1493</v>
      </c>
      <c r="AA16" s="56">
        <v>1473</v>
      </c>
      <c r="AB16" s="56">
        <v>1474</v>
      </c>
      <c r="AC16" s="56">
        <v>1486</v>
      </c>
      <c r="AD16" s="56">
        <f>(1407+1550)/2</f>
        <v>1478.5</v>
      </c>
      <c r="AE16" s="56">
        <v>1480</v>
      </c>
      <c r="AF16" s="56">
        <v>1461</v>
      </c>
      <c r="AG16" s="56">
        <v>1461</v>
      </c>
      <c r="AH16" s="56">
        <v>1444</v>
      </c>
      <c r="AI16" s="56">
        <v>1431.5</v>
      </c>
      <c r="AJ16" s="56">
        <v>1431.5</v>
      </c>
      <c r="AK16" s="56">
        <f>+SUM(CY16:DC16)/5</f>
        <v>1350.5</v>
      </c>
      <c r="AL16" s="56">
        <f>+SUM(DD16:DG16)/4</f>
        <v>1261.125</v>
      </c>
      <c r="AM16" s="56">
        <f>+SUM(DH16:DK16)/4</f>
        <v>1247.5</v>
      </c>
      <c r="AN16" s="56">
        <f>+SUM(DL16:DO16)/COUNT(DL16:DO16)</f>
        <v>1236.875</v>
      </c>
      <c r="AO16" s="56">
        <f>+SUM(DP16:DS16)/COUNT(DP16:DS16)</f>
        <v>1208.75</v>
      </c>
      <c r="AP16" s="56">
        <f>+SUM(DT16:DX16)/COUNT(DT16:DX16)</f>
        <v>1207.4000000000001</v>
      </c>
      <c r="AQ16" s="56">
        <f>+SUM(DY16:EB16)/COUNT(DY16:EB16)</f>
        <v>1115.375</v>
      </c>
      <c r="AR16" s="56">
        <f>+SUM(EC16:EF16)/COUNT(EC16:EF16)</f>
        <v>1105</v>
      </c>
      <c r="AS16" s="56">
        <f>+SUM(EG16:EK16)/COUNT(EG16:EK16)</f>
        <v>1085</v>
      </c>
      <c r="AT16" s="56">
        <f>+SUM(EL16:EO16)/COUNT(EL16:EO16)</f>
        <v>1083.75</v>
      </c>
      <c r="AU16" s="56">
        <f>+SUM(EP16:ES16)/COUNT(EP16:ES16)</f>
        <v>1080</v>
      </c>
      <c r="AV16" s="100">
        <f>+SUM(ET16:EW16)/COUNT(ET16:EW16)</f>
        <v>1080</v>
      </c>
      <c r="AW16" s="100">
        <f>+SUM(EX16:FB16)/COUNT(EX16:FB16)</f>
        <v>1080</v>
      </c>
      <c r="AX16" s="100">
        <f>+SUM(FC16:FE16)/COUNT(FC16:FE16)</f>
        <v>1113.3333333333333</v>
      </c>
      <c r="AY16" s="100">
        <f>+SUM(FG16:FI16)/COUNT(FG16:FI16)</f>
        <v>1153</v>
      </c>
      <c r="AZ16" s="100">
        <f>+SUM(FJ16:FM16)/COUNT(FJ16:FM16)</f>
        <v>1209.625</v>
      </c>
      <c r="BA16" s="100">
        <f>+SUM(FN16:FQ16)/COUNT(FN16:FQ16)</f>
        <v>1201.125</v>
      </c>
      <c r="BB16" s="100">
        <f>+SUM(FR16:FV16)/COUNT(FR16:FV16)</f>
        <v>1188</v>
      </c>
      <c r="BC16" s="100"/>
      <c r="BD16" s="100"/>
      <c r="BE16" s="100"/>
      <c r="BF16" s="100"/>
      <c r="BG16" s="100"/>
      <c r="BH16" s="100"/>
      <c r="BI16" s="100"/>
      <c r="BJ16" s="100"/>
      <c r="BK16" s="100"/>
      <c r="BL16" s="100"/>
      <c r="BM16" s="100"/>
      <c r="BN16" s="100"/>
      <c r="BO16" s="100"/>
      <c r="BP16" s="100"/>
      <c r="BQ16" s="100"/>
      <c r="BR16" s="100"/>
      <c r="BS16" s="100"/>
      <c r="BT16" s="100"/>
      <c r="BU16" s="100"/>
      <c r="BV16" s="100"/>
      <c r="BW16" s="152"/>
      <c r="BX16" s="54" t="s">
        <v>37</v>
      </c>
      <c r="BY16" s="54" t="s">
        <v>38</v>
      </c>
      <c r="BZ16" s="97" t="s">
        <v>37</v>
      </c>
      <c r="CA16" s="56">
        <f>+(1435+1550)/2</f>
        <v>1492.5</v>
      </c>
      <c r="CB16" s="56">
        <f>+(1409+1550)/2</f>
        <v>1479.5</v>
      </c>
      <c r="CC16" s="56">
        <f>+(1394+1550)/2</f>
        <v>1472</v>
      </c>
      <c r="CD16" s="56">
        <f>+(1396+1550)/2</f>
        <v>1473</v>
      </c>
      <c r="CE16" s="56">
        <f>+(1398+1550)/2</f>
        <v>1474</v>
      </c>
      <c r="CF16" s="56">
        <f>+(1398+1550)/2</f>
        <v>1474</v>
      </c>
      <c r="CG16" s="56">
        <f>+(1402+1550)/2</f>
        <v>1476</v>
      </c>
      <c r="CH16" s="56">
        <f>+(1402+1550)/2</f>
        <v>1476</v>
      </c>
      <c r="CI16" s="56">
        <f>+(1407+1550)/2</f>
        <v>1478.5</v>
      </c>
      <c r="CJ16" s="56">
        <f>+(1408+1550)/2</f>
        <v>1479</v>
      </c>
      <c r="CK16" s="56">
        <f>+(1421+1550)/2</f>
        <v>1485.5</v>
      </c>
      <c r="CL16" s="56">
        <f>+(1411+1550)/2</f>
        <v>1480.5</v>
      </c>
      <c r="CM16" s="56">
        <f>+(1412+1550)/2</f>
        <v>1481</v>
      </c>
      <c r="CN16" s="56">
        <f>+(1407+1550)/2</f>
        <v>1478.5</v>
      </c>
      <c r="CO16" s="56">
        <f>+(1416+1550)/2</f>
        <v>1483</v>
      </c>
      <c r="CP16" s="56">
        <f>+(1410+1550)/2</f>
        <v>1480</v>
      </c>
      <c r="CQ16" s="56">
        <v>1461</v>
      </c>
      <c r="CR16" s="56">
        <v>1461</v>
      </c>
      <c r="CS16" s="56">
        <v>1444</v>
      </c>
      <c r="CT16" s="56">
        <v>1431.5</v>
      </c>
      <c r="CU16" s="56">
        <v>1431.5</v>
      </c>
      <c r="CV16" s="56">
        <f>+(1363+1474)/2</f>
        <v>1418.5</v>
      </c>
      <c r="CW16" s="56">
        <v>1389</v>
      </c>
      <c r="CX16" s="56">
        <f>+(1300+1465)/2</f>
        <v>1382.5</v>
      </c>
      <c r="CY16" s="56">
        <f>+(1300+1465)/2</f>
        <v>1382.5</v>
      </c>
      <c r="CZ16" s="56">
        <f>+(1300+1465)/2</f>
        <v>1382.5</v>
      </c>
      <c r="DA16" s="56">
        <f>+(1250+1400)/2</f>
        <v>1325</v>
      </c>
      <c r="DB16" s="56">
        <f>+(1250+1400)/2</f>
        <v>1325</v>
      </c>
      <c r="DC16" s="56">
        <f>+(1250+1425)/2</f>
        <v>1337.5</v>
      </c>
      <c r="DD16" s="56">
        <f>+(1250+1425)/2</f>
        <v>1337.5</v>
      </c>
      <c r="DE16" s="56">
        <f>+(1100+1345)/2</f>
        <v>1222.5</v>
      </c>
      <c r="DF16" s="56">
        <f>+(1100+1356)/2</f>
        <v>1228</v>
      </c>
      <c r="DG16" s="56">
        <f>+(1100+1413)/2</f>
        <v>1256.5</v>
      </c>
      <c r="DH16" s="56">
        <f>+(1100+1408)/2</f>
        <v>1254</v>
      </c>
      <c r="DI16" s="56">
        <f>+(1100+1398)/2</f>
        <v>1249</v>
      </c>
      <c r="DJ16" s="56">
        <f>+(1100+1387)/2</f>
        <v>1243.5</v>
      </c>
      <c r="DK16" s="56">
        <f>+(1100+1387)/2</f>
        <v>1243.5</v>
      </c>
      <c r="DL16" s="56">
        <f>+(1100+1387)/2</f>
        <v>1243.5</v>
      </c>
      <c r="DM16" s="56">
        <f>+(1100+1367)/2</f>
        <v>1233.5</v>
      </c>
      <c r="DN16" s="56">
        <f>+(1100+1366)/2</f>
        <v>1233</v>
      </c>
      <c r="DO16" s="56">
        <f>+(1100+1375)/2</f>
        <v>1237.5</v>
      </c>
      <c r="DP16" s="56">
        <f>+(1100+1375)/2</f>
        <v>1237.5</v>
      </c>
      <c r="DQ16" s="56">
        <f>+(1100+1279)/2</f>
        <v>1189.5</v>
      </c>
      <c r="DR16" s="56">
        <f>+(1100+1279)/2</f>
        <v>1189.5</v>
      </c>
      <c r="DS16" s="56">
        <f>+(1150+1287)/2</f>
        <v>1218.5</v>
      </c>
      <c r="DT16" s="56">
        <f>+(1150+1299)/2</f>
        <v>1224.5</v>
      </c>
      <c r="DU16" s="56">
        <f>+(1150+1293)/2</f>
        <v>1221.5</v>
      </c>
      <c r="DV16" s="56">
        <f>+(1110+1286)/2</f>
        <v>1198</v>
      </c>
      <c r="DW16" s="56">
        <f>+(1110+1283)/2</f>
        <v>1196.5</v>
      </c>
      <c r="DX16" s="56">
        <f>+(1110+1283)/2</f>
        <v>1196.5</v>
      </c>
      <c r="DY16" s="56">
        <f>+(1060+1233)/2</f>
        <v>1146.5</v>
      </c>
      <c r="DZ16" s="56">
        <f t="shared" ref="DZ16:EF16" si="258">+(1060+1150)/2</f>
        <v>1105</v>
      </c>
      <c r="EA16" s="56">
        <f t="shared" si="258"/>
        <v>1105</v>
      </c>
      <c r="EB16" s="56">
        <f t="shared" si="258"/>
        <v>1105</v>
      </c>
      <c r="EC16" s="56">
        <f t="shared" si="258"/>
        <v>1105</v>
      </c>
      <c r="ED16" s="56">
        <f t="shared" si="258"/>
        <v>1105</v>
      </c>
      <c r="EE16" s="56">
        <f t="shared" si="258"/>
        <v>1105</v>
      </c>
      <c r="EF16" s="56">
        <f t="shared" si="258"/>
        <v>1105</v>
      </c>
      <c r="EG16" s="56">
        <f>+(1060+1110)/2</f>
        <v>1085</v>
      </c>
      <c r="EH16" s="56">
        <f>+(1060+1110)/2</f>
        <v>1085</v>
      </c>
      <c r="EI16" s="56">
        <f>+(1060+1110)/2</f>
        <v>1085</v>
      </c>
      <c r="EJ16" s="100">
        <v>1085</v>
      </c>
      <c r="EK16" s="100">
        <v>1085</v>
      </c>
      <c r="EL16" s="100">
        <v>1085</v>
      </c>
      <c r="EM16" s="100">
        <v>1085</v>
      </c>
      <c r="EN16" s="100">
        <v>1085</v>
      </c>
      <c r="EO16" s="100">
        <v>1080</v>
      </c>
      <c r="EP16" s="100">
        <v>1080</v>
      </c>
      <c r="EQ16" s="100">
        <v>1080</v>
      </c>
      <c r="ER16" s="100">
        <v>1080</v>
      </c>
      <c r="ES16" s="100">
        <v>1080</v>
      </c>
      <c r="ET16" s="100">
        <v>1080</v>
      </c>
      <c r="EU16" s="100">
        <v>1080</v>
      </c>
      <c r="EV16" s="100">
        <v>1080</v>
      </c>
      <c r="EW16" s="100">
        <v>1080</v>
      </c>
      <c r="EX16" s="100">
        <v>1080</v>
      </c>
      <c r="EY16" s="100">
        <v>1080</v>
      </c>
      <c r="EZ16" s="100">
        <v>1080</v>
      </c>
      <c r="FA16" s="100">
        <v>1080</v>
      </c>
      <c r="FB16" s="100">
        <v>1080</v>
      </c>
      <c r="FC16" s="100">
        <v>1080</v>
      </c>
      <c r="FD16" s="100">
        <v>1130</v>
      </c>
      <c r="FE16" s="100">
        <v>1130</v>
      </c>
      <c r="FF16" s="100">
        <v>1130</v>
      </c>
      <c r="FG16" s="100">
        <v>1130</v>
      </c>
      <c r="FH16" s="100">
        <v>1130</v>
      </c>
      <c r="FI16" s="100">
        <v>1199</v>
      </c>
      <c r="FJ16" s="100">
        <v>1211</v>
      </c>
      <c r="FK16" s="100">
        <v>1214</v>
      </c>
      <c r="FL16" s="100">
        <v>1208</v>
      </c>
      <c r="FM16" s="100">
        <v>1205.5</v>
      </c>
      <c r="FN16" s="100">
        <v>1205.5</v>
      </c>
      <c r="FO16" s="100">
        <v>1205.5</v>
      </c>
      <c r="FP16" s="100">
        <v>1205.5</v>
      </c>
      <c r="FQ16" s="100">
        <v>1188</v>
      </c>
      <c r="FR16" s="100">
        <v>1188</v>
      </c>
      <c r="FS16" s="100"/>
      <c r="FT16" s="100"/>
      <c r="FU16" s="100"/>
      <c r="FV16" s="100"/>
      <c r="FW16" s="100"/>
      <c r="FX16" s="100"/>
      <c r="FY16" s="100"/>
      <c r="FZ16" s="100"/>
      <c r="GA16" s="100"/>
      <c r="GB16" s="100"/>
      <c r="GC16" s="100"/>
      <c r="GD16" s="100"/>
      <c r="GE16" s="100"/>
      <c r="GF16" s="100"/>
      <c r="GG16" s="100"/>
      <c r="GH16" s="100"/>
      <c r="GI16" s="100"/>
      <c r="GJ16" s="100"/>
      <c r="GK16" s="100"/>
      <c r="GL16" s="100"/>
      <c r="GM16" s="100"/>
      <c r="GN16" s="100"/>
      <c r="GO16" s="100"/>
      <c r="GP16" s="100"/>
      <c r="GQ16" s="100"/>
      <c r="GR16" s="100"/>
      <c r="GS16" s="100"/>
      <c r="GT16" s="100"/>
      <c r="GU16" s="100"/>
      <c r="GV16" s="100"/>
      <c r="GW16" s="100"/>
      <c r="GX16" s="100"/>
      <c r="GY16" s="100"/>
      <c r="GZ16" s="100"/>
      <c r="HA16" s="100"/>
      <c r="HB16" s="100"/>
      <c r="HC16" s="100"/>
      <c r="HD16" s="100"/>
      <c r="HE16" s="100"/>
      <c r="HF16" s="100"/>
      <c r="HG16" s="100"/>
      <c r="HH16" s="100"/>
      <c r="HI16" s="100"/>
      <c r="HJ16" s="100"/>
      <c r="HK16" s="100"/>
      <c r="HL16" s="100"/>
      <c r="HM16" s="100"/>
      <c r="HN16" s="100"/>
      <c r="HO16" s="100"/>
      <c r="HP16" s="100"/>
      <c r="HQ16" s="100"/>
      <c r="HR16" s="100"/>
      <c r="HS16" s="100"/>
      <c r="HT16" s="100"/>
      <c r="HU16" s="100"/>
      <c r="HV16" s="100"/>
      <c r="HW16" s="100"/>
      <c r="HX16" s="100"/>
      <c r="HY16" s="100"/>
      <c r="HZ16" s="100"/>
      <c r="IA16" s="100"/>
      <c r="IB16" s="100"/>
      <c r="IC16" s="100"/>
      <c r="ID16" s="100"/>
      <c r="IE16" s="100"/>
      <c r="IF16" s="100"/>
      <c r="IG16" s="100"/>
      <c r="IH16" s="100"/>
      <c r="II16" s="100"/>
      <c r="IJ16" s="100"/>
      <c r="IK16" s="100"/>
      <c r="IL16" s="100"/>
      <c r="IM16" s="100"/>
      <c r="IN16" s="100"/>
      <c r="IO16" s="100"/>
      <c r="IP16" s="100"/>
      <c r="IQ16" s="100"/>
      <c r="IR16" s="100"/>
      <c r="IS16" s="100"/>
      <c r="IT16" s="100"/>
      <c r="IU16" s="100"/>
      <c r="IV16" s="100"/>
      <c r="IW16" s="100"/>
      <c r="IX16" s="100"/>
      <c r="IY16" s="100"/>
      <c r="IZ16" s="100"/>
      <c r="JA16" s="100"/>
      <c r="JB16" s="100"/>
      <c r="JC16" s="100"/>
      <c r="JD16" s="100"/>
    </row>
    <row r="17" spans="1:264" s="65" customFormat="1" ht="14">
      <c r="A17" s="54">
        <v>9</v>
      </c>
      <c r="B17" s="55"/>
      <c r="C17" s="55"/>
      <c r="D17" s="54" t="s">
        <v>37</v>
      </c>
      <c r="E17" s="54" t="s">
        <v>38</v>
      </c>
      <c r="F17" s="55" t="s">
        <v>40</v>
      </c>
      <c r="G17" s="56" t="s">
        <v>24</v>
      </c>
      <c r="H17" s="55" t="s">
        <v>40</v>
      </c>
      <c r="I17" s="56"/>
      <c r="J17" s="56"/>
      <c r="K17" s="56"/>
      <c r="L17" s="56"/>
      <c r="M17" s="56"/>
      <c r="N17" s="56"/>
      <c r="O17" s="56"/>
      <c r="P17" s="56">
        <v>1400</v>
      </c>
      <c r="Q17" s="56">
        <v>1500</v>
      </c>
      <c r="R17" s="56">
        <v>1500</v>
      </c>
      <c r="S17" s="56"/>
      <c r="T17" s="56">
        <v>1389</v>
      </c>
      <c r="U17" s="56">
        <v>1450</v>
      </c>
      <c r="V17" s="56">
        <v>1454</v>
      </c>
      <c r="W17" s="56">
        <v>1530</v>
      </c>
      <c r="X17" s="56">
        <v>1570</v>
      </c>
      <c r="Y17" s="56">
        <v>1555</v>
      </c>
      <c r="Z17" s="56">
        <v>1550</v>
      </c>
      <c r="AA17" s="56">
        <v>1550</v>
      </c>
      <c r="AB17" s="56">
        <v>1550</v>
      </c>
      <c r="AC17" s="56">
        <v>1550</v>
      </c>
      <c r="AD17" s="56">
        <v>1550</v>
      </c>
      <c r="AE17" s="56">
        <v>1550</v>
      </c>
      <c r="AF17" s="56">
        <v>1533</v>
      </c>
      <c r="AG17" s="56">
        <v>1507</v>
      </c>
      <c r="AH17" s="56">
        <v>1507</v>
      </c>
      <c r="AI17" s="56">
        <v>1491</v>
      </c>
      <c r="AJ17" s="56">
        <v>1491</v>
      </c>
      <c r="AK17" s="56">
        <f>+SUM(CY17:DC17)/5</f>
        <v>1431</v>
      </c>
      <c r="AL17" s="56">
        <f>+SUM(DD17:DG17)/4</f>
        <v>1384.75</v>
      </c>
      <c r="AM17" s="56">
        <f>+SUM(DH17:DK17)/4</f>
        <v>1395</v>
      </c>
      <c r="AN17" s="56">
        <f>+SUM(DL17:DO17)/COUNT(DL17:DO17)</f>
        <v>1373.75</v>
      </c>
      <c r="AO17" s="56">
        <f>+SUM(DP17:DS17)/COUNT(DP17:DS17)</f>
        <v>1305</v>
      </c>
      <c r="AP17" s="56">
        <f>+SUM(DT17:DX17)/COUNT(DT17:DX17)</f>
        <v>1288.8</v>
      </c>
      <c r="AQ17" s="56">
        <f>+SUM(DY17:EB17)/COUNT(DY17:EB17)</f>
        <v>1170.75</v>
      </c>
      <c r="AR17" s="56">
        <f>+SUM(EC17:EF17)/COUNT(EC17:EF17)</f>
        <v>1150</v>
      </c>
      <c r="AS17" s="56">
        <f>+SUM(EG17:EK17)/COUNT(EG17:EK17)</f>
        <v>1110</v>
      </c>
      <c r="AT17" s="56">
        <f>+SUM(EL17:EO17)/COUNT(EL17:EO17)</f>
        <v>1107.5</v>
      </c>
      <c r="AU17" s="56">
        <f>+SUM(EP17:ES17)/COUNT(EP17:ES17)</f>
        <v>1100</v>
      </c>
      <c r="AV17" s="100">
        <f t="shared" ref="AV17:AV20" si="259">+SUM(ET17:EW17)/COUNT(ET17:EW17)</f>
        <v>1100</v>
      </c>
      <c r="AW17" s="100">
        <f t="shared" ref="AW17:AW20" si="260">+SUM(EX17:FB17)/COUNT(EX17:FB17)</f>
        <v>1100</v>
      </c>
      <c r="AX17" s="100">
        <f>+SUM(FC17:FE17)/COUNT(FC17:FE17)</f>
        <v>1166.6666666666667</v>
      </c>
      <c r="AY17" s="100">
        <f t="shared" ref="AY17:AY20" si="261">+SUM(FG17:FI17)/COUNT(FG17:FI17)</f>
        <v>1223</v>
      </c>
      <c r="AZ17" s="100">
        <f t="shared" ref="AZ17:AZ20" si="262">+SUM(FJ17:FM17)/COUNT(FJ17:FM17)</f>
        <v>1268.5</v>
      </c>
      <c r="BA17" s="100">
        <f t="shared" ref="BA17:BA20" si="263">+SUM(FN17:FQ17)/COUNT(FN17:FQ17)</f>
        <v>1252.25</v>
      </c>
      <c r="BB17" s="100">
        <f t="shared" ref="BB17:BB20" si="264">+SUM(FR17:FV17)/COUNT(FR17:FV17)</f>
        <v>1226</v>
      </c>
      <c r="BC17" s="100"/>
      <c r="BD17" s="100"/>
      <c r="BE17" s="100"/>
      <c r="BF17" s="100"/>
      <c r="BG17" s="100"/>
      <c r="BH17" s="100"/>
      <c r="BI17" s="100"/>
      <c r="BJ17" s="100"/>
      <c r="BK17" s="100"/>
      <c r="BL17" s="100"/>
      <c r="BM17" s="100"/>
      <c r="BN17" s="100"/>
      <c r="BO17" s="100"/>
      <c r="BP17" s="100"/>
      <c r="BQ17" s="100"/>
      <c r="BR17" s="100"/>
      <c r="BS17" s="100"/>
      <c r="BT17" s="100"/>
      <c r="BU17" s="100"/>
      <c r="BV17" s="100"/>
      <c r="BW17" s="61"/>
      <c r="BX17" s="54" t="s">
        <v>37</v>
      </c>
      <c r="BY17" s="54" t="s">
        <v>38</v>
      </c>
      <c r="BZ17" s="55" t="s">
        <v>40</v>
      </c>
      <c r="CA17" s="56">
        <v>1550</v>
      </c>
      <c r="CB17" s="56">
        <v>1550</v>
      </c>
      <c r="CC17" s="56">
        <v>1550</v>
      </c>
      <c r="CD17" s="56">
        <v>1550</v>
      </c>
      <c r="CE17" s="56">
        <v>1550</v>
      </c>
      <c r="CF17" s="56">
        <v>1550</v>
      </c>
      <c r="CG17" s="56">
        <v>1550</v>
      </c>
      <c r="CH17" s="56">
        <v>1550</v>
      </c>
      <c r="CI17" s="56">
        <v>1550</v>
      </c>
      <c r="CJ17" s="56">
        <v>1550</v>
      </c>
      <c r="CK17" s="56">
        <v>1550</v>
      </c>
      <c r="CL17" s="56">
        <v>1550</v>
      </c>
      <c r="CM17" s="56">
        <v>1550</v>
      </c>
      <c r="CN17" s="56">
        <v>1550</v>
      </c>
      <c r="CO17" s="56">
        <v>1550</v>
      </c>
      <c r="CP17" s="56">
        <v>1550</v>
      </c>
      <c r="CQ17" s="56">
        <v>1533</v>
      </c>
      <c r="CR17" s="56">
        <v>1507</v>
      </c>
      <c r="CS17" s="56">
        <v>1507</v>
      </c>
      <c r="CT17" s="56">
        <v>1491</v>
      </c>
      <c r="CU17" s="56">
        <v>1491</v>
      </c>
      <c r="CV17" s="56">
        <v>1474</v>
      </c>
      <c r="CW17" s="56">
        <v>1478</v>
      </c>
      <c r="CX17" s="56">
        <v>1465</v>
      </c>
      <c r="CY17" s="56">
        <v>1465</v>
      </c>
      <c r="CZ17" s="56">
        <v>1465</v>
      </c>
      <c r="DA17" s="56">
        <v>1400</v>
      </c>
      <c r="DB17" s="56">
        <v>1400</v>
      </c>
      <c r="DC17" s="56">
        <v>1425</v>
      </c>
      <c r="DD17" s="56">
        <v>1425</v>
      </c>
      <c r="DE17" s="56">
        <v>1345</v>
      </c>
      <c r="DF17" s="56">
        <v>1356</v>
      </c>
      <c r="DG17" s="56">
        <v>1413</v>
      </c>
      <c r="DH17" s="56">
        <v>1408</v>
      </c>
      <c r="DI17" s="56">
        <v>1398</v>
      </c>
      <c r="DJ17" s="56">
        <v>1387</v>
      </c>
      <c r="DK17" s="56">
        <v>1387</v>
      </c>
      <c r="DL17" s="56">
        <v>1387</v>
      </c>
      <c r="DM17" s="56">
        <v>1367</v>
      </c>
      <c r="DN17" s="56">
        <v>1366</v>
      </c>
      <c r="DO17" s="56">
        <v>1375</v>
      </c>
      <c r="DP17" s="56">
        <v>1375</v>
      </c>
      <c r="DQ17" s="56">
        <v>1279</v>
      </c>
      <c r="DR17" s="56">
        <v>1279</v>
      </c>
      <c r="DS17" s="56">
        <v>1287</v>
      </c>
      <c r="DT17" s="56">
        <v>1299</v>
      </c>
      <c r="DU17" s="56">
        <v>1293</v>
      </c>
      <c r="DV17" s="56">
        <v>1286</v>
      </c>
      <c r="DW17" s="56">
        <v>1283</v>
      </c>
      <c r="DX17" s="56">
        <v>1283</v>
      </c>
      <c r="DY17" s="56">
        <v>1233</v>
      </c>
      <c r="DZ17" s="56">
        <v>1150</v>
      </c>
      <c r="EA17" s="56">
        <v>1150</v>
      </c>
      <c r="EB17" s="56">
        <v>1150</v>
      </c>
      <c r="EC17" s="56">
        <v>1150</v>
      </c>
      <c r="ED17" s="56">
        <v>1150</v>
      </c>
      <c r="EE17" s="56">
        <v>1150</v>
      </c>
      <c r="EF17" s="56">
        <v>1150</v>
      </c>
      <c r="EG17" s="56">
        <v>1110</v>
      </c>
      <c r="EH17" s="56">
        <v>1110</v>
      </c>
      <c r="EI17" s="56">
        <v>1110</v>
      </c>
      <c r="EJ17" s="100">
        <v>1110</v>
      </c>
      <c r="EK17" s="100">
        <v>1110</v>
      </c>
      <c r="EL17" s="100">
        <v>1110</v>
      </c>
      <c r="EM17" s="100">
        <v>1110</v>
      </c>
      <c r="EN17" s="100">
        <v>1110</v>
      </c>
      <c r="EO17" s="100">
        <v>1100</v>
      </c>
      <c r="EP17" s="100">
        <v>1100</v>
      </c>
      <c r="EQ17" s="100">
        <v>1100</v>
      </c>
      <c r="ER17" s="100">
        <v>1100</v>
      </c>
      <c r="ES17" s="100">
        <v>1100</v>
      </c>
      <c r="ET17" s="100">
        <v>1100</v>
      </c>
      <c r="EU17" s="100">
        <v>1100</v>
      </c>
      <c r="EV17" s="100">
        <v>1100</v>
      </c>
      <c r="EW17" s="100">
        <v>1100</v>
      </c>
      <c r="EX17" s="100">
        <v>1100</v>
      </c>
      <c r="EY17" s="100">
        <v>1100</v>
      </c>
      <c r="EZ17" s="100">
        <v>1100</v>
      </c>
      <c r="FA17" s="100">
        <v>1100</v>
      </c>
      <c r="FB17" s="100">
        <v>1100</v>
      </c>
      <c r="FC17" s="100">
        <v>1100</v>
      </c>
      <c r="FD17" s="100">
        <v>1200</v>
      </c>
      <c r="FE17" s="100">
        <v>1200</v>
      </c>
      <c r="FF17" s="100">
        <v>1200</v>
      </c>
      <c r="FG17" s="100">
        <v>1200</v>
      </c>
      <c r="FH17" s="100">
        <v>1200</v>
      </c>
      <c r="FI17" s="100">
        <v>1269</v>
      </c>
      <c r="FJ17" s="100">
        <v>1269</v>
      </c>
      <c r="FK17" s="100">
        <v>1278</v>
      </c>
      <c r="FL17" s="100">
        <v>1266</v>
      </c>
      <c r="FM17" s="100">
        <v>1261</v>
      </c>
      <c r="FN17" s="100">
        <v>1261</v>
      </c>
      <c r="FO17" s="100">
        <v>1261</v>
      </c>
      <c r="FP17" s="100">
        <v>1261</v>
      </c>
      <c r="FQ17" s="100">
        <v>1226</v>
      </c>
      <c r="FR17" s="100">
        <v>1226</v>
      </c>
      <c r="FS17" s="100"/>
      <c r="FT17" s="100"/>
      <c r="FU17" s="100"/>
      <c r="FV17" s="100"/>
      <c r="FW17" s="100"/>
      <c r="FX17" s="100"/>
      <c r="FY17" s="100"/>
      <c r="FZ17" s="100"/>
      <c r="GA17" s="100"/>
      <c r="GB17" s="100"/>
      <c r="GC17" s="100"/>
      <c r="GD17" s="100"/>
      <c r="GE17" s="100"/>
      <c r="GF17" s="100"/>
      <c r="GG17" s="100"/>
      <c r="GH17" s="100"/>
      <c r="GI17" s="100"/>
      <c r="GJ17" s="100"/>
      <c r="GK17" s="100"/>
      <c r="GL17" s="100"/>
      <c r="GM17" s="100"/>
      <c r="GN17" s="100"/>
      <c r="GO17" s="100"/>
      <c r="GP17" s="100"/>
      <c r="GQ17" s="100"/>
      <c r="GR17" s="100"/>
      <c r="GS17" s="100"/>
      <c r="GT17" s="100"/>
      <c r="GU17" s="100"/>
      <c r="GV17" s="100"/>
      <c r="GW17" s="100"/>
      <c r="GX17" s="100"/>
      <c r="GY17" s="100"/>
      <c r="GZ17" s="100"/>
      <c r="HA17" s="100"/>
      <c r="HB17" s="100"/>
      <c r="HC17" s="100"/>
      <c r="HD17" s="100"/>
      <c r="HE17" s="100"/>
      <c r="HF17" s="100"/>
      <c r="HG17" s="100"/>
      <c r="HH17" s="100"/>
      <c r="HI17" s="100"/>
      <c r="HJ17" s="100"/>
      <c r="HK17" s="100"/>
      <c r="HL17" s="100"/>
      <c r="HM17" s="100"/>
      <c r="HN17" s="100"/>
      <c r="HO17" s="100"/>
      <c r="HP17" s="100"/>
      <c r="HQ17" s="100"/>
      <c r="HR17" s="100"/>
      <c r="HS17" s="100"/>
      <c r="HT17" s="100"/>
      <c r="HU17" s="100"/>
      <c r="HV17" s="100"/>
      <c r="HW17" s="100"/>
      <c r="HX17" s="100"/>
      <c r="HY17" s="100"/>
      <c r="HZ17" s="100"/>
      <c r="IA17" s="100"/>
      <c r="IB17" s="100"/>
      <c r="IC17" s="100"/>
      <c r="ID17" s="100"/>
      <c r="IE17" s="100"/>
      <c r="IF17" s="100"/>
      <c r="IG17" s="100"/>
      <c r="IH17" s="100"/>
      <c r="II17" s="100"/>
      <c r="IJ17" s="100"/>
      <c r="IK17" s="100"/>
      <c r="IL17" s="100"/>
      <c r="IM17" s="100"/>
      <c r="IN17" s="100"/>
      <c r="IO17" s="100"/>
      <c r="IP17" s="100"/>
      <c r="IQ17" s="100"/>
      <c r="IR17" s="100"/>
      <c r="IS17" s="100"/>
      <c r="IT17" s="100"/>
      <c r="IU17" s="100"/>
      <c r="IV17" s="100"/>
      <c r="IW17" s="100"/>
      <c r="IX17" s="100"/>
      <c r="IY17" s="100"/>
      <c r="IZ17" s="100"/>
      <c r="JA17" s="100"/>
      <c r="JB17" s="100"/>
      <c r="JC17" s="100"/>
      <c r="JD17" s="100"/>
    </row>
    <row r="18" spans="1:264" s="65" customFormat="1" ht="14">
      <c r="A18" s="54"/>
      <c r="B18" s="55"/>
      <c r="C18" s="55"/>
      <c r="D18" s="54"/>
      <c r="E18" s="54"/>
      <c r="F18" s="97" t="s">
        <v>96</v>
      </c>
      <c r="G18" s="56"/>
      <c r="H18" s="97" t="s">
        <v>96</v>
      </c>
      <c r="I18" s="56"/>
      <c r="J18" s="56"/>
      <c r="K18" s="56"/>
      <c r="L18" s="56"/>
      <c r="M18" s="56"/>
      <c r="N18" s="56"/>
      <c r="O18" s="56"/>
      <c r="P18" s="56"/>
      <c r="Q18" s="56"/>
      <c r="R18" s="56"/>
      <c r="S18" s="56"/>
      <c r="T18" s="56"/>
      <c r="U18" s="56">
        <v>1575</v>
      </c>
      <c r="V18" s="56">
        <v>1575</v>
      </c>
      <c r="W18" s="56">
        <v>1575</v>
      </c>
      <c r="X18" s="56">
        <v>1575</v>
      </c>
      <c r="Y18" s="56">
        <v>1560</v>
      </c>
      <c r="Z18" s="56">
        <v>1655</v>
      </c>
      <c r="AA18" s="56">
        <v>1655</v>
      </c>
      <c r="AB18" s="56">
        <v>1655</v>
      </c>
      <c r="AC18" s="56">
        <v>1645</v>
      </c>
      <c r="AD18" s="56">
        <v>1645</v>
      </c>
      <c r="AE18" s="56">
        <v>1655</v>
      </c>
      <c r="AF18" s="56">
        <v>1624</v>
      </c>
      <c r="AG18" s="56">
        <v>1624</v>
      </c>
      <c r="AH18" s="56">
        <v>1624</v>
      </c>
      <c r="AI18" s="56">
        <v>1624</v>
      </c>
      <c r="AJ18" s="56">
        <v>1624</v>
      </c>
      <c r="AK18" s="56">
        <f>AK19+100</f>
        <v>1593.4</v>
      </c>
      <c r="AL18" s="56">
        <f>AL19+100</f>
        <v>1534.75</v>
      </c>
      <c r="AM18" s="56">
        <f>AM19+100</f>
        <v>1522</v>
      </c>
      <c r="AN18" s="56">
        <f>AN19+100</f>
        <v>1522</v>
      </c>
      <c r="AO18" s="56">
        <f>AO19+100</f>
        <v>1522</v>
      </c>
      <c r="AP18" s="56">
        <f>+SUM(DT18:DX18)/COUNT(DT18:DX18)</f>
        <v>1516.8</v>
      </c>
      <c r="AQ18" s="56">
        <f>+SUM(DY18:EB18)/COUNT(DY18:EB18)</f>
        <v>1496</v>
      </c>
      <c r="AR18" s="56">
        <f>+SUM(EC18:EF18)/COUNT(EC18:EF18)</f>
        <v>1496</v>
      </c>
      <c r="AS18" s="56">
        <f>+SUM(EG18:EK18)/COUNT(EG18:EK18)</f>
        <v>1496</v>
      </c>
      <c r="AT18" s="56">
        <f>+SUM(EL18:EO18)/COUNT(EL18:EO18)</f>
        <v>1496</v>
      </c>
      <c r="AU18" s="56">
        <f>+SUM(EP18:ES18)/COUNT(EP18:ES18)</f>
        <v>1477.25</v>
      </c>
      <c r="AV18" s="100">
        <f t="shared" si="259"/>
        <v>1471</v>
      </c>
      <c r="AW18" s="100">
        <f t="shared" si="260"/>
        <v>1460.6</v>
      </c>
      <c r="AX18" s="100">
        <f t="shared" ref="AX18:AX20" si="265">+SUM(FC18:FE18)/COUNT(FC18:FE18)</f>
        <v>1422</v>
      </c>
      <c r="AY18" s="100">
        <f t="shared" si="261"/>
        <v>1404.6666666666667</v>
      </c>
      <c r="AZ18" s="100">
        <f t="shared" si="262"/>
        <v>1396</v>
      </c>
      <c r="BA18" s="100">
        <f t="shared" si="263"/>
        <v>1406</v>
      </c>
      <c r="BB18" s="100">
        <f t="shared" si="264"/>
        <v>1406</v>
      </c>
      <c r="BC18" s="100">
        <f t="shared" ref="BC18:BC19" si="266">+SUM(FW18:FZ18)/COUNT(FW18:FZ18)</f>
        <v>1398.5</v>
      </c>
      <c r="BD18" s="100">
        <f t="shared" ref="BD18:BD19" si="267">+SUM(GA18:GD18)/COUNT(GA18:GD18)</f>
        <v>1396</v>
      </c>
      <c r="BE18" s="100">
        <f>+SUM(GE18:GI18)/COUNT(GE18:GI18)</f>
        <v>1416</v>
      </c>
      <c r="BF18" s="100">
        <f>+SUM(GJ18:GM18)/COUNT(GJ18:GM18)</f>
        <v>1437</v>
      </c>
      <c r="BG18" s="100">
        <f t="shared" ref="BG18:BG19" si="268">+SUM(GN18:GQ18)/COUNT(GN18:GQ18)</f>
        <v>1437</v>
      </c>
      <c r="BH18" s="100">
        <f>+SUM(GR18:GV18)/COUNT(GR18:GV18)</f>
        <v>1435.2</v>
      </c>
      <c r="BI18" s="100">
        <f t="shared" ref="BI18:BI19" si="269">+SUM(GV18:GZ18)/COUNT(GV18:GZ18)</f>
        <v>1434</v>
      </c>
      <c r="BJ18" s="100">
        <f>+SUM(HA18:HD18)/COUNT(HA18:HD18)</f>
        <v>1424.25</v>
      </c>
      <c r="BK18" s="100">
        <f>+SUM(HE18:HH18)/COUNT(HE18:HH18)</f>
        <v>1414.5</v>
      </c>
      <c r="BL18" s="100">
        <f>+SUM(HI18:HL18)/COUNT(HI18:HL18)</f>
        <v>1405.5</v>
      </c>
      <c r="BM18" s="100">
        <f>+SUM(HM18:HP18)/COUNT(HM18:HP18)</f>
        <v>1398</v>
      </c>
      <c r="BN18" s="100">
        <f>+SUM(HQ18:HU18)/COUNT(HQ18:HU18)</f>
        <v>1398</v>
      </c>
      <c r="BO18" s="100">
        <f>+SUM(HV18:HY18)/COUNT(HV18:HY18)</f>
        <v>1398</v>
      </c>
      <c r="BP18" s="100">
        <f>+SUM(HZ18:ID18)/COUNT(HZ18:ID18)</f>
        <v>1398</v>
      </c>
      <c r="BQ18" s="100">
        <f>+SUM(IE18:IH18)/COUNT(IE18:IH18)</f>
        <v>1279</v>
      </c>
      <c r="BR18" s="100">
        <f>+SUM(II18:IL18)/COUNT(II18:IL18)</f>
        <v>1160</v>
      </c>
      <c r="BS18" s="100">
        <f>+SUM(IM18:IQ18)/COUNT(IM18:IQ18)</f>
        <v>1160</v>
      </c>
      <c r="BT18" s="100">
        <f>+SUM(IR18:IU18)/COUNT(IR18:IU18)</f>
        <v>1160</v>
      </c>
      <c r="BU18" s="100">
        <f>+SUM(IV18:IY18)/COUNT(IV18:IY18)</f>
        <v>1170</v>
      </c>
      <c r="BV18" s="100">
        <v>1170</v>
      </c>
      <c r="BW18" s="61"/>
      <c r="BX18" s="54" t="s">
        <v>41</v>
      </c>
      <c r="BY18" s="55" t="s">
        <v>55</v>
      </c>
      <c r="BZ18" s="97" t="s">
        <v>96</v>
      </c>
      <c r="CA18" s="56"/>
      <c r="CB18" s="56"/>
      <c r="CC18" s="56"/>
      <c r="CD18" s="56"/>
      <c r="CE18" s="56"/>
      <c r="CF18" s="56"/>
      <c r="CG18" s="56"/>
      <c r="CH18" s="56"/>
      <c r="CI18" s="56"/>
      <c r="CJ18" s="56"/>
      <c r="CK18" s="56"/>
      <c r="CL18" s="56"/>
      <c r="CM18" s="56"/>
      <c r="CN18" s="56"/>
      <c r="CO18" s="56"/>
      <c r="CP18" s="56"/>
      <c r="CQ18" s="56"/>
      <c r="CR18" s="56"/>
      <c r="CS18" s="56"/>
      <c r="CT18" s="56"/>
      <c r="CU18" s="56"/>
      <c r="CV18" s="56"/>
      <c r="CW18" s="56"/>
      <c r="CX18" s="56"/>
      <c r="CY18" s="56"/>
      <c r="CZ18" s="56">
        <f>CZ19+100</f>
        <v>1624</v>
      </c>
      <c r="DA18" s="56">
        <f t="shared" ref="DA18:DU18" si="270">DA19+100</f>
        <v>1573</v>
      </c>
      <c r="DB18" s="56">
        <f t="shared" si="270"/>
        <v>1573</v>
      </c>
      <c r="DC18" s="56">
        <f t="shared" si="270"/>
        <v>1573</v>
      </c>
      <c r="DD18" s="56">
        <f t="shared" si="270"/>
        <v>1573</v>
      </c>
      <c r="DE18" s="56">
        <f t="shared" si="270"/>
        <v>1522</v>
      </c>
      <c r="DF18" s="56">
        <f t="shared" si="270"/>
        <v>1522</v>
      </c>
      <c r="DG18" s="56">
        <f t="shared" si="270"/>
        <v>1522</v>
      </c>
      <c r="DH18" s="56">
        <f t="shared" si="270"/>
        <v>1522</v>
      </c>
      <c r="DI18" s="56">
        <f t="shared" si="270"/>
        <v>1522</v>
      </c>
      <c r="DJ18" s="56">
        <f t="shared" si="270"/>
        <v>1522</v>
      </c>
      <c r="DK18" s="56">
        <f t="shared" si="270"/>
        <v>1522</v>
      </c>
      <c r="DL18" s="56">
        <f t="shared" si="270"/>
        <v>1522</v>
      </c>
      <c r="DM18" s="56">
        <f t="shared" si="270"/>
        <v>1522</v>
      </c>
      <c r="DN18" s="56">
        <f t="shared" si="270"/>
        <v>1522</v>
      </c>
      <c r="DO18" s="56">
        <f t="shared" si="270"/>
        <v>1522</v>
      </c>
      <c r="DP18" s="56">
        <f t="shared" si="270"/>
        <v>1522</v>
      </c>
      <c r="DQ18" s="56">
        <f t="shared" si="270"/>
        <v>1522</v>
      </c>
      <c r="DR18" s="56">
        <f t="shared" si="270"/>
        <v>1522</v>
      </c>
      <c r="DS18" s="56">
        <f t="shared" si="270"/>
        <v>1522</v>
      </c>
      <c r="DT18" s="56">
        <f t="shared" si="270"/>
        <v>1522</v>
      </c>
      <c r="DU18" s="56">
        <f t="shared" si="270"/>
        <v>1522</v>
      </c>
      <c r="DV18" s="56">
        <f>DV19+100</f>
        <v>1522</v>
      </c>
      <c r="DW18" s="56">
        <f>DW19+100</f>
        <v>1522</v>
      </c>
      <c r="DX18" s="56">
        <v>1496</v>
      </c>
      <c r="DY18" s="56">
        <v>1496</v>
      </c>
      <c r="DZ18" s="56">
        <v>1496</v>
      </c>
      <c r="EA18" s="56">
        <v>1496</v>
      </c>
      <c r="EB18" s="56">
        <v>1496</v>
      </c>
      <c r="EC18" s="56">
        <v>1496</v>
      </c>
      <c r="ED18" s="56">
        <v>1496</v>
      </c>
      <c r="EE18" s="56">
        <v>1496</v>
      </c>
      <c r="EF18" s="56">
        <v>1496</v>
      </c>
      <c r="EG18" s="56">
        <v>1496</v>
      </c>
      <c r="EH18" s="56">
        <v>1496</v>
      </c>
      <c r="EI18" s="56">
        <v>1496</v>
      </c>
      <c r="EJ18" s="100">
        <v>1496</v>
      </c>
      <c r="EK18" s="100">
        <v>1496</v>
      </c>
      <c r="EL18" s="100">
        <v>1496</v>
      </c>
      <c r="EM18" s="100">
        <v>1496</v>
      </c>
      <c r="EN18" s="100">
        <v>1496</v>
      </c>
      <c r="EO18" s="100">
        <v>1496</v>
      </c>
      <c r="EP18" s="100">
        <v>1496</v>
      </c>
      <c r="EQ18" s="100">
        <v>1471</v>
      </c>
      <c r="ER18" s="100">
        <v>1471</v>
      </c>
      <c r="ES18" s="100">
        <v>1471</v>
      </c>
      <c r="ET18" s="100">
        <v>1471</v>
      </c>
      <c r="EU18" s="100">
        <v>1471</v>
      </c>
      <c r="EV18" s="100">
        <v>1471</v>
      </c>
      <c r="EW18" s="100">
        <v>1471</v>
      </c>
      <c r="EX18" s="100">
        <v>1471</v>
      </c>
      <c r="EY18" s="100">
        <v>1458</v>
      </c>
      <c r="EZ18" s="100">
        <v>1458</v>
      </c>
      <c r="FA18" s="100">
        <v>1458</v>
      </c>
      <c r="FB18" s="100">
        <v>1458</v>
      </c>
      <c r="FC18" s="100">
        <v>1422</v>
      </c>
      <c r="FD18" s="100">
        <v>1422</v>
      </c>
      <c r="FE18" s="100">
        <v>1422</v>
      </c>
      <c r="FF18" s="100">
        <v>1422</v>
      </c>
      <c r="FG18" s="100">
        <v>1422</v>
      </c>
      <c r="FH18" s="100">
        <v>1396</v>
      </c>
      <c r="FI18" s="100">
        <v>1396</v>
      </c>
      <c r="FJ18" s="100">
        <v>1396</v>
      </c>
      <c r="FK18" s="100">
        <v>1396</v>
      </c>
      <c r="FL18" s="100">
        <v>1396</v>
      </c>
      <c r="FM18" s="100">
        <v>1396</v>
      </c>
      <c r="FN18" s="100">
        <v>1406</v>
      </c>
      <c r="FO18" s="100">
        <v>1406</v>
      </c>
      <c r="FP18" s="100">
        <v>1406</v>
      </c>
      <c r="FQ18" s="100">
        <v>1406</v>
      </c>
      <c r="FR18" s="100">
        <v>1406</v>
      </c>
      <c r="FS18" s="100">
        <v>1406</v>
      </c>
      <c r="FT18" s="100">
        <v>1406</v>
      </c>
      <c r="FU18" s="100">
        <v>1406</v>
      </c>
      <c r="FV18" s="100">
        <v>1406</v>
      </c>
      <c r="FW18" s="100">
        <v>1406</v>
      </c>
      <c r="FX18" s="100">
        <v>1396</v>
      </c>
      <c r="FY18" s="100">
        <v>1396</v>
      </c>
      <c r="FZ18" s="100">
        <v>1396</v>
      </c>
      <c r="GA18" s="100">
        <v>1396</v>
      </c>
      <c r="GB18" s="100">
        <v>1396</v>
      </c>
      <c r="GC18" s="100">
        <v>1396</v>
      </c>
      <c r="GD18" s="100">
        <v>1396</v>
      </c>
      <c r="GE18" s="100">
        <v>1416</v>
      </c>
      <c r="GF18" s="100">
        <v>1416</v>
      </c>
      <c r="GG18" s="100">
        <v>1416</v>
      </c>
      <c r="GH18" s="100">
        <v>1416</v>
      </c>
      <c r="GI18" s="100">
        <v>1416</v>
      </c>
      <c r="GJ18" s="100">
        <v>1437</v>
      </c>
      <c r="GK18" s="100">
        <v>1437</v>
      </c>
      <c r="GL18" s="100">
        <v>1437</v>
      </c>
      <c r="GM18" s="100">
        <v>1437</v>
      </c>
      <c r="GN18" s="100">
        <v>1437</v>
      </c>
      <c r="GO18" s="100">
        <v>1437</v>
      </c>
      <c r="GP18" s="100">
        <v>1437</v>
      </c>
      <c r="GQ18" s="100">
        <v>1437</v>
      </c>
      <c r="GR18" s="100">
        <v>1437</v>
      </c>
      <c r="GS18" s="100">
        <v>1437</v>
      </c>
      <c r="GT18" s="100">
        <v>1434</v>
      </c>
      <c r="GU18" s="100">
        <v>1434</v>
      </c>
      <c r="GV18" s="100">
        <v>1434</v>
      </c>
      <c r="GW18" s="100">
        <v>1434</v>
      </c>
      <c r="GX18" s="100">
        <v>1434</v>
      </c>
      <c r="GY18" s="100">
        <v>1434</v>
      </c>
      <c r="GZ18" s="100">
        <v>1434</v>
      </c>
      <c r="HA18" s="100">
        <v>1434</v>
      </c>
      <c r="HB18" s="100">
        <v>1421</v>
      </c>
      <c r="HC18" s="100">
        <v>1421</v>
      </c>
      <c r="HD18" s="100">
        <v>1421</v>
      </c>
      <c r="HE18" s="100">
        <v>1421</v>
      </c>
      <c r="HF18" s="100">
        <v>1421</v>
      </c>
      <c r="HG18" s="100">
        <v>1408</v>
      </c>
      <c r="HH18" s="100">
        <v>1408</v>
      </c>
      <c r="HI18" s="100">
        <v>1408</v>
      </c>
      <c r="HJ18" s="100">
        <v>1408</v>
      </c>
      <c r="HK18" s="100">
        <v>1408</v>
      </c>
      <c r="HL18" s="100">
        <v>1398</v>
      </c>
      <c r="HM18" s="100">
        <v>1398</v>
      </c>
      <c r="HN18" s="100">
        <v>1398</v>
      </c>
      <c r="HO18" s="100">
        <v>1398</v>
      </c>
      <c r="HP18" s="100">
        <v>1398</v>
      </c>
      <c r="HQ18" s="100">
        <v>1398</v>
      </c>
      <c r="HR18" s="100">
        <v>1398</v>
      </c>
      <c r="HS18" s="100">
        <v>1398</v>
      </c>
      <c r="HT18" s="100">
        <v>1398</v>
      </c>
      <c r="HU18" s="100">
        <v>1398</v>
      </c>
      <c r="HV18" s="100">
        <v>1398</v>
      </c>
      <c r="HW18" s="100">
        <v>1398</v>
      </c>
      <c r="HX18" s="100">
        <v>1398</v>
      </c>
      <c r="HY18" s="100">
        <v>1398</v>
      </c>
      <c r="HZ18" s="100">
        <v>1398</v>
      </c>
      <c r="IA18" s="100">
        <v>1398</v>
      </c>
      <c r="IB18" s="100">
        <v>1398</v>
      </c>
      <c r="IC18" s="100">
        <v>1398</v>
      </c>
      <c r="ID18" s="100">
        <v>1398</v>
      </c>
      <c r="IE18" s="100">
        <v>1398</v>
      </c>
      <c r="IF18" s="100">
        <v>1398</v>
      </c>
      <c r="IG18" s="100">
        <v>1160</v>
      </c>
      <c r="IH18" s="100">
        <v>1160</v>
      </c>
      <c r="II18" s="100">
        <v>1160</v>
      </c>
      <c r="IJ18" s="100">
        <v>1160</v>
      </c>
      <c r="IK18" s="100">
        <v>1160</v>
      </c>
      <c r="IL18" s="56">
        <v>1160</v>
      </c>
      <c r="IM18" s="56">
        <v>1160</v>
      </c>
      <c r="IN18" s="56">
        <v>1160</v>
      </c>
      <c r="IO18" s="56">
        <v>1160</v>
      </c>
      <c r="IP18" s="56">
        <v>1160</v>
      </c>
      <c r="IQ18" s="56">
        <v>1160</v>
      </c>
      <c r="IR18" s="56">
        <v>1160</v>
      </c>
      <c r="IS18" s="56">
        <v>1160</v>
      </c>
      <c r="IT18" s="56">
        <v>1160</v>
      </c>
      <c r="IU18" s="56">
        <v>1160</v>
      </c>
      <c r="IV18" s="100">
        <v>1170</v>
      </c>
      <c r="IW18" s="100">
        <v>1170</v>
      </c>
      <c r="IX18" s="100">
        <v>1170</v>
      </c>
      <c r="IY18" s="100">
        <v>1170</v>
      </c>
      <c r="IZ18" s="100"/>
      <c r="JA18" s="100"/>
      <c r="JB18" s="100"/>
      <c r="JC18" s="100"/>
      <c r="JD18" s="100"/>
    </row>
    <row r="19" spans="1:264" s="65" customFormat="1" ht="14">
      <c r="A19" s="54"/>
      <c r="B19" s="55"/>
      <c r="C19" s="55"/>
      <c r="D19" s="54" t="s">
        <v>41</v>
      </c>
      <c r="E19" s="55" t="s">
        <v>55</v>
      </c>
      <c r="F19" s="55" t="s">
        <v>98</v>
      </c>
      <c r="G19" s="56" t="s">
        <v>24</v>
      </c>
      <c r="H19" s="97" t="s">
        <v>56</v>
      </c>
      <c r="I19" s="56">
        <f>I15-100</f>
        <v>1370</v>
      </c>
      <c r="J19" s="56">
        <f t="shared" ref="J19:T19" si="271">J15-100</f>
        <v>1380</v>
      </c>
      <c r="K19" s="56">
        <f t="shared" si="271"/>
        <v>1380</v>
      </c>
      <c r="L19" s="56">
        <f t="shared" si="271"/>
        <v>1495</v>
      </c>
      <c r="M19" s="56">
        <f t="shared" si="271"/>
        <v>1495</v>
      </c>
      <c r="N19" s="56">
        <f t="shared" si="271"/>
        <v>1495</v>
      </c>
      <c r="O19" s="56">
        <f t="shared" si="271"/>
        <v>1495</v>
      </c>
      <c r="P19" s="56">
        <f t="shared" si="271"/>
        <v>1495</v>
      </c>
      <c r="Q19" s="56">
        <f t="shared" si="271"/>
        <v>1495</v>
      </c>
      <c r="R19" s="56">
        <f t="shared" si="271"/>
        <v>1495</v>
      </c>
      <c r="S19" s="56">
        <f t="shared" si="271"/>
        <v>1495</v>
      </c>
      <c r="T19" s="56">
        <f t="shared" si="271"/>
        <v>1560</v>
      </c>
      <c r="U19" s="56">
        <f>U18-100</f>
        <v>1475</v>
      </c>
      <c r="V19" s="56">
        <f t="shared" ref="V19:AJ19" si="272">V18-100</f>
        <v>1475</v>
      </c>
      <c r="W19" s="56">
        <f t="shared" si="272"/>
        <v>1475</v>
      </c>
      <c r="X19" s="56">
        <f t="shared" si="272"/>
        <v>1475</v>
      </c>
      <c r="Y19" s="56">
        <f t="shared" si="272"/>
        <v>1460</v>
      </c>
      <c r="Z19" s="56">
        <f t="shared" si="272"/>
        <v>1555</v>
      </c>
      <c r="AA19" s="56">
        <f t="shared" si="272"/>
        <v>1555</v>
      </c>
      <c r="AB19" s="56">
        <f t="shared" si="272"/>
        <v>1555</v>
      </c>
      <c r="AC19" s="56">
        <f t="shared" si="272"/>
        <v>1545</v>
      </c>
      <c r="AD19" s="56">
        <f t="shared" si="272"/>
        <v>1545</v>
      </c>
      <c r="AE19" s="56">
        <f t="shared" si="272"/>
        <v>1555</v>
      </c>
      <c r="AF19" s="56">
        <f t="shared" si="272"/>
        <v>1524</v>
      </c>
      <c r="AG19" s="56">
        <f t="shared" si="272"/>
        <v>1524</v>
      </c>
      <c r="AH19" s="56">
        <f t="shared" si="272"/>
        <v>1524</v>
      </c>
      <c r="AI19" s="56">
        <f t="shared" si="272"/>
        <v>1524</v>
      </c>
      <c r="AJ19" s="56">
        <f t="shared" si="272"/>
        <v>1524</v>
      </c>
      <c r="AK19" s="56">
        <f>+SUM(CY19:DC19)/5</f>
        <v>1493.4</v>
      </c>
      <c r="AL19" s="56">
        <f>+SUM(DD19:DG19)/4</f>
        <v>1434.75</v>
      </c>
      <c r="AM19" s="56">
        <f>+SUM(DH19:DK19)/4</f>
        <v>1422</v>
      </c>
      <c r="AN19" s="56">
        <f>+SUM(DL19:DO19)/COUNT(DL19:DO19)</f>
        <v>1422</v>
      </c>
      <c r="AO19" s="56">
        <f>+SUM(DP19:DS19)/COUNT(DP19:DS19)</f>
        <v>1422</v>
      </c>
      <c r="AP19" s="56">
        <f>+SUM(DT19:DX19)/COUNT(DT19:DX19)</f>
        <v>1416.8</v>
      </c>
      <c r="AQ19" s="56">
        <f>+SUM(DY19:EB19)/COUNT(DY19:EB19)</f>
        <v>1396</v>
      </c>
      <c r="AR19" s="56">
        <f>+SUM(EC19:EF19)/COUNT(EC19:EF19)</f>
        <v>1396</v>
      </c>
      <c r="AS19" s="56">
        <f>+SUM(EG19:EK19)/COUNT(EG19:EK19)</f>
        <v>1396</v>
      </c>
      <c r="AT19" s="56">
        <f>+SUM(EL19:EO19)/COUNT(EL19:EO19)</f>
        <v>1396</v>
      </c>
      <c r="AU19" s="56">
        <f>+SUM(EP19:ES19)/COUNT(EP19:ES19)</f>
        <v>1377.25</v>
      </c>
      <c r="AV19" s="100">
        <f t="shared" si="259"/>
        <v>1371</v>
      </c>
      <c r="AW19" s="100">
        <f t="shared" si="260"/>
        <v>1360.6</v>
      </c>
      <c r="AX19" s="100">
        <f t="shared" si="265"/>
        <v>1322</v>
      </c>
      <c r="AY19" s="100">
        <f t="shared" si="261"/>
        <v>1304.6666666666667</v>
      </c>
      <c r="AZ19" s="100">
        <f t="shared" si="262"/>
        <v>1296</v>
      </c>
      <c r="BA19" s="100">
        <f t="shared" si="263"/>
        <v>1306</v>
      </c>
      <c r="BB19" s="100">
        <f t="shared" si="264"/>
        <v>1306</v>
      </c>
      <c r="BC19" s="100">
        <f t="shared" si="266"/>
        <v>1298.5</v>
      </c>
      <c r="BD19" s="100">
        <f t="shared" si="267"/>
        <v>1296</v>
      </c>
      <c r="BE19" s="100">
        <f t="shared" ref="BE19:BE20" si="273">+SUM(GE19:GI19)/COUNT(GE19:GI19)</f>
        <v>1316</v>
      </c>
      <c r="BF19" s="100">
        <f t="shared" ref="BF19:BF20" si="274">+SUM(GJ19:GM19)/COUNT(GJ19:GM19)</f>
        <v>1337</v>
      </c>
      <c r="BG19" s="100">
        <f t="shared" si="268"/>
        <v>1337</v>
      </c>
      <c r="BH19" s="100">
        <f t="shared" ref="BH19:BH20" si="275">+SUM(GR19:GV19)/COUNT(GR19:GV19)</f>
        <v>1335.2</v>
      </c>
      <c r="BI19" s="100">
        <f t="shared" si="269"/>
        <v>1334</v>
      </c>
      <c r="BJ19" s="100">
        <f t="shared" ref="BJ19:BJ20" si="276">+SUM(HA19:HD19)/COUNT(HA19:HD19)</f>
        <v>1324.25</v>
      </c>
      <c r="BK19" s="100">
        <f t="shared" ref="BK19:BK20" si="277">+SUM(HE19:HH19)/COUNT(HE19:HH19)</f>
        <v>1314.5</v>
      </c>
      <c r="BL19" s="100">
        <f t="shared" ref="BL19:BL20" si="278">+SUM(HI19:HL19)/COUNT(HI19:HL19)</f>
        <v>1305.5</v>
      </c>
      <c r="BM19" s="100">
        <f t="shared" ref="BM19:BM20" si="279">+SUM(HM19:HP19)/COUNT(HM19:HP19)</f>
        <v>1298</v>
      </c>
      <c r="BN19" s="100">
        <f t="shared" ref="BN19:BN20" si="280">+SUM(HQ19:HU19)/COUNT(HQ19:HU19)</f>
        <v>1298</v>
      </c>
      <c r="BO19" s="100">
        <f t="shared" ref="BO19:BO20" si="281">+SUM(HV19:HY19)/COUNT(HV19:HY19)</f>
        <v>1298</v>
      </c>
      <c r="BP19" s="100">
        <f t="shared" ref="BP19:BP20" si="282">+SUM(HZ19:ID19)/COUNT(HZ19:ID19)</f>
        <v>1298</v>
      </c>
      <c r="BQ19" s="100">
        <f t="shared" ref="BQ19:BQ20" si="283">+SUM(IE19:IH19)/COUNT(IE19:IH19)</f>
        <v>1179</v>
      </c>
      <c r="BR19" s="100">
        <f t="shared" ref="BR19:BR20" si="284">+SUM(II19:IL19)/COUNT(II19:IL19)</f>
        <v>1060</v>
      </c>
      <c r="BS19" s="100">
        <f t="shared" ref="BS19:BS20" si="285">+SUM(IM19:IQ19)/COUNT(IM19:IQ19)</f>
        <v>1060</v>
      </c>
      <c r="BT19" s="100">
        <f t="shared" ref="BT19:BT20" si="286">+SUM(IR19:IU19)/COUNT(IR19:IU19)</f>
        <v>1060</v>
      </c>
      <c r="BU19" s="100">
        <f t="shared" ref="BU19:BU20" si="287">+SUM(IV19:IY19)/COUNT(IV19:IY19)</f>
        <v>1070</v>
      </c>
      <c r="BV19" s="100">
        <v>1070</v>
      </c>
      <c r="BW19" s="153"/>
      <c r="BX19" s="54" t="s">
        <v>41</v>
      </c>
      <c r="BY19" s="55" t="s">
        <v>55</v>
      </c>
      <c r="BZ19" s="55" t="s">
        <v>98</v>
      </c>
      <c r="CA19" s="56">
        <v>1655</v>
      </c>
      <c r="CB19" s="56">
        <v>1655</v>
      </c>
      <c r="CC19" s="56">
        <v>1655</v>
      </c>
      <c r="CD19" s="56">
        <v>1655</v>
      </c>
      <c r="CE19" s="56">
        <v>1655</v>
      </c>
      <c r="CF19" s="56">
        <v>1655</v>
      </c>
      <c r="CG19" s="56">
        <v>1655</v>
      </c>
      <c r="CH19" s="56">
        <v>1655</v>
      </c>
      <c r="CI19" s="56">
        <v>1645</v>
      </c>
      <c r="CJ19" s="56">
        <v>1645</v>
      </c>
      <c r="CK19" s="56">
        <v>1645</v>
      </c>
      <c r="CL19" s="56">
        <v>1645</v>
      </c>
      <c r="CM19" s="56">
        <v>1655</v>
      </c>
      <c r="CN19" s="56">
        <v>1655</v>
      </c>
      <c r="CO19" s="56">
        <v>1655</v>
      </c>
      <c r="CP19" s="56">
        <v>1655</v>
      </c>
      <c r="CQ19" s="56">
        <v>1624</v>
      </c>
      <c r="CR19" s="56">
        <v>1624</v>
      </c>
      <c r="CS19" s="56">
        <v>1624</v>
      </c>
      <c r="CT19" s="56">
        <v>1624</v>
      </c>
      <c r="CU19" s="56">
        <v>1624</v>
      </c>
      <c r="CV19" s="56">
        <f>1624-100</f>
        <v>1524</v>
      </c>
      <c r="CW19" s="56">
        <f>1624-100</f>
        <v>1524</v>
      </c>
      <c r="CX19" s="56">
        <f>1624-100</f>
        <v>1524</v>
      </c>
      <c r="CY19" s="56">
        <f>1624-100</f>
        <v>1524</v>
      </c>
      <c r="CZ19" s="56">
        <f>1624-100</f>
        <v>1524</v>
      </c>
      <c r="DA19" s="56">
        <f>1573-100</f>
        <v>1473</v>
      </c>
      <c r="DB19" s="56">
        <f>1573-100</f>
        <v>1473</v>
      </c>
      <c r="DC19" s="56">
        <f>1573-100</f>
        <v>1473</v>
      </c>
      <c r="DD19" s="56">
        <f>1573-100</f>
        <v>1473</v>
      </c>
      <c r="DE19" s="56">
        <f t="shared" ref="DE19:DU19" si="288">1522-100</f>
        <v>1422</v>
      </c>
      <c r="DF19" s="56">
        <f t="shared" si="288"/>
        <v>1422</v>
      </c>
      <c r="DG19" s="56">
        <f t="shared" si="288"/>
        <v>1422</v>
      </c>
      <c r="DH19" s="56">
        <f t="shared" si="288"/>
        <v>1422</v>
      </c>
      <c r="DI19" s="56">
        <f t="shared" si="288"/>
        <v>1422</v>
      </c>
      <c r="DJ19" s="56">
        <f t="shared" si="288"/>
        <v>1422</v>
      </c>
      <c r="DK19" s="56">
        <f t="shared" si="288"/>
        <v>1422</v>
      </c>
      <c r="DL19" s="56">
        <f t="shared" si="288"/>
        <v>1422</v>
      </c>
      <c r="DM19" s="56">
        <f t="shared" si="288"/>
        <v>1422</v>
      </c>
      <c r="DN19" s="56">
        <f t="shared" si="288"/>
        <v>1422</v>
      </c>
      <c r="DO19" s="56">
        <f t="shared" si="288"/>
        <v>1422</v>
      </c>
      <c r="DP19" s="56">
        <f t="shared" si="288"/>
        <v>1422</v>
      </c>
      <c r="DQ19" s="56">
        <f t="shared" si="288"/>
        <v>1422</v>
      </c>
      <c r="DR19" s="56">
        <f t="shared" si="288"/>
        <v>1422</v>
      </c>
      <c r="DS19" s="56">
        <f t="shared" si="288"/>
        <v>1422</v>
      </c>
      <c r="DT19" s="56">
        <f t="shared" si="288"/>
        <v>1422</v>
      </c>
      <c r="DU19" s="56">
        <f t="shared" si="288"/>
        <v>1422</v>
      </c>
      <c r="DV19" s="56">
        <f>1522-100</f>
        <v>1422</v>
      </c>
      <c r="DW19" s="56">
        <f>1522-100</f>
        <v>1422</v>
      </c>
      <c r="DX19" s="56">
        <v>1396</v>
      </c>
      <c r="DY19" s="56">
        <v>1396</v>
      </c>
      <c r="DZ19" s="56">
        <v>1396</v>
      </c>
      <c r="EA19" s="56">
        <v>1396</v>
      </c>
      <c r="EB19" s="56">
        <f t="shared" ref="EB19:EG19" si="289">EB18-100</f>
        <v>1396</v>
      </c>
      <c r="EC19" s="56">
        <f t="shared" si="289"/>
        <v>1396</v>
      </c>
      <c r="ED19" s="56">
        <f t="shared" si="289"/>
        <v>1396</v>
      </c>
      <c r="EE19" s="56">
        <f t="shared" si="289"/>
        <v>1396</v>
      </c>
      <c r="EF19" s="56">
        <f t="shared" si="289"/>
        <v>1396</v>
      </c>
      <c r="EG19" s="56">
        <f t="shared" si="289"/>
        <v>1396</v>
      </c>
      <c r="EH19" s="56">
        <f>EH18-100</f>
        <v>1396</v>
      </c>
      <c r="EI19" s="56">
        <f>EI18-100</f>
        <v>1396</v>
      </c>
      <c r="EJ19" s="100">
        <f t="shared" ref="EJ19:EO19" si="290">EJ18-100</f>
        <v>1396</v>
      </c>
      <c r="EK19" s="100">
        <f t="shared" si="290"/>
        <v>1396</v>
      </c>
      <c r="EL19" s="100">
        <f t="shared" si="290"/>
        <v>1396</v>
      </c>
      <c r="EM19" s="100">
        <f t="shared" si="290"/>
        <v>1396</v>
      </c>
      <c r="EN19" s="100">
        <f t="shared" si="290"/>
        <v>1396</v>
      </c>
      <c r="EO19" s="100">
        <f t="shared" si="290"/>
        <v>1396</v>
      </c>
      <c r="EP19" s="100">
        <f t="shared" ref="EP19:EV19" si="291">EP18-100</f>
        <v>1396</v>
      </c>
      <c r="EQ19" s="100">
        <f t="shared" si="291"/>
        <v>1371</v>
      </c>
      <c r="ER19" s="100">
        <f t="shared" si="291"/>
        <v>1371</v>
      </c>
      <c r="ES19" s="100">
        <f t="shared" si="291"/>
        <v>1371</v>
      </c>
      <c r="ET19" s="100">
        <f t="shared" si="291"/>
        <v>1371</v>
      </c>
      <c r="EU19" s="100">
        <f t="shared" si="291"/>
        <v>1371</v>
      </c>
      <c r="EV19" s="100">
        <f t="shared" si="291"/>
        <v>1371</v>
      </c>
      <c r="EW19" s="100">
        <f t="shared" ref="EW19:EX19" si="292">EW18-100</f>
        <v>1371</v>
      </c>
      <c r="EX19" s="100">
        <f t="shared" si="292"/>
        <v>1371</v>
      </c>
      <c r="EY19" s="100">
        <f t="shared" ref="EY19:EZ19" si="293">EY18-100</f>
        <v>1358</v>
      </c>
      <c r="EZ19" s="100">
        <f t="shared" si="293"/>
        <v>1358</v>
      </c>
      <c r="FA19" s="100">
        <f t="shared" ref="FA19:FB19" si="294">FA18-100</f>
        <v>1358</v>
      </c>
      <c r="FB19" s="100">
        <f t="shared" si="294"/>
        <v>1358</v>
      </c>
      <c r="FC19" s="100">
        <f t="shared" ref="FC19:FD19" si="295">FC18-100</f>
        <v>1322</v>
      </c>
      <c r="FD19" s="100">
        <f t="shared" si="295"/>
        <v>1322</v>
      </c>
      <c r="FE19" s="100">
        <f t="shared" ref="FE19:FF19" si="296">FE18-100</f>
        <v>1322</v>
      </c>
      <c r="FF19" s="100">
        <f t="shared" si="296"/>
        <v>1322</v>
      </c>
      <c r="FG19" s="100">
        <f t="shared" ref="FG19:FH19" si="297">FG18-100</f>
        <v>1322</v>
      </c>
      <c r="FH19" s="100">
        <f t="shared" si="297"/>
        <v>1296</v>
      </c>
      <c r="FI19" s="100">
        <f t="shared" ref="FI19:FJ19" si="298">FI18-100</f>
        <v>1296</v>
      </c>
      <c r="FJ19" s="100">
        <f t="shared" si="298"/>
        <v>1296</v>
      </c>
      <c r="FK19" s="100">
        <f t="shared" ref="FK19:FL19" si="299">FK18-100</f>
        <v>1296</v>
      </c>
      <c r="FL19" s="100">
        <f t="shared" si="299"/>
        <v>1296</v>
      </c>
      <c r="FM19" s="100">
        <f t="shared" ref="FM19:FN19" si="300">FM18-100</f>
        <v>1296</v>
      </c>
      <c r="FN19" s="100">
        <f t="shared" si="300"/>
        <v>1306</v>
      </c>
      <c r="FO19" s="100">
        <f t="shared" ref="FO19:FQ19" si="301">FO18-100</f>
        <v>1306</v>
      </c>
      <c r="FP19" s="100">
        <f t="shared" si="301"/>
        <v>1306</v>
      </c>
      <c r="FQ19" s="100">
        <f t="shared" si="301"/>
        <v>1306</v>
      </c>
      <c r="FR19" s="100">
        <f t="shared" ref="FR19:FS19" si="302">FR18-100</f>
        <v>1306</v>
      </c>
      <c r="FS19" s="100">
        <f t="shared" si="302"/>
        <v>1306</v>
      </c>
      <c r="FT19" s="100">
        <f t="shared" ref="FT19:FU19" si="303">FT18-100</f>
        <v>1306</v>
      </c>
      <c r="FU19" s="100">
        <f t="shared" si="303"/>
        <v>1306</v>
      </c>
      <c r="FV19" s="100">
        <f t="shared" ref="FV19:FW19" si="304">FV18-100</f>
        <v>1306</v>
      </c>
      <c r="FW19" s="100">
        <f t="shared" si="304"/>
        <v>1306</v>
      </c>
      <c r="FX19" s="100">
        <f t="shared" ref="FX19:FY19" si="305">FX18-100</f>
        <v>1296</v>
      </c>
      <c r="FY19" s="100">
        <f t="shared" si="305"/>
        <v>1296</v>
      </c>
      <c r="FZ19" s="100">
        <f t="shared" ref="FZ19:GC19" si="306">FZ18-100</f>
        <v>1296</v>
      </c>
      <c r="GA19" s="100">
        <f t="shared" si="306"/>
        <v>1296</v>
      </c>
      <c r="GB19" s="100">
        <f t="shared" si="306"/>
        <v>1296</v>
      </c>
      <c r="GC19" s="100">
        <f t="shared" si="306"/>
        <v>1296</v>
      </c>
      <c r="GD19" s="100">
        <f t="shared" ref="GD19:GE19" si="307">GD18-100</f>
        <v>1296</v>
      </c>
      <c r="GE19" s="100">
        <f t="shared" si="307"/>
        <v>1316</v>
      </c>
      <c r="GF19" s="100">
        <f t="shared" ref="GF19:GG19" si="308">GF18-100</f>
        <v>1316</v>
      </c>
      <c r="GG19" s="100">
        <f t="shared" si="308"/>
        <v>1316</v>
      </c>
      <c r="GH19" s="100">
        <f t="shared" ref="GH19:GI19" si="309">GH18-100</f>
        <v>1316</v>
      </c>
      <c r="GI19" s="100">
        <f t="shared" si="309"/>
        <v>1316</v>
      </c>
      <c r="GJ19" s="100">
        <f t="shared" ref="GJ19:GK19" si="310">GJ18-100</f>
        <v>1337</v>
      </c>
      <c r="GK19" s="100">
        <f t="shared" si="310"/>
        <v>1337</v>
      </c>
      <c r="GL19" s="100">
        <f t="shared" ref="GL19:GM19" si="311">GL18-100</f>
        <v>1337</v>
      </c>
      <c r="GM19" s="100">
        <f t="shared" si="311"/>
        <v>1337</v>
      </c>
      <c r="GN19" s="100">
        <f t="shared" ref="GN19:GO19" si="312">GN18-100</f>
        <v>1337</v>
      </c>
      <c r="GO19" s="100">
        <f t="shared" si="312"/>
        <v>1337</v>
      </c>
      <c r="GP19" s="100">
        <f t="shared" ref="GP19:GQ19" si="313">GP18-100</f>
        <v>1337</v>
      </c>
      <c r="GQ19" s="100">
        <f t="shared" si="313"/>
        <v>1337</v>
      </c>
      <c r="GR19" s="100">
        <f t="shared" ref="GR19:GV19" si="314">GR18-100</f>
        <v>1337</v>
      </c>
      <c r="GS19" s="100">
        <f t="shared" si="314"/>
        <v>1337</v>
      </c>
      <c r="GT19" s="100">
        <f t="shared" si="314"/>
        <v>1334</v>
      </c>
      <c r="GU19" s="100">
        <f t="shared" si="314"/>
        <v>1334</v>
      </c>
      <c r="GV19" s="100">
        <f t="shared" si="314"/>
        <v>1334</v>
      </c>
      <c r="GW19" s="100">
        <f t="shared" ref="GW19:GZ19" si="315">GW18-100</f>
        <v>1334</v>
      </c>
      <c r="GX19" s="100">
        <f t="shared" si="315"/>
        <v>1334</v>
      </c>
      <c r="GY19" s="100">
        <f t="shared" si="315"/>
        <v>1334</v>
      </c>
      <c r="GZ19" s="100">
        <f t="shared" si="315"/>
        <v>1334</v>
      </c>
      <c r="HA19" s="100">
        <f t="shared" ref="HA19:HB19" si="316">HA18-100</f>
        <v>1334</v>
      </c>
      <c r="HB19" s="100">
        <f t="shared" si="316"/>
        <v>1321</v>
      </c>
      <c r="HC19" s="100">
        <f t="shared" ref="HC19:HD19" si="317">HC18-100</f>
        <v>1321</v>
      </c>
      <c r="HD19" s="100">
        <f t="shared" si="317"/>
        <v>1321</v>
      </c>
      <c r="HE19" s="100">
        <f t="shared" ref="HE19:HF19" si="318">HE18-100</f>
        <v>1321</v>
      </c>
      <c r="HF19" s="100">
        <f t="shared" si="318"/>
        <v>1321</v>
      </c>
      <c r="HG19" s="100">
        <f t="shared" ref="HG19:HH19" si="319">HG18-100</f>
        <v>1308</v>
      </c>
      <c r="HH19" s="100">
        <f t="shared" si="319"/>
        <v>1308</v>
      </c>
      <c r="HI19" s="100">
        <f t="shared" ref="HI19:HJ19" si="320">HI18-100</f>
        <v>1308</v>
      </c>
      <c r="HJ19" s="100">
        <f t="shared" si="320"/>
        <v>1308</v>
      </c>
      <c r="HK19" s="100">
        <f t="shared" ref="HK19:HL19" si="321">HK18-100</f>
        <v>1308</v>
      </c>
      <c r="HL19" s="100">
        <f t="shared" si="321"/>
        <v>1298</v>
      </c>
      <c r="HM19" s="100">
        <f t="shared" ref="HM19:HN19" si="322">HM18-100</f>
        <v>1298</v>
      </c>
      <c r="HN19" s="100">
        <f t="shared" si="322"/>
        <v>1298</v>
      </c>
      <c r="HO19" s="100">
        <f t="shared" ref="HO19:HQ19" si="323">HO18-100</f>
        <v>1298</v>
      </c>
      <c r="HP19" s="100">
        <f t="shared" si="323"/>
        <v>1298</v>
      </c>
      <c r="HQ19" s="100">
        <f t="shared" si="323"/>
        <v>1298</v>
      </c>
      <c r="HR19" s="100">
        <f t="shared" ref="HR19:HS19" si="324">HR18-100</f>
        <v>1298</v>
      </c>
      <c r="HS19" s="100">
        <f t="shared" si="324"/>
        <v>1298</v>
      </c>
      <c r="HT19" s="100">
        <f t="shared" ref="HT19:HU19" si="325">HT18-100</f>
        <v>1298</v>
      </c>
      <c r="HU19" s="100">
        <f t="shared" si="325"/>
        <v>1298</v>
      </c>
      <c r="HV19" s="100">
        <f t="shared" ref="HV19:HW19" si="326">HV18-100</f>
        <v>1298</v>
      </c>
      <c r="HW19" s="100">
        <f t="shared" si="326"/>
        <v>1298</v>
      </c>
      <c r="HX19" s="100">
        <f t="shared" ref="HX19:HY19" si="327">HX18-100</f>
        <v>1298</v>
      </c>
      <c r="HY19" s="100">
        <f t="shared" si="327"/>
        <v>1298</v>
      </c>
      <c r="HZ19" s="100">
        <f t="shared" ref="HZ19:IA19" si="328">HZ18-100</f>
        <v>1298</v>
      </c>
      <c r="IA19" s="100">
        <f t="shared" si="328"/>
        <v>1298</v>
      </c>
      <c r="IB19" s="100">
        <f t="shared" ref="IB19:IC19" si="329">IB18-100</f>
        <v>1298</v>
      </c>
      <c r="IC19" s="100">
        <f t="shared" si="329"/>
        <v>1298</v>
      </c>
      <c r="ID19" s="100">
        <f t="shared" ref="ID19" si="330">ID18-100</f>
        <v>1298</v>
      </c>
      <c r="IE19" s="100">
        <f t="shared" ref="IE19:IH19" si="331">IE18-100</f>
        <v>1298</v>
      </c>
      <c r="IF19" s="100">
        <f t="shared" si="331"/>
        <v>1298</v>
      </c>
      <c r="IG19" s="100">
        <f t="shared" si="331"/>
        <v>1060</v>
      </c>
      <c r="IH19" s="100">
        <f t="shared" si="331"/>
        <v>1060</v>
      </c>
      <c r="II19" s="100">
        <f t="shared" ref="II19:IJ19" si="332">II18-100</f>
        <v>1060</v>
      </c>
      <c r="IJ19" s="100">
        <f t="shared" si="332"/>
        <v>1060</v>
      </c>
      <c r="IK19" s="100">
        <f t="shared" ref="IK19" si="333">IK18-100</f>
        <v>1060</v>
      </c>
      <c r="IL19" s="56">
        <f t="shared" ref="IL19:IM19" si="334">IL18-100</f>
        <v>1060</v>
      </c>
      <c r="IM19" s="56">
        <f t="shared" si="334"/>
        <v>1060</v>
      </c>
      <c r="IN19" s="56">
        <f t="shared" ref="IN19:IO19" si="335">IN18-100</f>
        <v>1060</v>
      </c>
      <c r="IO19" s="56">
        <f t="shared" si="335"/>
        <v>1060</v>
      </c>
      <c r="IP19" s="56">
        <f t="shared" ref="IP19:IQ19" si="336">IP18-100</f>
        <v>1060</v>
      </c>
      <c r="IQ19" s="56">
        <f t="shared" si="336"/>
        <v>1060</v>
      </c>
      <c r="IR19" s="56">
        <f t="shared" ref="IR19:IS19" si="337">IR18-100</f>
        <v>1060</v>
      </c>
      <c r="IS19" s="56">
        <f t="shared" si="337"/>
        <v>1060</v>
      </c>
      <c r="IT19" s="56">
        <f t="shared" ref="IT19:IV19" si="338">IT18-100</f>
        <v>1060</v>
      </c>
      <c r="IU19" s="56">
        <f t="shared" si="338"/>
        <v>1060</v>
      </c>
      <c r="IV19" s="56">
        <f t="shared" si="338"/>
        <v>1070</v>
      </c>
      <c r="IW19" s="56">
        <f t="shared" ref="IW19:IX19" si="339">IW18-100</f>
        <v>1070</v>
      </c>
      <c r="IX19" s="56">
        <f t="shared" si="339"/>
        <v>1070</v>
      </c>
      <c r="IY19" s="56">
        <f t="shared" ref="IY19" si="340">IY18-100</f>
        <v>1070</v>
      </c>
      <c r="IZ19" s="56"/>
      <c r="JA19" s="56"/>
      <c r="JB19" s="56"/>
      <c r="JC19" s="56"/>
      <c r="JD19" s="56"/>
    </row>
    <row r="20" spans="1:264" s="65" customFormat="1" ht="14">
      <c r="D20" s="54" t="s">
        <v>41</v>
      </c>
      <c r="F20" s="55" t="s">
        <v>130</v>
      </c>
      <c r="G20" s="56" t="s">
        <v>24</v>
      </c>
      <c r="H20" s="97" t="s">
        <v>130</v>
      </c>
      <c r="S20" s="56">
        <v>1260</v>
      </c>
      <c r="T20" s="56">
        <v>1260</v>
      </c>
      <c r="U20" s="56">
        <v>1185</v>
      </c>
      <c r="V20" s="56">
        <v>1297.5</v>
      </c>
      <c r="W20" s="56">
        <v>1386</v>
      </c>
      <c r="X20" s="56">
        <v>1390</v>
      </c>
      <c r="Y20" s="56">
        <v>1320</v>
      </c>
      <c r="Z20" s="56">
        <v>1327</v>
      </c>
      <c r="AA20" s="56">
        <v>1248</v>
      </c>
      <c r="AB20" s="56">
        <v>1230</v>
      </c>
      <c r="AC20" s="56">
        <v>1130</v>
      </c>
      <c r="AD20" s="56">
        <v>1130</v>
      </c>
      <c r="AE20" s="56">
        <v>1105</v>
      </c>
      <c r="AF20" s="56">
        <v>1105</v>
      </c>
      <c r="AG20" s="56">
        <v>1105</v>
      </c>
      <c r="AH20" s="56">
        <v>1105</v>
      </c>
      <c r="AI20" s="56">
        <v>1065</v>
      </c>
      <c r="AJ20" s="56">
        <v>1065</v>
      </c>
      <c r="AK20" s="56">
        <f>+SUM(CY20:DC20)/5</f>
        <v>1002</v>
      </c>
      <c r="AL20" s="56">
        <f>+SUM(DD20:DG20)/4</f>
        <v>1017.5</v>
      </c>
      <c r="AM20" s="56">
        <f>+SUM(DH20:DK20)/4</f>
        <v>1092.5</v>
      </c>
      <c r="AN20" s="56">
        <f>+SUM(DL20:DO20)/COUNT(DL20:DO20)</f>
        <v>1072.5</v>
      </c>
      <c r="AO20" s="56">
        <f>+SUM(DP20:DS20)/COUNT(DP20:DS20)</f>
        <v>1050</v>
      </c>
      <c r="AP20" s="56">
        <f>+SUM(DT20:DX20)/COUNT(DT20:DX20)</f>
        <v>1044</v>
      </c>
      <c r="AQ20" s="56">
        <f>+SUM(DY20:EB20)/COUNT(DY20:EB20)</f>
        <v>970</v>
      </c>
      <c r="AR20" s="56">
        <f>+SUM(EC20:EF20)/COUNT(EC20:EF20)</f>
        <v>960</v>
      </c>
      <c r="AS20" s="56">
        <f>+SUM(EG20:EK20)/COUNT(EG20:EK20)</f>
        <v>1008</v>
      </c>
      <c r="AT20" s="56">
        <f>+SUM(EL20:EO20)/COUNT(EL20:EO20)</f>
        <v>1027.5</v>
      </c>
      <c r="AU20" s="56">
        <f>+SUM(EP20:ES20)/COUNT(EP20:ES20)</f>
        <v>1020</v>
      </c>
      <c r="AV20" s="100">
        <f t="shared" si="259"/>
        <v>955</v>
      </c>
      <c r="AW20" s="100">
        <f t="shared" si="260"/>
        <v>928</v>
      </c>
      <c r="AX20" s="100">
        <f t="shared" si="265"/>
        <v>940</v>
      </c>
      <c r="AY20" s="100">
        <f t="shared" si="261"/>
        <v>993.33333333333337</v>
      </c>
      <c r="AZ20" s="100">
        <f t="shared" si="262"/>
        <v>985</v>
      </c>
      <c r="BA20" s="100">
        <f t="shared" si="263"/>
        <v>962.5</v>
      </c>
      <c r="BB20" s="100">
        <f t="shared" si="264"/>
        <v>982</v>
      </c>
      <c r="BC20" s="100">
        <f>+SUM(FW20:FZ20)/COUNT(FW20:FZ20)</f>
        <v>1000</v>
      </c>
      <c r="BD20" s="100">
        <f>+SUM(GA20:GD20)/COUNT(GA20:GD20)</f>
        <v>1000</v>
      </c>
      <c r="BE20" s="100">
        <f t="shared" si="273"/>
        <v>984</v>
      </c>
      <c r="BF20" s="100">
        <f t="shared" si="274"/>
        <v>967.5</v>
      </c>
      <c r="BG20" s="100">
        <f>+SUM(GN20:GQ20)/COUNT(GN20:GQ20)</f>
        <v>965</v>
      </c>
      <c r="BH20" s="100">
        <f t="shared" si="275"/>
        <v>974</v>
      </c>
      <c r="BI20" s="100">
        <f>+SUM(GV20:GZ20)/COUNT(GV20:GZ20)</f>
        <v>956</v>
      </c>
      <c r="BJ20" s="100">
        <f t="shared" si="276"/>
        <v>940</v>
      </c>
      <c r="BK20" s="100">
        <f t="shared" si="277"/>
        <v>918</v>
      </c>
      <c r="BL20" s="100">
        <f t="shared" si="278"/>
        <v>896</v>
      </c>
      <c r="BM20" s="100">
        <f t="shared" si="279"/>
        <v>891.5</v>
      </c>
      <c r="BN20" s="100">
        <f t="shared" si="280"/>
        <v>864</v>
      </c>
      <c r="BO20" s="100">
        <f t="shared" si="281"/>
        <v>833</v>
      </c>
      <c r="BP20" s="100">
        <f t="shared" si="282"/>
        <v>833</v>
      </c>
      <c r="BQ20" s="100">
        <f t="shared" si="283"/>
        <v>815</v>
      </c>
      <c r="BR20" s="100">
        <f t="shared" si="284"/>
        <v>812.5</v>
      </c>
      <c r="BS20" s="100">
        <f t="shared" si="285"/>
        <v>805</v>
      </c>
      <c r="BT20" s="100">
        <f t="shared" si="286"/>
        <v>805</v>
      </c>
      <c r="BU20" s="100">
        <f t="shared" si="287"/>
        <v>802.5</v>
      </c>
      <c r="BV20" s="100">
        <v>800</v>
      </c>
      <c r="BW20" s="146"/>
      <c r="BX20" s="54" t="s">
        <v>41</v>
      </c>
      <c r="BZ20" s="97" t="s">
        <v>130</v>
      </c>
      <c r="CA20" s="56">
        <f>+(1240+1400)/2</f>
        <v>1320</v>
      </c>
      <c r="CB20" s="56">
        <f>+(1240+1400)/2</f>
        <v>1320</v>
      </c>
      <c r="CC20" s="56">
        <f>+(1240+1400)/2</f>
        <v>1320</v>
      </c>
      <c r="CD20" s="56">
        <f>+(1200+1370)/2</f>
        <v>1285</v>
      </c>
      <c r="CE20" s="56">
        <f>+(1180+1350)/2</f>
        <v>1265</v>
      </c>
      <c r="CF20" s="56">
        <f>+(1140+1320)/2</f>
        <v>1230</v>
      </c>
      <c r="CG20" s="56">
        <f>+(1120+1300)/2</f>
        <v>1210</v>
      </c>
      <c r="CH20" s="56">
        <f>+(1120+1300)/2</f>
        <v>1210</v>
      </c>
      <c r="CI20" s="56">
        <f>+(1020+1200)/2</f>
        <v>1110</v>
      </c>
      <c r="CJ20" s="56">
        <f>+(1020+1200)/2</f>
        <v>1110</v>
      </c>
      <c r="CK20" s="56">
        <f>+(1040+1220)/2</f>
        <v>1130</v>
      </c>
      <c r="CL20" s="56">
        <f>+(1040+1220)/2</f>
        <v>1130</v>
      </c>
      <c r="CM20" s="56">
        <f>+(1020+1150)/2</f>
        <v>1085</v>
      </c>
      <c r="CN20" s="56">
        <f>+(1040+1170)/2</f>
        <v>1105</v>
      </c>
      <c r="CO20" s="56">
        <f>+(1040+1170)/2</f>
        <v>1105</v>
      </c>
      <c r="CP20" s="56">
        <f>+(1040+1170)/2</f>
        <v>1105</v>
      </c>
      <c r="CQ20" s="56">
        <v>1105</v>
      </c>
      <c r="CR20" s="56">
        <v>1105</v>
      </c>
      <c r="CS20" s="56">
        <v>1105</v>
      </c>
      <c r="CT20" s="56">
        <v>1065</v>
      </c>
      <c r="CU20" s="56">
        <v>1065</v>
      </c>
      <c r="CV20" s="56">
        <f>+(950+1110)/2</f>
        <v>1030</v>
      </c>
      <c r="CW20" s="56">
        <f>+(950+1110)/2</f>
        <v>1030</v>
      </c>
      <c r="CX20" s="56">
        <f>+(950+1110)/2</f>
        <v>1030</v>
      </c>
      <c r="CY20" s="114">
        <f>+(920+1110)/2</f>
        <v>1015</v>
      </c>
      <c r="CZ20" s="114">
        <f>+(920+1070)/2</f>
        <v>995</v>
      </c>
      <c r="DA20" s="114">
        <f>+(920+1070)/2</f>
        <v>995</v>
      </c>
      <c r="DB20" s="114">
        <f>+(920+1070)/2</f>
        <v>995</v>
      </c>
      <c r="DC20" s="114">
        <f>+(940+1080)/2</f>
        <v>1010</v>
      </c>
      <c r="DD20" s="56">
        <v>940</v>
      </c>
      <c r="DE20" s="56">
        <v>1020</v>
      </c>
      <c r="DF20" s="56">
        <v>1030</v>
      </c>
      <c r="DG20" s="56">
        <v>1080</v>
      </c>
      <c r="DH20" s="56">
        <v>1100</v>
      </c>
      <c r="DI20" s="56">
        <v>1100</v>
      </c>
      <c r="DJ20" s="56">
        <v>1090</v>
      </c>
      <c r="DK20" s="56">
        <v>1080</v>
      </c>
      <c r="DL20" s="56">
        <v>1080</v>
      </c>
      <c r="DM20" s="56">
        <v>1070</v>
      </c>
      <c r="DN20" s="56">
        <v>1070</v>
      </c>
      <c r="DO20" s="56">
        <v>1070</v>
      </c>
      <c r="DP20" s="56">
        <v>1050</v>
      </c>
      <c r="DQ20" s="56">
        <v>1050</v>
      </c>
      <c r="DR20" s="56">
        <v>1050</v>
      </c>
      <c r="DS20" s="56">
        <v>1050</v>
      </c>
      <c r="DT20" s="56">
        <v>1050</v>
      </c>
      <c r="DU20" s="56">
        <v>1050</v>
      </c>
      <c r="DV20" s="56">
        <v>1050</v>
      </c>
      <c r="DW20" s="56">
        <v>1040</v>
      </c>
      <c r="DX20" s="56">
        <v>1030</v>
      </c>
      <c r="DY20" s="56">
        <v>1030</v>
      </c>
      <c r="DZ20" s="56">
        <v>950</v>
      </c>
      <c r="EA20" s="56">
        <v>950</v>
      </c>
      <c r="EB20" s="56">
        <v>950</v>
      </c>
      <c r="EC20" s="56">
        <v>950</v>
      </c>
      <c r="ED20" s="56">
        <v>950</v>
      </c>
      <c r="EE20" s="56">
        <v>970</v>
      </c>
      <c r="EF20" s="56">
        <v>970</v>
      </c>
      <c r="EG20" s="56">
        <v>1000</v>
      </c>
      <c r="EH20" s="56">
        <v>1000</v>
      </c>
      <c r="EI20" s="56">
        <v>1000</v>
      </c>
      <c r="EJ20" s="100">
        <v>1020</v>
      </c>
      <c r="EK20" s="100">
        <v>1020</v>
      </c>
      <c r="EL20" s="100">
        <v>1020</v>
      </c>
      <c r="EM20" s="100">
        <v>1030</v>
      </c>
      <c r="EN20" s="100">
        <v>1030</v>
      </c>
      <c r="EO20" s="100">
        <v>1030</v>
      </c>
      <c r="EP20" s="100">
        <v>1030</v>
      </c>
      <c r="EQ20" s="100">
        <v>1030</v>
      </c>
      <c r="ER20" s="100">
        <v>1020</v>
      </c>
      <c r="ES20" s="100">
        <v>1000</v>
      </c>
      <c r="ET20" s="100">
        <v>980</v>
      </c>
      <c r="EU20" s="100">
        <v>960</v>
      </c>
      <c r="EV20" s="100">
        <v>940</v>
      </c>
      <c r="EW20" s="100">
        <v>940</v>
      </c>
      <c r="EX20" s="100">
        <v>940</v>
      </c>
      <c r="EY20" s="100">
        <v>940</v>
      </c>
      <c r="EZ20" s="100">
        <v>920</v>
      </c>
      <c r="FA20" s="100">
        <v>920</v>
      </c>
      <c r="FB20" s="100">
        <v>920</v>
      </c>
      <c r="FC20" s="100">
        <v>920</v>
      </c>
      <c r="FD20" s="100">
        <v>950</v>
      </c>
      <c r="FE20" s="100">
        <v>950</v>
      </c>
      <c r="FF20" s="100">
        <v>970</v>
      </c>
      <c r="FG20" s="100">
        <v>980</v>
      </c>
      <c r="FH20" s="100">
        <v>1000</v>
      </c>
      <c r="FI20" s="100">
        <v>1000</v>
      </c>
      <c r="FJ20" s="100">
        <v>1000</v>
      </c>
      <c r="FK20" s="100">
        <v>980</v>
      </c>
      <c r="FL20" s="100">
        <v>980</v>
      </c>
      <c r="FM20" s="100">
        <v>980</v>
      </c>
      <c r="FN20" s="100">
        <v>960</v>
      </c>
      <c r="FO20" s="100">
        <v>960</v>
      </c>
      <c r="FP20" s="100">
        <v>960</v>
      </c>
      <c r="FQ20" s="100">
        <v>970</v>
      </c>
      <c r="FR20" s="100">
        <v>970</v>
      </c>
      <c r="FS20" s="100">
        <v>980</v>
      </c>
      <c r="FT20" s="100">
        <v>980</v>
      </c>
      <c r="FU20" s="100">
        <v>980</v>
      </c>
      <c r="FV20" s="100">
        <v>1000</v>
      </c>
      <c r="FW20" s="100">
        <v>1000</v>
      </c>
      <c r="FX20" s="100">
        <v>1000</v>
      </c>
      <c r="FY20" s="100">
        <v>1000</v>
      </c>
      <c r="FZ20" s="100">
        <v>1000</v>
      </c>
      <c r="GA20" s="100">
        <v>1000</v>
      </c>
      <c r="GB20" s="100">
        <v>1000</v>
      </c>
      <c r="GC20" s="100">
        <v>1000</v>
      </c>
      <c r="GD20" s="100">
        <v>1000</v>
      </c>
      <c r="GE20" s="100">
        <v>1000</v>
      </c>
      <c r="GF20" s="100">
        <v>1000</v>
      </c>
      <c r="GG20" s="100">
        <v>980</v>
      </c>
      <c r="GH20" s="100">
        <v>970</v>
      </c>
      <c r="GI20" s="100">
        <v>970</v>
      </c>
      <c r="GJ20" s="100">
        <v>970</v>
      </c>
      <c r="GK20" s="100">
        <v>970</v>
      </c>
      <c r="GL20" s="100">
        <v>970</v>
      </c>
      <c r="GM20" s="100">
        <v>960</v>
      </c>
      <c r="GN20" s="100">
        <v>960</v>
      </c>
      <c r="GO20" s="100">
        <v>960</v>
      </c>
      <c r="GP20" s="100">
        <v>960</v>
      </c>
      <c r="GQ20" s="100">
        <v>980</v>
      </c>
      <c r="GR20" s="100">
        <v>980</v>
      </c>
      <c r="GS20" s="100">
        <v>980</v>
      </c>
      <c r="GT20" s="100">
        <v>970</v>
      </c>
      <c r="GU20" s="100">
        <v>970</v>
      </c>
      <c r="GV20" s="100">
        <v>970</v>
      </c>
      <c r="GW20" s="100">
        <v>970</v>
      </c>
      <c r="GX20" s="100">
        <v>950</v>
      </c>
      <c r="GY20" s="100">
        <v>950</v>
      </c>
      <c r="GZ20" s="100">
        <v>940</v>
      </c>
      <c r="HA20" s="100">
        <v>940</v>
      </c>
      <c r="HB20" s="100">
        <v>940</v>
      </c>
      <c r="HC20" s="100">
        <v>940</v>
      </c>
      <c r="HD20" s="100">
        <v>940</v>
      </c>
      <c r="HE20" s="100">
        <v>940</v>
      </c>
      <c r="HF20" s="100">
        <v>940</v>
      </c>
      <c r="HG20" s="100">
        <v>896</v>
      </c>
      <c r="HH20" s="100">
        <v>896</v>
      </c>
      <c r="HI20" s="100">
        <v>896</v>
      </c>
      <c r="HJ20" s="100">
        <v>896</v>
      </c>
      <c r="HK20" s="100">
        <v>896</v>
      </c>
      <c r="HL20" s="100">
        <v>896</v>
      </c>
      <c r="HM20" s="100">
        <v>896</v>
      </c>
      <c r="HN20" s="100">
        <v>900</v>
      </c>
      <c r="HO20" s="100">
        <v>890</v>
      </c>
      <c r="HP20" s="100">
        <v>880</v>
      </c>
      <c r="HQ20" s="100">
        <v>870</v>
      </c>
      <c r="HR20" s="100">
        <v>870</v>
      </c>
      <c r="HS20" s="100">
        <v>860</v>
      </c>
      <c r="HT20" s="100">
        <v>860</v>
      </c>
      <c r="HU20" s="100">
        <v>860</v>
      </c>
      <c r="HV20" s="100">
        <v>833</v>
      </c>
      <c r="HW20" s="100">
        <v>833</v>
      </c>
      <c r="HX20" s="100">
        <v>833</v>
      </c>
      <c r="HY20" s="100">
        <v>833</v>
      </c>
      <c r="HZ20" s="100">
        <v>833</v>
      </c>
      <c r="IA20" s="100">
        <v>833</v>
      </c>
      <c r="IB20" s="100">
        <v>833</v>
      </c>
      <c r="IC20" s="100">
        <v>833</v>
      </c>
      <c r="ID20" s="100">
        <v>833</v>
      </c>
      <c r="IE20" s="100">
        <v>815</v>
      </c>
      <c r="IF20" s="100">
        <v>815</v>
      </c>
      <c r="IG20" s="100">
        <v>815</v>
      </c>
      <c r="IH20" s="100">
        <v>815</v>
      </c>
      <c r="II20" s="100">
        <v>815</v>
      </c>
      <c r="IJ20" s="100">
        <v>815</v>
      </c>
      <c r="IK20" s="100">
        <v>815</v>
      </c>
      <c r="IL20" s="56">
        <v>805</v>
      </c>
      <c r="IM20" s="56">
        <v>805</v>
      </c>
      <c r="IN20" s="56">
        <v>805</v>
      </c>
      <c r="IO20" s="56">
        <v>805</v>
      </c>
      <c r="IP20" s="56">
        <v>805</v>
      </c>
      <c r="IQ20" s="56">
        <v>805</v>
      </c>
      <c r="IR20" s="56">
        <v>805</v>
      </c>
      <c r="IS20" s="56">
        <v>805</v>
      </c>
      <c r="IT20" s="56">
        <v>805</v>
      </c>
      <c r="IU20" s="56">
        <v>805</v>
      </c>
      <c r="IV20" s="56">
        <v>805</v>
      </c>
      <c r="IW20" s="56">
        <v>805</v>
      </c>
      <c r="IX20" s="56">
        <v>800</v>
      </c>
      <c r="IY20" s="56">
        <v>800</v>
      </c>
      <c r="IZ20" s="56"/>
      <c r="JA20" s="56"/>
      <c r="JB20" s="56"/>
      <c r="JC20" s="56"/>
      <c r="JD20" s="56"/>
    </row>
    <row r="21" spans="1:264" ht="14" hidden="1">
      <c r="D21" s="54"/>
      <c r="F21" s="1" t="s">
        <v>85</v>
      </c>
      <c r="H21" s="1" t="s">
        <v>85</v>
      </c>
      <c r="U21" s="41">
        <f>U20</f>
        <v>1185</v>
      </c>
      <c r="V21" s="41">
        <f t="shared" ref="V21:AP21" si="341">V20</f>
        <v>1297.5</v>
      </c>
      <c r="W21" s="41">
        <f t="shared" si="341"/>
        <v>1386</v>
      </c>
      <c r="X21" s="41">
        <f t="shared" si="341"/>
        <v>1390</v>
      </c>
      <c r="Y21" s="41">
        <f t="shared" si="341"/>
        <v>1320</v>
      </c>
      <c r="Z21" s="41">
        <f t="shared" si="341"/>
        <v>1327</v>
      </c>
      <c r="AA21" s="41">
        <f t="shared" si="341"/>
        <v>1248</v>
      </c>
      <c r="AB21" s="41">
        <f t="shared" si="341"/>
        <v>1230</v>
      </c>
      <c r="AC21" s="41">
        <f t="shared" si="341"/>
        <v>1130</v>
      </c>
      <c r="AD21" s="41">
        <f t="shared" si="341"/>
        <v>1130</v>
      </c>
      <c r="AE21" s="41">
        <f t="shared" si="341"/>
        <v>1105</v>
      </c>
      <c r="AF21" s="41">
        <f t="shared" si="341"/>
        <v>1105</v>
      </c>
      <c r="AG21" s="41">
        <f t="shared" si="341"/>
        <v>1105</v>
      </c>
      <c r="AH21" s="41">
        <f t="shared" si="341"/>
        <v>1105</v>
      </c>
      <c r="AI21" s="41">
        <f t="shared" si="341"/>
        <v>1065</v>
      </c>
      <c r="AJ21" s="41">
        <f t="shared" si="341"/>
        <v>1065</v>
      </c>
      <c r="AK21" s="41">
        <f t="shared" si="341"/>
        <v>1002</v>
      </c>
      <c r="AL21" s="41">
        <f t="shared" si="341"/>
        <v>1017.5</v>
      </c>
      <c r="AM21" s="41">
        <f t="shared" si="341"/>
        <v>1092.5</v>
      </c>
      <c r="AN21" s="41">
        <f t="shared" si="341"/>
        <v>1072.5</v>
      </c>
      <c r="AO21" s="41">
        <f t="shared" si="341"/>
        <v>1050</v>
      </c>
      <c r="AP21" s="41">
        <f t="shared" si="341"/>
        <v>1044</v>
      </c>
      <c r="AQ21" s="41">
        <f t="shared" ref="AQ21:AV21" si="342">AQ20</f>
        <v>970</v>
      </c>
      <c r="AR21" s="41">
        <f t="shared" si="342"/>
        <v>960</v>
      </c>
      <c r="AS21" s="41">
        <f t="shared" si="342"/>
        <v>1008</v>
      </c>
      <c r="AT21" s="41">
        <f t="shared" si="342"/>
        <v>1027.5</v>
      </c>
      <c r="AU21" s="41">
        <f t="shared" si="342"/>
        <v>1020</v>
      </c>
      <c r="AV21" s="41">
        <f t="shared" si="342"/>
        <v>955</v>
      </c>
      <c r="AW21" s="41">
        <f t="shared" ref="AW21:AX21" si="343">AW20</f>
        <v>928</v>
      </c>
      <c r="AX21" s="41">
        <f t="shared" si="343"/>
        <v>940</v>
      </c>
      <c r="AY21" s="41">
        <f t="shared" ref="AY21:AZ21" si="344">AY20</f>
        <v>993.33333333333337</v>
      </c>
      <c r="AZ21" s="41">
        <f t="shared" si="344"/>
        <v>985</v>
      </c>
      <c r="BA21" s="41">
        <f t="shared" ref="BA21:BB21" si="345">BA20</f>
        <v>962.5</v>
      </c>
      <c r="BB21" s="41">
        <f t="shared" si="345"/>
        <v>982</v>
      </c>
      <c r="BC21" s="41">
        <f t="shared" ref="BC21:BD21" si="346">BC20</f>
        <v>1000</v>
      </c>
      <c r="BD21" s="41">
        <f t="shared" si="346"/>
        <v>1000</v>
      </c>
      <c r="BE21" s="41">
        <f t="shared" ref="BE21:BF21" si="347">BE20</f>
        <v>984</v>
      </c>
      <c r="BF21" s="41">
        <f t="shared" si="347"/>
        <v>967.5</v>
      </c>
      <c r="BG21" s="41">
        <f t="shared" ref="BG21:BH21" si="348">BG20</f>
        <v>965</v>
      </c>
      <c r="BH21" s="41">
        <f t="shared" si="348"/>
        <v>974</v>
      </c>
      <c r="BI21" s="41">
        <f t="shared" ref="BI21:BJ21" si="349">BI20</f>
        <v>956</v>
      </c>
      <c r="BJ21" s="41">
        <f t="shared" si="349"/>
        <v>940</v>
      </c>
      <c r="BK21" s="41">
        <f t="shared" ref="BK21:BL21" si="350">BK20</f>
        <v>918</v>
      </c>
      <c r="BL21" s="41">
        <f t="shared" si="350"/>
        <v>896</v>
      </c>
      <c r="BM21" s="41">
        <f t="shared" ref="BM21:BN21" si="351">BM20</f>
        <v>891.5</v>
      </c>
      <c r="BN21" s="41">
        <f t="shared" si="351"/>
        <v>864</v>
      </c>
      <c r="BO21" s="41">
        <f t="shared" ref="BO21:BP21" si="352">BO20</f>
        <v>833</v>
      </c>
      <c r="BP21" s="41">
        <f t="shared" si="352"/>
        <v>833</v>
      </c>
      <c r="BQ21" s="41">
        <f t="shared" ref="BQ21:BR21" si="353">BQ20</f>
        <v>815</v>
      </c>
      <c r="BR21" s="41">
        <f t="shared" si="353"/>
        <v>812.5</v>
      </c>
      <c r="BS21" s="41">
        <f t="shared" ref="BS21:BT21" si="354">BS20</f>
        <v>805</v>
      </c>
      <c r="BT21" s="41">
        <f t="shared" si="354"/>
        <v>805</v>
      </c>
      <c r="BU21" s="41">
        <f t="shared" ref="BU21:BV21" si="355">BU20</f>
        <v>802.5</v>
      </c>
      <c r="BV21" s="41">
        <f t="shared" si="355"/>
        <v>800</v>
      </c>
      <c r="BW21" s="149"/>
      <c r="BZ21" s="1" t="s">
        <v>85</v>
      </c>
      <c r="CP21" s="41">
        <f>CP20</f>
        <v>1105</v>
      </c>
      <c r="CQ21" s="41">
        <f t="shared" ref="CQ21:DI21" si="356">CQ20</f>
        <v>1105</v>
      </c>
      <c r="CR21" s="41">
        <f t="shared" si="356"/>
        <v>1105</v>
      </c>
      <c r="CS21" s="41">
        <f t="shared" si="356"/>
        <v>1105</v>
      </c>
      <c r="CT21" s="41">
        <f t="shared" si="356"/>
        <v>1065</v>
      </c>
      <c r="CU21" s="41">
        <f t="shared" si="356"/>
        <v>1065</v>
      </c>
      <c r="CV21" s="41">
        <f t="shared" si="356"/>
        <v>1030</v>
      </c>
      <c r="CW21" s="41">
        <f t="shared" si="356"/>
        <v>1030</v>
      </c>
      <c r="CX21" s="41">
        <f t="shared" si="356"/>
        <v>1030</v>
      </c>
      <c r="CY21" s="41">
        <f t="shared" si="356"/>
        <v>1015</v>
      </c>
      <c r="CZ21" s="41">
        <f t="shared" si="356"/>
        <v>995</v>
      </c>
      <c r="DA21" s="41">
        <f t="shared" si="356"/>
        <v>995</v>
      </c>
      <c r="DB21" s="41">
        <f t="shared" si="356"/>
        <v>995</v>
      </c>
      <c r="DC21" s="41">
        <f t="shared" si="356"/>
        <v>1010</v>
      </c>
      <c r="DD21" s="43">
        <f t="shared" si="356"/>
        <v>940</v>
      </c>
      <c r="DE21" s="43">
        <f t="shared" si="356"/>
        <v>1020</v>
      </c>
      <c r="DF21" s="43">
        <f t="shared" si="356"/>
        <v>1030</v>
      </c>
      <c r="DG21" s="43">
        <f t="shared" si="356"/>
        <v>1080</v>
      </c>
      <c r="DH21" s="43">
        <f t="shared" si="356"/>
        <v>1100</v>
      </c>
      <c r="DI21" s="43">
        <f t="shared" si="356"/>
        <v>1100</v>
      </c>
      <c r="DJ21" s="43">
        <f>DJ20</f>
        <v>1090</v>
      </c>
      <c r="DK21" s="43">
        <f>DK20</f>
        <v>1080</v>
      </c>
      <c r="DL21" s="43">
        <f>DL20</f>
        <v>1080</v>
      </c>
      <c r="DM21" s="43">
        <f t="shared" ref="DM21:DT21" si="357">DM20</f>
        <v>1070</v>
      </c>
      <c r="DN21" s="43">
        <f t="shared" si="357"/>
        <v>1070</v>
      </c>
      <c r="DO21" s="43">
        <f t="shared" si="357"/>
        <v>1070</v>
      </c>
      <c r="DP21" s="43">
        <f t="shared" si="357"/>
        <v>1050</v>
      </c>
      <c r="DQ21" s="43">
        <f t="shared" si="357"/>
        <v>1050</v>
      </c>
      <c r="DR21" s="43">
        <f t="shared" si="357"/>
        <v>1050</v>
      </c>
      <c r="DS21" s="43">
        <f t="shared" si="357"/>
        <v>1050</v>
      </c>
      <c r="DT21" s="43">
        <f t="shared" si="357"/>
        <v>1050</v>
      </c>
      <c r="DU21" s="43">
        <f t="shared" ref="DU21:DZ21" si="358">DU20</f>
        <v>1050</v>
      </c>
      <c r="DV21" s="43">
        <f t="shared" si="358"/>
        <v>1050</v>
      </c>
      <c r="DW21" s="43">
        <f t="shared" si="358"/>
        <v>1040</v>
      </c>
      <c r="DX21" s="43">
        <f t="shared" si="358"/>
        <v>1030</v>
      </c>
      <c r="DY21" s="43">
        <f t="shared" si="358"/>
        <v>1030</v>
      </c>
      <c r="DZ21" s="43">
        <f t="shared" si="358"/>
        <v>950</v>
      </c>
      <c r="EA21" s="43">
        <f>EA20</f>
        <v>950</v>
      </c>
      <c r="EB21" s="43">
        <f>+EA21</f>
        <v>950</v>
      </c>
      <c r="EC21" s="43">
        <f>+EB21</f>
        <v>950</v>
      </c>
      <c r="ED21" s="43">
        <f t="shared" ref="ED21:EI21" si="359">+EC21+20</f>
        <v>970</v>
      </c>
      <c r="EE21" s="43">
        <f t="shared" si="359"/>
        <v>990</v>
      </c>
      <c r="EF21" s="43">
        <f t="shared" si="359"/>
        <v>1010</v>
      </c>
      <c r="EG21" s="43">
        <f t="shared" si="359"/>
        <v>1030</v>
      </c>
      <c r="EH21" s="43">
        <f t="shared" si="359"/>
        <v>1050</v>
      </c>
      <c r="EI21" s="43">
        <f t="shared" si="359"/>
        <v>1070</v>
      </c>
      <c r="EJ21" s="134">
        <f t="shared" ref="EJ21:FH21" si="360">+EI21+20</f>
        <v>1090</v>
      </c>
      <c r="EK21" s="134">
        <f t="shared" si="360"/>
        <v>1110</v>
      </c>
      <c r="EL21" s="134">
        <f t="shared" si="360"/>
        <v>1130</v>
      </c>
      <c r="EM21" s="134">
        <f t="shared" si="360"/>
        <v>1150</v>
      </c>
      <c r="EN21" s="134">
        <f t="shared" si="360"/>
        <v>1170</v>
      </c>
      <c r="EO21" s="134">
        <f t="shared" si="360"/>
        <v>1190</v>
      </c>
      <c r="EP21" s="134">
        <f t="shared" si="360"/>
        <v>1210</v>
      </c>
      <c r="EQ21" s="134">
        <f t="shared" si="360"/>
        <v>1230</v>
      </c>
      <c r="ER21" s="134">
        <f>+EQ21+20</f>
        <v>1250</v>
      </c>
      <c r="ES21" s="134">
        <f t="shared" si="360"/>
        <v>1270</v>
      </c>
      <c r="ET21" s="134">
        <f t="shared" si="360"/>
        <v>1290</v>
      </c>
      <c r="EU21" s="134">
        <f t="shared" si="360"/>
        <v>1310</v>
      </c>
      <c r="EV21" s="134">
        <f t="shared" si="360"/>
        <v>1330</v>
      </c>
      <c r="EW21" s="134">
        <f t="shared" si="360"/>
        <v>1350</v>
      </c>
      <c r="EX21" s="134">
        <f t="shared" si="360"/>
        <v>1370</v>
      </c>
      <c r="EY21" s="134">
        <f t="shared" si="360"/>
        <v>1390</v>
      </c>
      <c r="EZ21" s="134">
        <f t="shared" si="360"/>
        <v>1410</v>
      </c>
      <c r="FA21" s="134">
        <f t="shared" si="360"/>
        <v>1430</v>
      </c>
      <c r="FB21" s="134">
        <f t="shared" si="360"/>
        <v>1450</v>
      </c>
      <c r="FC21" s="134">
        <f t="shared" si="360"/>
        <v>1470</v>
      </c>
      <c r="FD21" s="134">
        <f t="shared" si="360"/>
        <v>1490</v>
      </c>
      <c r="FE21" s="134">
        <f t="shared" si="360"/>
        <v>1510</v>
      </c>
      <c r="FF21" s="134">
        <f t="shared" si="360"/>
        <v>1530</v>
      </c>
      <c r="FG21" s="134">
        <f t="shared" si="360"/>
        <v>1550</v>
      </c>
      <c r="FH21" s="134">
        <f t="shared" si="360"/>
        <v>1570</v>
      </c>
      <c r="FI21" s="134">
        <f t="shared" ref="FI21" si="361">+FH21+20</f>
        <v>1590</v>
      </c>
      <c r="FJ21" s="134">
        <f t="shared" ref="FJ21:FY21" si="362">+FI21+20</f>
        <v>1610</v>
      </c>
      <c r="FK21" s="134">
        <f t="shared" si="362"/>
        <v>1630</v>
      </c>
      <c r="FL21" s="134">
        <f t="shared" si="362"/>
        <v>1650</v>
      </c>
      <c r="FM21" s="134">
        <f t="shared" si="362"/>
        <v>1670</v>
      </c>
      <c r="FN21" s="134">
        <f t="shared" si="362"/>
        <v>1690</v>
      </c>
      <c r="FO21" s="134">
        <f t="shared" si="362"/>
        <v>1710</v>
      </c>
      <c r="FP21" s="134">
        <f t="shared" si="362"/>
        <v>1730</v>
      </c>
      <c r="FQ21" s="134">
        <f t="shared" si="362"/>
        <v>1750</v>
      </c>
      <c r="FR21" s="134">
        <f t="shared" si="362"/>
        <v>1770</v>
      </c>
      <c r="FS21" s="134">
        <f t="shared" si="362"/>
        <v>1790</v>
      </c>
      <c r="FT21" s="134">
        <f t="shared" si="362"/>
        <v>1810</v>
      </c>
      <c r="FU21" s="134">
        <f t="shared" si="362"/>
        <v>1830</v>
      </c>
      <c r="FV21" s="134">
        <f t="shared" si="362"/>
        <v>1850</v>
      </c>
      <c r="FW21" s="134">
        <f t="shared" si="362"/>
        <v>1870</v>
      </c>
      <c r="FX21" s="134">
        <f t="shared" si="362"/>
        <v>1890</v>
      </c>
      <c r="FY21" s="134">
        <f t="shared" si="362"/>
        <v>1910</v>
      </c>
      <c r="FZ21" s="134">
        <f t="shared" ref="FZ21" si="363">+FY21+20</f>
        <v>1930</v>
      </c>
      <c r="GA21" s="134">
        <f t="shared" ref="GA21" si="364">+FZ21+20</f>
        <v>1950</v>
      </c>
      <c r="GB21" s="134">
        <f t="shared" ref="GB21" si="365">+GA21+20</f>
        <v>1970</v>
      </c>
      <c r="GC21" s="134">
        <f t="shared" ref="GC21:GM21" si="366">+GB21+20</f>
        <v>1990</v>
      </c>
      <c r="GD21" s="134">
        <f t="shared" si="366"/>
        <v>2010</v>
      </c>
      <c r="GE21" s="134">
        <f t="shared" si="366"/>
        <v>2030</v>
      </c>
      <c r="GF21" s="134">
        <f t="shared" si="366"/>
        <v>2050</v>
      </c>
      <c r="GG21" s="134">
        <f t="shared" si="366"/>
        <v>2070</v>
      </c>
      <c r="GH21" s="134">
        <f t="shared" si="366"/>
        <v>2090</v>
      </c>
      <c r="GI21" s="134">
        <f t="shared" si="366"/>
        <v>2110</v>
      </c>
      <c r="GJ21" s="134">
        <f t="shared" si="366"/>
        <v>2130</v>
      </c>
      <c r="GK21" s="134">
        <f t="shared" si="366"/>
        <v>2150</v>
      </c>
      <c r="GL21" s="134">
        <f t="shared" si="366"/>
        <v>2170</v>
      </c>
      <c r="GM21" s="134">
        <f t="shared" si="366"/>
        <v>2190</v>
      </c>
      <c r="GN21" s="134">
        <f t="shared" ref="GN21" si="367">+GM21+20</f>
        <v>2210</v>
      </c>
      <c r="GO21" s="134">
        <f t="shared" ref="GO21:GR21" si="368">+GN21+20</f>
        <v>2230</v>
      </c>
      <c r="GP21" s="134">
        <f t="shared" si="368"/>
        <v>2250</v>
      </c>
      <c r="GQ21" s="134">
        <f t="shared" si="368"/>
        <v>2270</v>
      </c>
      <c r="GR21" s="134">
        <f t="shared" si="368"/>
        <v>2290</v>
      </c>
      <c r="GS21" s="134">
        <f t="shared" ref="GS21" si="369">+GR21+20</f>
        <v>2310</v>
      </c>
      <c r="GT21" s="134">
        <f t="shared" ref="GT21" si="370">+GS21+20</f>
        <v>2330</v>
      </c>
      <c r="GU21" s="134">
        <f t="shared" ref="GU21" si="371">+GT21+20</f>
        <v>2350</v>
      </c>
      <c r="GV21" s="134">
        <f t="shared" ref="GV21" si="372">+GU21+20</f>
        <v>2370</v>
      </c>
      <c r="GW21" s="134">
        <f t="shared" ref="GW21" si="373">+GV21+20</f>
        <v>2390</v>
      </c>
      <c r="GX21" s="134">
        <f t="shared" ref="GX21" si="374">+GW21+20</f>
        <v>2410</v>
      </c>
      <c r="GY21" s="134">
        <f t="shared" ref="GY21" si="375">+GX21+20</f>
        <v>2430</v>
      </c>
      <c r="GZ21" s="134">
        <f t="shared" ref="GZ21" si="376">+GY21+20</f>
        <v>2450</v>
      </c>
      <c r="HA21" s="134"/>
      <c r="HB21" s="134"/>
      <c r="HC21" s="134"/>
      <c r="HD21" s="134"/>
      <c r="HE21" s="134"/>
      <c r="HF21" s="134"/>
      <c r="HG21" s="134"/>
      <c r="HH21" s="134"/>
      <c r="HI21" s="134"/>
      <c r="HJ21" s="134"/>
      <c r="HK21" s="134"/>
      <c r="HL21" s="134"/>
      <c r="HM21" s="134"/>
      <c r="HN21" s="134"/>
      <c r="HO21" s="134"/>
      <c r="HP21" s="134"/>
      <c r="HQ21" s="134"/>
      <c r="HR21" s="134"/>
      <c r="HS21" s="134"/>
      <c r="HT21" s="134"/>
      <c r="HU21" s="134"/>
      <c r="HV21" s="134"/>
      <c r="HW21" s="134"/>
      <c r="HX21" s="134"/>
      <c r="HY21" s="134"/>
      <c r="HZ21" s="134"/>
      <c r="IA21" s="134"/>
      <c r="IB21" s="134"/>
      <c r="IC21" s="134"/>
      <c r="ID21" s="134"/>
      <c r="IE21" s="134"/>
      <c r="IF21" s="134"/>
      <c r="IG21" s="134"/>
      <c r="IH21" s="134"/>
      <c r="II21" s="134"/>
      <c r="IJ21" s="134"/>
      <c r="IK21" s="134"/>
      <c r="IL21" s="134"/>
      <c r="IM21" s="134"/>
      <c r="IN21" s="134"/>
      <c r="IO21" s="134"/>
      <c r="IP21" s="134"/>
      <c r="IQ21" s="134"/>
      <c r="IR21" s="134"/>
      <c r="IS21" s="134"/>
      <c r="IT21" s="134"/>
      <c r="IU21" s="134"/>
      <c r="IV21" s="134"/>
      <c r="IW21" s="134"/>
      <c r="IX21" s="134"/>
      <c r="IY21" s="134"/>
      <c r="IZ21" s="134"/>
      <c r="JA21" s="134"/>
      <c r="JB21" s="134"/>
      <c r="JC21" s="134"/>
      <c r="JD21" s="134"/>
    </row>
    <row r="22" spans="1:264" s="3" customFormat="1" ht="14">
      <c r="F22" s="3" t="s">
        <v>99</v>
      </c>
      <c r="H22" s="3" t="s">
        <v>99</v>
      </c>
      <c r="U22" s="3">
        <v>1360</v>
      </c>
      <c r="V22" s="3">
        <v>1360</v>
      </c>
      <c r="W22" s="3">
        <v>1360</v>
      </c>
      <c r="X22" s="3">
        <v>1360</v>
      </c>
      <c r="Y22" s="3">
        <v>1360</v>
      </c>
      <c r="Z22" s="3">
        <v>1360</v>
      </c>
      <c r="AA22" s="3">
        <v>1610</v>
      </c>
      <c r="AB22" s="3">
        <v>1610</v>
      </c>
      <c r="AC22" s="3">
        <v>1610</v>
      </c>
      <c r="AD22" s="3">
        <v>1610</v>
      </c>
      <c r="AE22" s="3">
        <v>1610</v>
      </c>
      <c r="AF22" s="3">
        <v>1610</v>
      </c>
      <c r="AG22" s="3">
        <v>1610</v>
      </c>
      <c r="AH22" s="3">
        <v>1610</v>
      </c>
      <c r="AI22" s="3">
        <v>1610</v>
      </c>
      <c r="AJ22" s="3">
        <v>1610</v>
      </c>
      <c r="AK22" s="3">
        <v>1610</v>
      </c>
      <c r="AL22" s="3">
        <v>1575</v>
      </c>
      <c r="AM22" s="3">
        <v>1575</v>
      </c>
      <c r="AN22" s="3">
        <v>1575</v>
      </c>
      <c r="AO22" s="3">
        <v>1530</v>
      </c>
      <c r="AP22" s="3">
        <v>1530</v>
      </c>
      <c r="AQ22" s="3">
        <v>1530</v>
      </c>
      <c r="AR22" s="3">
        <v>1530</v>
      </c>
      <c r="AS22" s="3">
        <v>1530</v>
      </c>
      <c r="AT22" s="3">
        <v>1530</v>
      </c>
      <c r="AU22" s="3">
        <v>1530</v>
      </c>
      <c r="AV22" s="3">
        <v>1530</v>
      </c>
      <c r="AW22" s="3">
        <v>1530</v>
      </c>
      <c r="AX22" s="3">
        <v>1500</v>
      </c>
      <c r="AY22" s="3">
        <v>1500</v>
      </c>
      <c r="AZ22" s="3">
        <v>1500</v>
      </c>
      <c r="BA22" s="3">
        <v>1430</v>
      </c>
      <c r="BB22" s="3">
        <v>1430</v>
      </c>
      <c r="BC22" s="3">
        <v>1430</v>
      </c>
      <c r="BD22" s="171">
        <v>1430</v>
      </c>
      <c r="BE22" s="171">
        <v>1430</v>
      </c>
      <c r="BF22" s="171">
        <v>1430</v>
      </c>
      <c r="BG22" s="171">
        <v>1430</v>
      </c>
      <c r="BH22" s="171">
        <v>1430</v>
      </c>
      <c r="BI22" s="171">
        <v>1430</v>
      </c>
      <c r="BJ22" s="171">
        <v>1430</v>
      </c>
      <c r="BK22" s="171">
        <v>1430</v>
      </c>
      <c r="BL22" s="171">
        <v>1350</v>
      </c>
      <c r="BM22" s="171">
        <v>1350</v>
      </c>
      <c r="BN22" s="171">
        <v>1350</v>
      </c>
      <c r="BO22" s="171">
        <v>1350</v>
      </c>
      <c r="BP22" s="171">
        <v>1380</v>
      </c>
      <c r="BQ22" s="171">
        <v>1380</v>
      </c>
      <c r="BR22" s="171">
        <v>1380</v>
      </c>
      <c r="BS22" s="171">
        <v>1380</v>
      </c>
      <c r="BT22" s="171">
        <v>1380</v>
      </c>
      <c r="BU22" s="171">
        <v>1380</v>
      </c>
      <c r="BV22" s="171">
        <v>1330</v>
      </c>
      <c r="BW22" s="149"/>
      <c r="BZ22" s="125" t="s">
        <v>82</v>
      </c>
      <c r="CS22" s="3">
        <f>CS20</f>
        <v>1105</v>
      </c>
      <c r="CT22" s="3">
        <f t="shared" ref="CT22:DP22" si="377">CT20</f>
        <v>1065</v>
      </c>
      <c r="CU22" s="3">
        <f t="shared" si="377"/>
        <v>1065</v>
      </c>
      <c r="CV22" s="3">
        <f t="shared" si="377"/>
        <v>1030</v>
      </c>
      <c r="CW22" s="3">
        <f t="shared" si="377"/>
        <v>1030</v>
      </c>
      <c r="CX22" s="3">
        <f t="shared" si="377"/>
        <v>1030</v>
      </c>
      <c r="CY22" s="3">
        <f t="shared" si="377"/>
        <v>1015</v>
      </c>
      <c r="CZ22" s="3">
        <f t="shared" si="377"/>
        <v>995</v>
      </c>
      <c r="DA22" s="3">
        <f t="shared" si="377"/>
        <v>995</v>
      </c>
      <c r="DB22" s="3">
        <f t="shared" si="377"/>
        <v>995</v>
      </c>
      <c r="DC22" s="3">
        <f t="shared" si="377"/>
        <v>1010</v>
      </c>
      <c r="DD22" s="43">
        <f t="shared" si="377"/>
        <v>940</v>
      </c>
      <c r="DE22" s="43">
        <f t="shared" si="377"/>
        <v>1020</v>
      </c>
      <c r="DF22" s="43">
        <f t="shared" si="377"/>
        <v>1030</v>
      </c>
      <c r="DG22" s="43">
        <f t="shared" si="377"/>
        <v>1080</v>
      </c>
      <c r="DH22" s="43">
        <f t="shared" si="377"/>
        <v>1100</v>
      </c>
      <c r="DI22" s="43">
        <f t="shared" si="377"/>
        <v>1100</v>
      </c>
      <c r="DJ22" s="43">
        <f t="shared" si="377"/>
        <v>1090</v>
      </c>
      <c r="DK22" s="43">
        <f t="shared" si="377"/>
        <v>1080</v>
      </c>
      <c r="DL22" s="43">
        <f t="shared" si="377"/>
        <v>1080</v>
      </c>
      <c r="DM22" s="43">
        <f t="shared" si="377"/>
        <v>1070</v>
      </c>
      <c r="DN22" s="43">
        <f t="shared" si="377"/>
        <v>1070</v>
      </c>
      <c r="DO22" s="43">
        <f t="shared" si="377"/>
        <v>1070</v>
      </c>
      <c r="DP22" s="43">
        <f t="shared" si="377"/>
        <v>1050</v>
      </c>
      <c r="DQ22" s="43">
        <f t="shared" ref="DQ22:EE22" si="378">DQ20</f>
        <v>1050</v>
      </c>
      <c r="DR22" s="43">
        <f t="shared" si="378"/>
        <v>1050</v>
      </c>
      <c r="DS22" s="43">
        <f t="shared" si="378"/>
        <v>1050</v>
      </c>
      <c r="DT22" s="43">
        <f t="shared" si="378"/>
        <v>1050</v>
      </c>
      <c r="DU22" s="43">
        <f t="shared" si="378"/>
        <v>1050</v>
      </c>
      <c r="DV22" s="43">
        <f t="shared" si="378"/>
        <v>1050</v>
      </c>
      <c r="DW22" s="43">
        <f t="shared" si="378"/>
        <v>1040</v>
      </c>
      <c r="DX22" s="43">
        <f t="shared" si="378"/>
        <v>1030</v>
      </c>
      <c r="DY22" s="43">
        <f t="shared" si="378"/>
        <v>1030</v>
      </c>
      <c r="DZ22" s="43">
        <f t="shared" si="378"/>
        <v>950</v>
      </c>
      <c r="EA22" s="43">
        <f t="shared" si="378"/>
        <v>950</v>
      </c>
      <c r="EB22" s="43">
        <f t="shared" si="378"/>
        <v>950</v>
      </c>
      <c r="EC22" s="43">
        <f t="shared" si="378"/>
        <v>950</v>
      </c>
      <c r="ED22" s="43">
        <f>ED20</f>
        <v>950</v>
      </c>
      <c r="EE22" s="43">
        <f t="shared" si="378"/>
        <v>970</v>
      </c>
      <c r="EF22" s="43">
        <f>EF20</f>
        <v>970</v>
      </c>
      <c r="EG22" s="43">
        <f>EG20</f>
        <v>1000</v>
      </c>
      <c r="EH22" s="43">
        <f>EH20</f>
        <v>1000</v>
      </c>
      <c r="EI22" s="43">
        <f>EI20</f>
        <v>1000</v>
      </c>
      <c r="EJ22" s="134">
        <f t="shared" ref="EJ22:EO22" si="379">EJ20</f>
        <v>1020</v>
      </c>
      <c r="EK22" s="134">
        <f t="shared" si="379"/>
        <v>1020</v>
      </c>
      <c r="EL22" s="134">
        <f t="shared" si="379"/>
        <v>1020</v>
      </c>
      <c r="EM22" s="134">
        <f t="shared" si="379"/>
        <v>1030</v>
      </c>
      <c r="EN22" s="134">
        <f t="shared" si="379"/>
        <v>1030</v>
      </c>
      <c r="EO22" s="134">
        <f t="shared" si="379"/>
        <v>1030</v>
      </c>
      <c r="EP22" s="134">
        <f t="shared" ref="EP22:EU22" si="380">EP20</f>
        <v>1030</v>
      </c>
      <c r="EQ22" s="134">
        <f t="shared" si="380"/>
        <v>1030</v>
      </c>
      <c r="ER22" s="134">
        <f t="shared" si="380"/>
        <v>1020</v>
      </c>
      <c r="ES22" s="134">
        <f t="shared" si="380"/>
        <v>1000</v>
      </c>
      <c r="ET22" s="134">
        <f t="shared" si="380"/>
        <v>980</v>
      </c>
      <c r="EU22" s="134">
        <f t="shared" si="380"/>
        <v>960</v>
      </c>
      <c r="EV22" s="134">
        <f t="shared" ref="EV22:EW22" si="381">EV20</f>
        <v>940</v>
      </c>
      <c r="EW22" s="134">
        <f t="shared" si="381"/>
        <v>940</v>
      </c>
      <c r="EX22" s="134">
        <f t="shared" ref="EX22:EY22" si="382">EX20</f>
        <v>940</v>
      </c>
      <c r="EY22" s="134">
        <f t="shared" si="382"/>
        <v>940</v>
      </c>
      <c r="EZ22" s="134">
        <f t="shared" ref="EZ22:FA22" si="383">EZ20</f>
        <v>920</v>
      </c>
      <c r="FA22" s="134">
        <f t="shared" si="383"/>
        <v>920</v>
      </c>
      <c r="FB22" s="134">
        <f t="shared" ref="FB22:FC22" si="384">FB20</f>
        <v>920</v>
      </c>
      <c r="FC22" s="134">
        <f t="shared" si="384"/>
        <v>920</v>
      </c>
      <c r="FD22" s="134">
        <f t="shared" ref="FD22:FE22" si="385">FD20</f>
        <v>950</v>
      </c>
      <c r="FE22" s="134">
        <f t="shared" si="385"/>
        <v>950</v>
      </c>
      <c r="FF22" s="134">
        <f t="shared" ref="FF22:FG22" si="386">FF20</f>
        <v>970</v>
      </c>
      <c r="FG22" s="134">
        <f t="shared" si="386"/>
        <v>980</v>
      </c>
      <c r="FH22" s="134">
        <f t="shared" ref="FH22:FJ22" si="387">FH20</f>
        <v>1000</v>
      </c>
      <c r="FI22" s="134">
        <f t="shared" si="387"/>
        <v>1000</v>
      </c>
      <c r="FJ22" s="134">
        <f t="shared" si="387"/>
        <v>1000</v>
      </c>
      <c r="FK22" s="134">
        <f t="shared" ref="FK22:FL22" si="388">FK20</f>
        <v>980</v>
      </c>
      <c r="FL22" s="134">
        <f t="shared" si="388"/>
        <v>980</v>
      </c>
      <c r="FM22" s="134">
        <f t="shared" ref="FM22:FN22" si="389">FM20</f>
        <v>980</v>
      </c>
      <c r="FN22" s="134">
        <f t="shared" si="389"/>
        <v>960</v>
      </c>
      <c r="FO22" s="134">
        <f t="shared" ref="FO22:FQ22" si="390">FO20</f>
        <v>960</v>
      </c>
      <c r="FP22" s="134">
        <f t="shared" si="390"/>
        <v>960</v>
      </c>
      <c r="FQ22" s="134">
        <f t="shared" si="390"/>
        <v>970</v>
      </c>
      <c r="FR22" s="134">
        <f t="shared" ref="FR22:FS22" si="391">FR20</f>
        <v>970</v>
      </c>
      <c r="FS22" s="134">
        <f t="shared" si="391"/>
        <v>980</v>
      </c>
      <c r="FT22" s="134">
        <f t="shared" ref="FT22:FU22" si="392">FT20</f>
        <v>980</v>
      </c>
      <c r="FU22" s="134">
        <f t="shared" si="392"/>
        <v>980</v>
      </c>
      <c r="FV22" s="134">
        <f t="shared" ref="FV22:FW22" si="393">FV20</f>
        <v>1000</v>
      </c>
      <c r="FW22" s="134">
        <f t="shared" si="393"/>
        <v>1000</v>
      </c>
      <c r="FX22" s="134">
        <f t="shared" ref="FX22:FY22" si="394">FX20</f>
        <v>1000</v>
      </c>
      <c r="FY22" s="134">
        <f t="shared" si="394"/>
        <v>1000</v>
      </c>
      <c r="FZ22" s="134">
        <f t="shared" ref="FZ22:GA22" si="395">FZ20</f>
        <v>1000</v>
      </c>
      <c r="GA22" s="134">
        <f t="shared" si="395"/>
        <v>1000</v>
      </c>
      <c r="GB22" s="134">
        <f t="shared" ref="GB22:GC22" si="396">GB20</f>
        <v>1000</v>
      </c>
      <c r="GC22" s="134">
        <f t="shared" si="396"/>
        <v>1000</v>
      </c>
      <c r="GD22" s="134">
        <f t="shared" ref="GD22:GE22" si="397">GD20</f>
        <v>1000</v>
      </c>
      <c r="GE22" s="134">
        <f t="shared" si="397"/>
        <v>1000</v>
      </c>
      <c r="GF22" s="134">
        <f t="shared" ref="GF22:GG22" si="398">GF20</f>
        <v>1000</v>
      </c>
      <c r="GG22" s="134">
        <f t="shared" si="398"/>
        <v>980</v>
      </c>
      <c r="GH22" s="134">
        <f t="shared" ref="GH22:GI22" si="399">GH20</f>
        <v>970</v>
      </c>
      <c r="GI22" s="134">
        <f t="shared" si="399"/>
        <v>970</v>
      </c>
      <c r="GJ22" s="134">
        <f>GJ20</f>
        <v>970</v>
      </c>
      <c r="GK22" s="134">
        <f>GK20</f>
        <v>970</v>
      </c>
      <c r="GL22" s="134">
        <f>GL20</f>
        <v>970</v>
      </c>
      <c r="GM22" s="134">
        <f>GM20</f>
        <v>960</v>
      </c>
      <c r="GN22" s="134">
        <f t="shared" ref="GN22:GO22" si="400">GN20</f>
        <v>960</v>
      </c>
      <c r="GO22" s="134">
        <f t="shared" si="400"/>
        <v>960</v>
      </c>
      <c r="GP22" s="134">
        <f t="shared" ref="GP22:GQ22" si="401">GP20</f>
        <v>960</v>
      </c>
      <c r="GQ22" s="134">
        <f t="shared" si="401"/>
        <v>980</v>
      </c>
      <c r="GR22" s="134">
        <f t="shared" ref="GR22:GV22" si="402">GR20</f>
        <v>980</v>
      </c>
      <c r="GS22" s="134">
        <f t="shared" si="402"/>
        <v>980</v>
      </c>
      <c r="GT22" s="134">
        <f t="shared" si="402"/>
        <v>970</v>
      </c>
      <c r="GU22" s="134">
        <f t="shared" si="402"/>
        <v>970</v>
      </c>
      <c r="GV22" s="134">
        <f t="shared" si="402"/>
        <v>970</v>
      </c>
      <c r="GW22" s="134">
        <f t="shared" ref="GW22:GZ22" si="403">GW20</f>
        <v>970</v>
      </c>
      <c r="GX22" s="134">
        <f t="shared" si="403"/>
        <v>950</v>
      </c>
      <c r="GY22" s="134">
        <f t="shared" si="403"/>
        <v>950</v>
      </c>
      <c r="GZ22" s="134">
        <f t="shared" si="403"/>
        <v>940</v>
      </c>
      <c r="HA22" s="134">
        <f t="shared" ref="HA22:HB22" si="404">HA20</f>
        <v>940</v>
      </c>
      <c r="HB22" s="134">
        <f t="shared" si="404"/>
        <v>940</v>
      </c>
      <c r="HC22" s="134">
        <f t="shared" ref="HC22:HD22" si="405">HC20</f>
        <v>940</v>
      </c>
      <c r="HD22" s="134">
        <f t="shared" si="405"/>
        <v>940</v>
      </c>
      <c r="HE22" s="134">
        <f t="shared" ref="HE22:HF22" si="406">HE20</f>
        <v>940</v>
      </c>
      <c r="HF22" s="134">
        <f t="shared" si="406"/>
        <v>940</v>
      </c>
      <c r="HG22" s="134">
        <f t="shared" ref="HG22:HH22" si="407">HG20</f>
        <v>896</v>
      </c>
      <c r="HH22" s="134">
        <f t="shared" si="407"/>
        <v>896</v>
      </c>
      <c r="HI22" s="134">
        <f t="shared" ref="HI22:HL22" si="408">HI20</f>
        <v>896</v>
      </c>
      <c r="HJ22" s="134">
        <f t="shared" si="408"/>
        <v>896</v>
      </c>
      <c r="HK22" s="134">
        <f t="shared" si="408"/>
        <v>896</v>
      </c>
      <c r="HL22" s="134">
        <f t="shared" si="408"/>
        <v>896</v>
      </c>
      <c r="HM22" s="134">
        <f t="shared" ref="HM22:HP22" si="409">HM20</f>
        <v>896</v>
      </c>
      <c r="HN22" s="134">
        <f t="shared" si="409"/>
        <v>900</v>
      </c>
      <c r="HO22" s="134">
        <f t="shared" si="409"/>
        <v>890</v>
      </c>
      <c r="HP22" s="134">
        <f t="shared" si="409"/>
        <v>880</v>
      </c>
      <c r="HQ22" s="134">
        <f t="shared" ref="HQ22:HU22" si="410">HQ20</f>
        <v>870</v>
      </c>
      <c r="HR22" s="134">
        <f t="shared" si="410"/>
        <v>870</v>
      </c>
      <c r="HS22" s="134">
        <f t="shared" si="410"/>
        <v>860</v>
      </c>
      <c r="HT22" s="134">
        <f t="shared" si="410"/>
        <v>860</v>
      </c>
      <c r="HU22" s="134">
        <f t="shared" si="410"/>
        <v>860</v>
      </c>
      <c r="HV22" s="134">
        <f t="shared" ref="HV22:HY22" si="411">HV20</f>
        <v>833</v>
      </c>
      <c r="HW22" s="134">
        <f t="shared" si="411"/>
        <v>833</v>
      </c>
      <c r="HX22" s="134">
        <f t="shared" si="411"/>
        <v>833</v>
      </c>
      <c r="HY22" s="134">
        <f t="shared" si="411"/>
        <v>833</v>
      </c>
      <c r="HZ22" s="134">
        <f t="shared" ref="HZ22:ID22" si="412">HZ20</f>
        <v>833</v>
      </c>
      <c r="IA22" s="134">
        <f t="shared" si="412"/>
        <v>833</v>
      </c>
      <c r="IB22" s="134">
        <f t="shared" si="412"/>
        <v>833</v>
      </c>
      <c r="IC22" s="134">
        <f t="shared" si="412"/>
        <v>833</v>
      </c>
      <c r="ID22" s="134">
        <f t="shared" si="412"/>
        <v>833</v>
      </c>
      <c r="IE22" s="134">
        <f t="shared" ref="IE22:IH22" si="413">IE20</f>
        <v>815</v>
      </c>
      <c r="IF22" s="134">
        <f t="shared" si="413"/>
        <v>815</v>
      </c>
      <c r="IG22" s="134">
        <f t="shared" si="413"/>
        <v>815</v>
      </c>
      <c r="IH22" s="134">
        <f t="shared" si="413"/>
        <v>815</v>
      </c>
      <c r="II22" s="134">
        <f t="shared" ref="II22:IL22" si="414">II20</f>
        <v>815</v>
      </c>
      <c r="IJ22" s="134">
        <f t="shared" si="414"/>
        <v>815</v>
      </c>
      <c r="IK22" s="134">
        <f t="shared" si="414"/>
        <v>815</v>
      </c>
      <c r="IL22" s="134">
        <f t="shared" si="414"/>
        <v>805</v>
      </c>
      <c r="IM22" s="134">
        <f t="shared" ref="IM22:IQ22" si="415">IM20</f>
        <v>805</v>
      </c>
      <c r="IN22" s="134">
        <f t="shared" si="415"/>
        <v>805</v>
      </c>
      <c r="IO22" s="134">
        <f t="shared" si="415"/>
        <v>805</v>
      </c>
      <c r="IP22" s="134">
        <f t="shared" si="415"/>
        <v>805</v>
      </c>
      <c r="IQ22" s="134">
        <f t="shared" si="415"/>
        <v>805</v>
      </c>
      <c r="IR22" s="134">
        <f t="shared" ref="IR22:IU22" si="416">IR20</f>
        <v>805</v>
      </c>
      <c r="IS22" s="134">
        <f t="shared" si="416"/>
        <v>805</v>
      </c>
      <c r="IT22" s="134">
        <f t="shared" si="416"/>
        <v>805</v>
      </c>
      <c r="IU22" s="134">
        <f t="shared" si="416"/>
        <v>805</v>
      </c>
      <c r="IV22" s="134">
        <f t="shared" ref="IV22:IY22" si="417">IV20</f>
        <v>805</v>
      </c>
      <c r="IW22" s="134">
        <f t="shared" si="417"/>
        <v>805</v>
      </c>
      <c r="IX22" s="134">
        <f t="shared" si="417"/>
        <v>800</v>
      </c>
      <c r="IY22" s="134">
        <f t="shared" si="417"/>
        <v>800</v>
      </c>
      <c r="IZ22" s="134">
        <f t="shared" ref="IZ22:JD22" si="418">IZ20</f>
        <v>0</v>
      </c>
      <c r="JA22" s="134">
        <f t="shared" si="418"/>
        <v>0</v>
      </c>
      <c r="JB22" s="134">
        <f t="shared" si="418"/>
        <v>0</v>
      </c>
      <c r="JC22" s="134">
        <f t="shared" si="418"/>
        <v>0</v>
      </c>
      <c r="JD22" s="134">
        <f t="shared" si="418"/>
        <v>0</v>
      </c>
    </row>
    <row r="23" spans="1:264" ht="14">
      <c r="F23" s="117"/>
      <c r="H23" s="125" t="s">
        <v>82</v>
      </c>
      <c r="U23" s="41">
        <f>U21</f>
        <v>1185</v>
      </c>
      <c r="V23" s="41">
        <f t="shared" ref="V23:AQ23" si="419">V21</f>
        <v>1297.5</v>
      </c>
      <c r="W23" s="41">
        <f t="shared" si="419"/>
        <v>1386</v>
      </c>
      <c r="X23" s="41">
        <f t="shared" si="419"/>
        <v>1390</v>
      </c>
      <c r="Y23" s="41">
        <f t="shared" si="419"/>
        <v>1320</v>
      </c>
      <c r="Z23" s="41">
        <f t="shared" si="419"/>
        <v>1327</v>
      </c>
      <c r="AA23" s="41">
        <f t="shared" si="419"/>
        <v>1248</v>
      </c>
      <c r="AB23" s="41">
        <f t="shared" si="419"/>
        <v>1230</v>
      </c>
      <c r="AC23" s="41">
        <f t="shared" si="419"/>
        <v>1130</v>
      </c>
      <c r="AD23" s="41">
        <f t="shared" si="419"/>
        <v>1130</v>
      </c>
      <c r="AE23" s="41">
        <f t="shared" si="419"/>
        <v>1105</v>
      </c>
      <c r="AF23" s="41">
        <f t="shared" si="419"/>
        <v>1105</v>
      </c>
      <c r="AG23" s="41">
        <f t="shared" si="419"/>
        <v>1105</v>
      </c>
      <c r="AH23" s="41">
        <f t="shared" si="419"/>
        <v>1105</v>
      </c>
      <c r="AI23" s="41">
        <f t="shared" si="419"/>
        <v>1065</v>
      </c>
      <c r="AJ23" s="41">
        <f t="shared" si="419"/>
        <v>1065</v>
      </c>
      <c r="AK23" s="41">
        <f t="shared" si="419"/>
        <v>1002</v>
      </c>
      <c r="AL23" s="41">
        <f t="shared" si="419"/>
        <v>1017.5</v>
      </c>
      <c r="AM23" s="41">
        <f t="shared" si="419"/>
        <v>1092.5</v>
      </c>
      <c r="AN23" s="41">
        <f t="shared" si="419"/>
        <v>1072.5</v>
      </c>
      <c r="AO23" s="41">
        <f t="shared" si="419"/>
        <v>1050</v>
      </c>
      <c r="AP23" s="41">
        <f t="shared" si="419"/>
        <v>1044</v>
      </c>
      <c r="AQ23" s="41">
        <f t="shared" si="419"/>
        <v>970</v>
      </c>
      <c r="AR23" s="41">
        <f t="shared" ref="AR23:AW23" si="420">AR21</f>
        <v>960</v>
      </c>
      <c r="AS23" s="41">
        <f t="shared" si="420"/>
        <v>1008</v>
      </c>
      <c r="AT23" s="41">
        <f t="shared" si="420"/>
        <v>1027.5</v>
      </c>
      <c r="AU23" s="41">
        <f t="shared" si="420"/>
        <v>1020</v>
      </c>
      <c r="AV23" s="41">
        <f t="shared" si="420"/>
        <v>955</v>
      </c>
      <c r="AW23" s="41">
        <f t="shared" si="420"/>
        <v>928</v>
      </c>
      <c r="AX23" s="41">
        <f t="shared" ref="AX23:AY23" si="421">AX21</f>
        <v>940</v>
      </c>
      <c r="AY23" s="41">
        <f t="shared" si="421"/>
        <v>993.33333333333337</v>
      </c>
      <c r="AZ23" s="41">
        <f t="shared" ref="AZ23:BA23" si="422">AZ21</f>
        <v>985</v>
      </c>
      <c r="BA23" s="41">
        <f t="shared" si="422"/>
        <v>962.5</v>
      </c>
      <c r="BB23" s="41">
        <f t="shared" ref="BB23:BC23" si="423">BB21</f>
        <v>982</v>
      </c>
      <c r="BC23" s="41">
        <f t="shared" si="423"/>
        <v>1000</v>
      </c>
      <c r="BD23" s="41">
        <f t="shared" ref="BD23:BE23" si="424">BD21</f>
        <v>1000</v>
      </c>
      <c r="BE23" s="41">
        <f t="shared" si="424"/>
        <v>984</v>
      </c>
      <c r="BF23" s="41">
        <f t="shared" ref="BF23:BG23" si="425">BF21</f>
        <v>967.5</v>
      </c>
      <c r="BG23" s="41">
        <f t="shared" si="425"/>
        <v>965</v>
      </c>
      <c r="BH23" s="41">
        <f t="shared" ref="BH23:BI23" si="426">BH21</f>
        <v>974</v>
      </c>
      <c r="BI23" s="41">
        <f t="shared" si="426"/>
        <v>956</v>
      </c>
      <c r="BJ23" s="41">
        <f t="shared" ref="BJ23:BK23" si="427">BJ21</f>
        <v>940</v>
      </c>
      <c r="BK23" s="41">
        <f t="shared" si="427"/>
        <v>918</v>
      </c>
      <c r="BL23" s="41">
        <f t="shared" ref="BL23:BM23" si="428">BL21</f>
        <v>896</v>
      </c>
      <c r="BM23" s="41">
        <f t="shared" si="428"/>
        <v>891.5</v>
      </c>
      <c r="BN23" s="41">
        <f t="shared" ref="BN23:BO23" si="429">BN21</f>
        <v>864</v>
      </c>
      <c r="BO23" s="41">
        <f t="shared" si="429"/>
        <v>833</v>
      </c>
      <c r="BP23" s="41">
        <f t="shared" ref="BP23:BQ23" si="430">BP21</f>
        <v>833</v>
      </c>
      <c r="BQ23" s="41">
        <f t="shared" si="430"/>
        <v>815</v>
      </c>
      <c r="BR23" s="41">
        <f t="shared" ref="BR23:BS23" si="431">BR21</f>
        <v>812.5</v>
      </c>
      <c r="BS23" s="41">
        <f t="shared" si="431"/>
        <v>805</v>
      </c>
      <c r="BT23" s="41">
        <f t="shared" ref="BT23:BU23" si="432">BT21</f>
        <v>805</v>
      </c>
      <c r="BU23" s="41">
        <f t="shared" si="432"/>
        <v>802.5</v>
      </c>
      <c r="BV23" s="41">
        <f t="shared" ref="BV23" si="433">BV21</f>
        <v>800</v>
      </c>
      <c r="BW23" s="146"/>
      <c r="BZ23" s="117" t="s">
        <v>83</v>
      </c>
      <c r="CS23" s="41">
        <f t="shared" ref="CS23:DZ23" si="434">+CS9-CS22</f>
        <v>425</v>
      </c>
      <c r="CT23" s="41">
        <f t="shared" si="434"/>
        <v>465</v>
      </c>
      <c r="CU23" s="41">
        <f t="shared" si="434"/>
        <v>465</v>
      </c>
      <c r="CV23" s="41">
        <f t="shared" si="434"/>
        <v>500</v>
      </c>
      <c r="CW23" s="41">
        <f t="shared" si="434"/>
        <v>500</v>
      </c>
      <c r="CX23" s="41">
        <f t="shared" si="434"/>
        <v>500</v>
      </c>
      <c r="CY23" s="41">
        <f t="shared" si="434"/>
        <v>515</v>
      </c>
      <c r="CZ23" s="41">
        <f t="shared" si="434"/>
        <v>535</v>
      </c>
      <c r="DA23" s="41">
        <f t="shared" si="434"/>
        <v>535</v>
      </c>
      <c r="DB23" s="41">
        <f t="shared" si="434"/>
        <v>405</v>
      </c>
      <c r="DC23" s="41">
        <f t="shared" si="434"/>
        <v>390</v>
      </c>
      <c r="DD23" s="41">
        <f>+DD9-DD22</f>
        <v>460</v>
      </c>
      <c r="DE23" s="41">
        <f t="shared" si="434"/>
        <v>380</v>
      </c>
      <c r="DF23" s="41">
        <f t="shared" si="434"/>
        <v>370</v>
      </c>
      <c r="DG23" s="41">
        <f t="shared" si="434"/>
        <v>320</v>
      </c>
      <c r="DH23" s="41">
        <f t="shared" si="434"/>
        <v>300</v>
      </c>
      <c r="DI23" s="41">
        <f t="shared" si="434"/>
        <v>300</v>
      </c>
      <c r="DJ23" s="41">
        <f t="shared" si="434"/>
        <v>310</v>
      </c>
      <c r="DK23" s="41">
        <f t="shared" si="434"/>
        <v>320</v>
      </c>
      <c r="DL23" s="41">
        <f t="shared" si="434"/>
        <v>320</v>
      </c>
      <c r="DM23" s="41">
        <f t="shared" si="434"/>
        <v>330</v>
      </c>
      <c r="DN23" s="41">
        <f t="shared" si="434"/>
        <v>330</v>
      </c>
      <c r="DO23" s="41">
        <f t="shared" si="434"/>
        <v>330</v>
      </c>
      <c r="DP23" s="41">
        <f t="shared" si="434"/>
        <v>480</v>
      </c>
      <c r="DQ23" s="41">
        <f t="shared" si="434"/>
        <v>480</v>
      </c>
      <c r="DR23" s="41">
        <f t="shared" si="434"/>
        <v>480</v>
      </c>
      <c r="DS23" s="41">
        <f t="shared" si="434"/>
        <v>480</v>
      </c>
      <c r="DT23" s="41">
        <f t="shared" si="434"/>
        <v>480</v>
      </c>
      <c r="DU23" s="41">
        <f t="shared" si="434"/>
        <v>480</v>
      </c>
      <c r="DV23" s="41">
        <f t="shared" si="434"/>
        <v>480</v>
      </c>
      <c r="DW23" s="41">
        <f t="shared" si="434"/>
        <v>490</v>
      </c>
      <c r="DX23" s="41">
        <f t="shared" si="434"/>
        <v>500</v>
      </c>
      <c r="DY23" s="41">
        <f t="shared" si="434"/>
        <v>500</v>
      </c>
      <c r="DZ23" s="41">
        <f t="shared" si="434"/>
        <v>500</v>
      </c>
      <c r="EA23" s="41">
        <f t="shared" ref="EA23:EF23" si="435">+EA9-EA22</f>
        <v>500</v>
      </c>
      <c r="EB23" s="41">
        <f t="shared" si="435"/>
        <v>500</v>
      </c>
      <c r="EC23" s="41">
        <f t="shared" si="435"/>
        <v>500</v>
      </c>
      <c r="ED23" s="41">
        <f t="shared" si="435"/>
        <v>500</v>
      </c>
      <c r="EE23" s="41">
        <f t="shared" si="435"/>
        <v>430</v>
      </c>
      <c r="EF23" s="41">
        <f t="shared" si="435"/>
        <v>430</v>
      </c>
      <c r="EG23" s="41">
        <f>+EG9-EG22</f>
        <v>400</v>
      </c>
      <c r="EH23" s="41">
        <f>+EH9-EH22</f>
        <v>400</v>
      </c>
      <c r="EI23" s="41">
        <f>+EI9-EI22</f>
        <v>400</v>
      </c>
      <c r="EJ23" s="41">
        <f t="shared" ref="EJ23:EO23" si="436">+EJ9-EJ22</f>
        <v>380</v>
      </c>
      <c r="EK23" s="41">
        <f t="shared" si="436"/>
        <v>380</v>
      </c>
      <c r="EL23" s="41">
        <f t="shared" si="436"/>
        <v>380</v>
      </c>
      <c r="EM23" s="41">
        <f t="shared" si="436"/>
        <v>370</v>
      </c>
      <c r="EN23" s="41">
        <f t="shared" si="436"/>
        <v>370</v>
      </c>
      <c r="EO23" s="41">
        <f t="shared" si="436"/>
        <v>370</v>
      </c>
      <c r="EP23" s="41">
        <f t="shared" ref="EP23:EV23" si="437">+EP9-EP22</f>
        <v>370</v>
      </c>
      <c r="EQ23" s="41">
        <f t="shared" si="437"/>
        <v>370</v>
      </c>
      <c r="ER23" s="41">
        <f t="shared" si="437"/>
        <v>380</v>
      </c>
      <c r="ES23" s="41">
        <f t="shared" si="437"/>
        <v>400</v>
      </c>
      <c r="ET23" s="41">
        <f t="shared" si="437"/>
        <v>420</v>
      </c>
      <c r="EU23" s="41">
        <f t="shared" si="437"/>
        <v>440</v>
      </c>
      <c r="EV23" s="41">
        <f t="shared" si="437"/>
        <v>460</v>
      </c>
      <c r="EW23" s="41">
        <f t="shared" ref="EW23:EX23" si="438">+EW9-EW22</f>
        <v>460</v>
      </c>
      <c r="EX23" s="41">
        <f t="shared" si="438"/>
        <v>460</v>
      </c>
      <c r="EY23" s="41">
        <f t="shared" ref="EY23:EZ23" si="439">+EY9-EY22</f>
        <v>460</v>
      </c>
      <c r="EZ23" s="41">
        <f t="shared" si="439"/>
        <v>480</v>
      </c>
      <c r="FA23" s="41">
        <f t="shared" ref="FA23:FB23" si="440">+FA9-FA22</f>
        <v>480</v>
      </c>
      <c r="FB23" s="41">
        <f t="shared" si="440"/>
        <v>480</v>
      </c>
      <c r="FC23" s="41">
        <f t="shared" ref="FC23:FD23" si="441">+FC9-FC22</f>
        <v>480</v>
      </c>
      <c r="FD23" s="41">
        <f t="shared" si="441"/>
        <v>450</v>
      </c>
      <c r="FE23" s="41">
        <f t="shared" ref="FE23:FF23" si="442">+FE9-FE22</f>
        <v>450</v>
      </c>
      <c r="FF23" s="41">
        <f t="shared" si="442"/>
        <v>430</v>
      </c>
      <c r="FG23" s="41">
        <f t="shared" ref="FG23:FH23" si="443">+FG9-FG22</f>
        <v>420</v>
      </c>
      <c r="FH23" s="41">
        <f t="shared" si="443"/>
        <v>400</v>
      </c>
      <c r="FI23" s="41">
        <f t="shared" ref="FI23:FJ23" si="444">+FI9-FI22</f>
        <v>400</v>
      </c>
      <c r="FJ23" s="41">
        <f t="shared" si="444"/>
        <v>400</v>
      </c>
      <c r="FK23" s="41">
        <f t="shared" ref="FK23:FL23" si="445">+FK9-FK22</f>
        <v>420</v>
      </c>
      <c r="FL23" s="41">
        <f t="shared" si="445"/>
        <v>420</v>
      </c>
      <c r="FM23" s="41">
        <f t="shared" ref="FM23:FN23" si="446">+FM9-FM22</f>
        <v>420</v>
      </c>
      <c r="FN23" s="41">
        <f t="shared" si="446"/>
        <v>440</v>
      </c>
      <c r="FO23" s="41">
        <f t="shared" ref="FO23:FQ23" si="447">+FO9-FO22</f>
        <v>440</v>
      </c>
      <c r="FP23" s="41">
        <f t="shared" si="447"/>
        <v>440</v>
      </c>
      <c r="FQ23" s="41">
        <f t="shared" si="447"/>
        <v>430</v>
      </c>
      <c r="FR23" s="41">
        <f t="shared" ref="FR23:FS23" si="448">+FR9-FR22</f>
        <v>430</v>
      </c>
      <c r="FS23" s="41">
        <f t="shared" si="448"/>
        <v>420</v>
      </c>
      <c r="FT23" s="41">
        <f t="shared" ref="FT23:FU23" si="449">+FT9-FT22</f>
        <v>420</v>
      </c>
      <c r="FU23" s="41">
        <f t="shared" si="449"/>
        <v>420</v>
      </c>
      <c r="FV23" s="41">
        <f t="shared" ref="FV23:FW23" si="450">+FV9-FV22</f>
        <v>400</v>
      </c>
      <c r="FW23" s="41">
        <f t="shared" si="450"/>
        <v>400</v>
      </c>
      <c r="FX23" s="41">
        <f t="shared" ref="FX23:FY23" si="451">+FX9-FX22</f>
        <v>400</v>
      </c>
      <c r="FY23" s="41">
        <f t="shared" si="451"/>
        <v>400</v>
      </c>
      <c r="FZ23" s="41">
        <f t="shared" ref="FZ23:GA23" si="452">+FZ9-FZ22</f>
        <v>400</v>
      </c>
      <c r="GA23" s="41">
        <f t="shared" si="452"/>
        <v>400</v>
      </c>
      <c r="GB23" s="41">
        <f t="shared" ref="GB23:GC23" si="453">+GB9-GB22</f>
        <v>400</v>
      </c>
      <c r="GC23" s="41">
        <f t="shared" si="453"/>
        <v>400</v>
      </c>
      <c r="GD23" s="41">
        <f t="shared" ref="GD23:GE23" si="454">+GD9-GD22</f>
        <v>400</v>
      </c>
      <c r="GE23" s="41">
        <f t="shared" si="454"/>
        <v>400</v>
      </c>
      <c r="GF23" s="41">
        <f t="shared" ref="GF23:GG23" si="455">+GF9-GF22</f>
        <v>400</v>
      </c>
      <c r="GG23" s="41">
        <f t="shared" si="455"/>
        <v>420</v>
      </c>
      <c r="GH23" s="41">
        <f t="shared" ref="GH23:GI23" si="456">+GH9-GH22</f>
        <v>430</v>
      </c>
      <c r="GI23" s="41">
        <f t="shared" si="456"/>
        <v>430</v>
      </c>
      <c r="GJ23" s="41">
        <f t="shared" ref="GJ23:GK23" si="457">+GJ9-GJ22</f>
        <v>430</v>
      </c>
      <c r="GK23" s="41">
        <f t="shared" si="457"/>
        <v>430</v>
      </c>
      <c r="GL23" s="41">
        <f t="shared" ref="GL23:GM23" si="458">+GL9-GL22</f>
        <v>430</v>
      </c>
      <c r="GM23" s="41">
        <f t="shared" si="458"/>
        <v>440</v>
      </c>
      <c r="GN23" s="41">
        <f t="shared" ref="GN23:GO23" si="459">+GN9-GN22</f>
        <v>440</v>
      </c>
      <c r="GO23" s="41">
        <f t="shared" si="459"/>
        <v>440</v>
      </c>
      <c r="GP23" s="41">
        <f t="shared" ref="GP23:GQ23" si="460">+GP9-GP22</f>
        <v>440</v>
      </c>
      <c r="GQ23" s="41">
        <f t="shared" si="460"/>
        <v>420</v>
      </c>
      <c r="GR23" s="41">
        <f t="shared" ref="GR23:GV23" si="461">+GR9-GR22</f>
        <v>420</v>
      </c>
      <c r="GS23" s="41">
        <f t="shared" si="461"/>
        <v>420</v>
      </c>
      <c r="GT23" s="41">
        <f t="shared" si="461"/>
        <v>430</v>
      </c>
      <c r="GU23" s="41">
        <f t="shared" si="461"/>
        <v>430</v>
      </c>
      <c r="GV23" s="41">
        <f t="shared" si="461"/>
        <v>430</v>
      </c>
      <c r="GW23" s="41">
        <f t="shared" ref="GW23:GZ23" si="462">+GW9-GW22</f>
        <v>430</v>
      </c>
      <c r="GX23" s="41">
        <f t="shared" si="462"/>
        <v>450</v>
      </c>
      <c r="GY23" s="41">
        <f t="shared" si="462"/>
        <v>450</v>
      </c>
      <c r="GZ23" s="41">
        <f t="shared" si="462"/>
        <v>460</v>
      </c>
      <c r="HA23" s="41">
        <f t="shared" ref="HA23:HB23" si="463">+HA9-HA22</f>
        <v>460</v>
      </c>
      <c r="HB23" s="41">
        <f t="shared" si="463"/>
        <v>460</v>
      </c>
      <c r="HC23" s="41">
        <f t="shared" ref="HC23:HD23" si="464">+HC9-HC22</f>
        <v>460</v>
      </c>
      <c r="HD23" s="41">
        <f t="shared" si="464"/>
        <v>460</v>
      </c>
      <c r="HE23" s="41">
        <f t="shared" ref="HE23:HF23" si="465">+HE9-HE22</f>
        <v>460</v>
      </c>
      <c r="HF23" s="41">
        <f t="shared" si="465"/>
        <v>460</v>
      </c>
      <c r="HG23" s="41">
        <f t="shared" ref="HG23:HH23" si="466">+HG9-HG22</f>
        <v>504</v>
      </c>
      <c r="HH23" s="41">
        <f t="shared" si="466"/>
        <v>504</v>
      </c>
      <c r="HI23" s="41">
        <f t="shared" ref="HI23:HL23" si="467">+HI9-HI22</f>
        <v>454</v>
      </c>
      <c r="HJ23" s="41">
        <f t="shared" si="467"/>
        <v>454</v>
      </c>
      <c r="HK23" s="41">
        <f t="shared" si="467"/>
        <v>454</v>
      </c>
      <c r="HL23" s="41">
        <f t="shared" si="467"/>
        <v>454</v>
      </c>
      <c r="HM23" s="41">
        <f t="shared" ref="HM23:HP23" si="468">+HM9-HM22</f>
        <v>454</v>
      </c>
      <c r="HN23" s="41">
        <f t="shared" si="468"/>
        <v>450</v>
      </c>
      <c r="HO23" s="41">
        <f t="shared" si="468"/>
        <v>460</v>
      </c>
      <c r="HP23" s="41">
        <f t="shared" si="468"/>
        <v>470</v>
      </c>
      <c r="HQ23" s="41">
        <f t="shared" ref="HQ23:HU23" si="469">+HQ9-HQ22</f>
        <v>480</v>
      </c>
      <c r="HR23" s="41">
        <f t="shared" si="469"/>
        <v>480</v>
      </c>
      <c r="HS23" s="41">
        <f t="shared" si="469"/>
        <v>490</v>
      </c>
      <c r="HT23" s="41">
        <f t="shared" si="469"/>
        <v>490</v>
      </c>
      <c r="HU23" s="41">
        <f t="shared" si="469"/>
        <v>490</v>
      </c>
      <c r="HV23" s="41">
        <f t="shared" ref="HV23:HY23" si="470">+HV9-HV22</f>
        <v>517</v>
      </c>
      <c r="HW23" s="41">
        <f t="shared" si="470"/>
        <v>517</v>
      </c>
      <c r="HX23" s="41">
        <f t="shared" si="470"/>
        <v>517</v>
      </c>
      <c r="HY23" s="41">
        <f t="shared" si="470"/>
        <v>517</v>
      </c>
      <c r="HZ23" s="41">
        <f t="shared" ref="HZ23:ID23" si="471">+HZ9-HZ22</f>
        <v>517</v>
      </c>
      <c r="IA23" s="41">
        <f t="shared" si="471"/>
        <v>517</v>
      </c>
      <c r="IB23" s="41">
        <f t="shared" si="471"/>
        <v>517</v>
      </c>
      <c r="IC23" s="41">
        <f t="shared" si="471"/>
        <v>517</v>
      </c>
      <c r="ID23" s="41">
        <f t="shared" si="471"/>
        <v>517</v>
      </c>
      <c r="IE23" s="41">
        <f t="shared" ref="IE23:IH23" si="472">+IE9-IE22</f>
        <v>515</v>
      </c>
      <c r="IF23" s="41">
        <f t="shared" si="472"/>
        <v>515</v>
      </c>
      <c r="IG23" s="41">
        <f t="shared" si="472"/>
        <v>515</v>
      </c>
      <c r="IH23" s="41">
        <f t="shared" si="472"/>
        <v>515</v>
      </c>
      <c r="II23" s="41">
        <f t="shared" ref="II23:IL23" si="473">+II9-II22</f>
        <v>495</v>
      </c>
      <c r="IJ23" s="41">
        <f t="shared" si="473"/>
        <v>495</v>
      </c>
      <c r="IK23" s="41">
        <f t="shared" si="473"/>
        <v>495</v>
      </c>
      <c r="IL23" s="41">
        <f t="shared" si="473"/>
        <v>505</v>
      </c>
      <c r="IM23" s="41">
        <f>+IM9-IM22</f>
        <v>505</v>
      </c>
      <c r="IN23" s="41">
        <f t="shared" ref="IN23:IQ23" si="474">+IN9-IN22</f>
        <v>505</v>
      </c>
      <c r="IO23" s="41">
        <f t="shared" si="474"/>
        <v>505</v>
      </c>
      <c r="IP23" s="41">
        <f t="shared" si="474"/>
        <v>505</v>
      </c>
      <c r="IQ23" s="41">
        <f t="shared" si="474"/>
        <v>505</v>
      </c>
      <c r="IR23" s="41">
        <f t="shared" ref="IR23:IU23" si="475">+IR9-IR22</f>
        <v>495</v>
      </c>
      <c r="IS23" s="41">
        <f t="shared" si="475"/>
        <v>495</v>
      </c>
      <c r="IT23" s="41">
        <f t="shared" si="475"/>
        <v>495</v>
      </c>
      <c r="IU23" s="41">
        <f t="shared" si="475"/>
        <v>495</v>
      </c>
      <c r="IV23" s="41">
        <f t="shared" ref="IV23:IY23" si="476">+IV9-IV22</f>
        <v>495</v>
      </c>
      <c r="IW23" s="41">
        <f t="shared" si="476"/>
        <v>495</v>
      </c>
      <c r="IX23" s="41">
        <f t="shared" si="476"/>
        <v>500</v>
      </c>
      <c r="IY23" s="41">
        <f t="shared" si="476"/>
        <v>500</v>
      </c>
      <c r="IZ23" s="41">
        <f t="shared" ref="IZ23:JD23" si="477">+IZ9-IZ22</f>
        <v>1300</v>
      </c>
      <c r="JA23" s="41">
        <f t="shared" si="477"/>
        <v>1300</v>
      </c>
      <c r="JB23" s="41">
        <f t="shared" si="477"/>
        <v>1300</v>
      </c>
      <c r="JC23" s="41">
        <f t="shared" si="477"/>
        <v>1300</v>
      </c>
      <c r="JD23" s="41">
        <f t="shared" si="477"/>
        <v>1300</v>
      </c>
    </row>
    <row r="24" spans="1:264" ht="14">
      <c r="H24" s="117" t="s">
        <v>83</v>
      </c>
      <c r="U24" s="41">
        <f>U9-U23</f>
        <v>345</v>
      </c>
      <c r="V24" s="41">
        <f t="shared" ref="V24:AQ24" si="478">V9-V23</f>
        <v>232.5</v>
      </c>
      <c r="W24" s="41">
        <f t="shared" si="478"/>
        <v>174</v>
      </c>
      <c r="X24" s="41">
        <f t="shared" si="478"/>
        <v>220</v>
      </c>
      <c r="Y24" s="41">
        <f t="shared" si="478"/>
        <v>290</v>
      </c>
      <c r="Z24" s="41">
        <f t="shared" si="478"/>
        <v>283</v>
      </c>
      <c r="AA24" s="41">
        <f t="shared" si="478"/>
        <v>362</v>
      </c>
      <c r="AB24" s="41">
        <f t="shared" si="478"/>
        <v>380</v>
      </c>
      <c r="AC24" s="41">
        <f t="shared" si="478"/>
        <v>480</v>
      </c>
      <c r="AD24" s="41">
        <f t="shared" si="478"/>
        <v>400</v>
      </c>
      <c r="AE24" s="41">
        <f t="shared" si="478"/>
        <v>425</v>
      </c>
      <c r="AF24" s="41">
        <f t="shared" si="478"/>
        <v>425</v>
      </c>
      <c r="AG24" s="41">
        <f t="shared" si="478"/>
        <v>425</v>
      </c>
      <c r="AH24" s="41">
        <f t="shared" si="478"/>
        <v>425</v>
      </c>
      <c r="AI24" s="41">
        <f t="shared" si="478"/>
        <v>465</v>
      </c>
      <c r="AJ24" s="41">
        <f t="shared" si="478"/>
        <v>465</v>
      </c>
      <c r="AK24" s="41">
        <f t="shared" si="478"/>
        <v>528</v>
      </c>
      <c r="AL24" s="41">
        <f>AL9-AL23</f>
        <v>382.5</v>
      </c>
      <c r="AM24" s="41">
        <f t="shared" si="478"/>
        <v>307.5</v>
      </c>
      <c r="AN24" s="41">
        <f t="shared" si="478"/>
        <v>327.5</v>
      </c>
      <c r="AO24" s="41">
        <f t="shared" si="478"/>
        <v>480</v>
      </c>
      <c r="AP24" s="41">
        <f t="shared" si="478"/>
        <v>486</v>
      </c>
      <c r="AQ24" s="41">
        <f t="shared" si="478"/>
        <v>560</v>
      </c>
      <c r="AR24" s="41">
        <f t="shared" ref="AR24:AW24" si="479">AR9-AR23</f>
        <v>490</v>
      </c>
      <c r="AS24" s="41">
        <f t="shared" si="479"/>
        <v>392</v>
      </c>
      <c r="AT24" s="41">
        <f t="shared" si="479"/>
        <v>372.5</v>
      </c>
      <c r="AU24" s="41">
        <f t="shared" si="479"/>
        <v>380</v>
      </c>
      <c r="AV24" s="41">
        <f t="shared" si="479"/>
        <v>445</v>
      </c>
      <c r="AW24" s="41">
        <f t="shared" si="479"/>
        <v>472</v>
      </c>
      <c r="AX24" s="41">
        <f t="shared" ref="AX24:AY24" si="480">AX9-AX23</f>
        <v>460</v>
      </c>
      <c r="AY24" s="41">
        <f t="shared" si="480"/>
        <v>406.66666666666663</v>
      </c>
      <c r="AZ24" s="41">
        <f t="shared" ref="AZ24:BA24" si="481">AZ9-AZ23</f>
        <v>415</v>
      </c>
      <c r="BA24" s="41">
        <f t="shared" si="481"/>
        <v>437.5</v>
      </c>
      <c r="BB24" s="41">
        <f t="shared" ref="BB24:BC24" si="482">BB9-BB23</f>
        <v>418</v>
      </c>
      <c r="BC24" s="41">
        <f t="shared" si="482"/>
        <v>400</v>
      </c>
      <c r="BD24" s="41">
        <f t="shared" ref="BD24:BE24" si="483">BD9-BD23</f>
        <v>400</v>
      </c>
      <c r="BE24" s="41">
        <f t="shared" si="483"/>
        <v>416</v>
      </c>
      <c r="BF24" s="41">
        <f t="shared" ref="BF24:BG24" si="484">BF9-BF23</f>
        <v>432.5</v>
      </c>
      <c r="BG24" s="41">
        <f t="shared" si="484"/>
        <v>435</v>
      </c>
      <c r="BH24" s="41">
        <f t="shared" ref="BH24:BI24" si="485">BH9-BH23</f>
        <v>426</v>
      </c>
      <c r="BI24" s="41">
        <f t="shared" si="485"/>
        <v>444</v>
      </c>
      <c r="BJ24" s="41">
        <f t="shared" ref="BJ24:BK24" si="486">BJ9-BJ23</f>
        <v>460</v>
      </c>
      <c r="BK24" s="41">
        <f t="shared" si="486"/>
        <v>482</v>
      </c>
      <c r="BL24" s="41">
        <f t="shared" ref="BL24:BM24" si="487">BL9-BL23</f>
        <v>454</v>
      </c>
      <c r="BM24" s="41">
        <f t="shared" si="487"/>
        <v>458.5</v>
      </c>
      <c r="BN24" s="41">
        <f t="shared" ref="BN24:BO24" si="488">BN9-BN23</f>
        <v>486</v>
      </c>
      <c r="BO24" s="41">
        <f t="shared" si="488"/>
        <v>517</v>
      </c>
      <c r="BP24" s="41">
        <f t="shared" ref="BP24:BQ24" si="489">BP9-BP23</f>
        <v>517</v>
      </c>
      <c r="BQ24" s="41">
        <f t="shared" si="489"/>
        <v>515</v>
      </c>
      <c r="BR24" s="41">
        <f t="shared" ref="BR24:BS24" si="490">BR9-BR23</f>
        <v>497.5</v>
      </c>
      <c r="BS24" s="41">
        <f t="shared" si="490"/>
        <v>505</v>
      </c>
      <c r="BT24" s="41">
        <f t="shared" ref="BT24:BU24" si="491">BT9-BT23</f>
        <v>495</v>
      </c>
      <c r="BU24" s="41">
        <f t="shared" si="491"/>
        <v>497.5</v>
      </c>
      <c r="BV24" s="41">
        <f t="shared" ref="BV24" si="492">BV9-BV23</f>
        <v>500</v>
      </c>
      <c r="BZ24" s="1" t="s">
        <v>81</v>
      </c>
      <c r="CS24" s="51">
        <f>+CS23/CS22</f>
        <v>0.38461538461538464</v>
      </c>
      <c r="CT24" s="51">
        <f t="shared" ref="CT24:DM24" si="493">+CT23/CT22</f>
        <v>0.43661971830985913</v>
      </c>
      <c r="CU24" s="51">
        <f t="shared" si="493"/>
        <v>0.43661971830985913</v>
      </c>
      <c r="CV24" s="51">
        <f t="shared" si="493"/>
        <v>0.4854368932038835</v>
      </c>
      <c r="CW24" s="51">
        <f t="shared" si="493"/>
        <v>0.4854368932038835</v>
      </c>
      <c r="CX24" s="51">
        <f t="shared" si="493"/>
        <v>0.4854368932038835</v>
      </c>
      <c r="CY24" s="51">
        <f t="shared" si="493"/>
        <v>0.5073891625615764</v>
      </c>
      <c r="CZ24" s="51">
        <f t="shared" si="493"/>
        <v>0.53768844221105527</v>
      </c>
      <c r="DA24" s="51">
        <f t="shared" si="493"/>
        <v>0.53768844221105527</v>
      </c>
      <c r="DB24" s="51">
        <f t="shared" si="493"/>
        <v>0.40703517587939697</v>
      </c>
      <c r="DC24" s="51">
        <f t="shared" si="493"/>
        <v>0.38613861386138615</v>
      </c>
      <c r="DD24" s="51">
        <f>+DD23/DD22</f>
        <v>0.48936170212765956</v>
      </c>
      <c r="DE24" s="51">
        <f t="shared" si="493"/>
        <v>0.37254901960784315</v>
      </c>
      <c r="DF24" s="51">
        <f t="shared" si="493"/>
        <v>0.35922330097087379</v>
      </c>
      <c r="DG24" s="51">
        <f t="shared" si="493"/>
        <v>0.29629629629629628</v>
      </c>
      <c r="DH24" s="51">
        <f t="shared" si="493"/>
        <v>0.27272727272727271</v>
      </c>
      <c r="DI24" s="51">
        <f t="shared" si="493"/>
        <v>0.27272727272727271</v>
      </c>
      <c r="DJ24" s="51">
        <f t="shared" si="493"/>
        <v>0.28440366972477066</v>
      </c>
      <c r="DK24" s="51">
        <f t="shared" si="493"/>
        <v>0.29629629629629628</v>
      </c>
      <c r="DL24" s="51">
        <f t="shared" si="493"/>
        <v>0.29629629629629628</v>
      </c>
      <c r="DM24" s="51">
        <f t="shared" si="493"/>
        <v>0.30841121495327101</v>
      </c>
      <c r="DN24" s="51">
        <f t="shared" ref="DN24:DS24" si="494">+DN23/DN22</f>
        <v>0.30841121495327101</v>
      </c>
      <c r="DO24" s="51">
        <f t="shared" si="494"/>
        <v>0.30841121495327101</v>
      </c>
      <c r="DP24" s="51">
        <f t="shared" si="494"/>
        <v>0.45714285714285713</v>
      </c>
      <c r="DQ24" s="51">
        <f t="shared" si="494"/>
        <v>0.45714285714285713</v>
      </c>
      <c r="DR24" s="51">
        <f t="shared" si="494"/>
        <v>0.45714285714285713</v>
      </c>
      <c r="DS24" s="51">
        <f t="shared" si="494"/>
        <v>0.45714285714285713</v>
      </c>
      <c r="DT24" s="51">
        <f>+DT23/DT22</f>
        <v>0.45714285714285713</v>
      </c>
      <c r="DU24" s="51">
        <f>+DU23/DU22</f>
        <v>0.45714285714285713</v>
      </c>
      <c r="DV24" s="51">
        <f t="shared" ref="DV24:EA24" si="495">+DV23/DV22</f>
        <v>0.45714285714285713</v>
      </c>
      <c r="DW24" s="51">
        <f t="shared" si="495"/>
        <v>0.47115384615384615</v>
      </c>
      <c r="DX24" s="51">
        <f t="shared" si="495"/>
        <v>0.4854368932038835</v>
      </c>
      <c r="DY24" s="51">
        <f t="shared" si="495"/>
        <v>0.4854368932038835</v>
      </c>
      <c r="DZ24" s="51">
        <f t="shared" si="495"/>
        <v>0.52631578947368418</v>
      </c>
      <c r="EA24" s="51">
        <f t="shared" si="495"/>
        <v>0.52631578947368418</v>
      </c>
      <c r="EB24" s="51">
        <f t="shared" ref="EB24:EG24" si="496">+EB23/EB22</f>
        <v>0.52631578947368418</v>
      </c>
      <c r="EC24" s="51">
        <f t="shared" si="496"/>
        <v>0.52631578947368418</v>
      </c>
      <c r="ED24" s="51">
        <f t="shared" si="496"/>
        <v>0.52631578947368418</v>
      </c>
      <c r="EE24" s="51">
        <f t="shared" si="496"/>
        <v>0.44329896907216493</v>
      </c>
      <c r="EF24" s="51">
        <f t="shared" si="496"/>
        <v>0.44329896907216493</v>
      </c>
      <c r="EG24" s="51">
        <f t="shared" si="496"/>
        <v>0.4</v>
      </c>
      <c r="EH24" s="51">
        <f>+EH23/EH22</f>
        <v>0.4</v>
      </c>
      <c r="EI24" s="51">
        <f>+EI23/EI22</f>
        <v>0.4</v>
      </c>
      <c r="EJ24" s="51">
        <f t="shared" ref="EJ24:EO24" si="497">+EJ23/EJ22</f>
        <v>0.37254901960784315</v>
      </c>
      <c r="EK24" s="51">
        <f t="shared" si="497"/>
        <v>0.37254901960784315</v>
      </c>
      <c r="EL24" s="51">
        <f t="shared" si="497"/>
        <v>0.37254901960784315</v>
      </c>
      <c r="EM24" s="51">
        <f t="shared" si="497"/>
        <v>0.35922330097087379</v>
      </c>
      <c r="EN24" s="51">
        <f t="shared" si="497"/>
        <v>0.35922330097087379</v>
      </c>
      <c r="EO24" s="51">
        <f t="shared" si="497"/>
        <v>0.35922330097087379</v>
      </c>
      <c r="EP24" s="51">
        <f t="shared" ref="EP24:EV24" si="498">+EP23/EP22</f>
        <v>0.35922330097087379</v>
      </c>
      <c r="EQ24" s="51">
        <f t="shared" si="498"/>
        <v>0.35922330097087379</v>
      </c>
      <c r="ER24" s="51">
        <f t="shared" si="498"/>
        <v>0.37254901960784315</v>
      </c>
      <c r="ES24" s="51">
        <f t="shared" si="498"/>
        <v>0.4</v>
      </c>
      <c r="ET24" s="51">
        <f t="shared" si="498"/>
        <v>0.42857142857142855</v>
      </c>
      <c r="EU24" s="51">
        <f t="shared" si="498"/>
        <v>0.45833333333333331</v>
      </c>
      <c r="EV24" s="51">
        <f t="shared" si="498"/>
        <v>0.48936170212765956</v>
      </c>
      <c r="EW24" s="51">
        <f t="shared" ref="EW24:EX24" si="499">+EW23/EW22</f>
        <v>0.48936170212765956</v>
      </c>
      <c r="EX24" s="51">
        <f t="shared" si="499"/>
        <v>0.48936170212765956</v>
      </c>
      <c r="EY24" s="51">
        <f t="shared" ref="EY24:EZ24" si="500">+EY23/EY22</f>
        <v>0.48936170212765956</v>
      </c>
      <c r="EZ24" s="51">
        <f t="shared" si="500"/>
        <v>0.52173913043478259</v>
      </c>
      <c r="FA24" s="51">
        <f t="shared" ref="FA24:FB24" si="501">+FA23/FA22</f>
        <v>0.52173913043478259</v>
      </c>
      <c r="FB24" s="51">
        <f t="shared" si="501"/>
        <v>0.52173913043478259</v>
      </c>
      <c r="FC24" s="51">
        <f t="shared" ref="FC24:FD24" si="502">+FC23/FC22</f>
        <v>0.52173913043478259</v>
      </c>
      <c r="FD24" s="51">
        <f t="shared" si="502"/>
        <v>0.47368421052631576</v>
      </c>
      <c r="FE24" s="51">
        <f t="shared" ref="FE24:FF24" si="503">+FE23/FE22</f>
        <v>0.47368421052631576</v>
      </c>
      <c r="FF24" s="51">
        <f t="shared" si="503"/>
        <v>0.44329896907216493</v>
      </c>
      <c r="FG24" s="51">
        <f t="shared" ref="FG24:FH24" si="504">+FG23/FG22</f>
        <v>0.42857142857142855</v>
      </c>
      <c r="FH24" s="51">
        <f t="shared" si="504"/>
        <v>0.4</v>
      </c>
      <c r="FI24" s="51">
        <f t="shared" ref="FI24:FJ24" si="505">+FI23/FI22</f>
        <v>0.4</v>
      </c>
      <c r="FJ24" s="51">
        <f t="shared" si="505"/>
        <v>0.4</v>
      </c>
      <c r="FK24" s="51">
        <f t="shared" ref="FK24:FL24" si="506">+FK23/FK22</f>
        <v>0.42857142857142855</v>
      </c>
      <c r="FL24" s="51">
        <f t="shared" si="506"/>
        <v>0.42857142857142855</v>
      </c>
      <c r="FM24" s="51">
        <f t="shared" ref="FM24:FN24" si="507">+FM23/FM22</f>
        <v>0.42857142857142855</v>
      </c>
      <c r="FN24" s="51">
        <f t="shared" si="507"/>
        <v>0.45833333333333331</v>
      </c>
      <c r="FO24" s="51">
        <f t="shared" ref="FO24:FQ24" si="508">+FO23/FO22</f>
        <v>0.45833333333333331</v>
      </c>
      <c r="FP24" s="51">
        <f t="shared" si="508"/>
        <v>0.45833333333333331</v>
      </c>
      <c r="FQ24" s="51">
        <f t="shared" si="508"/>
        <v>0.44329896907216493</v>
      </c>
      <c r="FR24" s="51">
        <f t="shared" ref="FR24:FS24" si="509">+FR23/FR22</f>
        <v>0.44329896907216493</v>
      </c>
      <c r="FS24" s="51">
        <f t="shared" si="509"/>
        <v>0.42857142857142855</v>
      </c>
      <c r="FT24" s="51">
        <f t="shared" ref="FT24:FU24" si="510">+FT23/FT22</f>
        <v>0.42857142857142855</v>
      </c>
      <c r="FU24" s="51">
        <f t="shared" si="510"/>
        <v>0.42857142857142855</v>
      </c>
      <c r="FV24" s="51">
        <f t="shared" ref="FV24:FW24" si="511">+FV23/FV22</f>
        <v>0.4</v>
      </c>
      <c r="FW24" s="51">
        <f t="shared" si="511"/>
        <v>0.4</v>
      </c>
      <c r="FX24" s="51">
        <f t="shared" ref="FX24:FY24" si="512">+FX23/FX22</f>
        <v>0.4</v>
      </c>
      <c r="FY24" s="51">
        <f t="shared" si="512"/>
        <v>0.4</v>
      </c>
      <c r="FZ24" s="51">
        <f t="shared" ref="FZ24:GA24" si="513">+FZ23/FZ22</f>
        <v>0.4</v>
      </c>
      <c r="GA24" s="51">
        <f t="shared" si="513"/>
        <v>0.4</v>
      </c>
      <c r="GB24" s="51">
        <f t="shared" ref="GB24:GC24" si="514">+GB23/GB22</f>
        <v>0.4</v>
      </c>
      <c r="GC24" s="51">
        <f t="shared" si="514"/>
        <v>0.4</v>
      </c>
      <c r="GD24" s="51">
        <f t="shared" ref="GD24:GE24" si="515">+GD23/GD22</f>
        <v>0.4</v>
      </c>
      <c r="GE24" s="51">
        <f t="shared" si="515"/>
        <v>0.4</v>
      </c>
      <c r="GF24" s="51">
        <f t="shared" ref="GF24:GG24" si="516">+GF23/GF22</f>
        <v>0.4</v>
      </c>
      <c r="GG24" s="51">
        <f t="shared" si="516"/>
        <v>0.42857142857142855</v>
      </c>
      <c r="GH24" s="51">
        <f t="shared" ref="GH24:GI24" si="517">+GH23/GH22</f>
        <v>0.44329896907216493</v>
      </c>
      <c r="GI24" s="51">
        <f t="shared" si="517"/>
        <v>0.44329896907216493</v>
      </c>
      <c r="GJ24" s="51">
        <f t="shared" ref="GJ24:GK24" si="518">+GJ23/GJ22</f>
        <v>0.44329896907216493</v>
      </c>
      <c r="GK24" s="51">
        <f t="shared" si="518"/>
        <v>0.44329896907216493</v>
      </c>
      <c r="GL24" s="51">
        <f t="shared" ref="GL24:GM24" si="519">+GL23/GL22</f>
        <v>0.44329896907216493</v>
      </c>
      <c r="GM24" s="51">
        <f t="shared" si="519"/>
        <v>0.45833333333333331</v>
      </c>
      <c r="GN24" s="51">
        <f t="shared" ref="GN24:GO24" si="520">+GN23/GN22</f>
        <v>0.45833333333333331</v>
      </c>
      <c r="GO24" s="51">
        <f t="shared" si="520"/>
        <v>0.45833333333333331</v>
      </c>
      <c r="GP24" s="51">
        <f t="shared" ref="GP24:GQ24" si="521">+GP23/GP22</f>
        <v>0.45833333333333331</v>
      </c>
      <c r="GQ24" s="51">
        <f t="shared" si="521"/>
        <v>0.42857142857142855</v>
      </c>
      <c r="GR24" s="51">
        <f t="shared" ref="GR24:GV24" si="522">+GR23/GR22</f>
        <v>0.42857142857142855</v>
      </c>
      <c r="GS24" s="51">
        <f t="shared" si="522"/>
        <v>0.42857142857142855</v>
      </c>
      <c r="GT24" s="51">
        <f t="shared" si="522"/>
        <v>0.44329896907216493</v>
      </c>
      <c r="GU24" s="51">
        <f t="shared" si="522"/>
        <v>0.44329896907216493</v>
      </c>
      <c r="GV24" s="51">
        <f t="shared" si="522"/>
        <v>0.44329896907216493</v>
      </c>
      <c r="GW24" s="51">
        <f t="shared" ref="GW24:GZ24" si="523">+GW23/GW22</f>
        <v>0.44329896907216493</v>
      </c>
      <c r="GX24" s="51">
        <f t="shared" si="523"/>
        <v>0.47368421052631576</v>
      </c>
      <c r="GY24" s="51">
        <f t="shared" si="523"/>
        <v>0.47368421052631576</v>
      </c>
      <c r="GZ24" s="51">
        <f t="shared" si="523"/>
        <v>0.48936170212765956</v>
      </c>
      <c r="HA24" s="51">
        <f t="shared" ref="HA24:HB24" si="524">+HA23/HA22</f>
        <v>0.48936170212765956</v>
      </c>
      <c r="HB24" s="51">
        <f t="shared" si="524"/>
        <v>0.48936170212765956</v>
      </c>
      <c r="HC24" s="51">
        <f t="shared" ref="HC24:HD24" si="525">+HC23/HC22</f>
        <v>0.48936170212765956</v>
      </c>
      <c r="HD24" s="51">
        <f t="shared" si="525"/>
        <v>0.48936170212765956</v>
      </c>
      <c r="HE24" s="51">
        <f t="shared" ref="HE24:HF24" si="526">+HE23/HE22</f>
        <v>0.48936170212765956</v>
      </c>
      <c r="HF24" s="51">
        <f t="shared" si="526"/>
        <v>0.48936170212765956</v>
      </c>
      <c r="HG24" s="51">
        <f t="shared" ref="HG24:HH24" si="527">+HG23/HG22</f>
        <v>0.5625</v>
      </c>
      <c r="HH24" s="51">
        <f t="shared" si="527"/>
        <v>0.5625</v>
      </c>
      <c r="HI24" s="51">
        <f t="shared" ref="HI24:HL24" si="528">+HI23/HI22</f>
        <v>0.5066964285714286</v>
      </c>
      <c r="HJ24" s="51">
        <f t="shared" si="528"/>
        <v>0.5066964285714286</v>
      </c>
      <c r="HK24" s="51">
        <f t="shared" si="528"/>
        <v>0.5066964285714286</v>
      </c>
      <c r="HL24" s="51">
        <f t="shared" si="528"/>
        <v>0.5066964285714286</v>
      </c>
      <c r="HM24" s="51">
        <f t="shared" ref="HM24:HP24" si="529">+HM23/HM22</f>
        <v>0.5066964285714286</v>
      </c>
      <c r="HN24" s="51">
        <f t="shared" si="529"/>
        <v>0.5</v>
      </c>
      <c r="HO24" s="51">
        <f t="shared" si="529"/>
        <v>0.5168539325842697</v>
      </c>
      <c r="HP24" s="51">
        <f t="shared" si="529"/>
        <v>0.53409090909090906</v>
      </c>
      <c r="HQ24" s="51">
        <f t="shared" ref="HQ24:HU24" si="530">+HQ23/HQ22</f>
        <v>0.55172413793103448</v>
      </c>
      <c r="HR24" s="51">
        <f t="shared" si="530"/>
        <v>0.55172413793103448</v>
      </c>
      <c r="HS24" s="51">
        <f t="shared" si="530"/>
        <v>0.56976744186046513</v>
      </c>
      <c r="HT24" s="51">
        <f t="shared" si="530"/>
        <v>0.56976744186046513</v>
      </c>
      <c r="HU24" s="51">
        <f t="shared" si="530"/>
        <v>0.56976744186046513</v>
      </c>
      <c r="HV24" s="51">
        <f t="shared" ref="HV24:HY24" si="531">+HV23/HV22</f>
        <v>0.62064825930372147</v>
      </c>
      <c r="HW24" s="51">
        <f t="shared" si="531"/>
        <v>0.62064825930372147</v>
      </c>
      <c r="HX24" s="51">
        <f t="shared" si="531"/>
        <v>0.62064825930372147</v>
      </c>
      <c r="HY24" s="51">
        <f t="shared" si="531"/>
        <v>0.62064825930372147</v>
      </c>
      <c r="HZ24" s="51">
        <f t="shared" ref="HZ24:ID24" si="532">+HZ23/HZ22</f>
        <v>0.62064825930372147</v>
      </c>
      <c r="IA24" s="51">
        <f t="shared" si="532"/>
        <v>0.62064825930372147</v>
      </c>
      <c r="IB24" s="51">
        <f t="shared" si="532"/>
        <v>0.62064825930372147</v>
      </c>
      <c r="IC24" s="51">
        <f t="shared" si="532"/>
        <v>0.62064825930372147</v>
      </c>
      <c r="ID24" s="51">
        <f t="shared" si="532"/>
        <v>0.62064825930372147</v>
      </c>
      <c r="IE24" s="51">
        <f t="shared" ref="IE24:IH24" si="533">+IE23/IE22</f>
        <v>0.63190184049079756</v>
      </c>
      <c r="IF24" s="51">
        <f t="shared" si="533"/>
        <v>0.63190184049079756</v>
      </c>
      <c r="IG24" s="51">
        <f t="shared" si="533"/>
        <v>0.63190184049079756</v>
      </c>
      <c r="IH24" s="51">
        <f t="shared" si="533"/>
        <v>0.63190184049079756</v>
      </c>
      <c r="II24" s="51">
        <f t="shared" ref="II24:IL24" si="534">+II23/II22</f>
        <v>0.6073619631901841</v>
      </c>
      <c r="IJ24" s="51">
        <f t="shared" si="534"/>
        <v>0.6073619631901841</v>
      </c>
      <c r="IK24" s="51">
        <f t="shared" si="534"/>
        <v>0.6073619631901841</v>
      </c>
      <c r="IL24" s="51">
        <f t="shared" si="534"/>
        <v>0.62732919254658381</v>
      </c>
      <c r="IM24" s="51">
        <f t="shared" ref="IM24:IQ24" si="535">+IM23/IM22</f>
        <v>0.62732919254658381</v>
      </c>
      <c r="IN24" s="51">
        <f t="shared" si="535"/>
        <v>0.62732919254658381</v>
      </c>
      <c r="IO24" s="51">
        <f t="shared" si="535"/>
        <v>0.62732919254658381</v>
      </c>
      <c r="IP24" s="51">
        <f t="shared" si="535"/>
        <v>0.62732919254658381</v>
      </c>
      <c r="IQ24" s="51">
        <f t="shared" si="535"/>
        <v>0.62732919254658381</v>
      </c>
      <c r="IR24" s="51">
        <f t="shared" ref="IR24:IU24" si="536">+IR23/IR22</f>
        <v>0.6149068322981367</v>
      </c>
      <c r="IS24" s="51">
        <f t="shared" si="536"/>
        <v>0.6149068322981367</v>
      </c>
      <c r="IT24" s="51">
        <f t="shared" si="536"/>
        <v>0.6149068322981367</v>
      </c>
      <c r="IU24" s="51">
        <f t="shared" si="536"/>
        <v>0.6149068322981367</v>
      </c>
      <c r="IV24" s="51">
        <f t="shared" ref="IV24:IY24" si="537">+IV23/IV22</f>
        <v>0.6149068322981367</v>
      </c>
      <c r="IW24" s="51">
        <f t="shared" si="537"/>
        <v>0.6149068322981367</v>
      </c>
      <c r="IX24" s="51">
        <f t="shared" si="537"/>
        <v>0.625</v>
      </c>
      <c r="IY24" s="51">
        <f t="shared" si="537"/>
        <v>0.625</v>
      </c>
      <c r="IZ24" s="51" t="e">
        <f t="shared" ref="IZ24:JD24" si="538">+IZ23/IZ22</f>
        <v>#DIV/0!</v>
      </c>
      <c r="JA24" s="51" t="e">
        <f t="shared" si="538"/>
        <v>#DIV/0!</v>
      </c>
      <c r="JB24" s="51" t="e">
        <f t="shared" si="538"/>
        <v>#DIV/0!</v>
      </c>
      <c r="JC24" s="51" t="e">
        <f t="shared" si="538"/>
        <v>#DIV/0!</v>
      </c>
      <c r="JD24" s="51" t="e">
        <f t="shared" si="538"/>
        <v>#DIV/0!</v>
      </c>
    </row>
    <row r="25" spans="1:264" ht="14">
      <c r="H25" s="1" t="s">
        <v>81</v>
      </c>
      <c r="U25" s="51">
        <f>U24/U23</f>
        <v>0.29113924050632911</v>
      </c>
      <c r="V25" s="51">
        <f t="shared" ref="V25:AQ25" si="539">V24/V23</f>
        <v>0.1791907514450867</v>
      </c>
      <c r="W25" s="51">
        <f t="shared" si="539"/>
        <v>0.12554112554112554</v>
      </c>
      <c r="X25" s="51">
        <f t="shared" si="539"/>
        <v>0.15827338129496402</v>
      </c>
      <c r="Y25" s="51">
        <f t="shared" si="539"/>
        <v>0.2196969696969697</v>
      </c>
      <c r="Z25" s="51">
        <f t="shared" si="539"/>
        <v>0.2132629992464205</v>
      </c>
      <c r="AA25" s="51">
        <f t="shared" si="539"/>
        <v>0.29006410256410259</v>
      </c>
      <c r="AB25" s="51">
        <f t="shared" si="539"/>
        <v>0.30894308943089432</v>
      </c>
      <c r="AC25" s="51">
        <f t="shared" si="539"/>
        <v>0.4247787610619469</v>
      </c>
      <c r="AD25" s="51">
        <f t="shared" si="539"/>
        <v>0.35398230088495575</v>
      </c>
      <c r="AE25" s="51">
        <f t="shared" si="539"/>
        <v>0.38461538461538464</v>
      </c>
      <c r="AF25" s="51">
        <f t="shared" si="539"/>
        <v>0.38461538461538464</v>
      </c>
      <c r="AG25" s="51">
        <f t="shared" si="539"/>
        <v>0.38461538461538464</v>
      </c>
      <c r="AH25" s="51">
        <f t="shared" si="539"/>
        <v>0.38461538461538464</v>
      </c>
      <c r="AI25" s="51">
        <f t="shared" si="539"/>
        <v>0.43661971830985913</v>
      </c>
      <c r="AJ25" s="51">
        <f t="shared" si="539"/>
        <v>0.43661971830985913</v>
      </c>
      <c r="AK25" s="51">
        <f t="shared" si="539"/>
        <v>0.52694610778443118</v>
      </c>
      <c r="AL25" s="51">
        <f t="shared" si="539"/>
        <v>0.37592137592137592</v>
      </c>
      <c r="AM25" s="51">
        <f t="shared" si="539"/>
        <v>0.28146453089244849</v>
      </c>
      <c r="AN25" s="51">
        <f t="shared" si="539"/>
        <v>0.30536130536130535</v>
      </c>
      <c r="AO25" s="51">
        <f t="shared" si="539"/>
        <v>0.45714285714285713</v>
      </c>
      <c r="AP25" s="51">
        <f t="shared" si="539"/>
        <v>0.46551724137931033</v>
      </c>
      <c r="AQ25" s="51">
        <f t="shared" si="539"/>
        <v>0.57731958762886593</v>
      </c>
      <c r="AR25" s="51">
        <f t="shared" ref="AR25:AW25" si="540">AR24/AR23</f>
        <v>0.51041666666666663</v>
      </c>
      <c r="AS25" s="51">
        <f t="shared" si="540"/>
        <v>0.3888888888888889</v>
      </c>
      <c r="AT25" s="51">
        <f t="shared" si="540"/>
        <v>0.36253041362530414</v>
      </c>
      <c r="AU25" s="51">
        <f t="shared" si="540"/>
        <v>0.37254901960784315</v>
      </c>
      <c r="AV25" s="51">
        <f t="shared" si="540"/>
        <v>0.46596858638743455</v>
      </c>
      <c r="AW25" s="51">
        <f t="shared" si="540"/>
        <v>0.50862068965517238</v>
      </c>
      <c r="AX25" s="51">
        <f t="shared" ref="AX25:AY25" si="541">AX24/AX23</f>
        <v>0.48936170212765956</v>
      </c>
      <c r="AY25" s="51">
        <f t="shared" si="541"/>
        <v>0.40939597315436238</v>
      </c>
      <c r="AZ25" s="51">
        <f t="shared" ref="AZ25:BA25" si="542">AZ24/AZ23</f>
        <v>0.42131979695431471</v>
      </c>
      <c r="BA25" s="51">
        <f t="shared" si="542"/>
        <v>0.45454545454545453</v>
      </c>
      <c r="BB25" s="51">
        <f t="shared" ref="BB25:BC25" si="543">BB24/BB23</f>
        <v>0.42566191446028512</v>
      </c>
      <c r="BC25" s="51">
        <f t="shared" si="543"/>
        <v>0.4</v>
      </c>
      <c r="BD25" s="51">
        <f t="shared" ref="BD25:BE25" si="544">BD24/BD23</f>
        <v>0.4</v>
      </c>
      <c r="BE25" s="51">
        <f t="shared" si="544"/>
        <v>0.42276422764227645</v>
      </c>
      <c r="BF25" s="51">
        <f t="shared" ref="BF25:BG25" si="545">BF24/BF23</f>
        <v>0.44702842377260982</v>
      </c>
      <c r="BG25" s="51">
        <f t="shared" si="545"/>
        <v>0.45077720207253885</v>
      </c>
      <c r="BH25" s="51">
        <f t="shared" ref="BH25:BI25" si="546">BH24/BH23</f>
        <v>0.43737166324435317</v>
      </c>
      <c r="BI25" s="51">
        <f t="shared" si="546"/>
        <v>0.46443514644351463</v>
      </c>
      <c r="BJ25" s="51">
        <f t="shared" ref="BJ25:BK25" si="547">BJ24/BJ23</f>
        <v>0.48936170212765956</v>
      </c>
      <c r="BK25" s="51">
        <f t="shared" si="547"/>
        <v>0.52505446623093677</v>
      </c>
      <c r="BL25" s="51">
        <f t="shared" ref="BL25:BM25" si="548">BL24/BL23</f>
        <v>0.5066964285714286</v>
      </c>
      <c r="BM25" s="51">
        <f t="shared" si="548"/>
        <v>0.51430173864273698</v>
      </c>
      <c r="BN25" s="51">
        <f t="shared" ref="BN25:BO25" si="549">BN24/BN23</f>
        <v>0.5625</v>
      </c>
      <c r="BO25" s="51">
        <f t="shared" si="549"/>
        <v>0.62064825930372147</v>
      </c>
      <c r="BP25" s="51">
        <f t="shared" ref="BP25:BQ25" si="550">BP24/BP23</f>
        <v>0.62064825930372147</v>
      </c>
      <c r="BQ25" s="51">
        <f t="shared" si="550"/>
        <v>0.63190184049079756</v>
      </c>
      <c r="BR25" s="51">
        <f t="shared" ref="BR25:BS25" si="551">BR24/BR23</f>
        <v>0.61230769230769233</v>
      </c>
      <c r="BS25" s="51">
        <f t="shared" si="551"/>
        <v>0.62732919254658381</v>
      </c>
      <c r="BT25" s="51">
        <f t="shared" ref="BT25:BU25" si="552">BT24/BT23</f>
        <v>0.6149068322981367</v>
      </c>
      <c r="BU25" s="51">
        <f t="shared" si="552"/>
        <v>0.6199376947040498</v>
      </c>
      <c r="BV25" s="51">
        <f t="shared" ref="BV25" si="553">BV24/BV23</f>
        <v>0.625</v>
      </c>
      <c r="BW25" s="146"/>
      <c r="BZ25" s="1" t="s">
        <v>87</v>
      </c>
      <c r="CS25" s="41">
        <v>1264</v>
      </c>
      <c r="CT25" s="41">
        <v>1390</v>
      </c>
      <c r="CU25" s="41">
        <v>1374</v>
      </c>
      <c r="CV25" s="41">
        <v>1374</v>
      </c>
      <c r="CW25" s="41">
        <v>1374</v>
      </c>
      <c r="CX25" s="41">
        <v>1374</v>
      </c>
      <c r="CY25" s="41">
        <v>1374</v>
      </c>
      <c r="CZ25" s="41">
        <v>1374</v>
      </c>
      <c r="DA25" s="41">
        <v>1374</v>
      </c>
      <c r="DB25" s="41">
        <v>1374</v>
      </c>
      <c r="DC25" s="41">
        <v>1374</v>
      </c>
      <c r="DD25" s="43">
        <v>1377</v>
      </c>
      <c r="DE25" s="43">
        <v>1377</v>
      </c>
      <c r="DF25" s="43">
        <v>1377</v>
      </c>
      <c r="DG25" s="43">
        <v>1377</v>
      </c>
      <c r="DH25" s="43">
        <v>1377</v>
      </c>
      <c r="DI25" s="43">
        <v>1377</v>
      </c>
      <c r="DJ25" s="43">
        <v>1377</v>
      </c>
      <c r="DK25" s="43">
        <v>1377</v>
      </c>
      <c r="DL25" s="43">
        <v>1377</v>
      </c>
      <c r="DM25" s="43">
        <v>1377</v>
      </c>
      <c r="DN25" s="43">
        <v>1377</v>
      </c>
      <c r="DO25" s="43">
        <v>1377</v>
      </c>
      <c r="DP25" s="43">
        <v>1377</v>
      </c>
      <c r="DQ25" s="43">
        <v>1377</v>
      </c>
      <c r="DR25" s="43">
        <v>1377</v>
      </c>
      <c r="DS25" s="43">
        <v>1377</v>
      </c>
      <c r="DT25" s="43">
        <v>1377</v>
      </c>
      <c r="DU25" s="43">
        <v>1377</v>
      </c>
      <c r="DV25" s="43">
        <v>1377</v>
      </c>
      <c r="DW25" s="43">
        <v>1377</v>
      </c>
      <c r="DX25" s="43">
        <v>1377</v>
      </c>
      <c r="DY25" s="43">
        <v>1377</v>
      </c>
      <c r="DZ25" s="43">
        <v>1310</v>
      </c>
      <c r="EA25" s="43">
        <v>1310</v>
      </c>
      <c r="EB25" s="43">
        <v>1310</v>
      </c>
      <c r="EC25" s="43">
        <v>1310</v>
      </c>
      <c r="ED25" s="43">
        <v>1310</v>
      </c>
      <c r="EE25" s="43">
        <v>1310</v>
      </c>
      <c r="EF25" s="43">
        <v>1310</v>
      </c>
      <c r="EG25" s="43">
        <v>1310</v>
      </c>
      <c r="EH25" s="43">
        <v>1310</v>
      </c>
      <c r="EI25" s="43">
        <v>1310</v>
      </c>
      <c r="EJ25" s="134">
        <v>1310</v>
      </c>
      <c r="EK25" s="134">
        <v>1310</v>
      </c>
      <c r="EL25" s="134">
        <v>1310</v>
      </c>
      <c r="EM25" s="134">
        <v>1310</v>
      </c>
      <c r="EN25" s="134">
        <v>1310</v>
      </c>
      <c r="EO25" s="134">
        <v>1310</v>
      </c>
      <c r="EP25" s="134">
        <v>1310</v>
      </c>
      <c r="EQ25" s="134">
        <v>1310</v>
      </c>
      <c r="ER25" s="134">
        <v>1310</v>
      </c>
      <c r="ES25" s="134">
        <v>1310</v>
      </c>
      <c r="ET25" s="134">
        <v>1268</v>
      </c>
      <c r="EU25" s="134">
        <v>1268</v>
      </c>
      <c r="EV25" s="134">
        <v>1268</v>
      </c>
      <c r="EW25" s="134">
        <v>1268</v>
      </c>
      <c r="EX25" s="134">
        <v>1261</v>
      </c>
      <c r="EY25" s="134">
        <v>1261</v>
      </c>
      <c r="EZ25" s="134">
        <v>1261</v>
      </c>
      <c r="FA25" s="134">
        <v>1261</v>
      </c>
      <c r="FB25" s="134">
        <v>1261</v>
      </c>
      <c r="FC25" s="134">
        <v>1323</v>
      </c>
      <c r="FD25" s="134">
        <v>1323</v>
      </c>
      <c r="FE25" s="134">
        <v>1323</v>
      </c>
      <c r="FF25" s="134">
        <v>1323</v>
      </c>
      <c r="FG25" s="158">
        <v>1323</v>
      </c>
      <c r="FH25" s="158">
        <v>1323</v>
      </c>
      <c r="FI25" s="158">
        <v>1323</v>
      </c>
      <c r="FJ25" s="158">
        <v>1306</v>
      </c>
      <c r="FK25" s="158">
        <v>1306</v>
      </c>
      <c r="FL25" s="158">
        <v>1306</v>
      </c>
      <c r="FM25" s="158">
        <v>1306</v>
      </c>
      <c r="FN25" s="158">
        <v>1306</v>
      </c>
      <c r="FO25" s="158">
        <v>1291</v>
      </c>
      <c r="FP25" s="158">
        <v>1291</v>
      </c>
      <c r="FQ25" s="158">
        <v>1291</v>
      </c>
      <c r="FR25" s="158">
        <v>1282</v>
      </c>
      <c r="FS25" s="158">
        <v>1282</v>
      </c>
      <c r="FT25" s="158">
        <v>1282</v>
      </c>
      <c r="FU25" s="158">
        <v>1282</v>
      </c>
      <c r="FV25" s="158">
        <v>1282</v>
      </c>
      <c r="FW25" s="158">
        <v>1282</v>
      </c>
      <c r="FX25" s="158">
        <v>1282</v>
      </c>
      <c r="FY25" s="158">
        <v>1282</v>
      </c>
      <c r="FZ25" s="158">
        <v>1282</v>
      </c>
      <c r="GA25" s="158">
        <v>1219</v>
      </c>
      <c r="GB25" s="158">
        <v>1219</v>
      </c>
      <c r="GC25" s="158">
        <v>1219</v>
      </c>
      <c r="GD25" s="158">
        <v>1219</v>
      </c>
      <c r="GE25" s="158">
        <v>1251</v>
      </c>
      <c r="GF25" s="158">
        <v>1251</v>
      </c>
      <c r="GG25" s="158">
        <v>1251</v>
      </c>
      <c r="GH25" s="158">
        <v>1251</v>
      </c>
      <c r="GI25" s="158">
        <v>1251</v>
      </c>
      <c r="GJ25" s="158">
        <v>1251</v>
      </c>
      <c r="GK25" s="158">
        <v>1251</v>
      </c>
      <c r="GL25" s="158">
        <v>1251</v>
      </c>
      <c r="GM25" s="158">
        <v>1251</v>
      </c>
      <c r="GN25" s="158">
        <v>1260.3186476770372</v>
      </c>
      <c r="GO25" s="158">
        <v>1260.3186476770372</v>
      </c>
      <c r="GP25" s="158">
        <v>1260.3186476770372</v>
      </c>
      <c r="GQ25" s="158">
        <v>1260.3186476770372</v>
      </c>
      <c r="GR25" s="158">
        <v>1260.9721935296795</v>
      </c>
      <c r="GS25" s="158">
        <v>1260.9721935296795</v>
      </c>
      <c r="GT25" s="158">
        <v>1260.9721935296795</v>
      </c>
      <c r="GU25" s="158">
        <v>1260.9721935296795</v>
      </c>
      <c r="GV25" s="158">
        <v>1260.9721935296795</v>
      </c>
      <c r="GW25" s="158">
        <v>1214.0815770933086</v>
      </c>
      <c r="GX25" s="158">
        <v>1214.0815770933086</v>
      </c>
      <c r="GY25" s="158">
        <v>1214.0815770933086</v>
      </c>
      <c r="GZ25" s="158">
        <v>1214.0815770933086</v>
      </c>
      <c r="HA25" s="158">
        <v>1224.4122855454673</v>
      </c>
      <c r="HB25" s="158">
        <v>1224.4122855454673</v>
      </c>
      <c r="HC25" s="158">
        <v>1224.4122855454673</v>
      </c>
      <c r="HD25" s="158">
        <v>1224.4122855454673</v>
      </c>
      <c r="HE25" s="158">
        <v>1224.8943631432089</v>
      </c>
      <c r="HF25" s="158">
        <v>1224.8943631432089</v>
      </c>
      <c r="HG25" s="158">
        <v>1224.8943631432089</v>
      </c>
      <c r="HH25" s="158">
        <v>1224.8943631432089</v>
      </c>
      <c r="HI25" s="158">
        <v>1220.8389764175517</v>
      </c>
      <c r="HJ25" s="158">
        <v>1220.8389764175517</v>
      </c>
      <c r="HK25" s="158">
        <v>1220.8389764175517</v>
      </c>
      <c r="HL25" s="158">
        <v>1220.8389764175517</v>
      </c>
      <c r="HM25" s="158">
        <v>1201.5512157788862</v>
      </c>
      <c r="HN25" s="158">
        <v>1201.5512157788862</v>
      </c>
      <c r="HO25" s="158">
        <v>1201.5512157788862</v>
      </c>
      <c r="HP25" s="158">
        <v>1201.5512157788862</v>
      </c>
      <c r="HQ25" s="158">
        <v>1215.0616168681211</v>
      </c>
      <c r="HR25" s="158">
        <v>1215.0616168681211</v>
      </c>
      <c r="HS25" s="158">
        <v>1215.0616168681211</v>
      </c>
      <c r="HT25" s="158">
        <v>1215.0616168681211</v>
      </c>
      <c r="HU25" s="158">
        <v>1215.0616168681211</v>
      </c>
      <c r="HV25" s="158">
        <v>1218.0838169008853</v>
      </c>
      <c r="HW25" s="158">
        <v>1218.0838169008853</v>
      </c>
      <c r="HX25" s="158">
        <v>1218.0838169008853</v>
      </c>
      <c r="HY25" s="158">
        <v>1218.0838169008853</v>
      </c>
      <c r="HZ25" s="158">
        <v>1217.9396141401003</v>
      </c>
      <c r="IA25" s="158">
        <v>1217.9396141401003</v>
      </c>
      <c r="IB25" s="158">
        <v>1217.9396141401003</v>
      </c>
      <c r="IC25" s="158">
        <v>1217.9396141401003</v>
      </c>
      <c r="ID25" s="158">
        <v>1217.9396141401003</v>
      </c>
      <c r="IE25" s="158">
        <v>1221.1766254679269</v>
      </c>
      <c r="IF25" s="158">
        <v>1221.1766254679269</v>
      </c>
      <c r="IG25" s="158">
        <v>1221.1766254679269</v>
      </c>
      <c r="IH25" s="158">
        <v>1221.1766254679269</v>
      </c>
      <c r="II25" s="158">
        <v>1118.5151926825677</v>
      </c>
      <c r="IJ25" s="158">
        <v>1118.5151926825677</v>
      </c>
      <c r="IK25" s="158">
        <v>1118.5151926825677</v>
      </c>
      <c r="IL25" s="158">
        <v>1118.5151926825677</v>
      </c>
      <c r="IM25" s="158">
        <v>1095.5642423065681</v>
      </c>
      <c r="IN25" s="158">
        <v>1095.5642423065681</v>
      </c>
      <c r="IO25" s="158">
        <v>1095.5642423065681</v>
      </c>
      <c r="IP25" s="158">
        <v>1095.5642423065681</v>
      </c>
      <c r="IQ25" s="158">
        <v>1095.5642423065681</v>
      </c>
      <c r="IR25" s="158">
        <v>1120.145512661127</v>
      </c>
      <c r="IS25" s="158">
        <v>1120.145512661127</v>
      </c>
      <c r="IT25" s="158">
        <v>1120.145512661127</v>
      </c>
      <c r="IU25" s="158">
        <v>1120.145512661127</v>
      </c>
      <c r="IV25" s="158">
        <v>1076.7141229774484</v>
      </c>
      <c r="IW25" s="158">
        <v>1076.7141229774484</v>
      </c>
      <c r="IX25" s="158">
        <v>1076.7141229774484</v>
      </c>
      <c r="IY25" s="158">
        <v>1076.7141229774484</v>
      </c>
      <c r="IZ25" s="158">
        <v>1111.3107354114027</v>
      </c>
      <c r="JA25" s="158">
        <v>1111.3107354114027</v>
      </c>
      <c r="JB25" s="158">
        <v>1111.3107354114027</v>
      </c>
      <c r="JC25" s="158">
        <v>1111.3107354114027</v>
      </c>
      <c r="JD25" s="158">
        <v>1111.3107354114027</v>
      </c>
    </row>
    <row r="26" spans="1:264" ht="14">
      <c r="H26" s="1" t="s">
        <v>87</v>
      </c>
      <c r="U26" s="83">
        <v>1377</v>
      </c>
      <c r="V26" s="83">
        <v>1377</v>
      </c>
      <c r="W26" s="83">
        <v>1377</v>
      </c>
      <c r="X26" s="83">
        <v>1377</v>
      </c>
      <c r="Y26" s="83">
        <v>1377</v>
      </c>
      <c r="Z26" s="83">
        <v>1377</v>
      </c>
      <c r="AA26" s="83">
        <v>1377</v>
      </c>
      <c r="AB26" s="83">
        <v>1377</v>
      </c>
      <c r="AC26" s="83">
        <v>1377</v>
      </c>
      <c r="AD26" s="83">
        <v>1377</v>
      </c>
      <c r="AE26" s="83">
        <v>1377</v>
      </c>
      <c r="AF26" s="83">
        <v>1377</v>
      </c>
      <c r="AG26" s="83">
        <v>1377</v>
      </c>
      <c r="AH26" s="83">
        <v>1377</v>
      </c>
      <c r="AI26" s="83">
        <v>1377</v>
      </c>
      <c r="AJ26" s="83">
        <v>1377</v>
      </c>
      <c r="AK26" s="83">
        <v>1377</v>
      </c>
      <c r="AL26" s="83">
        <v>1377</v>
      </c>
      <c r="AM26" s="83">
        <v>1377</v>
      </c>
      <c r="AN26" s="83">
        <v>1377</v>
      </c>
      <c r="AO26" s="83">
        <v>1377</v>
      </c>
      <c r="AP26" s="83">
        <v>1377</v>
      </c>
      <c r="AQ26" s="83">
        <v>1377</v>
      </c>
      <c r="AR26" s="83">
        <v>1315</v>
      </c>
      <c r="AS26" s="83">
        <v>1306</v>
      </c>
      <c r="AT26" s="83">
        <v>1310</v>
      </c>
      <c r="AU26" s="83">
        <v>1310</v>
      </c>
      <c r="AV26" s="158">
        <v>1268</v>
      </c>
      <c r="AW26" s="158">
        <v>1261</v>
      </c>
      <c r="AX26" s="158">
        <v>1323</v>
      </c>
      <c r="AY26" s="158">
        <v>1323</v>
      </c>
      <c r="AZ26" s="158">
        <v>1306</v>
      </c>
      <c r="BA26" s="158">
        <v>1291</v>
      </c>
      <c r="BB26" s="158">
        <v>1282</v>
      </c>
      <c r="BC26" s="158">
        <v>1285</v>
      </c>
      <c r="BD26" s="158">
        <v>1219</v>
      </c>
      <c r="BE26" s="158">
        <v>1251</v>
      </c>
      <c r="BF26" s="158">
        <v>1251</v>
      </c>
      <c r="BG26" s="158">
        <v>1260.3186476770372</v>
      </c>
      <c r="BH26" s="158">
        <v>1260.9721935296795</v>
      </c>
      <c r="BI26" s="158">
        <v>1214.0815770933086</v>
      </c>
      <c r="BJ26" s="158">
        <v>1224.4122855454673</v>
      </c>
      <c r="BK26" s="158">
        <v>1224.8943631432089</v>
      </c>
      <c r="BL26" s="158">
        <v>1220.8389764175517</v>
      </c>
      <c r="BM26" s="158">
        <v>1201.5512157788862</v>
      </c>
      <c r="BN26" s="158">
        <v>1215.0616168681211</v>
      </c>
      <c r="BO26" s="158">
        <v>1218.0838169008853</v>
      </c>
      <c r="BP26" s="158">
        <v>1217.9396141401003</v>
      </c>
      <c r="BQ26" s="158">
        <v>1221.1766254679269</v>
      </c>
      <c r="BR26" s="158">
        <v>1118.5151926825677</v>
      </c>
      <c r="BS26" s="158">
        <v>1095.5642423065681</v>
      </c>
      <c r="BT26" s="158">
        <v>1120.145512661127</v>
      </c>
      <c r="BU26" s="158">
        <v>1076.7141229774484</v>
      </c>
      <c r="BV26" s="158">
        <v>1111.3107354114027</v>
      </c>
      <c r="BZ26" s="1" t="s">
        <v>89</v>
      </c>
      <c r="CT26" s="41">
        <v>1530</v>
      </c>
      <c r="CU26" s="41">
        <f>+CU25+145</f>
        <v>1519</v>
      </c>
      <c r="CV26" s="41">
        <f t="shared" ref="CV26:DA26" si="554">+CV25+145</f>
        <v>1519</v>
      </c>
      <c r="CW26" s="41">
        <f t="shared" si="554"/>
        <v>1519</v>
      </c>
      <c r="CX26" s="41">
        <f t="shared" si="554"/>
        <v>1519</v>
      </c>
      <c r="CY26" s="41">
        <f t="shared" si="554"/>
        <v>1519</v>
      </c>
      <c r="CZ26" s="41">
        <f t="shared" si="554"/>
        <v>1519</v>
      </c>
      <c r="DA26" s="41">
        <f t="shared" si="554"/>
        <v>1519</v>
      </c>
      <c r="DB26" s="41">
        <f>+DB25+210</f>
        <v>1584</v>
      </c>
      <c r="DC26" s="41">
        <f t="shared" ref="DC26:DU26" si="555">+DC25+210</f>
        <v>1584</v>
      </c>
      <c r="DD26" s="43">
        <f>+DD25+210</f>
        <v>1587</v>
      </c>
      <c r="DE26" s="43">
        <f>+DE25+210</f>
        <v>1587</v>
      </c>
      <c r="DF26" s="43">
        <f t="shared" si="555"/>
        <v>1587</v>
      </c>
      <c r="DG26" s="43">
        <f t="shared" si="555"/>
        <v>1587</v>
      </c>
      <c r="DH26" s="43">
        <f t="shared" si="555"/>
        <v>1587</v>
      </c>
      <c r="DI26" s="43">
        <f t="shared" si="555"/>
        <v>1587</v>
      </c>
      <c r="DJ26" s="43">
        <f t="shared" si="555"/>
        <v>1587</v>
      </c>
      <c r="DK26" s="43">
        <f t="shared" si="555"/>
        <v>1587</v>
      </c>
      <c r="DL26" s="43">
        <f t="shared" si="555"/>
        <v>1587</v>
      </c>
      <c r="DM26" s="43">
        <f t="shared" si="555"/>
        <v>1587</v>
      </c>
      <c r="DN26" s="43">
        <f t="shared" si="555"/>
        <v>1587</v>
      </c>
      <c r="DO26" s="43">
        <f t="shared" si="555"/>
        <v>1587</v>
      </c>
      <c r="DP26" s="43">
        <f t="shared" si="555"/>
        <v>1587</v>
      </c>
      <c r="DQ26" s="43">
        <f t="shared" si="555"/>
        <v>1587</v>
      </c>
      <c r="DR26" s="43">
        <f t="shared" si="555"/>
        <v>1587</v>
      </c>
      <c r="DS26" s="43">
        <f t="shared" si="555"/>
        <v>1587</v>
      </c>
      <c r="DT26" s="43">
        <f t="shared" si="555"/>
        <v>1587</v>
      </c>
      <c r="DU26" s="43">
        <f t="shared" si="555"/>
        <v>1587</v>
      </c>
      <c r="DV26" s="43">
        <f>+DV25+210</f>
        <v>1587</v>
      </c>
      <c r="DW26" s="43">
        <f>+DW25+210</f>
        <v>1587</v>
      </c>
      <c r="DX26" s="43">
        <f>+DX25+210</f>
        <v>1587</v>
      </c>
      <c r="DY26" s="43">
        <f>+DY25+210</f>
        <v>1587</v>
      </c>
      <c r="DZ26" s="43">
        <f t="shared" ref="DZ26:EF26" si="556">+DZ25+72</f>
        <v>1382</v>
      </c>
      <c r="EA26" s="43">
        <f t="shared" si="556"/>
        <v>1382</v>
      </c>
      <c r="EB26" s="43">
        <f t="shared" si="556"/>
        <v>1382</v>
      </c>
      <c r="EC26" s="43">
        <f t="shared" si="556"/>
        <v>1382</v>
      </c>
      <c r="ED26" s="43">
        <f t="shared" si="556"/>
        <v>1382</v>
      </c>
      <c r="EE26" s="43">
        <f t="shared" si="556"/>
        <v>1382</v>
      </c>
      <c r="EF26" s="43">
        <f t="shared" si="556"/>
        <v>1382</v>
      </c>
      <c r="EG26" s="43">
        <f>+EG25+72</f>
        <v>1382</v>
      </c>
      <c r="EH26" s="43">
        <f>+EH25+72</f>
        <v>1382</v>
      </c>
      <c r="EI26" s="43">
        <f t="shared" ref="EI26:EN26" si="557">+EI25</f>
        <v>1310</v>
      </c>
      <c r="EJ26" s="43">
        <f t="shared" si="557"/>
        <v>1310</v>
      </c>
      <c r="EK26" s="43">
        <f t="shared" si="557"/>
        <v>1310</v>
      </c>
      <c r="EL26" s="43">
        <f t="shared" si="557"/>
        <v>1310</v>
      </c>
      <c r="EM26" s="43">
        <f t="shared" si="557"/>
        <v>1310</v>
      </c>
      <c r="EN26" s="43">
        <f t="shared" si="557"/>
        <v>1310</v>
      </c>
      <c r="EO26" s="43">
        <f t="shared" ref="EO26:ET26" si="558">+EO25</f>
        <v>1310</v>
      </c>
      <c r="EP26" s="43">
        <f t="shared" si="558"/>
        <v>1310</v>
      </c>
      <c r="EQ26" s="43">
        <f t="shared" si="558"/>
        <v>1310</v>
      </c>
      <c r="ER26" s="43">
        <f t="shared" si="558"/>
        <v>1310</v>
      </c>
      <c r="ES26" s="43">
        <f t="shared" si="558"/>
        <v>1310</v>
      </c>
      <c r="ET26" s="43">
        <f t="shared" si="558"/>
        <v>1268</v>
      </c>
      <c r="EU26" s="43">
        <f t="shared" ref="EU26:EV26" si="559">+EU25</f>
        <v>1268</v>
      </c>
      <c r="EV26" s="43">
        <f t="shared" si="559"/>
        <v>1268</v>
      </c>
      <c r="EW26" s="43">
        <f t="shared" ref="EW26:EX26" si="560">+EW25</f>
        <v>1268</v>
      </c>
      <c r="EX26" s="43">
        <f t="shared" si="560"/>
        <v>1261</v>
      </c>
      <c r="EY26" s="43">
        <f t="shared" ref="EY26:EZ26" si="561">+EY25</f>
        <v>1261</v>
      </c>
      <c r="EZ26" s="43">
        <f t="shared" si="561"/>
        <v>1261</v>
      </c>
      <c r="FA26" s="43">
        <f t="shared" ref="FA26:FB26" si="562">+FA25</f>
        <v>1261</v>
      </c>
      <c r="FB26" s="43">
        <f t="shared" si="562"/>
        <v>1261</v>
      </c>
      <c r="FC26" s="43">
        <v>1323</v>
      </c>
      <c r="FD26" s="43">
        <v>1323</v>
      </c>
      <c r="FE26" s="43">
        <v>1323</v>
      </c>
      <c r="FF26" s="43">
        <v>1323</v>
      </c>
      <c r="FG26" s="43">
        <v>1323</v>
      </c>
      <c r="FH26" s="43">
        <v>1323</v>
      </c>
      <c r="FI26" s="43">
        <v>1323</v>
      </c>
      <c r="FJ26" s="43">
        <v>1306</v>
      </c>
      <c r="FK26" s="43">
        <v>1306</v>
      </c>
      <c r="FL26" s="43">
        <v>1306</v>
      </c>
      <c r="FM26" s="43">
        <v>1306</v>
      </c>
      <c r="FN26" s="43">
        <v>1306</v>
      </c>
      <c r="FO26" s="43">
        <f t="shared" ref="FO26:FQ26" si="563">+FO25</f>
        <v>1291</v>
      </c>
      <c r="FP26" s="43">
        <f t="shared" si="563"/>
        <v>1291</v>
      </c>
      <c r="FQ26" s="43">
        <f t="shared" si="563"/>
        <v>1291</v>
      </c>
      <c r="FR26" s="43">
        <f t="shared" ref="FR26:FS26" si="564">+FR25</f>
        <v>1282</v>
      </c>
      <c r="FS26" s="43">
        <f t="shared" si="564"/>
        <v>1282</v>
      </c>
      <c r="FT26" s="43">
        <f t="shared" ref="FT26:FU26" si="565">+FT25</f>
        <v>1282</v>
      </c>
      <c r="FU26" s="43">
        <f t="shared" si="565"/>
        <v>1282</v>
      </c>
      <c r="FV26" s="43">
        <f t="shared" ref="FV26:FW26" si="566">+FV25</f>
        <v>1282</v>
      </c>
      <c r="FW26" s="43">
        <f t="shared" si="566"/>
        <v>1282</v>
      </c>
      <c r="FX26" s="43">
        <f t="shared" ref="FX26:FY26" si="567">+FX25</f>
        <v>1282</v>
      </c>
      <c r="FY26" s="43">
        <f t="shared" si="567"/>
        <v>1282</v>
      </c>
      <c r="FZ26" s="43">
        <f t="shared" ref="FZ26:GA26" si="568">+FZ25</f>
        <v>1282</v>
      </c>
      <c r="GA26" s="43">
        <f t="shared" si="568"/>
        <v>1219</v>
      </c>
      <c r="GB26" s="43">
        <f t="shared" ref="GB26:GC26" si="569">+GB25</f>
        <v>1219</v>
      </c>
      <c r="GC26" s="43">
        <f t="shared" si="569"/>
        <v>1219</v>
      </c>
      <c r="GD26" s="43">
        <f t="shared" ref="GD26:GE26" si="570">+GD25</f>
        <v>1219</v>
      </c>
      <c r="GE26" s="43">
        <f t="shared" si="570"/>
        <v>1251</v>
      </c>
      <c r="GF26" s="43">
        <f t="shared" ref="GF26:GG26" si="571">+GF25</f>
        <v>1251</v>
      </c>
      <c r="GG26" s="43">
        <f t="shared" si="571"/>
        <v>1251</v>
      </c>
      <c r="GH26" s="43">
        <f t="shared" ref="GH26:GI26" si="572">+GH25</f>
        <v>1251</v>
      </c>
      <c r="GI26" s="43">
        <f t="shared" si="572"/>
        <v>1251</v>
      </c>
      <c r="GJ26" s="43">
        <f t="shared" ref="GJ26:GK26" si="573">+GJ25</f>
        <v>1251</v>
      </c>
      <c r="GK26" s="43">
        <f t="shared" si="573"/>
        <v>1251</v>
      </c>
      <c r="GL26" s="43">
        <f t="shared" ref="GL26:GM26" si="574">+GL25</f>
        <v>1251</v>
      </c>
      <c r="GM26" s="43">
        <f t="shared" si="574"/>
        <v>1251</v>
      </c>
      <c r="GN26" s="43">
        <f t="shared" ref="GN26:GO26" si="575">+GN25</f>
        <v>1260.3186476770372</v>
      </c>
      <c r="GO26" s="43">
        <f t="shared" si="575"/>
        <v>1260.3186476770372</v>
      </c>
      <c r="GP26" s="43">
        <f t="shared" ref="GP26:GQ26" si="576">+GP25</f>
        <v>1260.3186476770372</v>
      </c>
      <c r="GQ26" s="43">
        <f t="shared" si="576"/>
        <v>1260.3186476770372</v>
      </c>
      <c r="GR26" s="43">
        <f t="shared" ref="GR26:GV26" si="577">+GR25</f>
        <v>1260.9721935296795</v>
      </c>
      <c r="GS26" s="43">
        <f t="shared" si="577"/>
        <v>1260.9721935296795</v>
      </c>
      <c r="GT26" s="43">
        <f t="shared" si="577"/>
        <v>1260.9721935296795</v>
      </c>
      <c r="GU26" s="43">
        <f t="shared" si="577"/>
        <v>1260.9721935296795</v>
      </c>
      <c r="GV26" s="43">
        <f t="shared" si="577"/>
        <v>1260.9721935296795</v>
      </c>
      <c r="GW26" s="43">
        <f t="shared" ref="GW26:GZ26" si="578">+GW25</f>
        <v>1214.0815770933086</v>
      </c>
      <c r="GX26" s="43">
        <f t="shared" si="578"/>
        <v>1214.0815770933086</v>
      </c>
      <c r="GY26" s="43">
        <f t="shared" si="578"/>
        <v>1214.0815770933086</v>
      </c>
      <c r="GZ26" s="43">
        <f t="shared" si="578"/>
        <v>1214.0815770933086</v>
      </c>
      <c r="HA26" s="43">
        <f t="shared" ref="HA26:HB26" si="579">+HA25</f>
        <v>1224.4122855454673</v>
      </c>
      <c r="HB26" s="43">
        <f t="shared" si="579"/>
        <v>1224.4122855454673</v>
      </c>
      <c r="HC26" s="43">
        <f t="shared" ref="HC26:HD26" si="580">+HC25</f>
        <v>1224.4122855454673</v>
      </c>
      <c r="HD26" s="43">
        <f t="shared" si="580"/>
        <v>1224.4122855454673</v>
      </c>
      <c r="HE26" s="43">
        <f t="shared" ref="HE26:HF26" si="581">+HE25</f>
        <v>1224.8943631432089</v>
      </c>
      <c r="HF26" s="43">
        <f t="shared" si="581"/>
        <v>1224.8943631432089</v>
      </c>
      <c r="HG26" s="43">
        <f t="shared" ref="HG26:HH26" si="582">+HG25</f>
        <v>1224.8943631432089</v>
      </c>
      <c r="HH26" s="43">
        <f t="shared" si="582"/>
        <v>1224.8943631432089</v>
      </c>
      <c r="HI26" s="43">
        <f t="shared" ref="HI26:HL26" si="583">+HI25</f>
        <v>1220.8389764175517</v>
      </c>
      <c r="HJ26" s="43">
        <f t="shared" si="583"/>
        <v>1220.8389764175517</v>
      </c>
      <c r="HK26" s="43">
        <f t="shared" si="583"/>
        <v>1220.8389764175517</v>
      </c>
      <c r="HL26" s="43">
        <f t="shared" si="583"/>
        <v>1220.8389764175517</v>
      </c>
      <c r="HM26" s="43">
        <f t="shared" ref="HM26:HP26" si="584">+HM25</f>
        <v>1201.5512157788862</v>
      </c>
      <c r="HN26" s="43">
        <f t="shared" si="584"/>
        <v>1201.5512157788862</v>
      </c>
      <c r="HO26" s="43">
        <f t="shared" si="584"/>
        <v>1201.5512157788862</v>
      </c>
      <c r="HP26" s="43">
        <f t="shared" si="584"/>
        <v>1201.5512157788862</v>
      </c>
      <c r="HQ26" s="43">
        <f t="shared" ref="HQ26:HU26" si="585">+HQ25</f>
        <v>1215.0616168681211</v>
      </c>
      <c r="HR26" s="43">
        <f t="shared" si="585"/>
        <v>1215.0616168681211</v>
      </c>
      <c r="HS26" s="43">
        <f t="shared" si="585"/>
        <v>1215.0616168681211</v>
      </c>
      <c r="HT26" s="43">
        <f t="shared" si="585"/>
        <v>1215.0616168681211</v>
      </c>
      <c r="HU26" s="43">
        <f t="shared" si="585"/>
        <v>1215.0616168681211</v>
      </c>
      <c r="HV26" s="43">
        <f t="shared" ref="HV26:HY26" si="586">+HV25</f>
        <v>1218.0838169008853</v>
      </c>
      <c r="HW26" s="43">
        <f t="shared" si="586"/>
        <v>1218.0838169008853</v>
      </c>
      <c r="HX26" s="43">
        <f t="shared" si="586"/>
        <v>1218.0838169008853</v>
      </c>
      <c r="HY26" s="43">
        <f t="shared" si="586"/>
        <v>1218.0838169008853</v>
      </c>
      <c r="HZ26" s="43">
        <f t="shared" ref="HZ26:ID26" si="587">+HZ25</f>
        <v>1217.9396141401003</v>
      </c>
      <c r="IA26" s="43">
        <f t="shared" si="587"/>
        <v>1217.9396141401003</v>
      </c>
      <c r="IB26" s="43">
        <f t="shared" si="587"/>
        <v>1217.9396141401003</v>
      </c>
      <c r="IC26" s="43">
        <f t="shared" si="587"/>
        <v>1217.9396141401003</v>
      </c>
      <c r="ID26" s="43">
        <f t="shared" si="587"/>
        <v>1217.9396141401003</v>
      </c>
      <c r="IE26" s="43">
        <f t="shared" ref="IE26:IH26" si="588">+IE25</f>
        <v>1221.1766254679269</v>
      </c>
      <c r="IF26" s="43">
        <f t="shared" si="588"/>
        <v>1221.1766254679269</v>
      </c>
      <c r="IG26" s="43">
        <f t="shared" si="588"/>
        <v>1221.1766254679269</v>
      </c>
      <c r="IH26" s="43">
        <f t="shared" si="588"/>
        <v>1221.1766254679269</v>
      </c>
      <c r="II26" s="43">
        <f t="shared" ref="II26:IL26" si="589">+II25</f>
        <v>1118.5151926825677</v>
      </c>
      <c r="IJ26" s="43">
        <f t="shared" si="589"/>
        <v>1118.5151926825677</v>
      </c>
      <c r="IK26" s="43">
        <f t="shared" si="589"/>
        <v>1118.5151926825677</v>
      </c>
      <c r="IL26" s="43">
        <f t="shared" si="589"/>
        <v>1118.5151926825677</v>
      </c>
      <c r="IM26" s="43">
        <f t="shared" ref="IM26:IQ26" si="590">+IM25</f>
        <v>1095.5642423065681</v>
      </c>
      <c r="IN26" s="43">
        <f t="shared" si="590"/>
        <v>1095.5642423065681</v>
      </c>
      <c r="IO26" s="43">
        <f t="shared" si="590"/>
        <v>1095.5642423065681</v>
      </c>
      <c r="IP26" s="43">
        <f t="shared" si="590"/>
        <v>1095.5642423065681</v>
      </c>
      <c r="IQ26" s="43">
        <f t="shared" si="590"/>
        <v>1095.5642423065681</v>
      </c>
      <c r="IR26" s="43">
        <f t="shared" ref="IR26:IU26" si="591">+IR25</f>
        <v>1120.145512661127</v>
      </c>
      <c r="IS26" s="43">
        <f t="shared" si="591"/>
        <v>1120.145512661127</v>
      </c>
      <c r="IT26" s="43">
        <f t="shared" si="591"/>
        <v>1120.145512661127</v>
      </c>
      <c r="IU26" s="43">
        <f t="shared" si="591"/>
        <v>1120.145512661127</v>
      </c>
      <c r="IV26" s="43">
        <f t="shared" ref="IV26:IY26" si="592">+IV25</f>
        <v>1076.7141229774484</v>
      </c>
      <c r="IW26" s="43">
        <f t="shared" si="592"/>
        <v>1076.7141229774484</v>
      </c>
      <c r="IX26" s="43">
        <f t="shared" si="592"/>
        <v>1076.7141229774484</v>
      </c>
      <c r="IY26" s="43">
        <f t="shared" si="592"/>
        <v>1076.7141229774484</v>
      </c>
      <c r="IZ26" s="43">
        <f t="shared" ref="IZ26:JD26" si="593">+IZ25</f>
        <v>1111.3107354114027</v>
      </c>
      <c r="JA26" s="43">
        <f t="shared" si="593"/>
        <v>1111.3107354114027</v>
      </c>
      <c r="JB26" s="43">
        <f t="shared" si="593"/>
        <v>1111.3107354114027</v>
      </c>
      <c r="JC26" s="43">
        <f t="shared" si="593"/>
        <v>1111.3107354114027</v>
      </c>
      <c r="JD26" s="43">
        <f t="shared" si="593"/>
        <v>1111.3107354114027</v>
      </c>
    </row>
    <row r="27" spans="1:264" ht="15" hidden="1">
      <c r="F27" s="62"/>
      <c r="H27" s="1" t="s">
        <v>89</v>
      </c>
      <c r="U27" s="135">
        <f t="shared" ref="U27:AK27" si="594">U26+210</f>
        <v>1587</v>
      </c>
      <c r="V27" s="135">
        <f t="shared" si="594"/>
        <v>1587</v>
      </c>
      <c r="W27" s="135">
        <f t="shared" si="594"/>
        <v>1587</v>
      </c>
      <c r="X27" s="135">
        <f t="shared" si="594"/>
        <v>1587</v>
      </c>
      <c r="Y27" s="135">
        <f t="shared" si="594"/>
        <v>1587</v>
      </c>
      <c r="Z27" s="135">
        <f t="shared" si="594"/>
        <v>1587</v>
      </c>
      <c r="AA27" s="135">
        <f t="shared" si="594"/>
        <v>1587</v>
      </c>
      <c r="AB27" s="135">
        <f t="shared" si="594"/>
        <v>1587</v>
      </c>
      <c r="AC27" s="135">
        <f t="shared" si="594"/>
        <v>1587</v>
      </c>
      <c r="AD27" s="135">
        <f t="shared" si="594"/>
        <v>1587</v>
      </c>
      <c r="AE27" s="135">
        <f t="shared" si="594"/>
        <v>1587</v>
      </c>
      <c r="AF27" s="135">
        <f t="shared" si="594"/>
        <v>1587</v>
      </c>
      <c r="AG27" s="135">
        <f t="shared" si="594"/>
        <v>1587</v>
      </c>
      <c r="AH27" s="135">
        <f t="shared" si="594"/>
        <v>1587</v>
      </c>
      <c r="AI27" s="135">
        <f t="shared" si="594"/>
        <v>1587</v>
      </c>
      <c r="AJ27" s="135">
        <f t="shared" si="594"/>
        <v>1587</v>
      </c>
      <c r="AK27" s="135">
        <f t="shared" si="594"/>
        <v>1587</v>
      </c>
      <c r="AL27" s="135">
        <f t="shared" ref="AL27:AT27" si="595">AL26+210</f>
        <v>1587</v>
      </c>
      <c r="AM27" s="135">
        <f t="shared" si="595"/>
        <v>1587</v>
      </c>
      <c r="AN27" s="135">
        <f t="shared" si="595"/>
        <v>1587</v>
      </c>
      <c r="AO27" s="135">
        <f t="shared" si="595"/>
        <v>1587</v>
      </c>
      <c r="AP27" s="135">
        <f t="shared" si="595"/>
        <v>1587</v>
      </c>
      <c r="AQ27" s="135">
        <f t="shared" si="595"/>
        <v>1587</v>
      </c>
      <c r="AR27" s="135">
        <f t="shared" si="595"/>
        <v>1525</v>
      </c>
      <c r="AS27" s="135">
        <f t="shared" si="595"/>
        <v>1516</v>
      </c>
      <c r="AT27" s="135">
        <f t="shared" si="595"/>
        <v>1520</v>
      </c>
      <c r="AU27" s="83">
        <f t="shared" ref="AU27:AZ27" si="596">AU26</f>
        <v>1310</v>
      </c>
      <c r="AV27" s="83">
        <f t="shared" si="596"/>
        <v>1268</v>
      </c>
      <c r="AW27" s="83">
        <f t="shared" si="596"/>
        <v>1261</v>
      </c>
      <c r="AX27" s="83">
        <f t="shared" si="596"/>
        <v>1323</v>
      </c>
      <c r="AY27" s="83">
        <f t="shared" si="596"/>
        <v>1323</v>
      </c>
      <c r="AZ27" s="83">
        <f t="shared" si="596"/>
        <v>1306</v>
      </c>
      <c r="BA27" s="83">
        <f t="shared" ref="BA27:BB27" si="597">BA26</f>
        <v>1291</v>
      </c>
      <c r="BB27" s="83">
        <f t="shared" si="597"/>
        <v>1282</v>
      </c>
      <c r="BC27" s="83">
        <f t="shared" ref="BC27:BD27" si="598">BC26</f>
        <v>1285</v>
      </c>
      <c r="BD27" s="83">
        <f t="shared" si="598"/>
        <v>1219</v>
      </c>
      <c r="BE27" s="83">
        <f t="shared" ref="BE27:BF27" si="599">BE26</f>
        <v>1251</v>
      </c>
      <c r="BF27" s="83">
        <f t="shared" si="599"/>
        <v>1251</v>
      </c>
      <c r="BG27" s="83">
        <f t="shared" ref="BG27:BH27" si="600">BG26</f>
        <v>1260.3186476770372</v>
      </c>
      <c r="BH27" s="83">
        <f t="shared" si="600"/>
        <v>1260.9721935296795</v>
      </c>
      <c r="BI27" s="83">
        <f t="shared" ref="BI27:BJ27" si="601">BI26</f>
        <v>1214.0815770933086</v>
      </c>
      <c r="BJ27" s="83">
        <f t="shared" si="601"/>
        <v>1224.4122855454673</v>
      </c>
      <c r="BK27" s="83">
        <f t="shared" ref="BK27:BL27" si="602">BK26</f>
        <v>1224.8943631432089</v>
      </c>
      <c r="BL27" s="83">
        <f t="shared" si="602"/>
        <v>1220.8389764175517</v>
      </c>
      <c r="BM27" s="83">
        <f t="shared" ref="BM27:BN27" si="603">BM26</f>
        <v>1201.5512157788862</v>
      </c>
      <c r="BN27" s="83">
        <f t="shared" si="603"/>
        <v>1215.0616168681211</v>
      </c>
      <c r="BO27" s="83">
        <f t="shared" ref="BO27:BP27" si="604">BO26</f>
        <v>1218.0838169008853</v>
      </c>
      <c r="BP27" s="83">
        <f t="shared" si="604"/>
        <v>1217.9396141401003</v>
      </c>
      <c r="BQ27" s="83">
        <f t="shared" ref="BQ27:BR27" si="605">BQ26</f>
        <v>1221.1766254679269</v>
      </c>
      <c r="BR27" s="83">
        <f t="shared" si="605"/>
        <v>1118.5151926825677</v>
      </c>
      <c r="BS27" s="83">
        <f t="shared" ref="BS27:BT27" si="606">BS26</f>
        <v>1095.5642423065681</v>
      </c>
      <c r="BT27" s="83">
        <f t="shared" si="606"/>
        <v>1120.145512661127</v>
      </c>
      <c r="BU27" s="83">
        <f t="shared" ref="BU27:BV27" si="607">BU26</f>
        <v>1076.7141229774484</v>
      </c>
      <c r="BV27" s="83">
        <f t="shared" si="607"/>
        <v>1111.3107354114027</v>
      </c>
      <c r="BZ27" s="1" t="s">
        <v>99</v>
      </c>
      <c r="DD27" s="43">
        <v>1575</v>
      </c>
      <c r="DE27" s="43">
        <v>1575</v>
      </c>
      <c r="DF27" s="43">
        <v>1575</v>
      </c>
      <c r="DG27" s="43">
        <v>1575</v>
      </c>
      <c r="DH27" s="43">
        <v>1575</v>
      </c>
      <c r="DI27" s="43">
        <v>1575</v>
      </c>
      <c r="DJ27" s="43">
        <v>1575</v>
      </c>
      <c r="DK27" s="43">
        <v>1575</v>
      </c>
      <c r="DL27" s="43">
        <v>1575</v>
      </c>
      <c r="DM27" s="43">
        <v>1575</v>
      </c>
      <c r="DN27" s="43">
        <v>1575</v>
      </c>
      <c r="DO27" s="43">
        <v>1575</v>
      </c>
      <c r="DP27" s="43">
        <v>1575</v>
      </c>
      <c r="DQ27" s="43">
        <v>1530</v>
      </c>
      <c r="DR27" s="43">
        <v>1530</v>
      </c>
      <c r="DS27" s="43">
        <v>1530</v>
      </c>
      <c r="DT27" s="43">
        <v>1530</v>
      </c>
      <c r="DU27" s="43">
        <v>1530</v>
      </c>
      <c r="DV27" s="43">
        <v>1530</v>
      </c>
      <c r="DW27" s="43">
        <v>1530</v>
      </c>
      <c r="DX27" s="43">
        <v>1530</v>
      </c>
      <c r="DY27" s="43">
        <v>1530</v>
      </c>
      <c r="DZ27" s="43">
        <v>1530</v>
      </c>
      <c r="EA27" s="43">
        <v>1530</v>
      </c>
      <c r="EB27" s="43">
        <v>1530</v>
      </c>
      <c r="EC27" s="43">
        <v>1530</v>
      </c>
      <c r="ED27" s="43">
        <v>1530</v>
      </c>
      <c r="EE27" s="43">
        <v>1530</v>
      </c>
      <c r="EF27" s="43">
        <v>1530</v>
      </c>
      <c r="EG27" s="43">
        <v>1530</v>
      </c>
      <c r="EH27" s="43">
        <v>1530</v>
      </c>
      <c r="EI27" s="43">
        <v>1530</v>
      </c>
      <c r="EJ27" s="134">
        <v>1530</v>
      </c>
      <c r="EK27" s="134">
        <v>1530</v>
      </c>
      <c r="EL27" s="134">
        <v>1530</v>
      </c>
      <c r="EM27" s="134">
        <v>1530</v>
      </c>
      <c r="EN27" s="134">
        <v>1530</v>
      </c>
      <c r="EO27" s="134">
        <v>1530</v>
      </c>
      <c r="EP27" s="134">
        <v>1530</v>
      </c>
      <c r="EQ27" s="134">
        <v>1530</v>
      </c>
      <c r="ER27" s="134">
        <v>1530</v>
      </c>
      <c r="ES27" s="134">
        <v>1530</v>
      </c>
      <c r="ET27" s="134">
        <v>1530</v>
      </c>
      <c r="EU27" s="134">
        <v>1530</v>
      </c>
      <c r="EV27" s="134">
        <v>1530</v>
      </c>
      <c r="EW27" s="134">
        <v>1530</v>
      </c>
      <c r="EX27" s="134">
        <v>1530</v>
      </c>
      <c r="EY27" s="134">
        <v>1530</v>
      </c>
      <c r="EZ27" s="134">
        <v>1530</v>
      </c>
      <c r="FA27" s="134">
        <v>1530</v>
      </c>
      <c r="FB27" s="134">
        <v>1530</v>
      </c>
      <c r="FC27" s="134">
        <v>1530</v>
      </c>
      <c r="FD27" s="134">
        <v>1500</v>
      </c>
      <c r="FE27" s="134">
        <v>1500</v>
      </c>
      <c r="FF27" s="134">
        <v>1500</v>
      </c>
      <c r="FG27" s="134">
        <v>1500</v>
      </c>
      <c r="FH27" s="134">
        <v>1500</v>
      </c>
      <c r="FI27" s="134">
        <v>1500</v>
      </c>
      <c r="FJ27" s="134">
        <v>1500</v>
      </c>
      <c r="FK27" s="134">
        <v>1500</v>
      </c>
      <c r="FL27" s="134">
        <v>1500</v>
      </c>
      <c r="FM27" s="134">
        <v>1500</v>
      </c>
      <c r="FN27" s="134">
        <v>1430</v>
      </c>
      <c r="FO27" s="134">
        <v>1430</v>
      </c>
      <c r="FP27" s="134">
        <v>1430</v>
      </c>
      <c r="FQ27" s="134">
        <v>1430</v>
      </c>
      <c r="FR27" s="134">
        <v>1430</v>
      </c>
      <c r="FS27" s="134">
        <v>1430</v>
      </c>
      <c r="FT27" s="134">
        <v>1430</v>
      </c>
      <c r="FU27" s="134">
        <v>1430</v>
      </c>
    </row>
    <row r="28" spans="1:264">
      <c r="AQ28" s="3">
        <f t="shared" ref="AQ28:AU28" si="608">AQ26*0.3*0.29%+AQ26</f>
        <v>1378.1979899999999</v>
      </c>
      <c r="AR28" s="3">
        <f t="shared" si="608"/>
        <v>1316.1440500000001</v>
      </c>
      <c r="AS28" s="3">
        <f t="shared" si="608"/>
        <v>1307.1362200000001</v>
      </c>
      <c r="AT28" s="3">
        <f t="shared" si="608"/>
        <v>1311.1396999999999</v>
      </c>
      <c r="AU28" s="3">
        <f t="shared" si="608"/>
        <v>1311.1396999999999</v>
      </c>
      <c r="AV28" s="3">
        <f t="shared" ref="AV28:BA28" si="609">AV26</f>
        <v>1268</v>
      </c>
      <c r="AW28" s="3">
        <f t="shared" si="609"/>
        <v>1261</v>
      </c>
      <c r="AX28" s="3">
        <f t="shared" si="609"/>
        <v>1323</v>
      </c>
      <c r="AY28" s="3">
        <f t="shared" si="609"/>
        <v>1323</v>
      </c>
      <c r="AZ28" s="3">
        <f t="shared" si="609"/>
        <v>1306</v>
      </c>
      <c r="BA28" s="3">
        <f t="shared" si="609"/>
        <v>1291</v>
      </c>
      <c r="BB28" s="3">
        <f t="shared" ref="BB28:BC28" si="610">BB26</f>
        <v>1282</v>
      </c>
      <c r="BC28" s="3">
        <f t="shared" si="610"/>
        <v>1285</v>
      </c>
      <c r="BD28" s="3">
        <f t="shared" ref="BD28:BI28" si="611">BD26</f>
        <v>1219</v>
      </c>
      <c r="BE28" s="3">
        <f t="shared" si="611"/>
        <v>1251</v>
      </c>
      <c r="BF28" s="3">
        <f t="shared" si="611"/>
        <v>1251</v>
      </c>
      <c r="BG28" s="3">
        <f t="shared" si="611"/>
        <v>1260.3186476770372</v>
      </c>
      <c r="BH28" s="3">
        <f t="shared" si="611"/>
        <v>1260.9721935296795</v>
      </c>
      <c r="BI28" s="3">
        <f t="shared" si="611"/>
        <v>1214.0815770933086</v>
      </c>
      <c r="BJ28" s="3">
        <f t="shared" ref="BJ28:BK28" si="612">BJ26</f>
        <v>1224.4122855454673</v>
      </c>
      <c r="BK28" s="3">
        <f t="shared" si="612"/>
        <v>1224.8943631432089</v>
      </c>
      <c r="BL28" s="3">
        <f t="shared" ref="BL28:BM28" si="613">BL26</f>
        <v>1220.8389764175517</v>
      </c>
      <c r="BM28" s="3">
        <f t="shared" si="613"/>
        <v>1201.5512157788862</v>
      </c>
      <c r="BN28" s="3">
        <f t="shared" ref="BN28:BO28" si="614">BN26</f>
        <v>1215.0616168681211</v>
      </c>
      <c r="BO28" s="3">
        <f t="shared" si="614"/>
        <v>1218.0838169008853</v>
      </c>
      <c r="BP28" s="3">
        <f t="shared" ref="BP28:BQ28" si="615">BP26</f>
        <v>1217.9396141401003</v>
      </c>
      <c r="BQ28" s="3">
        <f t="shared" si="615"/>
        <v>1221.1766254679269</v>
      </c>
      <c r="BR28" s="3">
        <f t="shared" ref="BR28:BS28" si="616">BR26</f>
        <v>1118.5151926825677</v>
      </c>
      <c r="BS28" s="3">
        <f t="shared" si="616"/>
        <v>1095.5642423065681</v>
      </c>
      <c r="BT28" s="3">
        <f t="shared" ref="BT28:BU28" si="617">BT26</f>
        <v>1120.145512661127</v>
      </c>
      <c r="BU28" s="3">
        <f t="shared" si="617"/>
        <v>1076.7141229774484</v>
      </c>
      <c r="BV28" s="3">
        <f t="shared" ref="BV28" si="618">BV26</f>
        <v>1111.3107354114027</v>
      </c>
    </row>
    <row r="29" spans="1:264" ht="14" hidden="1">
      <c r="H29" s="1" t="s">
        <v>116</v>
      </c>
      <c r="AL29" s="3">
        <v>1422</v>
      </c>
      <c r="AM29" s="3">
        <v>1422</v>
      </c>
      <c r="AN29" s="3">
        <v>1422</v>
      </c>
      <c r="AO29" s="3">
        <v>1422</v>
      </c>
      <c r="AP29" s="3">
        <v>1422</v>
      </c>
      <c r="AQ29" s="3">
        <v>1396</v>
      </c>
      <c r="AR29" s="3">
        <v>1396</v>
      </c>
      <c r="AS29" s="3">
        <v>1396</v>
      </c>
      <c r="AT29" s="3">
        <v>1396</v>
      </c>
      <c r="AU29" s="3">
        <v>1371</v>
      </c>
      <c r="AV29" s="3">
        <v>1371</v>
      </c>
      <c r="AW29" s="3">
        <v>1358</v>
      </c>
      <c r="AX29" s="3">
        <v>1358</v>
      </c>
      <c r="AY29" s="3">
        <v>1358</v>
      </c>
      <c r="AZ29" s="3">
        <v>1358</v>
      </c>
      <c r="BA29" s="3">
        <v>1358</v>
      </c>
      <c r="BB29" s="3">
        <v>1359</v>
      </c>
      <c r="BC29" s="3">
        <v>1359</v>
      </c>
      <c r="BD29" s="3">
        <v>1359</v>
      </c>
      <c r="BE29" s="3">
        <v>1359</v>
      </c>
      <c r="BF29" s="3">
        <v>1359</v>
      </c>
      <c r="BG29" s="3">
        <v>1359</v>
      </c>
      <c r="BH29" s="3">
        <v>1359</v>
      </c>
      <c r="BI29" s="3">
        <v>1359</v>
      </c>
      <c r="BJ29" s="3">
        <v>1359</v>
      </c>
      <c r="BK29" s="3">
        <v>1359</v>
      </c>
      <c r="BL29" s="3">
        <v>1359</v>
      </c>
      <c r="BM29" s="3">
        <v>1359</v>
      </c>
      <c r="BN29" s="3">
        <v>1359</v>
      </c>
      <c r="BO29" s="3">
        <v>1359</v>
      </c>
      <c r="BP29" s="3">
        <v>1359</v>
      </c>
      <c r="BQ29" s="3">
        <v>1359</v>
      </c>
      <c r="BR29" s="3">
        <v>1359</v>
      </c>
      <c r="BS29" s="3">
        <v>1359</v>
      </c>
      <c r="BT29" s="3">
        <v>1359</v>
      </c>
      <c r="BU29" s="3">
        <v>1359</v>
      </c>
      <c r="BV29" s="3">
        <v>1359</v>
      </c>
      <c r="DD29" s="134"/>
      <c r="DE29" s="134"/>
      <c r="DZ29" s="41"/>
    </row>
    <row r="30" spans="1:264">
      <c r="DD30" s="41"/>
    </row>
    <row r="43" spans="6:74" ht="14">
      <c r="F43" s="60" t="s">
        <v>69</v>
      </c>
      <c r="G43" s="54" t="s">
        <v>24</v>
      </c>
      <c r="H43" s="60"/>
      <c r="U43" s="41">
        <f>U20</f>
        <v>1185</v>
      </c>
      <c r="V43" s="41">
        <f t="shared" ref="V43:AC43" si="619">V20</f>
        <v>1297.5</v>
      </c>
      <c r="W43" s="41">
        <f t="shared" si="619"/>
        <v>1386</v>
      </c>
      <c r="X43" s="41">
        <f t="shared" si="619"/>
        <v>1390</v>
      </c>
      <c r="Y43" s="41">
        <f t="shared" si="619"/>
        <v>1320</v>
      </c>
      <c r="Z43" s="41">
        <f t="shared" si="619"/>
        <v>1327</v>
      </c>
      <c r="AA43" s="41">
        <f t="shared" si="619"/>
        <v>1248</v>
      </c>
      <c r="AB43" s="41">
        <f t="shared" si="619"/>
        <v>1230</v>
      </c>
      <c r="AC43" s="41">
        <f t="shared" si="619"/>
        <v>1130</v>
      </c>
      <c r="AD43" s="41">
        <f t="shared" ref="AD43:AI43" si="620">AD20</f>
        <v>1130</v>
      </c>
      <c r="AE43" s="41">
        <f t="shared" si="620"/>
        <v>1105</v>
      </c>
      <c r="AF43" s="41">
        <f t="shared" si="620"/>
        <v>1105</v>
      </c>
      <c r="AG43" s="41">
        <f t="shared" si="620"/>
        <v>1105</v>
      </c>
      <c r="AH43" s="41">
        <f t="shared" si="620"/>
        <v>1105</v>
      </c>
      <c r="AI43" s="41">
        <f t="shared" si="620"/>
        <v>1065</v>
      </c>
      <c r="AJ43" s="41">
        <v>1065</v>
      </c>
      <c r="AK43" s="41"/>
      <c r="AL43" s="41"/>
      <c r="AM43" s="41">
        <f>AM20</f>
        <v>1092.5</v>
      </c>
      <c r="AN43" s="41"/>
      <c r="AO43" s="41"/>
      <c r="AP43" s="41"/>
      <c r="AQ43" s="41"/>
      <c r="AR43" s="41"/>
      <c r="AS43" s="41"/>
      <c r="AT43" s="41"/>
      <c r="AU43" s="41"/>
      <c r="AV43" s="41"/>
      <c r="AW43" s="41"/>
      <c r="AX43" s="41"/>
      <c r="AY43" s="41"/>
      <c r="AZ43" s="41"/>
      <c r="BA43" s="41"/>
      <c r="BB43" s="41"/>
      <c r="BC43" s="41"/>
      <c r="BD43" s="41"/>
      <c r="BE43" s="41"/>
      <c r="BF43" s="41"/>
      <c r="BG43" s="41"/>
      <c r="BH43" s="41"/>
      <c r="BI43" s="41"/>
      <c r="BJ43" s="41"/>
      <c r="BK43" s="41"/>
      <c r="BL43" s="41"/>
      <c r="BM43" s="41"/>
      <c r="BN43" s="41"/>
      <c r="BO43" s="41"/>
      <c r="BP43" s="41"/>
      <c r="BQ43" s="41"/>
      <c r="BR43" s="41"/>
      <c r="BS43" s="41"/>
      <c r="BT43" s="41"/>
      <c r="BU43" s="41"/>
      <c r="BV43" s="41"/>
    </row>
    <row r="44" spans="6:74" ht="14">
      <c r="F44" s="60" t="s">
        <v>59</v>
      </c>
      <c r="G44" s="54" t="s">
        <v>24</v>
      </c>
      <c r="H44" s="60"/>
      <c r="Q44" s="2"/>
      <c r="U44" s="66">
        <f t="shared" ref="U44:AC44" si="621">U20*1.15</f>
        <v>1362.75</v>
      </c>
      <c r="V44" s="66">
        <f t="shared" si="621"/>
        <v>1492.1249999999998</v>
      </c>
      <c r="W44" s="66">
        <f t="shared" si="621"/>
        <v>1593.8999999999999</v>
      </c>
      <c r="X44" s="66">
        <f t="shared" si="621"/>
        <v>1598.4999999999998</v>
      </c>
      <c r="Y44" s="66">
        <f t="shared" si="621"/>
        <v>1517.9999999999998</v>
      </c>
      <c r="Z44" s="66">
        <f t="shared" si="621"/>
        <v>1526.05</v>
      </c>
      <c r="AA44" s="66">
        <f t="shared" si="621"/>
        <v>1435.1999999999998</v>
      </c>
      <c r="AB44" s="66">
        <f t="shared" si="621"/>
        <v>1414.5</v>
      </c>
      <c r="AC44" s="66">
        <f t="shared" si="621"/>
        <v>1299.5</v>
      </c>
      <c r="AD44" s="66">
        <f t="shared" ref="AD44:AI44" si="622">AD20*1.15</f>
        <v>1299.5</v>
      </c>
      <c r="AE44" s="66">
        <f t="shared" si="622"/>
        <v>1270.75</v>
      </c>
      <c r="AF44" s="66">
        <f t="shared" si="622"/>
        <v>1270.75</v>
      </c>
      <c r="AG44" s="66">
        <f t="shared" si="622"/>
        <v>1270.75</v>
      </c>
      <c r="AH44" s="66">
        <f t="shared" si="622"/>
        <v>1270.75</v>
      </c>
      <c r="AI44" s="66">
        <f t="shared" si="622"/>
        <v>1224.75</v>
      </c>
      <c r="AJ44" s="66"/>
      <c r="AK44" s="66"/>
      <c r="AL44" s="66"/>
      <c r="AM44" s="66">
        <f>AM20*1.15</f>
        <v>1256.375</v>
      </c>
      <c r="AN44" s="119"/>
      <c r="AO44" s="119"/>
      <c r="AP44" s="119"/>
      <c r="AQ44" s="119"/>
      <c r="AR44" s="119"/>
      <c r="AS44" s="119"/>
      <c r="AT44" s="119"/>
      <c r="AU44" s="119"/>
      <c r="AV44" s="159"/>
      <c r="AW44" s="159"/>
      <c r="AX44" s="159"/>
      <c r="AY44" s="159"/>
      <c r="AZ44" s="159"/>
      <c r="BA44" s="159"/>
      <c r="BB44" s="159"/>
      <c r="BC44" s="159"/>
      <c r="BD44" s="159"/>
      <c r="BE44" s="159"/>
      <c r="BF44" s="159"/>
      <c r="BG44" s="159"/>
      <c r="BH44" s="159"/>
      <c r="BI44" s="159"/>
      <c r="BJ44" s="159"/>
      <c r="BK44" s="159"/>
      <c r="BL44" s="159"/>
      <c r="BM44" s="159"/>
      <c r="BN44" s="159"/>
      <c r="BO44" s="159"/>
      <c r="BP44" s="159"/>
      <c r="BQ44" s="159"/>
      <c r="BR44" s="159"/>
      <c r="BS44" s="159"/>
      <c r="BT44" s="159"/>
      <c r="BU44" s="159"/>
      <c r="BV44" s="159"/>
    </row>
    <row r="45" spans="6:74" ht="14">
      <c r="F45" s="60" t="s">
        <v>60</v>
      </c>
      <c r="G45" s="54" t="s">
        <v>24</v>
      </c>
      <c r="H45" s="60"/>
      <c r="I45" s="32"/>
      <c r="J45" s="32"/>
      <c r="K45" s="32"/>
      <c r="L45" s="32"/>
      <c r="M45" s="32"/>
      <c r="N45" s="32"/>
      <c r="O45" s="32"/>
      <c r="P45" s="32"/>
      <c r="Q45" s="31"/>
      <c r="R45" s="32"/>
      <c r="S45" s="32"/>
      <c r="T45" s="32"/>
      <c r="U45" s="67">
        <f>U16</f>
        <v>1313</v>
      </c>
      <c r="V45" s="67">
        <f t="shared" ref="V45:AB45" si="623">V16</f>
        <v>1302</v>
      </c>
      <c r="W45" s="67">
        <f t="shared" si="623"/>
        <v>1360</v>
      </c>
      <c r="X45" s="67">
        <f t="shared" si="623"/>
        <v>1397</v>
      </c>
      <c r="Y45" s="67">
        <f t="shared" si="623"/>
        <v>1425</v>
      </c>
      <c r="Z45" s="67">
        <f t="shared" si="623"/>
        <v>1493</v>
      </c>
      <c r="AA45" s="67">
        <f t="shared" si="623"/>
        <v>1473</v>
      </c>
      <c r="AB45" s="67">
        <f t="shared" si="623"/>
        <v>1474</v>
      </c>
      <c r="AC45" s="67">
        <f t="shared" ref="AC45:AH45" si="624">AC16</f>
        <v>1486</v>
      </c>
      <c r="AD45" s="67">
        <f t="shared" si="624"/>
        <v>1478.5</v>
      </c>
      <c r="AE45" s="67">
        <f t="shared" si="624"/>
        <v>1480</v>
      </c>
      <c r="AF45" s="67">
        <f t="shared" si="624"/>
        <v>1461</v>
      </c>
      <c r="AG45" s="67">
        <f t="shared" si="624"/>
        <v>1461</v>
      </c>
      <c r="AH45" s="67">
        <f t="shared" si="624"/>
        <v>1444</v>
      </c>
      <c r="AI45" s="67">
        <f>AI16</f>
        <v>1431.5</v>
      </c>
      <c r="AJ45" s="67"/>
      <c r="AK45" s="67"/>
      <c r="AL45" s="67"/>
      <c r="AM45" s="67">
        <f>AM16</f>
        <v>1247.5</v>
      </c>
      <c r="AN45" s="120"/>
      <c r="AO45" s="120"/>
      <c r="AP45" s="120"/>
      <c r="AQ45" s="120"/>
      <c r="AR45" s="120"/>
      <c r="AS45" s="120"/>
      <c r="AT45" s="120"/>
      <c r="AU45" s="120"/>
      <c r="AV45" s="120"/>
      <c r="AW45" s="120"/>
      <c r="AX45" s="120"/>
      <c r="AY45" s="120"/>
      <c r="AZ45" s="120"/>
      <c r="BA45" s="120"/>
      <c r="BB45" s="120"/>
      <c r="BC45" s="120"/>
      <c r="BD45" s="120"/>
      <c r="BE45" s="120"/>
      <c r="BF45" s="120"/>
      <c r="BG45" s="120"/>
      <c r="BH45" s="120"/>
      <c r="BI45" s="120"/>
      <c r="BJ45" s="120"/>
      <c r="BK45" s="120"/>
      <c r="BL45" s="120"/>
      <c r="BM45" s="120"/>
      <c r="BN45" s="120"/>
      <c r="BO45" s="120"/>
      <c r="BP45" s="120"/>
      <c r="BQ45" s="120"/>
      <c r="BR45" s="120"/>
      <c r="BS45" s="120"/>
      <c r="BT45" s="120"/>
      <c r="BU45" s="120"/>
      <c r="BV45" s="120"/>
    </row>
    <row r="46" spans="6:74" ht="14">
      <c r="F46" s="60" t="s">
        <v>56</v>
      </c>
      <c r="G46" s="54" t="s">
        <v>24</v>
      </c>
      <c r="H46" s="60"/>
      <c r="I46" s="32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68">
        <f>U19</f>
        <v>1475</v>
      </c>
      <c r="V46" s="68">
        <f t="shared" ref="V46:AC46" si="625">V19</f>
        <v>1475</v>
      </c>
      <c r="W46" s="68">
        <f t="shared" si="625"/>
        <v>1475</v>
      </c>
      <c r="X46" s="68">
        <f t="shared" si="625"/>
        <v>1475</v>
      </c>
      <c r="Y46" s="68">
        <f t="shared" si="625"/>
        <v>1460</v>
      </c>
      <c r="Z46" s="68">
        <f t="shared" si="625"/>
        <v>1555</v>
      </c>
      <c r="AA46" s="68">
        <f t="shared" si="625"/>
        <v>1555</v>
      </c>
      <c r="AB46" s="68">
        <f t="shared" si="625"/>
        <v>1555</v>
      </c>
      <c r="AC46" s="68">
        <f t="shared" si="625"/>
        <v>1545</v>
      </c>
      <c r="AD46" s="68">
        <f t="shared" ref="AD46:AI46" si="626">AD19</f>
        <v>1545</v>
      </c>
      <c r="AE46" s="68">
        <f t="shared" si="626"/>
        <v>1555</v>
      </c>
      <c r="AF46" s="68">
        <f t="shared" si="626"/>
        <v>1524</v>
      </c>
      <c r="AG46" s="68">
        <f t="shared" si="626"/>
        <v>1524</v>
      </c>
      <c r="AH46" s="68">
        <f t="shared" si="626"/>
        <v>1524</v>
      </c>
      <c r="AI46" s="68">
        <f t="shared" si="626"/>
        <v>1524</v>
      </c>
      <c r="AJ46" s="68"/>
      <c r="AK46" s="68"/>
      <c r="AL46" s="68"/>
      <c r="AM46" s="68">
        <f>AM19</f>
        <v>1422</v>
      </c>
      <c r="AN46" s="121"/>
      <c r="AO46" s="121"/>
      <c r="AP46" s="121"/>
      <c r="AQ46" s="121"/>
      <c r="AR46" s="121"/>
      <c r="AS46" s="121"/>
      <c r="AT46" s="121"/>
      <c r="AU46" s="121"/>
      <c r="AV46" s="121"/>
      <c r="AW46" s="121"/>
      <c r="AX46" s="121"/>
      <c r="AY46" s="121"/>
      <c r="AZ46" s="121"/>
      <c r="BA46" s="121"/>
      <c r="BB46" s="121"/>
      <c r="BC46" s="121"/>
      <c r="BD46" s="121"/>
      <c r="BE46" s="121"/>
      <c r="BF46" s="121"/>
      <c r="BG46" s="121"/>
      <c r="BH46" s="121"/>
      <c r="BI46" s="121"/>
      <c r="BJ46" s="121"/>
      <c r="BK46" s="121"/>
      <c r="BL46" s="121"/>
      <c r="BM46" s="121"/>
      <c r="BN46" s="121"/>
      <c r="BO46" s="121"/>
      <c r="BP46" s="121"/>
      <c r="BQ46" s="121"/>
      <c r="BR46" s="121"/>
      <c r="BS46" s="121"/>
      <c r="BT46" s="121"/>
      <c r="BU46" s="121"/>
      <c r="BV46" s="121"/>
    </row>
  </sheetData>
  <phoneticPr fontId="20" type="noConversion"/>
  <pageMargins left="0.70866141732283472" right="0.70866141732283472" top="0.74803149606299213" bottom="0.74803149606299213" header="0.31496062992125984" footer="0.31496062992125984"/>
  <pageSetup orientation="landscape" horizontalDpi="200" verticalDpi="200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3C0228-EB1B-479F-BB3E-AC27AC0405F2}">
  <sheetPr>
    <tabColor rgb="FFFF9999"/>
  </sheetPr>
  <dimension ref="A1"/>
  <sheetViews>
    <sheetView zoomScale="80" zoomScaleNormal="80" workbookViewId="0"/>
  </sheetViews>
  <sheetFormatPr defaultColWidth="8.81640625" defaultRowHeight="14.5"/>
  <cols>
    <col min="1" max="16384" width="8.81640625" style="122"/>
  </cols>
  <sheetData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D48E3C-5FA0-457A-B74E-2C308FCA7760}">
  <sheetPr>
    <tabColor rgb="FFFF9999"/>
  </sheetPr>
  <dimension ref="R35:S77"/>
  <sheetViews>
    <sheetView topLeftCell="A13" zoomScale="80" zoomScaleNormal="80" workbookViewId="0">
      <selection activeCell="I34" sqref="I34"/>
    </sheetView>
  </sheetViews>
  <sheetFormatPr defaultColWidth="8.81640625" defaultRowHeight="14.5"/>
  <cols>
    <col min="1" max="18" width="8.81640625" style="122"/>
    <col min="19" max="19" width="10.1796875" style="122" bestFit="1" customWidth="1"/>
    <col min="20" max="16384" width="8.81640625" style="122"/>
  </cols>
  <sheetData>
    <row r="35" spans="19:19">
      <c r="S35" s="123"/>
    </row>
    <row r="36" spans="19:19">
      <c r="S36" s="123"/>
    </row>
    <row r="77" spans="18:18">
      <c r="R77" s="124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C68956-D652-4E41-986B-5B09D75DA276}">
  <dimension ref="A1:GY35"/>
  <sheetViews>
    <sheetView showGridLines="0" topLeftCell="D3" zoomScale="90" zoomScaleNormal="90" workbookViewId="0">
      <pane xSplit="5" ySplit="4" topLeftCell="U7" activePane="bottomRight" state="frozen"/>
      <selection activeCell="BS18" sqref="BS18"/>
      <selection pane="topRight" activeCell="BS18" sqref="BS18"/>
      <selection pane="bottomLeft" activeCell="BS18" sqref="BS18"/>
      <selection pane="bottomRight" activeCell="GU13" sqref="GU13"/>
    </sheetView>
  </sheetViews>
  <sheetFormatPr defaultColWidth="9.1796875" defaultRowHeight="13"/>
  <cols>
    <col min="1" max="1" width="6.1796875" style="1" hidden="1" customWidth="1"/>
    <col min="2" max="2" width="10.1796875" style="1" hidden="1" customWidth="1"/>
    <col min="3" max="3" width="8.81640625" style="1" hidden="1" customWidth="1"/>
    <col min="4" max="4" width="11.453125" style="1" customWidth="1"/>
    <col min="5" max="5" width="33.1796875" style="1" hidden="1" customWidth="1"/>
    <col min="6" max="6" width="40.453125" style="1" hidden="1" customWidth="1"/>
    <col min="7" max="7" width="10.54296875" style="1" hidden="1" customWidth="1"/>
    <col min="8" max="8" width="30.81640625" style="1" customWidth="1"/>
    <col min="9" max="12" width="9" style="1" hidden="1" customWidth="1"/>
    <col min="13" max="20" width="7.1796875" style="1" hidden="1" customWidth="1"/>
    <col min="21" max="24" width="7.1796875" style="1" bestFit="1" customWidth="1"/>
    <col min="25" max="45" width="7.81640625" style="1" customWidth="1"/>
    <col min="46" max="47" width="9.1796875" style="1"/>
    <col min="48" max="48" width="0" style="1" hidden="1" customWidth="1"/>
    <col min="49" max="49" width="23.54296875" style="1" customWidth="1"/>
    <col min="50" max="50" width="3.54296875" style="1" hidden="1" customWidth="1"/>
    <col min="51" max="51" width="8.1796875" style="1" hidden="1" customWidth="1"/>
    <col min="52" max="52" width="9.1796875" style="1" hidden="1" customWidth="1"/>
    <col min="53" max="74" width="10.1796875" style="1" hidden="1" customWidth="1"/>
    <col min="75" max="109" width="0" style="1" hidden="1" customWidth="1"/>
    <col min="110" max="151" width="7.81640625" style="1" hidden="1" customWidth="1"/>
    <col min="152" max="207" width="7.81640625" style="1" customWidth="1"/>
    <col min="208" max="16384" width="9.1796875" style="1"/>
  </cols>
  <sheetData>
    <row r="1" spans="1:207" hidden="1"/>
    <row r="2" spans="1:207" hidden="1"/>
    <row r="3" spans="1:207" ht="19.399999999999999" customHeight="1">
      <c r="F3" s="15" t="s">
        <v>102</v>
      </c>
      <c r="H3" s="15" t="s">
        <v>102</v>
      </c>
      <c r="AY3" s="170">
        <v>2023</v>
      </c>
      <c r="BC3" s="116" t="s">
        <v>76</v>
      </c>
      <c r="BD3" s="116" t="s">
        <v>79</v>
      </c>
      <c r="BE3" s="116" t="s">
        <v>80</v>
      </c>
      <c r="BF3" s="116" t="s">
        <v>86</v>
      </c>
      <c r="BG3" s="116">
        <v>7.03</v>
      </c>
      <c r="BH3" s="116">
        <v>14.03</v>
      </c>
      <c r="BI3" s="116">
        <v>21.03</v>
      </c>
      <c r="BJ3" s="116">
        <v>28.03</v>
      </c>
      <c r="BK3" s="116">
        <v>30.03</v>
      </c>
      <c r="BL3" s="116">
        <v>6.04</v>
      </c>
      <c r="BM3" s="116">
        <v>13.04</v>
      </c>
      <c r="BN3" s="116">
        <v>20.04</v>
      </c>
      <c r="BO3" s="1">
        <v>27.04</v>
      </c>
      <c r="BP3" s="1">
        <v>4.05</v>
      </c>
      <c r="BR3" s="1">
        <v>23.05</v>
      </c>
      <c r="BS3" s="1">
        <v>30.05</v>
      </c>
      <c r="BT3" s="1">
        <v>6.06</v>
      </c>
      <c r="BU3" s="1">
        <v>12.06</v>
      </c>
      <c r="BV3" s="1">
        <v>20.059999999999999</v>
      </c>
      <c r="CX3" s="170">
        <v>2024</v>
      </c>
      <c r="EV3" s="170">
        <v>2025</v>
      </c>
    </row>
    <row r="4" spans="1:207" s="61" customFormat="1" ht="17.5">
      <c r="A4" s="71"/>
      <c r="B4" s="71"/>
      <c r="C4" s="71"/>
      <c r="D4" s="72"/>
      <c r="E4" s="71"/>
      <c r="F4" s="73" t="s">
        <v>3</v>
      </c>
      <c r="G4" s="73"/>
      <c r="H4" s="73"/>
      <c r="I4" s="74">
        <v>24000</v>
      </c>
      <c r="J4" s="74">
        <v>24000</v>
      </c>
      <c r="K4" s="74">
        <v>24000</v>
      </c>
      <c r="L4" s="74">
        <v>24000</v>
      </c>
      <c r="M4" s="74">
        <v>24000</v>
      </c>
      <c r="N4" s="74">
        <v>24000</v>
      </c>
      <c r="O4" s="74">
        <v>24000</v>
      </c>
      <c r="P4" s="74">
        <v>24000</v>
      </c>
      <c r="Q4" s="74">
        <v>24000</v>
      </c>
      <c r="R4" s="74">
        <v>24000</v>
      </c>
      <c r="S4" s="74">
        <v>24000</v>
      </c>
      <c r="T4" s="74">
        <v>24000</v>
      </c>
      <c r="U4" s="74"/>
      <c r="V4" s="74"/>
      <c r="W4" s="74"/>
      <c r="X4" s="74"/>
      <c r="Y4" s="74"/>
      <c r="Z4" s="74"/>
      <c r="AA4" s="74"/>
      <c r="AB4" s="74"/>
      <c r="AC4" s="74"/>
      <c r="AD4" s="74"/>
      <c r="AE4" s="74"/>
      <c r="AF4" s="74"/>
      <c r="AG4" s="74"/>
      <c r="AH4" s="74"/>
      <c r="AI4" s="74"/>
      <c r="AJ4" s="74"/>
      <c r="AK4" s="74"/>
      <c r="AL4" s="74"/>
      <c r="AM4" s="74"/>
      <c r="AN4" s="74"/>
      <c r="AO4" s="74"/>
      <c r="AP4" s="74"/>
      <c r="AQ4" s="74"/>
      <c r="AR4" s="74"/>
      <c r="AS4" s="74"/>
      <c r="AX4" s="74">
        <v>24000</v>
      </c>
      <c r="AY4" s="74">
        <v>24000</v>
      </c>
      <c r="AZ4" s="74">
        <v>24000</v>
      </c>
      <c r="BA4" s="74">
        <v>24000</v>
      </c>
      <c r="BB4" s="74">
        <v>24000</v>
      </c>
      <c r="BC4" s="74">
        <v>24000</v>
      </c>
      <c r="BD4" s="74">
        <v>24000</v>
      </c>
      <c r="BE4" s="74">
        <v>24000</v>
      </c>
      <c r="BF4" s="74">
        <v>24000</v>
      </c>
      <c r="BG4" s="74">
        <v>24000</v>
      </c>
      <c r="BH4" s="74">
        <v>24000</v>
      </c>
      <c r="BI4" s="74">
        <v>24000</v>
      </c>
      <c r="BJ4" s="74">
        <v>24000</v>
      </c>
      <c r="BK4" s="74">
        <v>24000</v>
      </c>
      <c r="BL4" s="74">
        <v>24000</v>
      </c>
      <c r="BM4" s="74">
        <v>24000</v>
      </c>
      <c r="BN4" s="74">
        <v>24000</v>
      </c>
      <c r="BO4" s="74">
        <v>24000</v>
      </c>
      <c r="BP4" s="74">
        <v>24000</v>
      </c>
      <c r="BQ4" s="74">
        <v>24000</v>
      </c>
      <c r="BR4" s="74">
        <v>24000</v>
      </c>
      <c r="BS4" s="74">
        <v>24000</v>
      </c>
      <c r="BT4" s="74">
        <v>24000</v>
      </c>
      <c r="BU4" s="74">
        <v>24000</v>
      </c>
      <c r="BV4" s="74">
        <v>24000</v>
      </c>
      <c r="BW4" s="74">
        <v>24000</v>
      </c>
      <c r="BX4" s="74">
        <v>24000</v>
      </c>
      <c r="BY4" s="74">
        <v>24000</v>
      </c>
      <c r="BZ4" s="74">
        <v>24000</v>
      </c>
      <c r="CA4" s="74">
        <v>24000</v>
      </c>
      <c r="CB4" s="74">
        <v>24000</v>
      </c>
      <c r="CC4" s="74">
        <v>24000</v>
      </c>
      <c r="CD4" s="74">
        <v>24000</v>
      </c>
      <c r="CE4" s="74">
        <v>24000</v>
      </c>
      <c r="CF4" s="74">
        <v>24000</v>
      </c>
      <c r="CG4" s="74">
        <v>24000</v>
      </c>
      <c r="CH4" s="74">
        <v>24000</v>
      </c>
      <c r="CI4" s="74">
        <v>24000</v>
      </c>
      <c r="CJ4" s="74">
        <v>24000</v>
      </c>
      <c r="CK4" s="74">
        <v>24000</v>
      </c>
      <c r="CL4" s="74">
        <v>24000</v>
      </c>
      <c r="CM4" s="74">
        <v>24000</v>
      </c>
      <c r="CN4" s="74">
        <v>24000</v>
      </c>
      <c r="CO4" s="74">
        <v>24000</v>
      </c>
      <c r="CP4" s="74">
        <v>24000</v>
      </c>
      <c r="CQ4" s="74">
        <v>24000</v>
      </c>
      <c r="CR4" s="74">
        <v>24000</v>
      </c>
      <c r="CS4" s="74">
        <v>24000</v>
      </c>
      <c r="CT4" s="74">
        <v>24000</v>
      </c>
      <c r="CU4" s="74">
        <v>24000</v>
      </c>
      <c r="CV4" s="74">
        <v>24000</v>
      </c>
      <c r="CW4" s="74">
        <v>24000</v>
      </c>
      <c r="CX4" s="74">
        <v>24000</v>
      </c>
      <c r="CY4" s="74">
        <v>24000</v>
      </c>
      <c r="CZ4" s="74">
        <v>24000</v>
      </c>
      <c r="DA4" s="74">
        <v>24000</v>
      </c>
      <c r="DB4" s="74"/>
      <c r="DC4" s="74"/>
      <c r="DD4" s="74"/>
      <c r="DE4" s="74"/>
      <c r="DF4" s="74"/>
      <c r="DG4" s="74"/>
      <c r="DH4" s="74"/>
      <c r="GU4" s="178">
        <v>2026</v>
      </c>
    </row>
    <row r="5" spans="1:207" s="32" customFormat="1" ht="19.5" customHeight="1">
      <c r="A5" s="33" t="s">
        <v>0</v>
      </c>
      <c r="B5" s="33" t="s">
        <v>1</v>
      </c>
      <c r="C5" s="33" t="s">
        <v>4</v>
      </c>
      <c r="D5" s="34" t="s">
        <v>5</v>
      </c>
      <c r="E5" s="33" t="s">
        <v>6</v>
      </c>
      <c r="F5" s="33" t="s">
        <v>2</v>
      </c>
      <c r="G5" s="33" t="s">
        <v>7</v>
      </c>
      <c r="H5" s="33" t="s">
        <v>2</v>
      </c>
      <c r="I5" s="86" t="s">
        <v>75</v>
      </c>
      <c r="J5" s="86">
        <v>2</v>
      </c>
      <c r="K5" s="86">
        <v>3</v>
      </c>
      <c r="L5" s="86">
        <v>4</v>
      </c>
      <c r="M5" s="86">
        <v>5</v>
      </c>
      <c r="N5" s="86">
        <v>6</v>
      </c>
      <c r="O5" s="86">
        <v>7</v>
      </c>
      <c r="P5" s="86">
        <v>8</v>
      </c>
      <c r="Q5" s="86">
        <v>9</v>
      </c>
      <c r="R5" s="86">
        <v>10</v>
      </c>
      <c r="S5" s="33">
        <v>11</v>
      </c>
      <c r="T5" s="33">
        <v>12</v>
      </c>
      <c r="U5" s="33" t="s">
        <v>122</v>
      </c>
      <c r="V5" s="33">
        <v>2</v>
      </c>
      <c r="W5" s="33">
        <v>3</v>
      </c>
      <c r="X5" s="33">
        <v>4</v>
      </c>
      <c r="Y5" s="33">
        <v>5</v>
      </c>
      <c r="Z5" s="33">
        <v>6</v>
      </c>
      <c r="AA5" s="33">
        <v>7</v>
      </c>
      <c r="AB5" s="33">
        <v>8</v>
      </c>
      <c r="AC5" s="33">
        <v>9</v>
      </c>
      <c r="AD5" s="33">
        <v>10</v>
      </c>
      <c r="AE5" s="33">
        <v>11</v>
      </c>
      <c r="AF5" s="33">
        <v>12</v>
      </c>
      <c r="AG5" s="33" t="s">
        <v>174</v>
      </c>
      <c r="AH5" s="33">
        <v>2</v>
      </c>
      <c r="AI5" s="33">
        <v>3</v>
      </c>
      <c r="AJ5" s="33">
        <v>4</v>
      </c>
      <c r="AK5" s="33">
        <v>5</v>
      </c>
      <c r="AL5" s="33">
        <v>6</v>
      </c>
      <c r="AM5" s="33">
        <v>7</v>
      </c>
      <c r="AN5" s="33">
        <v>8</v>
      </c>
      <c r="AO5" s="33">
        <v>9</v>
      </c>
      <c r="AP5" s="33">
        <v>10</v>
      </c>
      <c r="AQ5" s="33">
        <v>11</v>
      </c>
      <c r="AR5" s="33">
        <v>12</v>
      </c>
      <c r="AS5" s="33" t="s">
        <v>198</v>
      </c>
      <c r="AU5" s="34" t="s">
        <v>5</v>
      </c>
      <c r="AV5" s="33" t="s">
        <v>6</v>
      </c>
      <c r="AW5" s="33" t="s">
        <v>2</v>
      </c>
      <c r="AX5" s="101">
        <v>52</v>
      </c>
      <c r="AY5" s="90" t="s">
        <v>97</v>
      </c>
      <c r="AZ5" s="90">
        <v>2</v>
      </c>
      <c r="BA5" s="90">
        <v>3</v>
      </c>
      <c r="BB5" s="90">
        <v>5</v>
      </c>
      <c r="BC5" s="90">
        <v>6</v>
      </c>
      <c r="BD5" s="90">
        <v>7</v>
      </c>
      <c r="BE5" s="90">
        <v>8</v>
      </c>
      <c r="BF5" s="90">
        <v>9</v>
      </c>
      <c r="BG5" s="90">
        <v>10</v>
      </c>
      <c r="BH5" s="90">
        <v>11</v>
      </c>
      <c r="BI5" s="90">
        <v>12</v>
      </c>
      <c r="BJ5" s="90">
        <v>13</v>
      </c>
      <c r="BK5" s="90">
        <v>14</v>
      </c>
      <c r="BL5" s="90">
        <v>15</v>
      </c>
      <c r="BM5" s="90">
        <v>16</v>
      </c>
      <c r="BN5" s="90">
        <v>17</v>
      </c>
      <c r="BO5" s="101">
        <v>18</v>
      </c>
      <c r="BP5" s="101">
        <v>19</v>
      </c>
      <c r="BQ5" s="101">
        <v>20</v>
      </c>
      <c r="BR5" s="101">
        <v>21</v>
      </c>
      <c r="BS5" s="101">
        <v>22</v>
      </c>
      <c r="BT5" s="101">
        <v>23</v>
      </c>
      <c r="BU5" s="101">
        <v>24</v>
      </c>
      <c r="BV5" s="101">
        <v>25</v>
      </c>
      <c r="BW5" s="101">
        <v>26</v>
      </c>
      <c r="BX5" s="101">
        <v>27</v>
      </c>
      <c r="BY5" s="101">
        <v>28</v>
      </c>
      <c r="BZ5" s="101">
        <v>29</v>
      </c>
      <c r="CA5" s="101">
        <v>30</v>
      </c>
      <c r="CB5" s="101">
        <v>31</v>
      </c>
      <c r="CC5" s="101">
        <v>32</v>
      </c>
      <c r="CD5" s="101">
        <v>33</v>
      </c>
      <c r="CE5" s="101">
        <v>34</v>
      </c>
      <c r="CF5" s="101">
        <v>35</v>
      </c>
      <c r="CG5" s="101">
        <v>36</v>
      </c>
      <c r="CH5" s="101">
        <v>37</v>
      </c>
      <c r="CI5" s="101">
        <v>38</v>
      </c>
      <c r="CJ5" s="101">
        <v>39</v>
      </c>
      <c r="CK5" s="101">
        <v>40</v>
      </c>
      <c r="CL5" s="101">
        <v>41</v>
      </c>
      <c r="CM5" s="101">
        <v>42</v>
      </c>
      <c r="CN5" s="101">
        <v>43</v>
      </c>
      <c r="CO5" s="101">
        <v>44</v>
      </c>
      <c r="CP5" s="101">
        <v>45</v>
      </c>
      <c r="CQ5" s="101">
        <v>46</v>
      </c>
      <c r="CR5" s="101">
        <v>47</v>
      </c>
      <c r="CS5" s="101">
        <v>48</v>
      </c>
      <c r="CT5" s="101">
        <v>49</v>
      </c>
      <c r="CU5" s="101">
        <v>50</v>
      </c>
      <c r="CV5" s="101">
        <v>51</v>
      </c>
      <c r="CW5" s="101">
        <v>52</v>
      </c>
      <c r="CX5" s="101" t="s">
        <v>117</v>
      </c>
      <c r="CY5" s="90" t="s">
        <v>123</v>
      </c>
      <c r="CZ5" s="90" t="s">
        <v>124</v>
      </c>
      <c r="DA5" s="90" t="s">
        <v>125</v>
      </c>
      <c r="DB5" s="90" t="s">
        <v>126</v>
      </c>
      <c r="DC5" s="90" t="s">
        <v>142</v>
      </c>
      <c r="DD5" s="90" t="s">
        <v>143</v>
      </c>
      <c r="DE5" s="90" t="s">
        <v>144</v>
      </c>
      <c r="DF5" s="90" t="s">
        <v>145</v>
      </c>
      <c r="DG5" s="90" t="s">
        <v>146</v>
      </c>
      <c r="DH5" s="90" t="s">
        <v>147</v>
      </c>
      <c r="DI5" s="90" t="s">
        <v>148</v>
      </c>
      <c r="DJ5" s="90" t="s">
        <v>149</v>
      </c>
      <c r="DK5" s="90" t="s">
        <v>150</v>
      </c>
      <c r="DL5" s="90" t="s">
        <v>151</v>
      </c>
      <c r="DM5" s="90" t="s">
        <v>152</v>
      </c>
      <c r="DN5" s="90" t="s">
        <v>153</v>
      </c>
      <c r="DO5" s="90" t="s">
        <v>154</v>
      </c>
      <c r="DP5" s="90" t="s">
        <v>155</v>
      </c>
      <c r="DQ5" s="90" t="s">
        <v>162</v>
      </c>
      <c r="DR5" s="90" t="s">
        <v>163</v>
      </c>
      <c r="DS5" s="90" t="s">
        <v>164</v>
      </c>
      <c r="DT5" s="90" t="s">
        <v>165</v>
      </c>
      <c r="DU5" s="90" t="s">
        <v>166</v>
      </c>
      <c r="DV5" s="90" t="s">
        <v>167</v>
      </c>
      <c r="DW5" s="90" t="s">
        <v>168</v>
      </c>
      <c r="DX5" s="90" t="s">
        <v>169</v>
      </c>
      <c r="DY5" s="90" t="s">
        <v>170</v>
      </c>
      <c r="DZ5" s="90" t="s">
        <v>171</v>
      </c>
      <c r="EA5" s="90" t="s">
        <v>172</v>
      </c>
      <c r="EB5" s="90" t="s">
        <v>173</v>
      </c>
      <c r="EC5" s="90">
        <v>34</v>
      </c>
      <c r="ED5" s="90">
        <v>35</v>
      </c>
      <c r="EE5" s="90">
        <v>36</v>
      </c>
      <c r="EF5" s="90">
        <v>37</v>
      </c>
      <c r="EG5" s="90">
        <v>38</v>
      </c>
      <c r="EH5" s="90">
        <v>39</v>
      </c>
      <c r="EI5" s="90">
        <v>40</v>
      </c>
      <c r="EJ5" s="90">
        <v>41</v>
      </c>
      <c r="EK5" s="90">
        <v>42</v>
      </c>
      <c r="EL5" s="90">
        <v>43</v>
      </c>
      <c r="EM5" s="90">
        <v>44</v>
      </c>
      <c r="EN5" s="90">
        <v>45</v>
      </c>
      <c r="EO5" s="90">
        <v>46</v>
      </c>
      <c r="EP5" s="90">
        <v>47</v>
      </c>
      <c r="EQ5" s="90">
        <v>48</v>
      </c>
      <c r="ER5" s="90">
        <v>49</v>
      </c>
      <c r="ES5" s="90">
        <v>50</v>
      </c>
      <c r="ET5" s="90">
        <v>51</v>
      </c>
      <c r="EU5" s="90">
        <v>52</v>
      </c>
      <c r="EV5" s="90" t="s">
        <v>121</v>
      </c>
      <c r="EW5" s="90" t="s">
        <v>123</v>
      </c>
      <c r="EX5" s="90" t="s">
        <v>124</v>
      </c>
      <c r="EY5" s="90" t="s">
        <v>125</v>
      </c>
      <c r="EZ5" s="90" t="s">
        <v>175</v>
      </c>
      <c r="FA5" s="90" t="s">
        <v>177</v>
      </c>
      <c r="FB5" s="90" t="s">
        <v>142</v>
      </c>
      <c r="FC5" s="90" t="s">
        <v>143</v>
      </c>
      <c r="FD5" s="90" t="s">
        <v>144</v>
      </c>
      <c r="FE5" s="90" t="s">
        <v>145</v>
      </c>
      <c r="FF5" s="90" t="s">
        <v>146</v>
      </c>
      <c r="FG5" s="90" t="s">
        <v>147</v>
      </c>
      <c r="FH5" s="90" t="s">
        <v>148</v>
      </c>
      <c r="FI5" s="90" t="s">
        <v>149</v>
      </c>
      <c r="FJ5" s="90" t="s">
        <v>150</v>
      </c>
      <c r="FK5" s="90" t="s">
        <v>151</v>
      </c>
      <c r="FL5" s="90" t="s">
        <v>152</v>
      </c>
      <c r="FM5" s="90" t="s">
        <v>153</v>
      </c>
      <c r="FN5" s="90" t="s">
        <v>154</v>
      </c>
      <c r="FO5" s="90" t="s">
        <v>155</v>
      </c>
      <c r="FP5" s="90" t="s">
        <v>162</v>
      </c>
      <c r="FQ5" s="90" t="s">
        <v>163</v>
      </c>
      <c r="FR5" s="90" t="s">
        <v>164</v>
      </c>
      <c r="FS5" s="90" t="s">
        <v>165</v>
      </c>
      <c r="FT5" s="90" t="s">
        <v>166</v>
      </c>
      <c r="FU5" s="90" t="s">
        <v>167</v>
      </c>
      <c r="FV5" s="90" t="s">
        <v>168</v>
      </c>
      <c r="FW5" s="90" t="s">
        <v>169</v>
      </c>
      <c r="FX5" s="90" t="s">
        <v>170</v>
      </c>
      <c r="FY5" s="90" t="s">
        <v>171</v>
      </c>
      <c r="FZ5" s="90" t="s">
        <v>172</v>
      </c>
      <c r="GA5" s="90" t="s">
        <v>173</v>
      </c>
      <c r="GB5" s="90" t="s">
        <v>179</v>
      </c>
      <c r="GC5" s="90" t="s">
        <v>180</v>
      </c>
      <c r="GD5" s="90" t="s">
        <v>181</v>
      </c>
      <c r="GE5" s="90" t="s">
        <v>182</v>
      </c>
      <c r="GF5" s="90" t="s">
        <v>183</v>
      </c>
      <c r="GG5" s="90" t="s">
        <v>184</v>
      </c>
      <c r="GH5" s="90">
        <v>40</v>
      </c>
      <c r="GI5" s="90">
        <v>41</v>
      </c>
      <c r="GJ5" s="90">
        <v>42</v>
      </c>
      <c r="GK5" s="90">
        <v>43</v>
      </c>
      <c r="GL5" s="90">
        <v>44</v>
      </c>
      <c r="GM5" s="90">
        <v>45</v>
      </c>
      <c r="GN5" s="90">
        <v>46</v>
      </c>
      <c r="GO5" s="90">
        <v>47</v>
      </c>
      <c r="GP5" s="90">
        <v>48</v>
      </c>
      <c r="GQ5" s="90">
        <v>49</v>
      </c>
      <c r="GR5" s="90">
        <v>50</v>
      </c>
      <c r="GS5" s="90">
        <v>51</v>
      </c>
      <c r="GT5" s="90">
        <v>52</v>
      </c>
      <c r="GU5" s="90" t="s">
        <v>121</v>
      </c>
      <c r="GV5" s="90" t="s">
        <v>123</v>
      </c>
      <c r="GW5" s="90" t="s">
        <v>124</v>
      </c>
      <c r="GX5" s="90" t="s">
        <v>125</v>
      </c>
      <c r="GY5" s="90" t="s">
        <v>126</v>
      </c>
    </row>
    <row r="6" spans="1:207" ht="18" hidden="1" customHeight="1">
      <c r="A6" s="4"/>
      <c r="B6" s="8"/>
      <c r="C6" s="8"/>
      <c r="D6" s="105" t="s">
        <v>21</v>
      </c>
      <c r="E6" s="5" t="s">
        <v>22</v>
      </c>
      <c r="F6" s="7" t="s">
        <v>92</v>
      </c>
      <c r="G6" s="4" t="s">
        <v>24</v>
      </c>
      <c r="H6" s="7" t="str">
        <f>F6</f>
        <v>Vảy PP tuyển mua ngoài - ICIS</v>
      </c>
      <c r="I6" s="75"/>
      <c r="J6" s="75"/>
      <c r="K6" s="75"/>
      <c r="L6" s="75"/>
      <c r="M6" s="75"/>
      <c r="N6" s="75"/>
      <c r="O6" s="75"/>
      <c r="P6" s="75"/>
      <c r="Q6" s="75"/>
      <c r="R6" s="75"/>
      <c r="S6" s="75"/>
      <c r="T6" s="75"/>
      <c r="U6" s="75"/>
      <c r="V6" s="75"/>
      <c r="W6" s="75"/>
      <c r="X6" s="75"/>
      <c r="Y6" s="75"/>
      <c r="Z6" s="75"/>
      <c r="AA6" s="75"/>
      <c r="AB6" s="75"/>
      <c r="AC6" s="75"/>
      <c r="AD6" s="75"/>
      <c r="AE6" s="75"/>
      <c r="AF6" s="75"/>
      <c r="AG6" s="75"/>
      <c r="AH6" s="75"/>
      <c r="AI6" s="75"/>
      <c r="AJ6" s="75"/>
      <c r="AK6" s="75"/>
      <c r="AL6" s="75"/>
      <c r="AM6" s="75"/>
      <c r="AN6" s="75"/>
      <c r="AO6" s="75"/>
      <c r="AP6" s="75"/>
      <c r="AQ6" s="75"/>
      <c r="AR6" s="75"/>
      <c r="AS6" s="75"/>
      <c r="AU6" s="4"/>
      <c r="AV6" s="5" t="s">
        <v>22</v>
      </c>
      <c r="AW6" s="7" t="str">
        <f>F6</f>
        <v>Vảy PP tuyển mua ngoài - ICIS</v>
      </c>
      <c r="AX6" s="75"/>
      <c r="AY6" s="75"/>
      <c r="AZ6" s="75"/>
      <c r="BA6" s="75"/>
      <c r="BB6" s="75"/>
      <c r="BC6" s="75"/>
      <c r="BD6" s="75"/>
      <c r="BE6" s="75"/>
      <c r="BF6" s="75"/>
      <c r="BG6" s="75"/>
      <c r="BH6" s="75"/>
      <c r="BI6" s="75"/>
      <c r="BJ6" s="75"/>
      <c r="BK6" s="75"/>
      <c r="BL6" s="75"/>
      <c r="BM6" s="75"/>
      <c r="BN6" s="75"/>
      <c r="BO6" s="75"/>
      <c r="BP6" s="75"/>
      <c r="BQ6" s="75"/>
      <c r="BR6" s="75"/>
      <c r="BS6" s="75"/>
      <c r="BT6" s="75"/>
      <c r="BU6" s="75"/>
      <c r="BV6" s="75"/>
      <c r="BW6" s="75"/>
      <c r="BX6" s="140"/>
      <c r="BY6" s="140"/>
      <c r="BZ6" s="140"/>
      <c r="CA6" s="140"/>
      <c r="CB6" s="140"/>
      <c r="CC6" s="140"/>
      <c r="CD6" s="140"/>
      <c r="CE6" s="140"/>
      <c r="CF6" s="134"/>
      <c r="CG6" s="134"/>
      <c r="CH6" s="134"/>
      <c r="CI6" s="134"/>
      <c r="CJ6" s="134"/>
      <c r="CK6" s="134"/>
      <c r="CL6" s="134"/>
      <c r="CM6" s="134"/>
      <c r="CN6" s="134"/>
      <c r="CO6" s="134"/>
      <c r="CP6" s="134"/>
      <c r="CQ6" s="134"/>
      <c r="CR6" s="134"/>
      <c r="CS6" s="134"/>
      <c r="CT6" s="134"/>
      <c r="CU6" s="134"/>
      <c r="CV6" s="134"/>
      <c r="CW6" s="134"/>
      <c r="CX6" s="134"/>
      <c r="CY6" s="134"/>
      <c r="CZ6" s="134"/>
      <c r="DA6" s="134"/>
      <c r="DB6" s="134"/>
      <c r="DC6" s="134"/>
      <c r="DD6" s="134"/>
      <c r="DE6" s="134"/>
      <c r="DF6" s="134"/>
      <c r="DG6" s="134"/>
      <c r="DH6" s="134"/>
    </row>
    <row r="7" spans="1:207" ht="14">
      <c r="A7" s="4">
        <v>5</v>
      </c>
      <c r="B7" s="8" t="s">
        <v>25</v>
      </c>
      <c r="C7" s="8" t="s">
        <v>26</v>
      </c>
      <c r="D7" s="4"/>
      <c r="E7" s="8" t="s">
        <v>28</v>
      </c>
      <c r="F7" s="8" t="s">
        <v>138</v>
      </c>
      <c r="G7" s="4" t="s">
        <v>24</v>
      </c>
      <c r="H7" s="8" t="s">
        <v>178</v>
      </c>
      <c r="I7" s="24">
        <f>+SUM(AY7:BB7)/COUNT(AY7:BB7)</f>
        <v>1250</v>
      </c>
      <c r="J7" s="10">
        <f>+SUM(BC7:BF7)/COUNT(BC7:BF7)</f>
        <v>1250</v>
      </c>
      <c r="K7" s="95">
        <v>1250</v>
      </c>
      <c r="L7" s="95">
        <v>1250</v>
      </c>
      <c r="M7" s="95">
        <v>1250</v>
      </c>
      <c r="N7" s="95">
        <v>1250</v>
      </c>
      <c r="O7" s="95">
        <f t="shared" ref="O7:Q11" si="0">BX7</f>
        <v>1250</v>
      </c>
      <c r="P7" s="95">
        <f t="shared" si="0"/>
        <v>1250</v>
      </c>
      <c r="Q7" s="95">
        <f t="shared" si="0"/>
        <v>1250</v>
      </c>
      <c r="R7" s="95">
        <v>1250</v>
      </c>
      <c r="S7" s="160">
        <v>1250</v>
      </c>
      <c r="T7" s="160">
        <v>1250</v>
      </c>
      <c r="U7" s="160">
        <v>1250</v>
      </c>
      <c r="V7" s="160">
        <v>1250</v>
      </c>
      <c r="W7" s="160">
        <v>1250</v>
      </c>
      <c r="X7" s="160">
        <v>1250</v>
      </c>
      <c r="Y7" s="160">
        <v>1250</v>
      </c>
      <c r="Z7" s="160">
        <v>1250</v>
      </c>
      <c r="AA7" s="160">
        <v>1250</v>
      </c>
      <c r="AB7" s="160">
        <v>1250</v>
      </c>
      <c r="AC7" s="160">
        <v>1250</v>
      </c>
      <c r="AD7" s="160">
        <f t="shared" ref="AD7:AD11" si="1">+SUM(EJ7:EL7)/COUNT(EJ7:EL7)</f>
        <v>1250</v>
      </c>
      <c r="AE7" s="160">
        <f>+SUM(EM7:EQ7)/COUNT(EM7:EQ7)</f>
        <v>1250</v>
      </c>
      <c r="AF7" s="160">
        <f t="shared" ref="AF7:AF11" si="2">+SUM(ER7:EU7)/COUNT(ER7:EU7)</f>
        <v>1250</v>
      </c>
      <c r="AG7" s="160">
        <f>+SUM(EV7:EY7)/COUNT(EV7:EY7)</f>
        <v>1250</v>
      </c>
      <c r="AH7" s="160">
        <v>1250</v>
      </c>
      <c r="AI7" s="160">
        <v>1045</v>
      </c>
      <c r="AJ7" s="160">
        <v>1045</v>
      </c>
      <c r="AK7" s="160">
        <v>990.00000000000011</v>
      </c>
      <c r="AL7" s="160">
        <v>990.00000000000011</v>
      </c>
      <c r="AM7" s="160"/>
      <c r="AN7" s="160"/>
      <c r="AO7" s="160"/>
      <c r="AP7" s="160"/>
      <c r="AQ7" s="160"/>
      <c r="AR7" s="160"/>
      <c r="AS7" s="160"/>
      <c r="AU7" s="4"/>
      <c r="AV7" s="8" t="s">
        <v>28</v>
      </c>
      <c r="AW7" s="8" t="s">
        <v>178</v>
      </c>
      <c r="AX7" s="24">
        <v>1250</v>
      </c>
      <c r="AY7" s="137">
        <v>1250</v>
      </c>
      <c r="AZ7" s="137">
        <v>1250</v>
      </c>
      <c r="BA7" s="137">
        <v>1250</v>
      </c>
      <c r="BB7" s="137">
        <v>1250</v>
      </c>
      <c r="BC7" s="137">
        <v>1250</v>
      </c>
      <c r="BD7" s="137">
        <v>1250</v>
      </c>
      <c r="BE7" s="137">
        <v>1250</v>
      </c>
      <c r="BF7" s="137">
        <v>1250</v>
      </c>
      <c r="BG7" s="137">
        <v>1250</v>
      </c>
      <c r="BH7" s="137">
        <v>1250</v>
      </c>
      <c r="BI7" s="137">
        <v>1250</v>
      </c>
      <c r="BJ7" s="137">
        <v>1250</v>
      </c>
      <c r="BK7" s="137">
        <v>1250</v>
      </c>
      <c r="BL7" s="137">
        <v>1250</v>
      </c>
      <c r="BM7" s="24">
        <v>1250</v>
      </c>
      <c r="BN7" s="24">
        <v>1250</v>
      </c>
      <c r="BO7" s="24">
        <v>1250</v>
      </c>
      <c r="BP7" s="24">
        <v>1250</v>
      </c>
      <c r="BQ7" s="24">
        <v>1250</v>
      </c>
      <c r="BR7" s="24">
        <v>1250</v>
      </c>
      <c r="BS7" s="24">
        <v>1250</v>
      </c>
      <c r="BT7" s="24">
        <v>1250</v>
      </c>
      <c r="BU7" s="24">
        <v>1250</v>
      </c>
      <c r="BV7" s="24">
        <v>1250</v>
      </c>
      <c r="BW7" s="24">
        <v>1250</v>
      </c>
      <c r="BX7" s="24">
        <v>1250</v>
      </c>
      <c r="BY7" s="24">
        <v>1250</v>
      </c>
      <c r="BZ7" s="24">
        <v>1250</v>
      </c>
      <c r="CA7" s="24">
        <v>1250</v>
      </c>
      <c r="CB7" s="24">
        <v>1250</v>
      </c>
      <c r="CC7" s="24">
        <v>1250</v>
      </c>
      <c r="CD7" s="24">
        <v>1250</v>
      </c>
      <c r="CE7" s="24">
        <v>1250</v>
      </c>
      <c r="CF7" s="49">
        <v>1250</v>
      </c>
      <c r="CG7" s="49">
        <v>1250</v>
      </c>
      <c r="CH7" s="49">
        <v>1250</v>
      </c>
      <c r="CI7" s="49">
        <v>1250</v>
      </c>
      <c r="CJ7" s="49">
        <v>1250</v>
      </c>
      <c r="CK7" s="49">
        <v>1250</v>
      </c>
      <c r="CL7" s="49">
        <v>1250</v>
      </c>
      <c r="CM7" s="49">
        <v>1250</v>
      </c>
      <c r="CN7" s="49">
        <v>1250</v>
      </c>
      <c r="CO7" s="49">
        <v>1250</v>
      </c>
      <c r="CP7" s="49">
        <v>1250</v>
      </c>
      <c r="CQ7" s="49">
        <v>1250</v>
      </c>
      <c r="CR7" s="49">
        <v>1250</v>
      </c>
      <c r="CS7" s="49">
        <v>1250</v>
      </c>
      <c r="CT7" s="49">
        <v>1250</v>
      </c>
      <c r="CU7" s="49">
        <v>1250</v>
      </c>
      <c r="CV7" s="49">
        <v>1250</v>
      </c>
      <c r="CW7" s="49">
        <v>1250</v>
      </c>
      <c r="CX7" s="49">
        <v>1250</v>
      </c>
      <c r="CY7" s="49">
        <v>1250</v>
      </c>
      <c r="CZ7" s="49">
        <v>1250</v>
      </c>
      <c r="DA7" s="49">
        <v>1250</v>
      </c>
      <c r="DB7" s="49">
        <v>1250</v>
      </c>
      <c r="DC7" s="49">
        <v>1250</v>
      </c>
      <c r="DD7" s="49">
        <v>1250</v>
      </c>
      <c r="DE7" s="49">
        <v>1250</v>
      </c>
      <c r="DF7" s="49">
        <v>1250</v>
      </c>
      <c r="DG7" s="49">
        <v>1250</v>
      </c>
      <c r="DH7" s="49">
        <v>1250</v>
      </c>
      <c r="DI7" s="49">
        <v>1250</v>
      </c>
      <c r="DJ7" s="49">
        <v>1250</v>
      </c>
      <c r="DK7" s="49">
        <v>1250</v>
      </c>
      <c r="DL7" s="49">
        <v>1250</v>
      </c>
      <c r="DM7" s="49">
        <v>1250</v>
      </c>
      <c r="DN7" s="49">
        <v>1250</v>
      </c>
      <c r="DO7" s="49">
        <v>1250</v>
      </c>
      <c r="DP7" s="49">
        <v>1250</v>
      </c>
      <c r="DQ7" s="49">
        <v>1250</v>
      </c>
      <c r="DR7" s="49">
        <v>1250</v>
      </c>
      <c r="DS7" s="49">
        <v>1250</v>
      </c>
      <c r="DT7" s="49">
        <v>1250</v>
      </c>
      <c r="DU7" s="49">
        <v>1250</v>
      </c>
      <c r="DV7" s="49">
        <v>1250</v>
      </c>
      <c r="DW7" s="49">
        <v>1250</v>
      </c>
      <c r="DX7" s="49">
        <v>1250</v>
      </c>
      <c r="DY7" s="49">
        <v>1250</v>
      </c>
      <c r="DZ7" s="49">
        <v>1250</v>
      </c>
      <c r="EA7" s="49">
        <v>1250</v>
      </c>
      <c r="EB7" s="49">
        <v>1250</v>
      </c>
      <c r="EC7" s="49">
        <v>1250</v>
      </c>
      <c r="ED7" s="49">
        <v>1250</v>
      </c>
      <c r="EE7" s="49">
        <v>1250</v>
      </c>
      <c r="EF7" s="49">
        <v>1250</v>
      </c>
      <c r="EG7" s="49">
        <v>1250</v>
      </c>
      <c r="EH7" s="49">
        <v>1250</v>
      </c>
      <c r="EI7" s="49">
        <v>1250</v>
      </c>
      <c r="EJ7" s="49">
        <v>1250</v>
      </c>
      <c r="EK7" s="49">
        <v>1250</v>
      </c>
      <c r="EL7" s="49">
        <v>1250</v>
      </c>
      <c r="EM7" s="49">
        <v>1250</v>
      </c>
      <c r="EN7" s="49">
        <v>1250</v>
      </c>
      <c r="EO7" s="49">
        <v>1250</v>
      </c>
      <c r="EP7" s="49">
        <v>1250</v>
      </c>
      <c r="EQ7" s="49">
        <v>1250</v>
      </c>
      <c r="ER7" s="49">
        <v>1250</v>
      </c>
      <c r="ES7" s="49">
        <v>1250</v>
      </c>
      <c r="ET7" s="49">
        <v>1250</v>
      </c>
      <c r="EU7" s="49">
        <v>1250</v>
      </c>
      <c r="EV7" s="49">
        <v>1250</v>
      </c>
      <c r="EW7" s="49">
        <v>1250</v>
      </c>
      <c r="EX7" s="49">
        <v>1250</v>
      </c>
      <c r="EY7" s="49">
        <v>1250</v>
      </c>
      <c r="EZ7" s="49">
        <v>1250</v>
      </c>
      <c r="FA7" s="49">
        <v>1250</v>
      </c>
      <c r="FB7" s="49">
        <v>1250</v>
      </c>
      <c r="FC7" s="49">
        <v>1250</v>
      </c>
      <c r="FD7" s="49">
        <v>1045</v>
      </c>
      <c r="FE7" s="49">
        <v>1045</v>
      </c>
      <c r="FF7" s="49">
        <v>1045</v>
      </c>
      <c r="FG7" s="49">
        <v>1045</v>
      </c>
      <c r="FH7" s="49">
        <v>1045</v>
      </c>
      <c r="FI7" s="49">
        <v>1045</v>
      </c>
      <c r="FJ7" s="49">
        <v>1045</v>
      </c>
      <c r="FK7" s="49">
        <v>1045</v>
      </c>
      <c r="FL7" s="49">
        <v>990.00000000000011</v>
      </c>
      <c r="FM7" s="49">
        <v>990.00000000000011</v>
      </c>
      <c r="FN7" s="49">
        <v>990.00000000000011</v>
      </c>
      <c r="FO7" s="49">
        <v>990.00000000000011</v>
      </c>
      <c r="FP7" s="49">
        <v>990.00000000000011</v>
      </c>
      <c r="FQ7" s="49">
        <v>990.00000000000011</v>
      </c>
      <c r="FR7" s="49">
        <v>990.00000000000011</v>
      </c>
      <c r="FS7" s="49">
        <v>990.00000000000011</v>
      </c>
      <c r="FT7" s="49">
        <v>990.00000000000011</v>
      </c>
      <c r="FU7" s="49"/>
      <c r="FV7" s="49"/>
      <c r="FW7" s="49"/>
      <c r="FX7" s="49"/>
      <c r="FY7" s="49"/>
      <c r="FZ7" s="49"/>
      <c r="GA7" s="49"/>
      <c r="GB7" s="49"/>
      <c r="GC7" s="49"/>
      <c r="GD7" s="49"/>
      <c r="GE7" s="49"/>
      <c r="GF7" s="49"/>
      <c r="GG7" s="49"/>
      <c r="GH7" s="49"/>
      <c r="GI7" s="49"/>
      <c r="GJ7" s="49"/>
      <c r="GK7" s="49"/>
      <c r="GL7" s="49"/>
      <c r="GM7" s="49"/>
      <c r="GN7" s="49"/>
      <c r="GO7" s="49"/>
      <c r="GP7" s="49"/>
      <c r="GQ7" s="49"/>
      <c r="GR7" s="49"/>
      <c r="GS7" s="49"/>
      <c r="GT7" s="49"/>
      <c r="GU7" s="49"/>
      <c r="GV7" s="49"/>
      <c r="GW7" s="49"/>
      <c r="GX7" s="49"/>
      <c r="GY7" s="49"/>
    </row>
    <row r="8" spans="1:207" ht="14">
      <c r="A8" s="4"/>
      <c r="B8" s="8"/>
      <c r="C8" s="8"/>
      <c r="D8" s="4"/>
      <c r="E8" s="8"/>
      <c r="F8" s="8" t="s">
        <v>161</v>
      </c>
      <c r="G8" s="4"/>
      <c r="H8" s="8" t="s">
        <v>161</v>
      </c>
      <c r="I8" s="24"/>
      <c r="J8" s="10"/>
      <c r="K8" s="95"/>
      <c r="L8" s="95"/>
      <c r="M8" s="95"/>
      <c r="N8" s="95"/>
      <c r="O8" s="95"/>
      <c r="P8" s="95"/>
      <c r="Q8" s="95"/>
      <c r="R8" s="95"/>
      <c r="S8" s="160"/>
      <c r="T8" s="160"/>
      <c r="U8" s="160">
        <v>950</v>
      </c>
      <c r="V8" s="160">
        <v>950</v>
      </c>
      <c r="W8" s="160">
        <v>950</v>
      </c>
      <c r="X8" s="160">
        <v>950</v>
      </c>
      <c r="Y8" s="160">
        <v>920</v>
      </c>
      <c r="Z8" s="160">
        <v>920</v>
      </c>
      <c r="AA8" s="160">
        <v>920</v>
      </c>
      <c r="AB8" s="160">
        <v>920</v>
      </c>
      <c r="AC8" s="160">
        <v>890</v>
      </c>
      <c r="AD8" s="160">
        <f t="shared" si="1"/>
        <v>880</v>
      </c>
      <c r="AE8" s="160">
        <f>+SUM(EM8:EQ8)/COUNT(EM8:EQ8)</f>
        <v>870</v>
      </c>
      <c r="AF8" s="160">
        <f t="shared" si="2"/>
        <v>870</v>
      </c>
      <c r="AG8" s="160">
        <f t="shared" ref="AG8:AG10" si="3">+SUM(EV8:EY8)/COUNT(EV8:EY8)</f>
        <v>870</v>
      </c>
      <c r="AH8" s="160">
        <v>800</v>
      </c>
      <c r="AI8" s="160">
        <v>805</v>
      </c>
      <c r="AJ8" s="160">
        <v>805</v>
      </c>
      <c r="AK8" s="160">
        <v>765</v>
      </c>
      <c r="AL8" s="160">
        <v>765</v>
      </c>
      <c r="AM8" s="160">
        <v>780</v>
      </c>
      <c r="AN8" s="160">
        <f>780-20</f>
        <v>760</v>
      </c>
      <c r="AO8" s="160">
        <f>780-20</f>
        <v>760</v>
      </c>
      <c r="AP8" s="160">
        <f>780-20</f>
        <v>760</v>
      </c>
      <c r="AQ8" s="160">
        <v>740</v>
      </c>
      <c r="AR8" s="160">
        <v>740</v>
      </c>
      <c r="AS8" s="160">
        <v>740</v>
      </c>
      <c r="AU8" s="4"/>
      <c r="AV8" s="8"/>
      <c r="AW8" s="8" t="s">
        <v>161</v>
      </c>
      <c r="AX8" s="24"/>
      <c r="AY8" s="24">
        <v>950</v>
      </c>
      <c r="AZ8" s="24">
        <v>950</v>
      </c>
      <c r="BA8" s="24">
        <v>950</v>
      </c>
      <c r="BB8" s="24">
        <v>950</v>
      </c>
      <c r="BC8" s="24">
        <v>950</v>
      </c>
      <c r="BD8" s="24">
        <v>950</v>
      </c>
      <c r="BE8" s="24">
        <v>950</v>
      </c>
      <c r="BF8" s="24">
        <v>950</v>
      </c>
      <c r="BG8" s="24">
        <v>950</v>
      </c>
      <c r="BH8" s="24">
        <v>950</v>
      </c>
      <c r="BI8" s="24">
        <v>950</v>
      </c>
      <c r="BJ8" s="24">
        <v>950</v>
      </c>
      <c r="BK8" s="24">
        <v>950</v>
      </c>
      <c r="BL8" s="24">
        <v>950</v>
      </c>
      <c r="BM8" s="24">
        <v>950</v>
      </c>
      <c r="BN8" s="24">
        <v>950</v>
      </c>
      <c r="BO8" s="24">
        <v>950</v>
      </c>
      <c r="BP8" s="24">
        <v>950</v>
      </c>
      <c r="BQ8" s="24">
        <v>950</v>
      </c>
      <c r="BR8" s="24">
        <v>950</v>
      </c>
      <c r="BS8" s="24">
        <v>950</v>
      </c>
      <c r="BT8" s="24">
        <v>950</v>
      </c>
      <c r="BU8" s="24">
        <v>950</v>
      </c>
      <c r="BV8" s="24">
        <v>950</v>
      </c>
      <c r="BW8" s="24">
        <v>950</v>
      </c>
      <c r="BX8" s="24">
        <v>950</v>
      </c>
      <c r="BY8" s="24">
        <v>950</v>
      </c>
      <c r="BZ8" s="24">
        <v>950</v>
      </c>
      <c r="CA8" s="24">
        <v>950</v>
      </c>
      <c r="CB8" s="24">
        <v>950</v>
      </c>
      <c r="CC8" s="24">
        <v>950</v>
      </c>
      <c r="CD8" s="24">
        <v>950</v>
      </c>
      <c r="CE8" s="24">
        <v>950</v>
      </c>
      <c r="CF8" s="49">
        <v>950</v>
      </c>
      <c r="CG8" s="49">
        <v>950</v>
      </c>
      <c r="CH8" s="49">
        <v>950</v>
      </c>
      <c r="CI8" s="49">
        <v>950</v>
      </c>
      <c r="CJ8" s="49">
        <v>950</v>
      </c>
      <c r="CK8" s="49">
        <v>950</v>
      </c>
      <c r="CL8" s="49">
        <v>950</v>
      </c>
      <c r="CM8" s="49">
        <v>950</v>
      </c>
      <c r="CN8" s="49">
        <v>950</v>
      </c>
      <c r="CO8" s="49">
        <v>950</v>
      </c>
      <c r="CP8" s="49">
        <v>950</v>
      </c>
      <c r="CQ8" s="49">
        <v>950</v>
      </c>
      <c r="CR8" s="49">
        <v>950</v>
      </c>
      <c r="CS8" s="49">
        <v>950</v>
      </c>
      <c r="CT8" s="49">
        <v>950</v>
      </c>
      <c r="CU8" s="49">
        <v>950</v>
      </c>
      <c r="CV8" s="49">
        <v>950</v>
      </c>
      <c r="CW8" s="49">
        <v>950</v>
      </c>
      <c r="CX8" s="49">
        <v>950</v>
      </c>
      <c r="CY8" s="49">
        <v>950</v>
      </c>
      <c r="CZ8" s="49">
        <v>950</v>
      </c>
      <c r="DA8" s="49">
        <v>950</v>
      </c>
      <c r="DB8" s="49">
        <v>950</v>
      </c>
      <c r="DC8" s="49">
        <v>950</v>
      </c>
      <c r="DD8" s="49">
        <v>950</v>
      </c>
      <c r="DE8" s="49">
        <v>950</v>
      </c>
      <c r="DF8" s="49">
        <v>950</v>
      </c>
      <c r="DG8" s="49">
        <v>950</v>
      </c>
      <c r="DH8" s="49">
        <v>950</v>
      </c>
      <c r="DI8" s="49">
        <v>950</v>
      </c>
      <c r="DJ8" s="49">
        <v>950</v>
      </c>
      <c r="DK8" s="49">
        <v>950</v>
      </c>
      <c r="DL8" s="49">
        <v>950</v>
      </c>
      <c r="DM8" s="49">
        <v>920</v>
      </c>
      <c r="DN8" s="49">
        <v>920</v>
      </c>
      <c r="DO8" s="49">
        <v>920</v>
      </c>
      <c r="DP8" s="49">
        <v>920</v>
      </c>
      <c r="DQ8" s="49">
        <v>920</v>
      </c>
      <c r="DR8" s="49">
        <v>920</v>
      </c>
      <c r="DS8" s="49">
        <v>920</v>
      </c>
      <c r="DT8" s="49">
        <v>920</v>
      </c>
      <c r="DU8" s="49">
        <v>920</v>
      </c>
      <c r="DV8" s="49">
        <v>920</v>
      </c>
      <c r="DW8" s="49">
        <v>920</v>
      </c>
      <c r="DX8" s="49">
        <v>920</v>
      </c>
      <c r="DY8" s="49">
        <v>920</v>
      </c>
      <c r="DZ8" s="49">
        <v>920</v>
      </c>
      <c r="EA8" s="49">
        <v>920</v>
      </c>
      <c r="EB8" s="49">
        <v>920</v>
      </c>
      <c r="EC8" s="49">
        <v>920</v>
      </c>
      <c r="ED8" s="49">
        <v>920</v>
      </c>
      <c r="EE8" s="49">
        <v>890</v>
      </c>
      <c r="EF8" s="49">
        <v>890</v>
      </c>
      <c r="EG8" s="49">
        <v>890</v>
      </c>
      <c r="EH8" s="49">
        <v>890</v>
      </c>
      <c r="EI8" s="49">
        <v>880</v>
      </c>
      <c r="EJ8" s="49">
        <v>880</v>
      </c>
      <c r="EK8" s="49">
        <v>880</v>
      </c>
      <c r="EL8" s="49">
        <v>880</v>
      </c>
      <c r="EM8" s="49">
        <v>870</v>
      </c>
      <c r="EN8" s="49">
        <v>870</v>
      </c>
      <c r="EO8" s="49">
        <v>870</v>
      </c>
      <c r="EP8" s="49">
        <v>870</v>
      </c>
      <c r="EQ8" s="49">
        <v>870</v>
      </c>
      <c r="ER8" s="49">
        <v>870</v>
      </c>
      <c r="ES8" s="49">
        <v>870</v>
      </c>
      <c r="ET8" s="49">
        <v>870</v>
      </c>
      <c r="EU8" s="49">
        <v>870</v>
      </c>
      <c r="EV8" s="49">
        <v>870</v>
      </c>
      <c r="EW8" s="49">
        <v>870</v>
      </c>
      <c r="EX8" s="49">
        <v>870</v>
      </c>
      <c r="EY8" s="49">
        <v>870</v>
      </c>
      <c r="EZ8" s="49">
        <v>870</v>
      </c>
      <c r="FA8" s="49">
        <v>870</v>
      </c>
      <c r="FB8" s="49">
        <v>870</v>
      </c>
      <c r="FC8" s="49">
        <v>870</v>
      </c>
      <c r="FD8" s="49">
        <v>805</v>
      </c>
      <c r="FE8" s="49">
        <v>805</v>
      </c>
      <c r="FF8" s="49">
        <v>805</v>
      </c>
      <c r="FG8" s="49">
        <v>805</v>
      </c>
      <c r="FH8" s="49">
        <v>805</v>
      </c>
      <c r="FI8" s="49">
        <v>805</v>
      </c>
      <c r="FJ8" s="49">
        <v>805</v>
      </c>
      <c r="FK8" s="49">
        <v>805</v>
      </c>
      <c r="FL8" s="49">
        <v>765</v>
      </c>
      <c r="FM8" s="49">
        <v>765</v>
      </c>
      <c r="FN8" s="49">
        <v>765</v>
      </c>
      <c r="FO8" s="49">
        <v>765</v>
      </c>
      <c r="FP8" s="49">
        <v>765</v>
      </c>
      <c r="FQ8" s="49">
        <v>765</v>
      </c>
      <c r="FR8" s="49">
        <v>765</v>
      </c>
      <c r="FS8" s="49">
        <v>765</v>
      </c>
      <c r="FT8" s="49">
        <v>765</v>
      </c>
      <c r="FU8" s="49">
        <v>780</v>
      </c>
      <c r="FV8" s="49">
        <v>780</v>
      </c>
      <c r="FW8" s="49">
        <v>780</v>
      </c>
      <c r="FX8" s="49">
        <v>780</v>
      </c>
      <c r="FY8" s="49">
        <v>780</v>
      </c>
      <c r="FZ8" s="49">
        <f>780-20</f>
        <v>760</v>
      </c>
      <c r="GA8" s="49">
        <f t="shared" ref="GA8:GL8" si="4">780-20</f>
        <v>760</v>
      </c>
      <c r="GB8" s="49">
        <f t="shared" si="4"/>
        <v>760</v>
      </c>
      <c r="GC8" s="49">
        <f t="shared" si="4"/>
        <v>760</v>
      </c>
      <c r="GD8" s="49">
        <f t="shared" si="4"/>
        <v>760</v>
      </c>
      <c r="GE8" s="49">
        <f t="shared" si="4"/>
        <v>760</v>
      </c>
      <c r="GF8" s="49">
        <f t="shared" si="4"/>
        <v>760</v>
      </c>
      <c r="GG8" s="49">
        <f t="shared" si="4"/>
        <v>760</v>
      </c>
      <c r="GH8" s="49">
        <f t="shared" si="4"/>
        <v>760</v>
      </c>
      <c r="GI8" s="49">
        <f t="shared" si="4"/>
        <v>760</v>
      </c>
      <c r="GJ8" s="49">
        <f t="shared" si="4"/>
        <v>760</v>
      </c>
      <c r="GK8" s="49">
        <f t="shared" si="4"/>
        <v>760</v>
      </c>
      <c r="GL8" s="49">
        <f t="shared" si="4"/>
        <v>760</v>
      </c>
      <c r="GM8" s="49">
        <v>740</v>
      </c>
      <c r="GN8" s="49">
        <v>740</v>
      </c>
      <c r="GO8" s="49">
        <v>740</v>
      </c>
      <c r="GP8" s="49">
        <v>740</v>
      </c>
      <c r="GQ8" s="49">
        <v>740</v>
      </c>
      <c r="GR8" s="49">
        <v>740</v>
      </c>
      <c r="GS8" s="49">
        <v>740</v>
      </c>
      <c r="GT8" s="49">
        <v>740</v>
      </c>
      <c r="GU8" s="49">
        <v>740</v>
      </c>
      <c r="GV8" s="49">
        <v>740</v>
      </c>
      <c r="GW8" s="49">
        <v>740</v>
      </c>
      <c r="GX8" s="49">
        <v>740</v>
      </c>
      <c r="GY8" s="49">
        <v>740</v>
      </c>
    </row>
    <row r="9" spans="1:207" ht="14" hidden="1">
      <c r="A9" s="4"/>
      <c r="B9" s="8"/>
      <c r="C9" s="8"/>
      <c r="D9" s="4"/>
      <c r="E9" s="8"/>
      <c r="F9" s="8" t="s">
        <v>104</v>
      </c>
      <c r="G9" s="4"/>
      <c r="H9" s="136" t="s">
        <v>104</v>
      </c>
      <c r="I9" s="24">
        <f>+SUM(AY9:BB9)/COUNT(AY9:BB9)</f>
        <v>1290</v>
      </c>
      <c r="J9" s="10">
        <f>+SUM(BC9:BF9)/COUNT(BC9:BF9)</f>
        <v>1290</v>
      </c>
      <c r="K9" s="95">
        <f>K7+40</f>
        <v>1290</v>
      </c>
      <c r="L9" s="95">
        <f>L7+40</f>
        <v>1290</v>
      </c>
      <c r="M9" s="95">
        <f>M7+40</f>
        <v>1290</v>
      </c>
      <c r="N9" s="95">
        <f>N7+40</f>
        <v>1290</v>
      </c>
      <c r="O9" s="95">
        <f t="shared" si="0"/>
        <v>1290</v>
      </c>
      <c r="P9" s="95">
        <f t="shared" si="0"/>
        <v>1290</v>
      </c>
      <c r="Q9" s="95">
        <f t="shared" si="0"/>
        <v>1290</v>
      </c>
      <c r="R9" s="95">
        <f>R7+40</f>
        <v>1290</v>
      </c>
      <c r="S9" s="160">
        <f t="shared" ref="S9:W9" si="5">S7+40</f>
        <v>1290</v>
      </c>
      <c r="T9" s="160">
        <f t="shared" si="5"/>
        <v>1290</v>
      </c>
      <c r="U9" s="160">
        <f t="shared" si="5"/>
        <v>1290</v>
      </c>
      <c r="V9" s="160">
        <f t="shared" si="5"/>
        <v>1290</v>
      </c>
      <c r="W9" s="160">
        <f t="shared" si="5"/>
        <v>1290</v>
      </c>
      <c r="X9" s="160">
        <f t="shared" ref="X9:Y9" si="6">X7+40</f>
        <v>1290</v>
      </c>
      <c r="Y9" s="160">
        <f t="shared" si="6"/>
        <v>1290</v>
      </c>
      <c r="Z9" s="160">
        <f t="shared" ref="Z9:AA9" si="7">Z7+40</f>
        <v>1290</v>
      </c>
      <c r="AA9" s="160">
        <f t="shared" si="7"/>
        <v>1290</v>
      </c>
      <c r="AB9" s="160">
        <f t="shared" ref="AB9:AC9" si="8">AB7+40</f>
        <v>1290</v>
      </c>
      <c r="AC9" s="160">
        <f t="shared" si="8"/>
        <v>1290</v>
      </c>
      <c r="AD9" s="160">
        <f t="shared" si="1"/>
        <v>1290</v>
      </c>
      <c r="AE9" s="160">
        <f t="shared" ref="AE9:AE13" si="9">+SUM(EM9:EQ9)/COUNT(EM9:EQ9)</f>
        <v>1290</v>
      </c>
      <c r="AF9" s="160">
        <f t="shared" si="2"/>
        <v>1290</v>
      </c>
      <c r="AG9" s="160">
        <f t="shared" si="3"/>
        <v>1290</v>
      </c>
      <c r="AH9" s="160">
        <f>AH7+20</f>
        <v>1270</v>
      </c>
      <c r="AI9" s="160">
        <f t="shared" ref="AI9:AN9" si="10">AI7+22</f>
        <v>1067</v>
      </c>
      <c r="AJ9" s="160">
        <f t="shared" si="10"/>
        <v>1067</v>
      </c>
      <c r="AK9" s="160">
        <f t="shared" si="10"/>
        <v>1012.0000000000001</v>
      </c>
      <c r="AL9" s="160">
        <f t="shared" si="10"/>
        <v>1012.0000000000001</v>
      </c>
      <c r="AM9" s="160">
        <f t="shared" si="10"/>
        <v>22</v>
      </c>
      <c r="AN9" s="160">
        <f t="shared" si="10"/>
        <v>22</v>
      </c>
      <c r="AO9" s="160">
        <f t="shared" ref="AO9:AP9" si="11">AO7+22</f>
        <v>22</v>
      </c>
      <c r="AP9" s="160">
        <f t="shared" si="11"/>
        <v>22</v>
      </c>
      <c r="AQ9" s="160">
        <f t="shared" ref="AQ9:AR9" si="12">AQ7+22</f>
        <v>22</v>
      </c>
      <c r="AR9" s="160">
        <f t="shared" si="12"/>
        <v>22</v>
      </c>
      <c r="AS9" s="160">
        <f t="shared" ref="AS9" si="13">AS7+22</f>
        <v>22</v>
      </c>
      <c r="AU9" s="4"/>
      <c r="AV9" s="8"/>
      <c r="AW9" s="8" t="s">
        <v>104</v>
      </c>
      <c r="AX9" s="24">
        <f t="shared" ref="AX9:BS9" si="14">+AX7+40</f>
        <v>1290</v>
      </c>
      <c r="AY9" s="137">
        <f t="shared" si="14"/>
        <v>1290</v>
      </c>
      <c r="AZ9" s="137">
        <f t="shared" si="14"/>
        <v>1290</v>
      </c>
      <c r="BA9" s="137">
        <f t="shared" si="14"/>
        <v>1290</v>
      </c>
      <c r="BB9" s="138">
        <f t="shared" si="14"/>
        <v>1290</v>
      </c>
      <c r="BC9" s="138">
        <f t="shared" si="14"/>
        <v>1290</v>
      </c>
      <c r="BD9" s="138">
        <f t="shared" si="14"/>
        <v>1290</v>
      </c>
      <c r="BE9" s="138">
        <f t="shared" si="14"/>
        <v>1290</v>
      </c>
      <c r="BF9" s="138">
        <f t="shared" si="14"/>
        <v>1290</v>
      </c>
      <c r="BG9" s="138">
        <f t="shared" si="14"/>
        <v>1290</v>
      </c>
      <c r="BH9" s="138">
        <f t="shared" si="14"/>
        <v>1290</v>
      </c>
      <c r="BI9" s="138">
        <f t="shared" si="14"/>
        <v>1290</v>
      </c>
      <c r="BJ9" s="138">
        <f t="shared" si="14"/>
        <v>1290</v>
      </c>
      <c r="BK9" s="138">
        <f t="shared" si="14"/>
        <v>1290</v>
      </c>
      <c r="BL9" s="138">
        <f t="shared" si="14"/>
        <v>1290</v>
      </c>
      <c r="BM9" s="92">
        <f t="shared" si="14"/>
        <v>1290</v>
      </c>
      <c r="BN9" s="92">
        <f t="shared" si="14"/>
        <v>1290</v>
      </c>
      <c r="BO9" s="92">
        <f t="shared" si="14"/>
        <v>1290</v>
      </c>
      <c r="BP9" s="92">
        <f t="shared" si="14"/>
        <v>1290</v>
      </c>
      <c r="BQ9" s="92">
        <f t="shared" si="14"/>
        <v>1290</v>
      </c>
      <c r="BR9" s="92">
        <f t="shared" si="14"/>
        <v>1290</v>
      </c>
      <c r="BS9" s="92">
        <f t="shared" si="14"/>
        <v>1290</v>
      </c>
      <c r="BT9" s="92">
        <f t="shared" ref="BT9:BY9" si="15">+BT7+40</f>
        <v>1290</v>
      </c>
      <c r="BU9" s="92">
        <f t="shared" si="15"/>
        <v>1290</v>
      </c>
      <c r="BV9" s="92">
        <f t="shared" si="15"/>
        <v>1290</v>
      </c>
      <c r="BW9" s="92">
        <f t="shared" si="15"/>
        <v>1290</v>
      </c>
      <c r="BX9" s="92">
        <f t="shared" si="15"/>
        <v>1290</v>
      </c>
      <c r="BY9" s="92">
        <f t="shared" si="15"/>
        <v>1290</v>
      </c>
      <c r="BZ9" s="92">
        <f t="shared" ref="BZ9:CE9" si="16">+BZ7+40</f>
        <v>1290</v>
      </c>
      <c r="CA9" s="92">
        <f t="shared" si="16"/>
        <v>1290</v>
      </c>
      <c r="CB9" s="92">
        <f t="shared" si="16"/>
        <v>1290</v>
      </c>
      <c r="CC9" s="92">
        <f t="shared" si="16"/>
        <v>1290</v>
      </c>
      <c r="CD9" s="92">
        <f t="shared" si="16"/>
        <v>1290</v>
      </c>
      <c r="CE9" s="92">
        <f t="shared" si="16"/>
        <v>1290</v>
      </c>
      <c r="CF9" s="92">
        <f t="shared" ref="CF9:CN9" si="17">+CF7+40</f>
        <v>1290</v>
      </c>
      <c r="CG9" s="92">
        <f t="shared" si="17"/>
        <v>1290</v>
      </c>
      <c r="CH9" s="92">
        <f t="shared" si="17"/>
        <v>1290</v>
      </c>
      <c r="CI9" s="92">
        <f t="shared" si="17"/>
        <v>1290</v>
      </c>
      <c r="CJ9" s="92">
        <f t="shared" si="17"/>
        <v>1290</v>
      </c>
      <c r="CK9" s="92">
        <f t="shared" si="17"/>
        <v>1290</v>
      </c>
      <c r="CL9" s="92">
        <f t="shared" si="17"/>
        <v>1290</v>
      </c>
      <c r="CM9" s="92">
        <f t="shared" si="17"/>
        <v>1290</v>
      </c>
      <c r="CN9" s="92">
        <f t="shared" si="17"/>
        <v>1290</v>
      </c>
      <c r="CO9" s="92">
        <f t="shared" ref="CO9:CP9" si="18">+CO7+40</f>
        <v>1290</v>
      </c>
      <c r="CP9" s="92">
        <f t="shared" si="18"/>
        <v>1290</v>
      </c>
      <c r="CQ9" s="92">
        <f t="shared" ref="CQ9:CR9" si="19">+CQ7+40</f>
        <v>1290</v>
      </c>
      <c r="CR9" s="92">
        <f t="shared" si="19"/>
        <v>1290</v>
      </c>
      <c r="CS9" s="92">
        <f t="shared" ref="CS9:CT9" si="20">+CS7+40</f>
        <v>1290</v>
      </c>
      <c r="CT9" s="92">
        <f t="shared" si="20"/>
        <v>1290</v>
      </c>
      <c r="CU9" s="92">
        <f t="shared" ref="CU9:CW9" si="21">+CU7+40</f>
        <v>1290</v>
      </c>
      <c r="CV9" s="92">
        <f t="shared" si="21"/>
        <v>1290</v>
      </c>
      <c r="CW9" s="92">
        <f t="shared" si="21"/>
        <v>1290</v>
      </c>
      <c r="CX9" s="92">
        <f t="shared" ref="CX9:CY9" si="22">+CX7+40</f>
        <v>1290</v>
      </c>
      <c r="CY9" s="92">
        <f t="shared" si="22"/>
        <v>1290</v>
      </c>
      <c r="CZ9" s="92">
        <f t="shared" ref="CZ9:DA9" si="23">+CZ7+40</f>
        <v>1290</v>
      </c>
      <c r="DA9" s="92">
        <f t="shared" si="23"/>
        <v>1290</v>
      </c>
      <c r="DB9" s="92">
        <f t="shared" ref="DB9:DC9" si="24">+DB7+40</f>
        <v>1290</v>
      </c>
      <c r="DC9" s="92">
        <f t="shared" si="24"/>
        <v>1290</v>
      </c>
      <c r="DD9" s="92">
        <f t="shared" ref="DD9:DE9" si="25">+DD7+40</f>
        <v>1290</v>
      </c>
      <c r="DE9" s="92">
        <f t="shared" si="25"/>
        <v>1290</v>
      </c>
      <c r="DF9" s="92">
        <f t="shared" ref="DF9:DG9" si="26">+DF7+40</f>
        <v>1290</v>
      </c>
      <c r="DG9" s="92">
        <f t="shared" si="26"/>
        <v>1290</v>
      </c>
      <c r="DH9" s="92">
        <f t="shared" ref="DH9:DI9" si="27">+DH7+40</f>
        <v>1290</v>
      </c>
      <c r="DI9" s="92">
        <f t="shared" si="27"/>
        <v>1290</v>
      </c>
      <c r="DJ9" s="92">
        <f t="shared" ref="DJ9:DL9" si="28">+DJ7+40</f>
        <v>1290</v>
      </c>
      <c r="DK9" s="92">
        <f t="shared" si="28"/>
        <v>1290</v>
      </c>
      <c r="DL9" s="92">
        <f t="shared" si="28"/>
        <v>1290</v>
      </c>
      <c r="DM9" s="92">
        <f t="shared" ref="DM9:DN9" si="29">+DM7+40</f>
        <v>1290</v>
      </c>
      <c r="DN9" s="92">
        <f t="shared" si="29"/>
        <v>1290</v>
      </c>
      <c r="DO9" s="92">
        <f t="shared" ref="DO9:DP9" si="30">+DO7+40</f>
        <v>1290</v>
      </c>
      <c r="DP9" s="92">
        <f t="shared" si="30"/>
        <v>1290</v>
      </c>
      <c r="DQ9" s="92">
        <f t="shared" ref="DQ9:DR9" si="31">+DQ7+40</f>
        <v>1290</v>
      </c>
      <c r="DR9" s="92">
        <f t="shared" si="31"/>
        <v>1290</v>
      </c>
      <c r="DS9" s="92">
        <f t="shared" ref="DS9:DT9" si="32">+DS7+40</f>
        <v>1290</v>
      </c>
      <c r="DT9" s="92">
        <f t="shared" si="32"/>
        <v>1290</v>
      </c>
      <c r="DU9" s="92">
        <f t="shared" ref="DU9:DV9" si="33">+DU7+40</f>
        <v>1290</v>
      </c>
      <c r="DV9" s="92">
        <f t="shared" si="33"/>
        <v>1290</v>
      </c>
      <c r="DW9" s="92">
        <f t="shared" ref="DW9:DX9" si="34">+DW7+40</f>
        <v>1290</v>
      </c>
      <c r="DX9" s="92">
        <f t="shared" si="34"/>
        <v>1290</v>
      </c>
      <c r="DY9" s="92">
        <f t="shared" ref="DY9:DZ9" si="35">+DY7+40</f>
        <v>1290</v>
      </c>
      <c r="DZ9" s="92">
        <f t="shared" si="35"/>
        <v>1290</v>
      </c>
      <c r="EA9" s="92">
        <f t="shared" ref="EA9:EB9" si="36">+EA7+40</f>
        <v>1290</v>
      </c>
      <c r="EB9" s="92">
        <f t="shared" si="36"/>
        <v>1290</v>
      </c>
      <c r="EC9" s="92">
        <f t="shared" ref="EC9:ED9" si="37">+EC7+40</f>
        <v>1290</v>
      </c>
      <c r="ED9" s="92">
        <f t="shared" si="37"/>
        <v>1290</v>
      </c>
      <c r="EE9" s="92">
        <f t="shared" ref="EE9:EF9" si="38">+EE7+40</f>
        <v>1290</v>
      </c>
      <c r="EF9" s="92">
        <f t="shared" si="38"/>
        <v>1290</v>
      </c>
      <c r="EG9" s="92">
        <f t="shared" ref="EG9:EH9" si="39">+EG7+40</f>
        <v>1290</v>
      </c>
      <c r="EH9" s="92">
        <f t="shared" si="39"/>
        <v>1290</v>
      </c>
      <c r="EI9" s="92">
        <f t="shared" ref="EI9:EJ9" si="40">+EI7+40</f>
        <v>1290</v>
      </c>
      <c r="EJ9" s="92">
        <f t="shared" si="40"/>
        <v>1290</v>
      </c>
      <c r="EK9" s="92">
        <f t="shared" ref="EK9:EL9" si="41">+EK7+40</f>
        <v>1290</v>
      </c>
      <c r="EL9" s="92">
        <f t="shared" si="41"/>
        <v>1290</v>
      </c>
      <c r="EM9" s="92">
        <f>+EM7+40</f>
        <v>1290</v>
      </c>
      <c r="EN9" s="92">
        <f t="shared" ref="EN9:EQ9" si="42">+EN7+40</f>
        <v>1290</v>
      </c>
      <c r="EO9" s="92">
        <f t="shared" si="42"/>
        <v>1290</v>
      </c>
      <c r="EP9" s="92">
        <f t="shared" si="42"/>
        <v>1290</v>
      </c>
      <c r="EQ9" s="92">
        <f t="shared" si="42"/>
        <v>1290</v>
      </c>
      <c r="ER9" s="92">
        <f t="shared" ref="ER9:EU9" si="43">+ER7+40</f>
        <v>1290</v>
      </c>
      <c r="ES9" s="92">
        <f t="shared" si="43"/>
        <v>1290</v>
      </c>
      <c r="ET9" s="92">
        <f t="shared" si="43"/>
        <v>1290</v>
      </c>
      <c r="EU9" s="92">
        <f t="shared" si="43"/>
        <v>1290</v>
      </c>
      <c r="EV9" s="92">
        <f t="shared" ref="EV9:EW9" si="44">+EV7+40</f>
        <v>1290</v>
      </c>
      <c r="EW9" s="92">
        <f t="shared" si="44"/>
        <v>1290</v>
      </c>
      <c r="EX9" s="92">
        <f t="shared" ref="EX9:EY9" si="45">+EX7+40</f>
        <v>1290</v>
      </c>
      <c r="EY9" s="92">
        <f t="shared" si="45"/>
        <v>1290</v>
      </c>
      <c r="EZ9" s="92">
        <f t="shared" ref="EZ9:FA9" si="46">+EZ7+40</f>
        <v>1290</v>
      </c>
      <c r="FA9" s="92">
        <f t="shared" si="46"/>
        <v>1290</v>
      </c>
      <c r="FB9" s="92">
        <f t="shared" ref="FB9:FC9" si="47">+FB7+40</f>
        <v>1290</v>
      </c>
      <c r="FC9" s="92">
        <f t="shared" si="47"/>
        <v>1290</v>
      </c>
      <c r="FD9" s="92">
        <f t="shared" ref="FD9:FG9" si="48">+FD7+40</f>
        <v>1085</v>
      </c>
      <c r="FE9" s="92">
        <f t="shared" si="48"/>
        <v>1085</v>
      </c>
      <c r="FF9" s="92">
        <f t="shared" si="48"/>
        <v>1085</v>
      </c>
      <c r="FG9" s="92">
        <f t="shared" si="48"/>
        <v>1085</v>
      </c>
      <c r="FH9" s="92">
        <f t="shared" ref="FH9:FK9" si="49">+FH7+40</f>
        <v>1085</v>
      </c>
      <c r="FI9" s="92">
        <f t="shared" si="49"/>
        <v>1085</v>
      </c>
      <c r="FJ9" s="92">
        <f t="shared" si="49"/>
        <v>1085</v>
      </c>
      <c r="FK9" s="92">
        <f t="shared" si="49"/>
        <v>1085</v>
      </c>
      <c r="FL9" s="92">
        <f t="shared" ref="FL9:FP9" si="50">+FL7+40</f>
        <v>1030</v>
      </c>
      <c r="FM9" s="92">
        <f t="shared" si="50"/>
        <v>1030</v>
      </c>
      <c r="FN9" s="92">
        <f t="shared" si="50"/>
        <v>1030</v>
      </c>
      <c r="FO9" s="92">
        <f t="shared" si="50"/>
        <v>1030</v>
      </c>
      <c r="FP9" s="92">
        <f t="shared" si="50"/>
        <v>1030</v>
      </c>
      <c r="FQ9" s="92">
        <f t="shared" ref="FQ9:FT9" si="51">+FQ7+40</f>
        <v>1030</v>
      </c>
      <c r="FR9" s="92">
        <f t="shared" si="51"/>
        <v>1030</v>
      </c>
      <c r="FS9" s="92">
        <f t="shared" si="51"/>
        <v>1030</v>
      </c>
      <c r="FT9" s="92">
        <f t="shared" si="51"/>
        <v>1030</v>
      </c>
      <c r="FU9" s="92">
        <f t="shared" ref="FU9:FY9" si="52">+FU7+40</f>
        <v>40</v>
      </c>
      <c r="FV9" s="92">
        <f t="shared" si="52"/>
        <v>40</v>
      </c>
      <c r="FW9" s="92">
        <f t="shared" si="52"/>
        <v>40</v>
      </c>
      <c r="FX9" s="92">
        <f t="shared" si="52"/>
        <v>40</v>
      </c>
      <c r="FY9" s="92">
        <f t="shared" si="52"/>
        <v>40</v>
      </c>
      <c r="FZ9" s="92">
        <f t="shared" ref="FZ9:GC9" si="53">+FZ7+40</f>
        <v>40</v>
      </c>
      <c r="GA9" s="92">
        <f t="shared" si="53"/>
        <v>40</v>
      </c>
      <c r="GB9" s="92">
        <f t="shared" si="53"/>
        <v>40</v>
      </c>
      <c r="GC9" s="92">
        <f t="shared" si="53"/>
        <v>40</v>
      </c>
      <c r="GD9" s="92">
        <f t="shared" ref="GD9:GF9" si="54">+GD7+40</f>
        <v>40</v>
      </c>
      <c r="GE9" s="92">
        <f t="shared" si="54"/>
        <v>40</v>
      </c>
      <c r="GF9" s="92">
        <f t="shared" si="54"/>
        <v>40</v>
      </c>
      <c r="GG9" s="92">
        <f t="shared" ref="GG9:GL9" si="55">+GG7+40</f>
        <v>40</v>
      </c>
      <c r="GH9" s="92">
        <f t="shared" si="55"/>
        <v>40</v>
      </c>
      <c r="GI9" s="92">
        <f t="shared" si="55"/>
        <v>40</v>
      </c>
      <c r="GJ9" s="92">
        <f t="shared" si="55"/>
        <v>40</v>
      </c>
      <c r="GK9" s="92">
        <f t="shared" si="55"/>
        <v>40</v>
      </c>
      <c r="GL9" s="92">
        <f t="shared" si="55"/>
        <v>40</v>
      </c>
      <c r="GM9" s="92">
        <f t="shared" ref="GM9:GP9" si="56">+GM7+40</f>
        <v>40</v>
      </c>
      <c r="GN9" s="92">
        <f t="shared" si="56"/>
        <v>40</v>
      </c>
      <c r="GO9" s="92">
        <f t="shared" si="56"/>
        <v>40</v>
      </c>
      <c r="GP9" s="92">
        <f t="shared" si="56"/>
        <v>40</v>
      </c>
      <c r="GQ9" s="92">
        <f t="shared" ref="GQ9:GT9" si="57">+GQ7+40</f>
        <v>40</v>
      </c>
      <c r="GR9" s="92">
        <f t="shared" si="57"/>
        <v>40</v>
      </c>
      <c r="GS9" s="92">
        <f t="shared" si="57"/>
        <v>40</v>
      </c>
      <c r="GT9" s="92">
        <f t="shared" si="57"/>
        <v>40</v>
      </c>
      <c r="GU9" s="92">
        <f t="shared" ref="GU9:GY9" si="58">+GU7+40</f>
        <v>40</v>
      </c>
      <c r="GV9" s="92">
        <f t="shared" si="58"/>
        <v>40</v>
      </c>
      <c r="GW9" s="92">
        <f t="shared" si="58"/>
        <v>40</v>
      </c>
      <c r="GX9" s="92">
        <f t="shared" si="58"/>
        <v>40</v>
      </c>
      <c r="GY9" s="92">
        <f t="shared" si="58"/>
        <v>40</v>
      </c>
    </row>
    <row r="10" spans="1:207" ht="14" hidden="1">
      <c r="A10" s="4"/>
      <c r="B10" s="8"/>
      <c r="C10" s="8"/>
      <c r="D10" s="4"/>
      <c r="E10" s="8"/>
      <c r="F10" s="8" t="s">
        <v>139</v>
      </c>
      <c r="G10" s="4"/>
      <c r="H10" s="8" t="s">
        <v>139</v>
      </c>
      <c r="I10" s="24"/>
      <c r="J10" s="10"/>
      <c r="K10" s="95">
        <v>1310</v>
      </c>
      <c r="L10" s="95">
        <v>1310</v>
      </c>
      <c r="M10" s="95">
        <v>1310</v>
      </c>
      <c r="N10" s="95">
        <v>1310</v>
      </c>
      <c r="O10" s="95">
        <f t="shared" si="0"/>
        <v>1310</v>
      </c>
      <c r="P10" s="95">
        <f t="shared" si="0"/>
        <v>1310</v>
      </c>
      <c r="Q10" s="95">
        <f t="shared" si="0"/>
        <v>1310</v>
      </c>
      <c r="R10" s="95">
        <v>1310</v>
      </c>
      <c r="S10" s="160">
        <v>1310</v>
      </c>
      <c r="T10" s="160">
        <v>1310</v>
      </c>
      <c r="U10" s="160">
        <v>1310</v>
      </c>
      <c r="V10" s="160">
        <v>1310</v>
      </c>
      <c r="W10" s="160">
        <v>1310</v>
      </c>
      <c r="X10" s="160">
        <v>1310</v>
      </c>
      <c r="Y10" s="160">
        <v>1310</v>
      </c>
      <c r="Z10" s="160">
        <v>1310</v>
      </c>
      <c r="AA10" s="160">
        <v>1310</v>
      </c>
      <c r="AB10" s="160">
        <v>1310</v>
      </c>
      <c r="AC10" s="160">
        <v>1310</v>
      </c>
      <c r="AD10" s="160">
        <f t="shared" si="1"/>
        <v>1310</v>
      </c>
      <c r="AE10" s="160">
        <f t="shared" si="9"/>
        <v>1310</v>
      </c>
      <c r="AF10" s="160">
        <f t="shared" si="2"/>
        <v>1310</v>
      </c>
      <c r="AG10" s="160">
        <f t="shared" si="3"/>
        <v>1310</v>
      </c>
      <c r="AH10" s="160">
        <f t="shared" ref="AH10:AS11" si="59">+SUM(EZ10:FD10)/COUNT(EZ10:FD10)</f>
        <v>1310</v>
      </c>
      <c r="AI10" s="160">
        <f t="shared" si="59"/>
        <v>1310</v>
      </c>
      <c r="AJ10" s="160">
        <f t="shared" si="59"/>
        <v>1310</v>
      </c>
      <c r="AK10" s="160">
        <f t="shared" si="59"/>
        <v>1310</v>
      </c>
      <c r="AL10" s="160">
        <f t="shared" si="59"/>
        <v>1310</v>
      </c>
      <c r="AM10" s="160">
        <f t="shared" si="59"/>
        <v>1310</v>
      </c>
      <c r="AN10" s="160">
        <f t="shared" si="59"/>
        <v>1310</v>
      </c>
      <c r="AO10" s="160">
        <f t="shared" si="59"/>
        <v>1310</v>
      </c>
      <c r="AP10" s="160">
        <f t="shared" si="59"/>
        <v>1310</v>
      </c>
      <c r="AQ10" s="160">
        <f t="shared" si="59"/>
        <v>1310</v>
      </c>
      <c r="AR10" s="160">
        <f t="shared" si="59"/>
        <v>1310</v>
      </c>
      <c r="AS10" s="160">
        <f t="shared" si="59"/>
        <v>1310</v>
      </c>
      <c r="AU10" s="4"/>
      <c r="AV10" s="8"/>
      <c r="AW10" s="8" t="s">
        <v>105</v>
      </c>
      <c r="AX10" s="24"/>
      <c r="AY10" s="139">
        <v>1310</v>
      </c>
      <c r="AZ10" s="139">
        <v>1310</v>
      </c>
      <c r="BA10" s="139">
        <v>1310</v>
      </c>
      <c r="BB10" s="139">
        <v>1310</v>
      </c>
      <c r="BC10" s="139">
        <v>1310</v>
      </c>
      <c r="BD10" s="139">
        <v>1310</v>
      </c>
      <c r="BE10" s="139">
        <v>1310</v>
      </c>
      <c r="BF10" s="139">
        <v>1310</v>
      </c>
      <c r="BG10" s="139">
        <v>1310</v>
      </c>
      <c r="BH10" s="139">
        <v>1310</v>
      </c>
      <c r="BI10" s="139">
        <v>1310</v>
      </c>
      <c r="BJ10" s="139">
        <v>1310</v>
      </c>
      <c r="BK10" s="139">
        <v>1310</v>
      </c>
      <c r="BL10" s="139">
        <v>1310</v>
      </c>
      <c r="BM10" s="95">
        <v>1310</v>
      </c>
      <c r="BN10" s="95">
        <v>1310</v>
      </c>
      <c r="BO10" s="95">
        <v>1310</v>
      </c>
      <c r="BP10" s="95">
        <v>1310</v>
      </c>
      <c r="BQ10" s="95">
        <v>1310</v>
      </c>
      <c r="BR10" s="95">
        <v>1310</v>
      </c>
      <c r="BS10" s="95">
        <v>1310</v>
      </c>
      <c r="BT10" s="95">
        <v>1310</v>
      </c>
      <c r="BU10" s="95">
        <v>1310</v>
      </c>
      <c r="BV10" s="95">
        <v>1310</v>
      </c>
      <c r="BW10" s="95">
        <v>1310</v>
      </c>
      <c r="BX10" s="95">
        <v>1310</v>
      </c>
      <c r="BY10" s="95">
        <v>1310</v>
      </c>
      <c r="BZ10" s="95">
        <v>1310</v>
      </c>
      <c r="CA10" s="95">
        <v>1310</v>
      </c>
      <c r="CB10" s="95">
        <v>1310</v>
      </c>
      <c r="CC10" s="95">
        <v>1310</v>
      </c>
      <c r="CD10" s="95">
        <v>1310</v>
      </c>
      <c r="CE10" s="95">
        <v>1310</v>
      </c>
      <c r="CF10" s="95">
        <v>1310</v>
      </c>
      <c r="CG10" s="95">
        <v>1310</v>
      </c>
      <c r="CH10" s="95">
        <v>1310</v>
      </c>
      <c r="CI10" s="95">
        <v>1310</v>
      </c>
      <c r="CJ10" s="95">
        <v>1310</v>
      </c>
      <c r="CK10" s="95">
        <v>1310</v>
      </c>
      <c r="CL10" s="95">
        <v>1310</v>
      </c>
      <c r="CM10" s="95">
        <v>1310</v>
      </c>
      <c r="CN10" s="95">
        <v>1310</v>
      </c>
      <c r="CO10" s="95">
        <v>1310</v>
      </c>
      <c r="CP10" s="95">
        <v>1310</v>
      </c>
      <c r="CQ10" s="95">
        <v>1310</v>
      </c>
      <c r="CR10" s="95">
        <v>1310</v>
      </c>
      <c r="CS10" s="95">
        <v>1310</v>
      </c>
      <c r="CT10" s="95">
        <v>1310</v>
      </c>
      <c r="CU10" s="95">
        <v>1310</v>
      </c>
      <c r="CV10" s="95">
        <v>1310</v>
      </c>
      <c r="CW10" s="95">
        <v>1310</v>
      </c>
      <c r="CX10" s="95">
        <v>1310</v>
      </c>
      <c r="CY10" s="95">
        <v>1310</v>
      </c>
      <c r="CZ10" s="95">
        <v>1310</v>
      </c>
      <c r="DA10" s="95">
        <v>1310</v>
      </c>
      <c r="DB10" s="95">
        <v>1310</v>
      </c>
      <c r="DC10" s="95">
        <v>1310</v>
      </c>
      <c r="DD10" s="95">
        <v>1310</v>
      </c>
      <c r="DE10" s="95">
        <v>1310</v>
      </c>
      <c r="DF10" s="95">
        <v>1310</v>
      </c>
      <c r="DG10" s="95">
        <v>1310</v>
      </c>
      <c r="DH10" s="95">
        <v>1310</v>
      </c>
      <c r="DI10" s="95">
        <v>1310</v>
      </c>
      <c r="DJ10" s="95">
        <v>1310</v>
      </c>
      <c r="DK10" s="95">
        <v>1310</v>
      </c>
      <c r="DL10" s="95">
        <v>1310</v>
      </c>
      <c r="DM10" s="95">
        <v>1310</v>
      </c>
      <c r="DN10" s="95">
        <v>1310</v>
      </c>
      <c r="DO10" s="95">
        <v>1310</v>
      </c>
      <c r="DP10" s="95">
        <v>1310</v>
      </c>
      <c r="DQ10" s="95">
        <v>1310</v>
      </c>
      <c r="DR10" s="95">
        <v>1310</v>
      </c>
      <c r="DS10" s="95">
        <v>1310</v>
      </c>
      <c r="DT10" s="95">
        <v>1310</v>
      </c>
      <c r="DU10" s="95">
        <v>1310</v>
      </c>
      <c r="DV10" s="95">
        <v>1310</v>
      </c>
      <c r="DW10" s="95">
        <v>1310</v>
      </c>
      <c r="DX10" s="95">
        <v>1310</v>
      </c>
      <c r="DY10" s="95">
        <v>1310</v>
      </c>
      <c r="DZ10" s="95">
        <v>1310</v>
      </c>
      <c r="EA10" s="95">
        <v>1310</v>
      </c>
      <c r="EB10" s="95">
        <v>1310</v>
      </c>
      <c r="EC10" s="95">
        <v>1310</v>
      </c>
      <c r="ED10" s="95">
        <v>1310</v>
      </c>
      <c r="EE10" s="95">
        <v>1310</v>
      </c>
      <c r="EF10" s="95">
        <v>1310</v>
      </c>
      <c r="EG10" s="95">
        <v>1310</v>
      </c>
      <c r="EH10" s="95">
        <v>1310</v>
      </c>
      <c r="EI10" s="95">
        <v>1310</v>
      </c>
      <c r="EJ10" s="95">
        <v>1310</v>
      </c>
      <c r="EK10" s="95">
        <v>1310</v>
      </c>
      <c r="EL10" s="95">
        <v>1310</v>
      </c>
      <c r="EM10" s="95">
        <v>1310</v>
      </c>
      <c r="EN10" s="95">
        <v>1310</v>
      </c>
      <c r="EO10" s="95">
        <v>1310</v>
      </c>
      <c r="EP10" s="95">
        <v>1310</v>
      </c>
      <c r="EQ10" s="95">
        <v>1310</v>
      </c>
      <c r="ER10" s="95">
        <v>1310</v>
      </c>
      <c r="ES10" s="95">
        <v>1310</v>
      </c>
      <c r="ET10" s="95">
        <v>1310</v>
      </c>
      <c r="EU10" s="95">
        <v>1310</v>
      </c>
      <c r="EV10" s="95">
        <v>1310</v>
      </c>
      <c r="EW10" s="95">
        <v>1310</v>
      </c>
      <c r="EX10" s="95">
        <v>1310</v>
      </c>
      <c r="EY10" s="95">
        <v>1310</v>
      </c>
      <c r="EZ10" s="95">
        <v>1310</v>
      </c>
      <c r="FA10" s="95">
        <v>1310</v>
      </c>
      <c r="FB10" s="95">
        <v>1310</v>
      </c>
      <c r="FC10" s="95">
        <v>1310</v>
      </c>
      <c r="FD10" s="95">
        <v>1310</v>
      </c>
      <c r="FE10" s="95">
        <v>1310</v>
      </c>
      <c r="FF10" s="95">
        <v>1310</v>
      </c>
      <c r="FG10" s="95">
        <v>1310</v>
      </c>
      <c r="FH10" s="95">
        <v>1310</v>
      </c>
      <c r="FI10" s="95">
        <v>1310</v>
      </c>
      <c r="FJ10" s="95">
        <v>1310</v>
      </c>
      <c r="FK10" s="95">
        <v>1310</v>
      </c>
      <c r="FL10" s="95">
        <v>1310</v>
      </c>
      <c r="FM10" s="95">
        <v>1310</v>
      </c>
      <c r="FN10" s="95">
        <v>1310</v>
      </c>
      <c r="FO10" s="95">
        <v>1310</v>
      </c>
      <c r="FP10" s="95">
        <v>1310</v>
      </c>
      <c r="FQ10" s="95">
        <v>1310</v>
      </c>
      <c r="FR10" s="95">
        <v>1310</v>
      </c>
      <c r="FS10" s="95">
        <v>1310</v>
      </c>
      <c r="FT10" s="95">
        <v>1310</v>
      </c>
      <c r="FU10" s="95">
        <v>1310</v>
      </c>
      <c r="FV10" s="95">
        <v>1310</v>
      </c>
      <c r="FW10" s="95">
        <v>1310</v>
      </c>
      <c r="FX10" s="95">
        <v>1310</v>
      </c>
      <c r="FY10" s="95">
        <v>1310</v>
      </c>
      <c r="FZ10" s="95">
        <v>1310</v>
      </c>
      <c r="GA10" s="95">
        <v>1310</v>
      </c>
      <c r="GB10" s="95">
        <v>1310</v>
      </c>
      <c r="GC10" s="95">
        <v>1310</v>
      </c>
      <c r="GD10" s="95">
        <v>1310</v>
      </c>
      <c r="GE10" s="95">
        <v>1310</v>
      </c>
      <c r="GF10" s="95">
        <v>1310</v>
      </c>
      <c r="GG10" s="95">
        <v>1310</v>
      </c>
      <c r="GH10" s="95">
        <v>1310</v>
      </c>
      <c r="GI10" s="95">
        <v>1310</v>
      </c>
      <c r="GJ10" s="95">
        <v>1310</v>
      </c>
      <c r="GK10" s="95">
        <v>1310</v>
      </c>
      <c r="GL10" s="95">
        <v>1310</v>
      </c>
      <c r="GM10" s="95">
        <v>1310</v>
      </c>
      <c r="GN10" s="95">
        <v>1310</v>
      </c>
      <c r="GO10" s="95">
        <v>1310</v>
      </c>
      <c r="GP10" s="95">
        <v>1310</v>
      </c>
      <c r="GQ10" s="95">
        <v>1310</v>
      </c>
      <c r="GR10" s="95">
        <v>1310</v>
      </c>
      <c r="GS10" s="95">
        <v>1310</v>
      </c>
      <c r="GT10" s="95">
        <v>1310</v>
      </c>
      <c r="GU10" s="95">
        <v>1310</v>
      </c>
      <c r="GV10" s="95">
        <v>1310</v>
      </c>
      <c r="GW10" s="95">
        <v>1310</v>
      </c>
      <c r="GX10" s="95">
        <v>1310</v>
      </c>
      <c r="GY10" s="95">
        <v>1310</v>
      </c>
    </row>
    <row r="11" spans="1:207" ht="14" hidden="1">
      <c r="A11" s="4"/>
      <c r="B11" s="8"/>
      <c r="C11" s="8"/>
      <c r="D11" s="4"/>
      <c r="E11" s="8"/>
      <c r="F11" s="8" t="s">
        <v>103</v>
      </c>
      <c r="G11" s="4"/>
      <c r="H11" s="136" t="s">
        <v>103</v>
      </c>
      <c r="I11" s="24"/>
      <c r="J11" s="10"/>
      <c r="K11" s="95">
        <f>K10+40</f>
        <v>1350</v>
      </c>
      <c r="L11" s="95">
        <f>L10+40</f>
        <v>1350</v>
      </c>
      <c r="M11" s="95">
        <f>M10+40</f>
        <v>1350</v>
      </c>
      <c r="N11" s="95">
        <f>N10+40</f>
        <v>1350</v>
      </c>
      <c r="O11" s="95">
        <f t="shared" si="0"/>
        <v>1350</v>
      </c>
      <c r="P11" s="95">
        <f t="shared" si="0"/>
        <v>1350</v>
      </c>
      <c r="Q11" s="95">
        <f t="shared" si="0"/>
        <v>1350</v>
      </c>
      <c r="R11" s="95">
        <f t="shared" ref="R11:W11" si="60">R10+40</f>
        <v>1350</v>
      </c>
      <c r="S11" s="160">
        <f t="shared" si="60"/>
        <v>1350</v>
      </c>
      <c r="T11" s="160">
        <f t="shared" si="60"/>
        <v>1350</v>
      </c>
      <c r="U11" s="160">
        <f t="shared" si="60"/>
        <v>1350</v>
      </c>
      <c r="V11" s="160">
        <f t="shared" si="60"/>
        <v>1350</v>
      </c>
      <c r="W11" s="160">
        <f t="shared" si="60"/>
        <v>1350</v>
      </c>
      <c r="X11" s="160">
        <f t="shared" ref="X11:Y11" si="61">X10+40</f>
        <v>1350</v>
      </c>
      <c r="Y11" s="160">
        <f t="shared" si="61"/>
        <v>1350</v>
      </c>
      <c r="Z11" s="160">
        <f t="shared" ref="Z11:AA11" si="62">Z10+40</f>
        <v>1350</v>
      </c>
      <c r="AA11" s="160">
        <f t="shared" si="62"/>
        <v>1350</v>
      </c>
      <c r="AB11" s="160">
        <f t="shared" ref="AB11:AC11" si="63">AB10+40</f>
        <v>1350</v>
      </c>
      <c r="AC11" s="160">
        <f t="shared" si="63"/>
        <v>1350</v>
      </c>
      <c r="AD11" s="160">
        <f t="shared" si="1"/>
        <v>1350</v>
      </c>
      <c r="AE11" s="160">
        <f t="shared" si="9"/>
        <v>1350</v>
      </c>
      <c r="AF11" s="160">
        <f t="shared" si="2"/>
        <v>1350</v>
      </c>
      <c r="AG11" s="160">
        <f>+SUM(EV11:EY11)/COUNT(EV11:EY11)</f>
        <v>1350</v>
      </c>
      <c r="AH11" s="160">
        <f t="shared" si="59"/>
        <v>1350</v>
      </c>
      <c r="AI11" s="160">
        <f t="shared" si="59"/>
        <v>1350</v>
      </c>
      <c r="AJ11" s="160">
        <f t="shared" si="59"/>
        <v>1350</v>
      </c>
      <c r="AK11" s="160">
        <f t="shared" si="59"/>
        <v>1350</v>
      </c>
      <c r="AL11" s="160">
        <f t="shared" si="59"/>
        <v>1350</v>
      </c>
      <c r="AM11" s="160">
        <f t="shared" si="59"/>
        <v>1350</v>
      </c>
      <c r="AN11" s="160">
        <f t="shared" si="59"/>
        <v>1350</v>
      </c>
      <c r="AO11" s="160">
        <f t="shared" si="59"/>
        <v>1350</v>
      </c>
      <c r="AP11" s="160">
        <f t="shared" si="59"/>
        <v>1350</v>
      </c>
      <c r="AQ11" s="160">
        <f t="shared" si="59"/>
        <v>1350</v>
      </c>
      <c r="AR11" s="160">
        <f t="shared" si="59"/>
        <v>1350</v>
      </c>
      <c r="AS11" s="160">
        <f t="shared" si="59"/>
        <v>1350</v>
      </c>
      <c r="AU11" s="4"/>
      <c r="AV11" s="8"/>
      <c r="AW11" s="8" t="s">
        <v>103</v>
      </c>
      <c r="AX11" s="24"/>
      <c r="AY11" s="137">
        <f>AY10+40</f>
        <v>1350</v>
      </c>
      <c r="AZ11" s="137">
        <f t="shared" ref="AZ11:BV11" si="64">AZ10+40</f>
        <v>1350</v>
      </c>
      <c r="BA11" s="137">
        <f t="shared" si="64"/>
        <v>1350</v>
      </c>
      <c r="BB11" s="137">
        <f t="shared" si="64"/>
        <v>1350</v>
      </c>
      <c r="BC11" s="137">
        <f t="shared" si="64"/>
        <v>1350</v>
      </c>
      <c r="BD11" s="137">
        <f t="shared" si="64"/>
        <v>1350</v>
      </c>
      <c r="BE11" s="137">
        <f t="shared" si="64"/>
        <v>1350</v>
      </c>
      <c r="BF11" s="137">
        <f t="shared" si="64"/>
        <v>1350</v>
      </c>
      <c r="BG11" s="137">
        <f t="shared" si="64"/>
        <v>1350</v>
      </c>
      <c r="BH11" s="137">
        <f t="shared" si="64"/>
        <v>1350</v>
      </c>
      <c r="BI11" s="137">
        <f t="shared" si="64"/>
        <v>1350</v>
      </c>
      <c r="BJ11" s="137">
        <f t="shared" si="64"/>
        <v>1350</v>
      </c>
      <c r="BK11" s="137">
        <f t="shared" si="64"/>
        <v>1350</v>
      </c>
      <c r="BL11" s="137">
        <f t="shared" si="64"/>
        <v>1350</v>
      </c>
      <c r="BM11" s="24">
        <f t="shared" si="64"/>
        <v>1350</v>
      </c>
      <c r="BN11" s="24">
        <f t="shared" si="64"/>
        <v>1350</v>
      </c>
      <c r="BO11" s="24">
        <f t="shared" si="64"/>
        <v>1350</v>
      </c>
      <c r="BP11" s="24">
        <f t="shared" si="64"/>
        <v>1350</v>
      </c>
      <c r="BQ11" s="24">
        <f t="shared" si="64"/>
        <v>1350</v>
      </c>
      <c r="BR11" s="24">
        <f t="shared" si="64"/>
        <v>1350</v>
      </c>
      <c r="BS11" s="24">
        <f t="shared" si="64"/>
        <v>1350</v>
      </c>
      <c r="BT11" s="24">
        <f t="shared" si="64"/>
        <v>1350</v>
      </c>
      <c r="BU11" s="24">
        <f t="shared" si="64"/>
        <v>1350</v>
      </c>
      <c r="BV11" s="24">
        <f t="shared" si="64"/>
        <v>1350</v>
      </c>
      <c r="BW11" s="24">
        <f t="shared" ref="BW11:CB11" si="65">BW10+40</f>
        <v>1350</v>
      </c>
      <c r="BX11" s="24">
        <f t="shared" si="65"/>
        <v>1350</v>
      </c>
      <c r="BY11" s="24">
        <f t="shared" si="65"/>
        <v>1350</v>
      </c>
      <c r="BZ11" s="24">
        <f t="shared" si="65"/>
        <v>1350</v>
      </c>
      <c r="CA11" s="24">
        <f t="shared" si="65"/>
        <v>1350</v>
      </c>
      <c r="CB11" s="24">
        <f t="shared" si="65"/>
        <v>1350</v>
      </c>
      <c r="CC11" s="24">
        <f t="shared" ref="CC11:CN11" si="66">CC10+40</f>
        <v>1350</v>
      </c>
      <c r="CD11" s="24">
        <f t="shared" si="66"/>
        <v>1350</v>
      </c>
      <c r="CE11" s="24">
        <f t="shared" si="66"/>
        <v>1350</v>
      </c>
      <c r="CF11" s="24">
        <f t="shared" si="66"/>
        <v>1350</v>
      </c>
      <c r="CG11" s="24">
        <f t="shared" si="66"/>
        <v>1350</v>
      </c>
      <c r="CH11" s="24">
        <f t="shared" si="66"/>
        <v>1350</v>
      </c>
      <c r="CI11" s="24">
        <f t="shared" si="66"/>
        <v>1350</v>
      </c>
      <c r="CJ11" s="24">
        <f t="shared" si="66"/>
        <v>1350</v>
      </c>
      <c r="CK11" s="24">
        <f t="shared" si="66"/>
        <v>1350</v>
      </c>
      <c r="CL11" s="24">
        <f t="shared" si="66"/>
        <v>1350</v>
      </c>
      <c r="CM11" s="24">
        <f t="shared" si="66"/>
        <v>1350</v>
      </c>
      <c r="CN11" s="24">
        <f t="shared" si="66"/>
        <v>1350</v>
      </c>
      <c r="CO11" s="24">
        <f t="shared" ref="CO11:CP11" si="67">CO10+40</f>
        <v>1350</v>
      </c>
      <c r="CP11" s="24">
        <f t="shared" si="67"/>
        <v>1350</v>
      </c>
      <c r="CQ11" s="24">
        <f t="shared" ref="CQ11:CR11" si="68">CQ10+40</f>
        <v>1350</v>
      </c>
      <c r="CR11" s="24">
        <f t="shared" si="68"/>
        <v>1350</v>
      </c>
      <c r="CS11" s="24">
        <f t="shared" ref="CS11:CT11" si="69">CS10+40</f>
        <v>1350</v>
      </c>
      <c r="CT11" s="24">
        <f t="shared" si="69"/>
        <v>1350</v>
      </c>
      <c r="CU11" s="24">
        <f t="shared" ref="CU11:CW11" si="70">CU10+40</f>
        <v>1350</v>
      </c>
      <c r="CV11" s="24">
        <f t="shared" si="70"/>
        <v>1350</v>
      </c>
      <c r="CW11" s="24">
        <f t="shared" si="70"/>
        <v>1350</v>
      </c>
      <c r="CX11" s="24">
        <f t="shared" ref="CX11:CY11" si="71">CX10+40</f>
        <v>1350</v>
      </c>
      <c r="CY11" s="24">
        <f t="shared" si="71"/>
        <v>1350</v>
      </c>
      <c r="CZ11" s="24">
        <f t="shared" ref="CZ11:DA11" si="72">CZ10+40</f>
        <v>1350</v>
      </c>
      <c r="DA11" s="24">
        <f t="shared" si="72"/>
        <v>1350</v>
      </c>
      <c r="DB11" s="24">
        <f t="shared" ref="DB11:DC11" si="73">DB10+40</f>
        <v>1350</v>
      </c>
      <c r="DC11" s="24">
        <f t="shared" si="73"/>
        <v>1350</v>
      </c>
      <c r="DD11" s="24">
        <f t="shared" ref="DD11:DE11" si="74">DD10+40</f>
        <v>1350</v>
      </c>
      <c r="DE11" s="24">
        <f t="shared" si="74"/>
        <v>1350</v>
      </c>
      <c r="DF11" s="24">
        <f t="shared" ref="DF11:DG11" si="75">DF10+40</f>
        <v>1350</v>
      </c>
      <c r="DG11" s="24">
        <f t="shared" si="75"/>
        <v>1350</v>
      </c>
      <c r="DH11" s="24">
        <f t="shared" ref="DH11:DI11" si="76">DH10+40</f>
        <v>1350</v>
      </c>
      <c r="DI11" s="24">
        <f t="shared" si="76"/>
        <v>1350</v>
      </c>
      <c r="DJ11" s="24">
        <f t="shared" ref="DJ11:DO11" si="77">DJ10+40</f>
        <v>1350</v>
      </c>
      <c r="DK11" s="24">
        <f t="shared" si="77"/>
        <v>1350</v>
      </c>
      <c r="DL11" s="24">
        <f t="shared" si="77"/>
        <v>1350</v>
      </c>
      <c r="DM11" s="24">
        <f t="shared" si="77"/>
        <v>1350</v>
      </c>
      <c r="DN11" s="24">
        <f t="shared" si="77"/>
        <v>1350</v>
      </c>
      <c r="DO11" s="24">
        <f t="shared" si="77"/>
        <v>1350</v>
      </c>
      <c r="DP11" s="24">
        <f t="shared" ref="DP11:DQ11" si="78">DP10+40</f>
        <v>1350</v>
      </c>
      <c r="DQ11" s="24">
        <f t="shared" si="78"/>
        <v>1350</v>
      </c>
      <c r="DR11" s="24">
        <f t="shared" ref="DR11:DS11" si="79">DR10+40</f>
        <v>1350</v>
      </c>
      <c r="DS11" s="24">
        <f t="shared" si="79"/>
        <v>1350</v>
      </c>
      <c r="DT11" s="24">
        <f t="shared" ref="DT11:DU11" si="80">DT10+40</f>
        <v>1350</v>
      </c>
      <c r="DU11" s="24">
        <f t="shared" si="80"/>
        <v>1350</v>
      </c>
      <c r="DV11" s="24">
        <f t="shared" ref="DV11:DX11" si="81">DV10+40</f>
        <v>1350</v>
      </c>
      <c r="DW11" s="24">
        <f t="shared" si="81"/>
        <v>1350</v>
      </c>
      <c r="DX11" s="24">
        <f t="shared" si="81"/>
        <v>1350</v>
      </c>
      <c r="DY11" s="24">
        <f t="shared" ref="DY11:DZ11" si="82">DY10+40</f>
        <v>1350</v>
      </c>
      <c r="DZ11" s="24">
        <f t="shared" si="82"/>
        <v>1350</v>
      </c>
      <c r="EA11" s="24">
        <f t="shared" ref="EA11:EB11" si="83">EA10+40</f>
        <v>1350</v>
      </c>
      <c r="EB11" s="24">
        <f t="shared" si="83"/>
        <v>1350</v>
      </c>
      <c r="EC11" s="24">
        <f t="shared" ref="EC11:ED11" si="84">EC10+40</f>
        <v>1350</v>
      </c>
      <c r="ED11" s="24">
        <f t="shared" si="84"/>
        <v>1350</v>
      </c>
      <c r="EE11" s="24">
        <f t="shared" ref="EE11:EF11" si="85">EE10+40</f>
        <v>1350</v>
      </c>
      <c r="EF11" s="24">
        <f t="shared" si="85"/>
        <v>1350</v>
      </c>
      <c r="EG11" s="24">
        <f t="shared" ref="EG11:EH11" si="86">EG10+40</f>
        <v>1350</v>
      </c>
      <c r="EH11" s="24">
        <f t="shared" si="86"/>
        <v>1350</v>
      </c>
      <c r="EI11" s="24">
        <f t="shared" ref="EI11:EJ11" si="87">EI10+40</f>
        <v>1350</v>
      </c>
      <c r="EJ11" s="24">
        <f t="shared" si="87"/>
        <v>1350</v>
      </c>
      <c r="EK11" s="24">
        <f t="shared" ref="EK11:EL11" si="88">EK10+40</f>
        <v>1350</v>
      </c>
      <c r="EL11" s="24">
        <f t="shared" si="88"/>
        <v>1350</v>
      </c>
      <c r="EM11" s="24">
        <f t="shared" ref="EM11:EQ11" si="89">EM10+40</f>
        <v>1350</v>
      </c>
      <c r="EN11" s="24">
        <f t="shared" si="89"/>
        <v>1350</v>
      </c>
      <c r="EO11" s="24">
        <f t="shared" si="89"/>
        <v>1350</v>
      </c>
      <c r="EP11" s="24">
        <f t="shared" si="89"/>
        <v>1350</v>
      </c>
      <c r="EQ11" s="24">
        <f t="shared" si="89"/>
        <v>1350</v>
      </c>
      <c r="ER11" s="24">
        <f t="shared" ref="ER11:EU11" si="90">ER10+40</f>
        <v>1350</v>
      </c>
      <c r="ES11" s="24">
        <f t="shared" si="90"/>
        <v>1350</v>
      </c>
      <c r="ET11" s="24">
        <f t="shared" si="90"/>
        <v>1350</v>
      </c>
      <c r="EU11" s="24">
        <f t="shared" si="90"/>
        <v>1350</v>
      </c>
      <c r="EV11" s="24">
        <f t="shared" ref="EV11:EW11" si="91">EV10+40</f>
        <v>1350</v>
      </c>
      <c r="EW11" s="24">
        <f t="shared" si="91"/>
        <v>1350</v>
      </c>
      <c r="EX11" s="24">
        <f t="shared" ref="EX11:EY11" si="92">EX10+40</f>
        <v>1350</v>
      </c>
      <c r="EY11" s="24">
        <f t="shared" si="92"/>
        <v>1350</v>
      </c>
      <c r="EZ11" s="24">
        <f t="shared" ref="EZ11:FA11" si="93">EZ10+40</f>
        <v>1350</v>
      </c>
      <c r="FA11" s="24">
        <f t="shared" si="93"/>
        <v>1350</v>
      </c>
      <c r="FB11" s="24">
        <f t="shared" ref="FB11:FC11" si="94">FB10+40</f>
        <v>1350</v>
      </c>
      <c r="FC11" s="24">
        <f t="shared" si="94"/>
        <v>1350</v>
      </c>
      <c r="FD11" s="24">
        <f t="shared" ref="FD11:FG11" si="95">FD10+40</f>
        <v>1350</v>
      </c>
      <c r="FE11" s="24">
        <f t="shared" si="95"/>
        <v>1350</v>
      </c>
      <c r="FF11" s="24">
        <f t="shared" si="95"/>
        <v>1350</v>
      </c>
      <c r="FG11" s="24">
        <f t="shared" si="95"/>
        <v>1350</v>
      </c>
      <c r="FH11" s="24">
        <f t="shared" ref="FH11:FK11" si="96">FH10+40</f>
        <v>1350</v>
      </c>
      <c r="FI11" s="24">
        <f t="shared" si="96"/>
        <v>1350</v>
      </c>
      <c r="FJ11" s="24">
        <f t="shared" si="96"/>
        <v>1350</v>
      </c>
      <c r="FK11" s="24">
        <f t="shared" si="96"/>
        <v>1350</v>
      </c>
      <c r="FL11" s="24">
        <f t="shared" ref="FL11:FP11" si="97">FL10+40</f>
        <v>1350</v>
      </c>
      <c r="FM11" s="24">
        <f t="shared" si="97"/>
        <v>1350</v>
      </c>
      <c r="FN11" s="24">
        <f t="shared" si="97"/>
        <v>1350</v>
      </c>
      <c r="FO11" s="24">
        <f t="shared" si="97"/>
        <v>1350</v>
      </c>
      <c r="FP11" s="24">
        <f t="shared" si="97"/>
        <v>1350</v>
      </c>
      <c r="FQ11" s="24">
        <f t="shared" ref="FQ11:FT11" si="98">FQ10+40</f>
        <v>1350</v>
      </c>
      <c r="FR11" s="24">
        <f t="shared" si="98"/>
        <v>1350</v>
      </c>
      <c r="FS11" s="24">
        <f t="shared" si="98"/>
        <v>1350</v>
      </c>
      <c r="FT11" s="24">
        <f t="shared" si="98"/>
        <v>1350</v>
      </c>
      <c r="FU11" s="24">
        <f t="shared" ref="FU11:FY11" si="99">FU10+40</f>
        <v>1350</v>
      </c>
      <c r="FV11" s="24">
        <f t="shared" si="99"/>
        <v>1350</v>
      </c>
      <c r="FW11" s="24">
        <f t="shared" si="99"/>
        <v>1350</v>
      </c>
      <c r="FX11" s="24">
        <f t="shared" si="99"/>
        <v>1350</v>
      </c>
      <c r="FY11" s="24">
        <f t="shared" si="99"/>
        <v>1350</v>
      </c>
      <c r="FZ11" s="24">
        <f t="shared" ref="FZ11:GC11" si="100">FZ10+40</f>
        <v>1350</v>
      </c>
      <c r="GA11" s="24">
        <f t="shared" si="100"/>
        <v>1350</v>
      </c>
      <c r="GB11" s="24">
        <f t="shared" si="100"/>
        <v>1350</v>
      </c>
      <c r="GC11" s="24">
        <f t="shared" si="100"/>
        <v>1350</v>
      </c>
      <c r="GD11" s="24">
        <f t="shared" ref="GD11:GF11" si="101">GD10+40</f>
        <v>1350</v>
      </c>
      <c r="GE11" s="24">
        <f t="shared" si="101"/>
        <v>1350</v>
      </c>
      <c r="GF11" s="24">
        <f t="shared" si="101"/>
        <v>1350</v>
      </c>
      <c r="GG11" s="24">
        <f t="shared" ref="GG11:GL11" si="102">GG10+40</f>
        <v>1350</v>
      </c>
      <c r="GH11" s="24">
        <f t="shared" si="102"/>
        <v>1350</v>
      </c>
      <c r="GI11" s="24">
        <f t="shared" si="102"/>
        <v>1350</v>
      </c>
      <c r="GJ11" s="24">
        <f t="shared" si="102"/>
        <v>1350</v>
      </c>
      <c r="GK11" s="24">
        <f t="shared" si="102"/>
        <v>1350</v>
      </c>
      <c r="GL11" s="24">
        <f t="shared" si="102"/>
        <v>1350</v>
      </c>
      <c r="GM11" s="24">
        <f t="shared" ref="GM11:GP11" si="103">GM10+40</f>
        <v>1350</v>
      </c>
      <c r="GN11" s="24">
        <f t="shared" si="103"/>
        <v>1350</v>
      </c>
      <c r="GO11" s="24">
        <f t="shared" si="103"/>
        <v>1350</v>
      </c>
      <c r="GP11" s="24">
        <f t="shared" si="103"/>
        <v>1350</v>
      </c>
      <c r="GQ11" s="24">
        <f t="shared" ref="GQ11:GT11" si="104">GQ10+40</f>
        <v>1350</v>
      </c>
      <c r="GR11" s="24">
        <f t="shared" si="104"/>
        <v>1350</v>
      </c>
      <c r="GS11" s="24">
        <f t="shared" si="104"/>
        <v>1350</v>
      </c>
      <c r="GT11" s="24">
        <f t="shared" si="104"/>
        <v>1350</v>
      </c>
      <c r="GU11" s="24">
        <f t="shared" ref="GU11:GY11" si="105">GU10+40</f>
        <v>1350</v>
      </c>
      <c r="GV11" s="24">
        <f t="shared" si="105"/>
        <v>1350</v>
      </c>
      <c r="GW11" s="24">
        <f t="shared" si="105"/>
        <v>1350</v>
      </c>
      <c r="GX11" s="24">
        <f t="shared" si="105"/>
        <v>1350</v>
      </c>
      <c r="GY11" s="24">
        <f t="shared" si="105"/>
        <v>1350</v>
      </c>
    </row>
    <row r="12" spans="1:207" s="13" customFormat="1" ht="14">
      <c r="A12" s="54">
        <v>9</v>
      </c>
      <c r="B12" s="55"/>
      <c r="C12" s="55"/>
      <c r="D12" s="106" t="s">
        <v>37</v>
      </c>
      <c r="E12" s="55" t="s">
        <v>38</v>
      </c>
      <c r="F12" s="55" t="s">
        <v>131</v>
      </c>
      <c r="G12" s="54" t="s">
        <v>24</v>
      </c>
      <c r="H12" s="111" t="str">
        <f>F12</f>
        <v>Hạt rHD ép (Châu Âu)-ICIS</v>
      </c>
      <c r="I12" s="129">
        <f>+SUM(AY12:BB12)/COUNT(AY12:BB12)</f>
        <v>1808.0749999999998</v>
      </c>
      <c r="J12" s="129">
        <f>+SUM(BC12:BF12)/COUNT(BC12:BF12)</f>
        <v>1790.9825000000001</v>
      </c>
      <c r="K12" s="129">
        <f>+SUM(BG12:BK12)/COUNT(BG12:BK12)</f>
        <v>1811.1759999999999</v>
      </c>
      <c r="L12" s="129">
        <f>+SUM(BL12:BO12)/COUNT(BL12:BO12)</f>
        <v>1850.0975000000001</v>
      </c>
      <c r="M12" s="129">
        <f>+SUM(BP12:BS12)/COUNT(BP12:BS12)</f>
        <v>1812.9749999999999</v>
      </c>
      <c r="N12" s="129">
        <f>+SUM(BT12:BW12)/COUNT(BT12:BW12)</f>
        <v>1828.0925</v>
      </c>
      <c r="O12" s="129">
        <f>+SUM(BX12:CA12)/COUNT(BX12:CA12)</f>
        <v>1851.3874999999998</v>
      </c>
      <c r="P12" s="129">
        <f>+SUM(CB12:CF12)/COUNT(CB12:CF12)</f>
        <v>1836.61</v>
      </c>
      <c r="Q12" s="129">
        <f>+SUM(CG12:CJ12)/COUNT(CG12:CJ12)</f>
        <v>1800.0174999999999</v>
      </c>
      <c r="R12" s="129">
        <f>+SUM(CK12:CN12)/COUNT(CK12:CN12)</f>
        <v>1790.5</v>
      </c>
      <c r="S12" s="161">
        <f>+SUM(CO12:CR12)/COUNT(CO12:CR12)</f>
        <v>1790.5</v>
      </c>
      <c r="T12" s="161">
        <f>+SUM(CS12:CW12)/COUNT(CS12:CW12)</f>
        <v>1790.5</v>
      </c>
      <c r="U12" s="161"/>
      <c r="V12" s="161"/>
      <c r="W12" s="161"/>
      <c r="X12" s="161"/>
      <c r="Y12" s="161"/>
      <c r="Z12" s="161"/>
      <c r="AA12" s="161"/>
      <c r="AB12" s="161"/>
      <c r="AC12" s="161"/>
      <c r="AD12" s="161"/>
      <c r="AE12" s="161"/>
      <c r="AF12" s="161"/>
      <c r="AG12" s="161"/>
      <c r="AH12" s="161"/>
      <c r="AI12" s="161"/>
      <c r="AJ12" s="161"/>
      <c r="AK12" s="161"/>
      <c r="AL12" s="161"/>
      <c r="AM12" s="161"/>
      <c r="AN12" s="161"/>
      <c r="AO12" s="161"/>
      <c r="AP12" s="161"/>
      <c r="AQ12" s="161"/>
      <c r="AR12" s="161"/>
      <c r="AS12" s="161"/>
      <c r="AU12" s="54" t="s">
        <v>37</v>
      </c>
      <c r="AV12" s="55" t="s">
        <v>38</v>
      </c>
      <c r="AW12" s="111" t="str">
        <f>H12</f>
        <v>Hạt rHD ép (Châu Âu)-ICIS</v>
      </c>
      <c r="AX12" s="114" t="e">
        <f>#REF!</f>
        <v>#REF!</v>
      </c>
      <c r="AY12" s="129">
        <v>1766.9</v>
      </c>
      <c r="AZ12" s="129">
        <v>1815.71</v>
      </c>
      <c r="BA12" s="129">
        <v>1812.54</v>
      </c>
      <c r="BB12" s="129">
        <v>1837.15</v>
      </c>
      <c r="BC12" s="129">
        <v>1808.07</v>
      </c>
      <c r="BD12" s="129">
        <v>1793.1</v>
      </c>
      <c r="BE12" s="129">
        <v>1780.19</v>
      </c>
      <c r="BF12" s="129">
        <v>1782.57</v>
      </c>
      <c r="BG12" s="129">
        <v>1775.65</v>
      </c>
      <c r="BH12" s="129">
        <v>1784.19</v>
      </c>
      <c r="BI12" s="129">
        <v>1829.54</v>
      </c>
      <c r="BJ12" s="129">
        <v>1831.03</v>
      </c>
      <c r="BK12" s="129">
        <v>1835.47</v>
      </c>
      <c r="BL12" s="129">
        <v>1857.14</v>
      </c>
      <c r="BM12" s="130">
        <v>1842.99</v>
      </c>
      <c r="BN12" s="130">
        <v>1850.83</v>
      </c>
      <c r="BO12" s="130">
        <v>1849.43</v>
      </c>
      <c r="BP12" s="130">
        <v>1833.85</v>
      </c>
      <c r="BQ12" s="130">
        <v>1810.28</v>
      </c>
      <c r="BR12" s="130">
        <v>1801.57</v>
      </c>
      <c r="BS12" s="130">
        <v>1806.2</v>
      </c>
      <c r="BT12" s="130">
        <v>1811.01</v>
      </c>
      <c r="BU12" s="130">
        <v>1836.62</v>
      </c>
      <c r="BV12" s="130">
        <v>1836.62</v>
      </c>
      <c r="BW12" s="58">
        <v>1828.12</v>
      </c>
      <c r="BX12" s="58">
        <v>1828.12</v>
      </c>
      <c r="BY12" s="58">
        <v>1826.4</v>
      </c>
      <c r="BZ12" s="58">
        <v>1880.29</v>
      </c>
      <c r="CA12" s="58">
        <v>1870.74</v>
      </c>
      <c r="CB12" s="58">
        <v>1848.04</v>
      </c>
      <c r="CC12" s="58">
        <v>1838.9</v>
      </c>
      <c r="CD12" s="58">
        <v>1850.63</v>
      </c>
      <c r="CE12" s="58">
        <v>1826.65</v>
      </c>
      <c r="CF12" s="102">
        <v>1818.83</v>
      </c>
      <c r="CG12" s="102">
        <v>1820.88</v>
      </c>
      <c r="CH12" s="102">
        <v>1798.19</v>
      </c>
      <c r="CI12" s="102">
        <v>1790.5</v>
      </c>
      <c r="CJ12" s="102">
        <v>1790.5</v>
      </c>
      <c r="CK12" s="102">
        <v>1790.5</v>
      </c>
      <c r="CL12" s="102">
        <v>1790.5</v>
      </c>
      <c r="CM12" s="102">
        <v>1790.5</v>
      </c>
      <c r="CN12" s="102">
        <v>1790.5</v>
      </c>
      <c r="CO12" s="102">
        <v>1790.5</v>
      </c>
      <c r="CP12" s="102">
        <v>1790.5</v>
      </c>
      <c r="CQ12" s="102">
        <v>1790.5</v>
      </c>
      <c r="CR12" s="102">
        <v>1790.5</v>
      </c>
      <c r="CS12" s="102">
        <v>1790.5</v>
      </c>
      <c r="CT12" s="102">
        <v>1790.5</v>
      </c>
      <c r="CU12" s="102">
        <v>1790.5</v>
      </c>
      <c r="CV12" s="102">
        <v>1790.5</v>
      </c>
      <c r="CW12" s="102">
        <v>1790.5</v>
      </c>
      <c r="CX12" s="102"/>
      <c r="CY12" s="102"/>
      <c r="CZ12" s="102"/>
      <c r="DA12" s="102"/>
      <c r="DB12" s="102"/>
      <c r="DC12" s="102"/>
      <c r="DD12" s="102"/>
      <c r="DE12" s="102"/>
      <c r="DF12" s="102"/>
      <c r="DG12" s="102"/>
      <c r="DH12" s="102"/>
    </row>
    <row r="13" spans="1:207" ht="14">
      <c r="D13" s="54" t="s">
        <v>41</v>
      </c>
      <c r="E13" s="25"/>
      <c r="F13" s="59" t="s">
        <v>130</v>
      </c>
      <c r="G13" s="54" t="s">
        <v>24</v>
      </c>
      <c r="H13" s="111" t="str">
        <f>F13</f>
        <v>RESIN</v>
      </c>
      <c r="I13" s="129">
        <f>+SUM(AY13:BB13)/COUNT(AY13:BB13)</f>
        <v>1017.5</v>
      </c>
      <c r="J13" s="129">
        <f>+SUM(BC13:BF13)/COUNT(BC13:BF13)</f>
        <v>1092.5</v>
      </c>
      <c r="K13" s="129">
        <f>+SUM(BG13:BK13)/COUNT(BG13:BK13)</f>
        <v>1068</v>
      </c>
      <c r="L13" s="129">
        <f>+SUM(BL13:BO13)/COUNT(BL13:BO13)</f>
        <v>1050</v>
      </c>
      <c r="M13" s="129">
        <f>+SUM(BP13:BS13)/COUNT(BP13:BS13)</f>
        <v>1042.5</v>
      </c>
      <c r="N13" s="129">
        <f>+SUM(BT13:BW13)/COUNT(BT13:BW13)</f>
        <v>970</v>
      </c>
      <c r="O13" s="129">
        <f>+SUM(BX13:CA13)/COUNT(BX13:CA13)</f>
        <v>960</v>
      </c>
      <c r="P13" s="129">
        <f>+SUM(CB13:CF13)/COUNT(CB13:CF13)</f>
        <v>1008</v>
      </c>
      <c r="Q13" s="129">
        <f>+SUM(CG13:CJ13)/COUNT(CG13:CJ13)</f>
        <v>1027.5</v>
      </c>
      <c r="R13" s="129">
        <f>+SUM(CK13:CN13)/COUNT(CK13:CN13)</f>
        <v>1020</v>
      </c>
      <c r="S13" s="161">
        <f>+SUM(CO13:CR13)/COUNT(CO13:CR13)</f>
        <v>955</v>
      </c>
      <c r="T13" s="161">
        <f>+SUM(CS13:CW13)/COUNT(CS13:CW13)</f>
        <v>900</v>
      </c>
      <c r="U13" s="161">
        <f>+SUM(CX13:DA13)/COUNT(CX13:DA13)</f>
        <v>947.5</v>
      </c>
      <c r="V13" s="161">
        <f>+SUM(DB13:DD13)/COUNT(DB13:DD13)</f>
        <v>1010</v>
      </c>
      <c r="W13" s="161">
        <f>+SUM(DE13:DH13)/COUNT(DE13:DH13)</f>
        <v>995</v>
      </c>
      <c r="X13" s="161">
        <f>+SUM(DI13:DL13)/COUNT(DI13:DL13)</f>
        <v>975</v>
      </c>
      <c r="Y13" s="169">
        <f>+SUM(DM13:DQ13)/COUNT(DM13:DQ13)</f>
        <v>956</v>
      </c>
      <c r="Z13" s="161">
        <f>+SUM(DR13:DU13)/COUNT(DR13:DU13)</f>
        <v>980</v>
      </c>
      <c r="AA13" s="161">
        <f>+SUM(DV13:DY13)/COUNT(DV13:DY13)</f>
        <v>975</v>
      </c>
      <c r="AB13" s="161">
        <f>+SUM(DZ13:ED13)/COUNT(DZ13:ED13)</f>
        <v>946</v>
      </c>
      <c r="AC13" s="161">
        <f>+SUM(EE13:EH13)/COUNT(EE13:EH13)</f>
        <v>932.5</v>
      </c>
      <c r="AD13" s="161">
        <f>+SUM(EJ13:EL13)/COUNT(EJ13:EL13)</f>
        <v>926.66666666666663</v>
      </c>
      <c r="AE13" s="161">
        <f t="shared" si="9"/>
        <v>940</v>
      </c>
      <c r="AF13" s="161">
        <f>+SUM(ER13:EU13)/COUNT(ER13:EU13)</f>
        <v>940</v>
      </c>
      <c r="AG13" s="161">
        <f>+SUM(EV13:EY13)/COUNT(EV13:EY13)</f>
        <v>940</v>
      </c>
      <c r="AH13" s="161">
        <f>+SUM(EZ13:FD13)/COUNT(EZ13:FD13)</f>
        <v>946</v>
      </c>
      <c r="AI13" s="161">
        <f>+SUM(FD13:FG13)/COUNT(FD13:FG13)</f>
        <v>940</v>
      </c>
      <c r="AJ13" s="169">
        <f>+SUM(FH13:FK13)/COUNT(FH13:FK13)</f>
        <v>905</v>
      </c>
      <c r="AK13" s="169">
        <f>+SUM(FL13:FP13)/COUNT(FL13:FP13)</f>
        <v>908</v>
      </c>
      <c r="AL13" s="169">
        <f>+SUM(FQ13:FT13)/COUNT(FQ13:FT13)</f>
        <v>915</v>
      </c>
      <c r="AM13" s="169">
        <f>+SUM(FU13:FY13)/COUNT(FU13:FY13)</f>
        <v>930</v>
      </c>
      <c r="AN13" s="169">
        <f>+SUM(FZ13:GC13)/COUNT(FZ13:GC13)</f>
        <v>930</v>
      </c>
      <c r="AO13" s="161">
        <f>+SUM(GD13:GG13)/COUNT(GD13:GG13)</f>
        <v>915</v>
      </c>
      <c r="AP13" s="169">
        <f>+SUM(GH13:GL13)/COUNT(GH13:GL13)</f>
        <v>870</v>
      </c>
      <c r="AQ13" s="161">
        <f>+SUM(GM13:GP13)/COUNT(GM13:GP13)</f>
        <v>840</v>
      </c>
      <c r="AR13" s="161">
        <f>+SUM(GQ13:GT13)/COUNT(GQ13:GT13)</f>
        <v>830</v>
      </c>
      <c r="AS13" s="161">
        <v>830</v>
      </c>
      <c r="AT13" s="51"/>
      <c r="AU13" s="54" t="s">
        <v>41</v>
      </c>
      <c r="AV13" s="25"/>
      <c r="AW13" s="111" t="str">
        <f>H13</f>
        <v>RESIN</v>
      </c>
      <c r="AX13" s="56">
        <v>1000</v>
      </c>
      <c r="AY13" s="56">
        <v>940</v>
      </c>
      <c r="AZ13" s="56">
        <v>1020</v>
      </c>
      <c r="BA13" s="56">
        <v>1030</v>
      </c>
      <c r="BB13" s="132">
        <v>1080</v>
      </c>
      <c r="BC13" s="132">
        <v>1100</v>
      </c>
      <c r="BD13" s="132">
        <v>1100</v>
      </c>
      <c r="BE13" s="132">
        <v>1090</v>
      </c>
      <c r="BF13" s="132">
        <v>1080</v>
      </c>
      <c r="BG13" s="132">
        <v>1080</v>
      </c>
      <c r="BH13" s="132">
        <v>1070</v>
      </c>
      <c r="BI13" s="132">
        <v>1070</v>
      </c>
      <c r="BJ13" s="132">
        <v>1070</v>
      </c>
      <c r="BK13" s="132">
        <v>1050</v>
      </c>
      <c r="BL13" s="132">
        <v>1050</v>
      </c>
      <c r="BM13" s="132">
        <v>1050</v>
      </c>
      <c r="BN13" s="132">
        <v>1050</v>
      </c>
      <c r="BO13" s="132">
        <v>1050</v>
      </c>
      <c r="BP13" s="132">
        <v>1050</v>
      </c>
      <c r="BQ13" s="132">
        <v>1050</v>
      </c>
      <c r="BR13" s="132">
        <v>1040</v>
      </c>
      <c r="BS13" s="132">
        <v>1030</v>
      </c>
      <c r="BT13" s="132">
        <v>1030</v>
      </c>
      <c r="BU13" s="132">
        <v>950</v>
      </c>
      <c r="BV13" s="132">
        <v>950</v>
      </c>
      <c r="BW13" s="132">
        <v>950</v>
      </c>
      <c r="BX13" s="141">
        <v>950</v>
      </c>
      <c r="BY13" s="141">
        <v>950</v>
      </c>
      <c r="BZ13" s="141">
        <v>970</v>
      </c>
      <c r="CA13" s="141">
        <v>970</v>
      </c>
      <c r="CB13" s="141">
        <v>1000</v>
      </c>
      <c r="CC13" s="141">
        <v>1000</v>
      </c>
      <c r="CD13" s="141">
        <v>1000</v>
      </c>
      <c r="CE13" s="141">
        <v>1020</v>
      </c>
      <c r="CF13" s="147">
        <v>1020</v>
      </c>
      <c r="CG13" s="147">
        <v>1020</v>
      </c>
      <c r="CH13" s="147">
        <v>1030</v>
      </c>
      <c r="CI13" s="147">
        <v>1030</v>
      </c>
      <c r="CJ13" s="147">
        <v>1030</v>
      </c>
      <c r="CK13" s="147">
        <v>1030</v>
      </c>
      <c r="CL13" s="147">
        <v>1030</v>
      </c>
      <c r="CM13" s="147">
        <v>1020</v>
      </c>
      <c r="CN13" s="147">
        <v>1000</v>
      </c>
      <c r="CO13" s="147">
        <v>980</v>
      </c>
      <c r="CP13" s="147">
        <v>960</v>
      </c>
      <c r="CQ13" s="147">
        <v>940</v>
      </c>
      <c r="CR13" s="147">
        <v>940</v>
      </c>
      <c r="CS13" s="147">
        <v>900</v>
      </c>
      <c r="CT13" s="147">
        <v>900</v>
      </c>
      <c r="CU13" s="147">
        <v>900</v>
      </c>
      <c r="CV13" s="147">
        <v>900</v>
      </c>
      <c r="CW13" s="147">
        <v>900</v>
      </c>
      <c r="CX13" s="147">
        <v>900</v>
      </c>
      <c r="CY13" s="147">
        <v>930</v>
      </c>
      <c r="CZ13" s="147">
        <v>930</v>
      </c>
      <c r="DA13" s="147">
        <v>1030</v>
      </c>
      <c r="DB13" s="147">
        <v>1030</v>
      </c>
      <c r="DC13" s="147">
        <v>1000</v>
      </c>
      <c r="DD13" s="147">
        <v>1000</v>
      </c>
      <c r="DE13" s="147">
        <v>1000</v>
      </c>
      <c r="DF13" s="147">
        <v>1000</v>
      </c>
      <c r="DG13" s="147">
        <v>1000</v>
      </c>
      <c r="DH13" s="147">
        <v>980</v>
      </c>
      <c r="DI13" s="147">
        <v>980</v>
      </c>
      <c r="DJ13" s="147">
        <v>980</v>
      </c>
      <c r="DK13" s="147">
        <v>980</v>
      </c>
      <c r="DL13" s="147">
        <v>960</v>
      </c>
      <c r="DM13" s="147">
        <v>950</v>
      </c>
      <c r="DN13" s="147">
        <v>950</v>
      </c>
      <c r="DO13" s="147">
        <v>950</v>
      </c>
      <c r="DP13" s="147">
        <v>950</v>
      </c>
      <c r="DQ13" s="147">
        <v>980</v>
      </c>
      <c r="DR13" s="147">
        <v>980</v>
      </c>
      <c r="DS13" s="147">
        <v>980</v>
      </c>
      <c r="DT13" s="147">
        <v>980</v>
      </c>
      <c r="DU13" s="147">
        <v>980</v>
      </c>
      <c r="DV13" s="147">
        <v>980</v>
      </c>
      <c r="DW13" s="147">
        <v>980</v>
      </c>
      <c r="DX13" s="147">
        <v>980</v>
      </c>
      <c r="DY13" s="147">
        <v>960</v>
      </c>
      <c r="DZ13" s="147">
        <v>950</v>
      </c>
      <c r="EA13" s="147">
        <v>950</v>
      </c>
      <c r="EB13" s="147">
        <v>950</v>
      </c>
      <c r="EC13" s="147">
        <v>940</v>
      </c>
      <c r="ED13" s="147">
        <v>940</v>
      </c>
      <c r="EE13" s="147">
        <v>940</v>
      </c>
      <c r="EF13" s="147">
        <v>930</v>
      </c>
      <c r="EG13" s="147">
        <v>930</v>
      </c>
      <c r="EH13" s="147">
        <v>930</v>
      </c>
      <c r="EI13" s="147">
        <v>920</v>
      </c>
      <c r="EJ13" s="147">
        <v>920</v>
      </c>
      <c r="EK13" s="147">
        <v>920</v>
      </c>
      <c r="EL13" s="147">
        <v>940</v>
      </c>
      <c r="EM13" s="147">
        <v>940</v>
      </c>
      <c r="EN13" s="147">
        <v>940</v>
      </c>
      <c r="EO13" s="147">
        <v>940</v>
      </c>
      <c r="EP13" s="147">
        <v>940</v>
      </c>
      <c r="EQ13" s="147">
        <v>940</v>
      </c>
      <c r="ER13" s="147">
        <v>940</v>
      </c>
      <c r="ES13" s="147">
        <v>940</v>
      </c>
      <c r="ET13" s="147">
        <v>940</v>
      </c>
      <c r="EU13" s="147">
        <v>940</v>
      </c>
      <c r="EV13" s="147">
        <v>940</v>
      </c>
      <c r="EW13" s="147">
        <v>940</v>
      </c>
      <c r="EX13" s="147">
        <v>940</v>
      </c>
      <c r="EY13" s="147">
        <v>940</v>
      </c>
      <c r="EZ13" s="147">
        <v>940</v>
      </c>
      <c r="FA13" s="147">
        <v>940</v>
      </c>
      <c r="FB13" s="147">
        <v>950</v>
      </c>
      <c r="FC13" s="147">
        <v>950</v>
      </c>
      <c r="FD13" s="147">
        <v>950</v>
      </c>
      <c r="FE13" s="147">
        <v>950</v>
      </c>
      <c r="FF13" s="147">
        <v>950</v>
      </c>
      <c r="FG13" s="147">
        <v>910</v>
      </c>
      <c r="FH13" s="147">
        <v>910</v>
      </c>
      <c r="FI13" s="147">
        <v>900</v>
      </c>
      <c r="FJ13" s="147">
        <v>900</v>
      </c>
      <c r="FK13" s="147">
        <v>910</v>
      </c>
      <c r="FL13" s="147">
        <v>910</v>
      </c>
      <c r="FM13" s="147">
        <v>910</v>
      </c>
      <c r="FN13" s="147">
        <v>910</v>
      </c>
      <c r="FO13" s="147">
        <v>910</v>
      </c>
      <c r="FP13" s="147">
        <v>900</v>
      </c>
      <c r="FQ13" s="147">
        <v>900</v>
      </c>
      <c r="FR13" s="147">
        <v>900</v>
      </c>
      <c r="FS13" s="147">
        <v>930</v>
      </c>
      <c r="FT13" s="147">
        <v>930</v>
      </c>
      <c r="FU13" s="147">
        <v>930</v>
      </c>
      <c r="FV13" s="147">
        <v>930</v>
      </c>
      <c r="FW13" s="147">
        <v>930</v>
      </c>
      <c r="FX13" s="147">
        <v>930</v>
      </c>
      <c r="FY13" s="147">
        <v>930</v>
      </c>
      <c r="FZ13" s="147">
        <v>930</v>
      </c>
      <c r="GA13" s="147">
        <v>930</v>
      </c>
      <c r="GB13" s="147">
        <v>930</v>
      </c>
      <c r="GC13" s="147">
        <v>930</v>
      </c>
      <c r="GD13" s="147">
        <v>930</v>
      </c>
      <c r="GE13" s="147">
        <v>930</v>
      </c>
      <c r="GF13" s="147">
        <v>930</v>
      </c>
      <c r="GG13" s="147">
        <v>870</v>
      </c>
      <c r="GH13" s="147">
        <v>870</v>
      </c>
      <c r="GI13" s="147">
        <v>870</v>
      </c>
      <c r="GJ13" s="147">
        <v>870</v>
      </c>
      <c r="GK13" s="147">
        <v>870</v>
      </c>
      <c r="GL13" s="147">
        <v>870</v>
      </c>
      <c r="GM13" s="147">
        <v>870</v>
      </c>
      <c r="GN13" s="147">
        <v>830</v>
      </c>
      <c r="GO13" s="147">
        <v>830</v>
      </c>
      <c r="GP13" s="147">
        <v>830</v>
      </c>
      <c r="GQ13" s="147">
        <v>830</v>
      </c>
      <c r="GR13" s="147">
        <v>830</v>
      </c>
      <c r="GS13" s="147">
        <v>830</v>
      </c>
      <c r="GT13" s="147">
        <v>830</v>
      </c>
      <c r="GU13" s="147"/>
      <c r="GV13" s="147"/>
      <c r="GW13" s="147"/>
      <c r="GX13" s="147"/>
      <c r="GY13" s="147"/>
    </row>
    <row r="14" spans="1:207" ht="14">
      <c r="F14" s="117"/>
      <c r="H14" s="117" t="s">
        <v>82</v>
      </c>
      <c r="I14" s="131">
        <f t="shared" ref="I14:O14" si="106">I13</f>
        <v>1017.5</v>
      </c>
      <c r="J14" s="131">
        <f t="shared" si="106"/>
        <v>1092.5</v>
      </c>
      <c r="K14" s="131">
        <f t="shared" si="106"/>
        <v>1068</v>
      </c>
      <c r="L14" s="131">
        <f t="shared" si="106"/>
        <v>1050</v>
      </c>
      <c r="M14" s="131">
        <f t="shared" si="106"/>
        <v>1042.5</v>
      </c>
      <c r="N14" s="131">
        <f t="shared" si="106"/>
        <v>970</v>
      </c>
      <c r="O14" s="131">
        <f t="shared" si="106"/>
        <v>960</v>
      </c>
      <c r="P14" s="131">
        <f t="shared" ref="P14:U14" si="107">P13</f>
        <v>1008</v>
      </c>
      <c r="Q14" s="131">
        <f t="shared" si="107"/>
        <v>1027.5</v>
      </c>
      <c r="R14" s="131">
        <f t="shared" si="107"/>
        <v>1020</v>
      </c>
      <c r="S14" s="131">
        <f t="shared" si="107"/>
        <v>955</v>
      </c>
      <c r="T14" s="131">
        <f t="shared" si="107"/>
        <v>900</v>
      </c>
      <c r="U14" s="131">
        <f t="shared" si="107"/>
        <v>947.5</v>
      </c>
      <c r="V14" s="131">
        <f t="shared" ref="V14:W14" si="108">V13</f>
        <v>1010</v>
      </c>
      <c r="W14" s="131">
        <f t="shared" si="108"/>
        <v>995</v>
      </c>
      <c r="X14" s="131">
        <f t="shared" ref="X14:Y14" si="109">X13</f>
        <v>975</v>
      </c>
      <c r="Y14" s="131">
        <f t="shared" si="109"/>
        <v>956</v>
      </c>
      <c r="Z14" s="131">
        <f t="shared" ref="Z14:AA14" si="110">Z13</f>
        <v>980</v>
      </c>
      <c r="AA14" s="131">
        <f t="shared" si="110"/>
        <v>975</v>
      </c>
      <c r="AB14" s="131">
        <f t="shared" ref="AB14:AC14" si="111">AB13</f>
        <v>946</v>
      </c>
      <c r="AC14" s="131">
        <f t="shared" si="111"/>
        <v>932.5</v>
      </c>
      <c r="AD14" s="131">
        <f t="shared" ref="AD14:AE14" si="112">AD13</f>
        <v>926.66666666666663</v>
      </c>
      <c r="AE14" s="131">
        <f t="shared" si="112"/>
        <v>940</v>
      </c>
      <c r="AF14" s="131">
        <f t="shared" ref="AF14:AG14" si="113">AF13</f>
        <v>940</v>
      </c>
      <c r="AG14" s="131">
        <f t="shared" si="113"/>
        <v>940</v>
      </c>
      <c r="AH14" s="131">
        <f t="shared" ref="AH14:AI14" si="114">AH13</f>
        <v>946</v>
      </c>
      <c r="AI14" s="131">
        <f t="shared" si="114"/>
        <v>940</v>
      </c>
      <c r="AJ14" s="131">
        <f t="shared" ref="AJ14:AK14" si="115">AJ13</f>
        <v>905</v>
      </c>
      <c r="AK14" s="131">
        <f t="shared" si="115"/>
        <v>908</v>
      </c>
      <c r="AL14" s="131">
        <f t="shared" ref="AL14:AM14" si="116">AL13</f>
        <v>915</v>
      </c>
      <c r="AM14" s="131">
        <f t="shared" si="116"/>
        <v>930</v>
      </c>
      <c r="AN14" s="131">
        <f t="shared" ref="AN14:AS14" si="117">AN13</f>
        <v>930</v>
      </c>
      <c r="AO14" s="131">
        <f t="shared" si="117"/>
        <v>915</v>
      </c>
      <c r="AP14" s="131">
        <f t="shared" si="117"/>
        <v>870</v>
      </c>
      <c r="AQ14" s="131">
        <f t="shared" si="117"/>
        <v>840</v>
      </c>
      <c r="AR14" s="131">
        <f t="shared" si="117"/>
        <v>830</v>
      </c>
      <c r="AS14" s="131">
        <f t="shared" si="117"/>
        <v>830</v>
      </c>
      <c r="AW14" s="117" t="s">
        <v>82</v>
      </c>
      <c r="AX14" s="41">
        <f t="shared" ref="AX14:BU14" si="118">AX13</f>
        <v>1000</v>
      </c>
      <c r="AY14" s="41">
        <f>AY13</f>
        <v>940</v>
      </c>
      <c r="AZ14" s="41">
        <f t="shared" si="118"/>
        <v>1020</v>
      </c>
      <c r="BA14" s="41">
        <f t="shared" si="118"/>
        <v>1030</v>
      </c>
      <c r="BB14" s="41">
        <f t="shared" si="118"/>
        <v>1080</v>
      </c>
      <c r="BC14" s="41">
        <f t="shared" si="118"/>
        <v>1100</v>
      </c>
      <c r="BD14" s="41">
        <f t="shared" si="118"/>
        <v>1100</v>
      </c>
      <c r="BE14" s="41">
        <f t="shared" si="118"/>
        <v>1090</v>
      </c>
      <c r="BF14" s="41">
        <f t="shared" si="118"/>
        <v>1080</v>
      </c>
      <c r="BG14" s="41">
        <f t="shared" si="118"/>
        <v>1080</v>
      </c>
      <c r="BH14" s="41">
        <f t="shared" si="118"/>
        <v>1070</v>
      </c>
      <c r="BI14" s="41">
        <f t="shared" si="118"/>
        <v>1070</v>
      </c>
      <c r="BJ14" s="41">
        <f t="shared" si="118"/>
        <v>1070</v>
      </c>
      <c r="BK14" s="41">
        <f t="shared" si="118"/>
        <v>1050</v>
      </c>
      <c r="BL14" s="41">
        <f t="shared" si="118"/>
        <v>1050</v>
      </c>
      <c r="BM14" s="41">
        <f t="shared" si="118"/>
        <v>1050</v>
      </c>
      <c r="BN14" s="41">
        <f t="shared" si="118"/>
        <v>1050</v>
      </c>
      <c r="BO14" s="41">
        <f t="shared" si="118"/>
        <v>1050</v>
      </c>
      <c r="BP14" s="41">
        <f t="shared" si="118"/>
        <v>1050</v>
      </c>
      <c r="BQ14" s="41">
        <f t="shared" si="118"/>
        <v>1050</v>
      </c>
      <c r="BR14" s="41">
        <f t="shared" si="118"/>
        <v>1040</v>
      </c>
      <c r="BS14" s="41">
        <f t="shared" si="118"/>
        <v>1030</v>
      </c>
      <c r="BT14" s="41">
        <f t="shared" si="118"/>
        <v>1030</v>
      </c>
      <c r="BU14" s="41">
        <f t="shared" si="118"/>
        <v>950</v>
      </c>
      <c r="BV14" s="41">
        <f t="shared" ref="BV14:CA14" si="119">BV13</f>
        <v>950</v>
      </c>
      <c r="BW14" s="41">
        <f t="shared" si="119"/>
        <v>950</v>
      </c>
      <c r="BX14" s="41">
        <f t="shared" si="119"/>
        <v>950</v>
      </c>
      <c r="BY14" s="41">
        <f t="shared" si="119"/>
        <v>950</v>
      </c>
      <c r="BZ14" s="41">
        <f t="shared" si="119"/>
        <v>970</v>
      </c>
      <c r="CA14" s="41">
        <f t="shared" si="119"/>
        <v>970</v>
      </c>
      <c r="CB14" s="41">
        <f t="shared" ref="CB14:CN14" si="120">CB13</f>
        <v>1000</v>
      </c>
      <c r="CC14" s="41">
        <f t="shared" si="120"/>
        <v>1000</v>
      </c>
      <c r="CD14" s="41">
        <f t="shared" si="120"/>
        <v>1000</v>
      </c>
      <c r="CE14" s="41">
        <f t="shared" si="120"/>
        <v>1020</v>
      </c>
      <c r="CF14" s="41">
        <f t="shared" si="120"/>
        <v>1020</v>
      </c>
      <c r="CG14" s="41">
        <f t="shared" si="120"/>
        <v>1020</v>
      </c>
      <c r="CH14" s="41">
        <f t="shared" si="120"/>
        <v>1030</v>
      </c>
      <c r="CI14" s="41">
        <f t="shared" si="120"/>
        <v>1030</v>
      </c>
      <c r="CJ14" s="41">
        <f t="shared" si="120"/>
        <v>1030</v>
      </c>
      <c r="CK14" s="41">
        <f t="shared" si="120"/>
        <v>1030</v>
      </c>
      <c r="CL14" s="41">
        <f t="shared" si="120"/>
        <v>1030</v>
      </c>
      <c r="CM14" s="41">
        <f t="shared" si="120"/>
        <v>1020</v>
      </c>
      <c r="CN14" s="41">
        <f t="shared" si="120"/>
        <v>1000</v>
      </c>
      <c r="CO14" s="41">
        <f t="shared" ref="CO14:CP14" si="121">CO13</f>
        <v>980</v>
      </c>
      <c r="CP14" s="41">
        <f t="shared" si="121"/>
        <v>960</v>
      </c>
      <c r="CQ14" s="41">
        <f t="shared" ref="CQ14:CR14" si="122">CQ13</f>
        <v>940</v>
      </c>
      <c r="CR14" s="41">
        <f t="shared" si="122"/>
        <v>940</v>
      </c>
      <c r="CS14" s="41">
        <f t="shared" ref="CS14:CT14" si="123">CS13</f>
        <v>900</v>
      </c>
      <c r="CT14" s="41">
        <f t="shared" si="123"/>
        <v>900</v>
      </c>
      <c r="CU14" s="41">
        <f t="shared" ref="CU14:CV14" si="124">CU13</f>
        <v>900</v>
      </c>
      <c r="CV14" s="41">
        <f t="shared" si="124"/>
        <v>900</v>
      </c>
      <c r="CW14" s="41">
        <f t="shared" ref="CW14:CX14" si="125">CW13</f>
        <v>900</v>
      </c>
      <c r="CX14" s="41">
        <f t="shared" si="125"/>
        <v>900</v>
      </c>
      <c r="CY14" s="41">
        <f t="shared" ref="CY14:CZ14" si="126">CY13</f>
        <v>930</v>
      </c>
      <c r="CZ14" s="41">
        <f t="shared" si="126"/>
        <v>930</v>
      </c>
      <c r="DA14" s="41">
        <f t="shared" ref="DA14:DB14" si="127">DA13</f>
        <v>1030</v>
      </c>
      <c r="DB14" s="41">
        <f t="shared" si="127"/>
        <v>1030</v>
      </c>
      <c r="DC14" s="41">
        <f t="shared" ref="DC14:DD14" si="128">DC13</f>
        <v>1000</v>
      </c>
      <c r="DD14" s="41">
        <f t="shared" si="128"/>
        <v>1000</v>
      </c>
      <c r="DE14" s="41">
        <f t="shared" ref="DE14:DF14" si="129">DE13</f>
        <v>1000</v>
      </c>
      <c r="DF14" s="41">
        <f t="shared" si="129"/>
        <v>1000</v>
      </c>
      <c r="DG14" s="41">
        <f t="shared" ref="DG14:DH14" si="130">DG13</f>
        <v>1000</v>
      </c>
      <c r="DH14" s="41">
        <f t="shared" si="130"/>
        <v>980</v>
      </c>
      <c r="DI14" s="41">
        <f t="shared" ref="DI14:DJ14" si="131">DI13</f>
        <v>980</v>
      </c>
      <c r="DJ14" s="41">
        <f t="shared" si="131"/>
        <v>980</v>
      </c>
      <c r="DK14" s="41">
        <f t="shared" ref="DK14:DL14" si="132">DK13</f>
        <v>980</v>
      </c>
      <c r="DL14" s="41">
        <f t="shared" si="132"/>
        <v>960</v>
      </c>
      <c r="DM14" s="41">
        <f t="shared" ref="DM14:DN14" si="133">DM13</f>
        <v>950</v>
      </c>
      <c r="DN14" s="41">
        <f t="shared" si="133"/>
        <v>950</v>
      </c>
      <c r="DO14" s="41">
        <f t="shared" ref="DO14:DP14" si="134">DO13</f>
        <v>950</v>
      </c>
      <c r="DP14" s="41">
        <f t="shared" si="134"/>
        <v>950</v>
      </c>
      <c r="DQ14" s="41">
        <f t="shared" ref="DQ14:DR14" si="135">DQ13</f>
        <v>980</v>
      </c>
      <c r="DR14" s="41">
        <f t="shared" si="135"/>
        <v>980</v>
      </c>
      <c r="DS14" s="41">
        <f t="shared" ref="DS14:DT14" si="136">DS13</f>
        <v>980</v>
      </c>
      <c r="DT14" s="41">
        <f t="shared" si="136"/>
        <v>980</v>
      </c>
      <c r="DU14" s="41">
        <f t="shared" ref="DU14:DV14" si="137">DU13</f>
        <v>980</v>
      </c>
      <c r="DV14" s="41">
        <f t="shared" si="137"/>
        <v>980</v>
      </c>
      <c r="DW14" s="41">
        <f t="shared" ref="DW14:DX14" si="138">DW13</f>
        <v>980</v>
      </c>
      <c r="DX14" s="41">
        <f t="shared" si="138"/>
        <v>980</v>
      </c>
      <c r="DY14" s="41">
        <f t="shared" ref="DY14:DZ14" si="139">DY13</f>
        <v>960</v>
      </c>
      <c r="DZ14" s="41">
        <f t="shared" si="139"/>
        <v>950</v>
      </c>
      <c r="EA14" s="41">
        <f t="shared" ref="EA14:EB14" si="140">EA13</f>
        <v>950</v>
      </c>
      <c r="EB14" s="41">
        <f t="shared" si="140"/>
        <v>950</v>
      </c>
      <c r="EC14" s="41">
        <f t="shared" ref="EC14:ED14" si="141">EC13</f>
        <v>940</v>
      </c>
      <c r="ED14" s="41">
        <f t="shared" si="141"/>
        <v>940</v>
      </c>
      <c r="EE14" s="41">
        <f t="shared" ref="EE14:EF14" si="142">EE13</f>
        <v>940</v>
      </c>
      <c r="EF14" s="41">
        <f t="shared" si="142"/>
        <v>930</v>
      </c>
      <c r="EG14" s="41">
        <f t="shared" ref="EG14:EH14" si="143">EG13</f>
        <v>930</v>
      </c>
      <c r="EH14" s="41">
        <f t="shared" si="143"/>
        <v>930</v>
      </c>
      <c r="EI14" s="41">
        <f t="shared" ref="EI14:EJ14" si="144">EI13</f>
        <v>920</v>
      </c>
      <c r="EJ14" s="41">
        <f t="shared" si="144"/>
        <v>920</v>
      </c>
      <c r="EK14" s="41">
        <f t="shared" ref="EK14:EL14" si="145">EK13</f>
        <v>920</v>
      </c>
      <c r="EL14" s="41">
        <f t="shared" si="145"/>
        <v>940</v>
      </c>
      <c r="EM14" s="41">
        <f t="shared" ref="EM14:EQ14" si="146">EM13</f>
        <v>940</v>
      </c>
      <c r="EN14" s="41">
        <f t="shared" si="146"/>
        <v>940</v>
      </c>
      <c r="EO14" s="41">
        <f t="shared" si="146"/>
        <v>940</v>
      </c>
      <c r="EP14" s="41">
        <f t="shared" si="146"/>
        <v>940</v>
      </c>
      <c r="EQ14" s="41">
        <f t="shared" si="146"/>
        <v>940</v>
      </c>
      <c r="ER14" s="41">
        <f t="shared" ref="ER14:EU14" si="147">ER13</f>
        <v>940</v>
      </c>
      <c r="ES14" s="41">
        <f t="shared" si="147"/>
        <v>940</v>
      </c>
      <c r="ET14" s="41">
        <f t="shared" si="147"/>
        <v>940</v>
      </c>
      <c r="EU14" s="41">
        <f t="shared" si="147"/>
        <v>940</v>
      </c>
      <c r="EV14" s="41">
        <f t="shared" ref="EV14:EW14" si="148">EV13</f>
        <v>940</v>
      </c>
      <c r="EW14" s="41">
        <f t="shared" si="148"/>
        <v>940</v>
      </c>
      <c r="EX14" s="41">
        <f t="shared" ref="EX14:EY14" si="149">EX13</f>
        <v>940</v>
      </c>
      <c r="EY14" s="41">
        <f t="shared" si="149"/>
        <v>940</v>
      </c>
      <c r="EZ14" s="41">
        <f t="shared" ref="EZ14:FA14" si="150">EZ13</f>
        <v>940</v>
      </c>
      <c r="FA14" s="41">
        <f t="shared" si="150"/>
        <v>940</v>
      </c>
      <c r="FB14" s="41">
        <f t="shared" ref="FB14:FC14" si="151">FB13</f>
        <v>950</v>
      </c>
      <c r="FC14" s="41">
        <f t="shared" si="151"/>
        <v>950</v>
      </c>
      <c r="FD14" s="41">
        <f t="shared" ref="FD14:FG14" si="152">FD13</f>
        <v>950</v>
      </c>
      <c r="FE14" s="41">
        <f t="shared" si="152"/>
        <v>950</v>
      </c>
      <c r="FF14" s="41">
        <f t="shared" si="152"/>
        <v>950</v>
      </c>
      <c r="FG14" s="41">
        <f t="shared" si="152"/>
        <v>910</v>
      </c>
      <c r="FH14" s="41">
        <f t="shared" ref="FH14:FK14" si="153">FH13</f>
        <v>910</v>
      </c>
      <c r="FI14" s="41">
        <f t="shared" si="153"/>
        <v>900</v>
      </c>
      <c r="FJ14" s="41">
        <f t="shared" si="153"/>
        <v>900</v>
      </c>
      <c r="FK14" s="41">
        <f t="shared" si="153"/>
        <v>910</v>
      </c>
      <c r="FL14" s="41">
        <f t="shared" ref="FL14:FP14" si="154">FL13</f>
        <v>910</v>
      </c>
      <c r="FM14" s="41">
        <f t="shared" si="154"/>
        <v>910</v>
      </c>
      <c r="FN14" s="41">
        <f t="shared" si="154"/>
        <v>910</v>
      </c>
      <c r="FO14" s="41">
        <f t="shared" si="154"/>
        <v>910</v>
      </c>
      <c r="FP14" s="41">
        <f t="shared" si="154"/>
        <v>900</v>
      </c>
      <c r="FQ14" s="41">
        <f t="shared" ref="FQ14:FT14" si="155">FQ13</f>
        <v>900</v>
      </c>
      <c r="FR14" s="41">
        <f t="shared" si="155"/>
        <v>900</v>
      </c>
      <c r="FS14" s="41">
        <f t="shared" si="155"/>
        <v>930</v>
      </c>
      <c r="FT14" s="41">
        <f t="shared" si="155"/>
        <v>930</v>
      </c>
      <c r="FU14" s="41">
        <f t="shared" ref="FU14:FY14" si="156">FU13</f>
        <v>930</v>
      </c>
      <c r="FV14" s="41">
        <f t="shared" si="156"/>
        <v>930</v>
      </c>
      <c r="FW14" s="41">
        <f t="shared" si="156"/>
        <v>930</v>
      </c>
      <c r="FX14" s="41">
        <f t="shared" si="156"/>
        <v>930</v>
      </c>
      <c r="FY14" s="41">
        <f t="shared" si="156"/>
        <v>930</v>
      </c>
      <c r="FZ14" s="41">
        <f t="shared" ref="FZ14:GC14" si="157">FZ13</f>
        <v>930</v>
      </c>
      <c r="GA14" s="41">
        <f t="shared" si="157"/>
        <v>930</v>
      </c>
      <c r="GB14" s="41">
        <f t="shared" si="157"/>
        <v>930</v>
      </c>
      <c r="GC14" s="41">
        <f t="shared" si="157"/>
        <v>930</v>
      </c>
      <c r="GD14" s="41">
        <f t="shared" ref="GD14:GF14" si="158">GD13</f>
        <v>930</v>
      </c>
      <c r="GE14" s="41">
        <f t="shared" si="158"/>
        <v>930</v>
      </c>
      <c r="GF14" s="41">
        <f t="shared" si="158"/>
        <v>930</v>
      </c>
      <c r="GG14" s="41">
        <f t="shared" ref="GG14:GL14" si="159">GG13</f>
        <v>870</v>
      </c>
      <c r="GH14" s="41">
        <f t="shared" si="159"/>
        <v>870</v>
      </c>
      <c r="GI14" s="41">
        <f t="shared" si="159"/>
        <v>870</v>
      </c>
      <c r="GJ14" s="41">
        <f t="shared" si="159"/>
        <v>870</v>
      </c>
      <c r="GK14" s="41">
        <f t="shared" si="159"/>
        <v>870</v>
      </c>
      <c r="GL14" s="41">
        <f t="shared" si="159"/>
        <v>870</v>
      </c>
      <c r="GM14" s="41">
        <f t="shared" ref="GM14:GP14" si="160">GM13</f>
        <v>870</v>
      </c>
      <c r="GN14" s="41">
        <f t="shared" si="160"/>
        <v>830</v>
      </c>
      <c r="GO14" s="41">
        <f t="shared" si="160"/>
        <v>830</v>
      </c>
      <c r="GP14" s="41">
        <f t="shared" si="160"/>
        <v>830</v>
      </c>
      <c r="GQ14" s="41">
        <f t="shared" ref="GQ14:GT14" si="161">GQ13</f>
        <v>830</v>
      </c>
      <c r="GR14" s="41">
        <f t="shared" si="161"/>
        <v>830</v>
      </c>
      <c r="GS14" s="41">
        <f t="shared" si="161"/>
        <v>830</v>
      </c>
      <c r="GT14" s="41">
        <f t="shared" si="161"/>
        <v>830</v>
      </c>
      <c r="GU14" s="41">
        <f t="shared" ref="GU14:GY14" si="162">GU13</f>
        <v>0</v>
      </c>
      <c r="GV14" s="41">
        <f t="shared" si="162"/>
        <v>0</v>
      </c>
      <c r="GW14" s="41">
        <f t="shared" si="162"/>
        <v>0</v>
      </c>
      <c r="GX14" s="41">
        <f t="shared" si="162"/>
        <v>0</v>
      </c>
      <c r="GY14" s="41">
        <f t="shared" si="162"/>
        <v>0</v>
      </c>
    </row>
    <row r="15" spans="1:207" ht="14">
      <c r="F15" s="117"/>
      <c r="H15" s="117" t="s">
        <v>83</v>
      </c>
      <c r="I15" s="41">
        <f t="shared" ref="I15:N15" si="163">+I7-I14</f>
        <v>232.5</v>
      </c>
      <c r="J15" s="41">
        <f t="shared" si="163"/>
        <v>157.5</v>
      </c>
      <c r="K15" s="41">
        <f t="shared" si="163"/>
        <v>182</v>
      </c>
      <c r="L15" s="41">
        <f t="shared" si="163"/>
        <v>200</v>
      </c>
      <c r="M15" s="41">
        <f t="shared" si="163"/>
        <v>207.5</v>
      </c>
      <c r="N15" s="41">
        <f t="shared" si="163"/>
        <v>280</v>
      </c>
      <c r="O15" s="41">
        <f t="shared" ref="O15:T15" si="164">+O7-O14</f>
        <v>290</v>
      </c>
      <c r="P15" s="41">
        <f t="shared" si="164"/>
        <v>242</v>
      </c>
      <c r="Q15" s="41">
        <f t="shared" si="164"/>
        <v>222.5</v>
      </c>
      <c r="R15" s="41">
        <f t="shared" si="164"/>
        <v>230</v>
      </c>
      <c r="S15" s="41">
        <f t="shared" si="164"/>
        <v>295</v>
      </c>
      <c r="T15" s="41">
        <f t="shared" si="164"/>
        <v>350</v>
      </c>
      <c r="U15" s="41">
        <f t="shared" ref="U15:V15" si="165">+U7-U14</f>
        <v>302.5</v>
      </c>
      <c r="V15" s="41">
        <f t="shared" si="165"/>
        <v>240</v>
      </c>
      <c r="W15" s="41">
        <f t="shared" ref="W15:X15" si="166">+W7-W14</f>
        <v>255</v>
      </c>
      <c r="X15" s="41">
        <f t="shared" si="166"/>
        <v>275</v>
      </c>
      <c r="Y15" s="41">
        <f t="shared" ref="Y15:Z15" si="167">+Y7-Y14</f>
        <v>294</v>
      </c>
      <c r="Z15" s="41">
        <f t="shared" si="167"/>
        <v>270</v>
      </c>
      <c r="AA15" s="41">
        <f t="shared" ref="AA15:AB15" si="168">+AA7-AA14</f>
        <v>275</v>
      </c>
      <c r="AB15" s="41">
        <f t="shared" si="168"/>
        <v>304</v>
      </c>
      <c r="AC15" s="41">
        <f t="shared" ref="AC15:AD15" si="169">+AC7-AC14</f>
        <v>317.5</v>
      </c>
      <c r="AD15" s="41">
        <f t="shared" si="169"/>
        <v>323.33333333333337</v>
      </c>
      <c r="AE15" s="41">
        <f t="shared" ref="AE15:AF15" si="170">+AE7-AE14</f>
        <v>310</v>
      </c>
      <c r="AF15" s="41">
        <f t="shared" si="170"/>
        <v>310</v>
      </c>
      <c r="AG15" s="41">
        <f t="shared" ref="AG15:AH15" si="171">+AG7-AG14</f>
        <v>310</v>
      </c>
      <c r="AH15" s="41">
        <f t="shared" si="171"/>
        <v>304</v>
      </c>
      <c r="AI15" s="41">
        <f t="shared" ref="AI15:AJ15" si="172">+AI7-AI14</f>
        <v>105</v>
      </c>
      <c r="AJ15" s="41">
        <f t="shared" si="172"/>
        <v>140</v>
      </c>
      <c r="AK15" s="41">
        <f t="shared" ref="AK15:AL15" si="173">+AK7-AK14</f>
        <v>82.000000000000114</v>
      </c>
      <c r="AL15" s="41">
        <f t="shared" si="173"/>
        <v>75.000000000000114</v>
      </c>
      <c r="AM15" s="41">
        <f t="shared" ref="AM15:AN15" si="174">+AM7-AM14</f>
        <v>-930</v>
      </c>
      <c r="AN15" s="41">
        <f t="shared" si="174"/>
        <v>-930</v>
      </c>
      <c r="AO15" s="41">
        <f t="shared" ref="AO15:AP15" si="175">+AO7-AO14</f>
        <v>-915</v>
      </c>
      <c r="AP15" s="41">
        <f t="shared" si="175"/>
        <v>-870</v>
      </c>
      <c r="AQ15" s="41">
        <f t="shared" ref="AQ15:AR15" si="176">+AQ7-AQ14</f>
        <v>-840</v>
      </c>
      <c r="AR15" s="41">
        <f t="shared" si="176"/>
        <v>-830</v>
      </c>
      <c r="AS15" s="41">
        <f t="shared" ref="AS15" si="177">+AS7-AS14</f>
        <v>-830</v>
      </c>
      <c r="AW15" s="117" t="s">
        <v>83</v>
      </c>
      <c r="AX15" s="41">
        <f t="shared" ref="AX15:BV15" si="178">+AX7-AX14</f>
        <v>250</v>
      </c>
      <c r="AY15" s="41">
        <f>+AY7-AY14</f>
        <v>310</v>
      </c>
      <c r="AZ15" s="41">
        <f t="shared" si="178"/>
        <v>230</v>
      </c>
      <c r="BA15" s="41">
        <f t="shared" si="178"/>
        <v>220</v>
      </c>
      <c r="BB15" s="41">
        <f t="shared" si="178"/>
        <v>170</v>
      </c>
      <c r="BC15" s="41">
        <f t="shared" si="178"/>
        <v>150</v>
      </c>
      <c r="BD15" s="41">
        <f t="shared" si="178"/>
        <v>150</v>
      </c>
      <c r="BE15" s="41">
        <f t="shared" si="178"/>
        <v>160</v>
      </c>
      <c r="BF15" s="41">
        <f t="shared" si="178"/>
        <v>170</v>
      </c>
      <c r="BG15" s="41">
        <f t="shared" si="178"/>
        <v>170</v>
      </c>
      <c r="BH15" s="41">
        <f t="shared" si="178"/>
        <v>180</v>
      </c>
      <c r="BI15" s="41">
        <f t="shared" si="178"/>
        <v>180</v>
      </c>
      <c r="BJ15" s="41">
        <f t="shared" si="178"/>
        <v>180</v>
      </c>
      <c r="BK15" s="41">
        <f t="shared" si="178"/>
        <v>200</v>
      </c>
      <c r="BL15" s="41">
        <f t="shared" si="178"/>
        <v>200</v>
      </c>
      <c r="BM15" s="41">
        <f t="shared" si="178"/>
        <v>200</v>
      </c>
      <c r="BN15" s="41">
        <f t="shared" si="178"/>
        <v>200</v>
      </c>
      <c r="BO15" s="41">
        <f t="shared" si="178"/>
        <v>200</v>
      </c>
      <c r="BP15" s="41">
        <f t="shared" si="178"/>
        <v>200</v>
      </c>
      <c r="BQ15" s="41">
        <f t="shared" si="178"/>
        <v>200</v>
      </c>
      <c r="BR15" s="41">
        <f t="shared" si="178"/>
        <v>210</v>
      </c>
      <c r="BS15" s="41">
        <f t="shared" si="178"/>
        <v>220</v>
      </c>
      <c r="BT15" s="41">
        <f t="shared" si="178"/>
        <v>220</v>
      </c>
      <c r="BU15" s="41">
        <f t="shared" si="178"/>
        <v>300</v>
      </c>
      <c r="BV15" s="41">
        <f t="shared" si="178"/>
        <v>300</v>
      </c>
      <c r="BW15" s="41">
        <f t="shared" ref="BW15:CB15" si="179">+BW7-BW14</f>
        <v>300</v>
      </c>
      <c r="BX15" s="41">
        <f t="shared" si="179"/>
        <v>300</v>
      </c>
      <c r="BY15" s="41">
        <f t="shared" si="179"/>
        <v>300</v>
      </c>
      <c r="BZ15" s="41">
        <f t="shared" si="179"/>
        <v>280</v>
      </c>
      <c r="CA15" s="41">
        <f t="shared" si="179"/>
        <v>280</v>
      </c>
      <c r="CB15" s="41">
        <f t="shared" si="179"/>
        <v>250</v>
      </c>
      <c r="CC15" s="41">
        <f t="shared" ref="CC15:CN15" si="180">+CC7-CC14</f>
        <v>250</v>
      </c>
      <c r="CD15" s="41">
        <f t="shared" si="180"/>
        <v>250</v>
      </c>
      <c r="CE15" s="41">
        <f t="shared" si="180"/>
        <v>230</v>
      </c>
      <c r="CF15" s="41">
        <f t="shared" si="180"/>
        <v>230</v>
      </c>
      <c r="CG15" s="41">
        <f t="shared" si="180"/>
        <v>230</v>
      </c>
      <c r="CH15" s="41">
        <f t="shared" si="180"/>
        <v>220</v>
      </c>
      <c r="CI15" s="41">
        <f t="shared" si="180"/>
        <v>220</v>
      </c>
      <c r="CJ15" s="41">
        <f t="shared" si="180"/>
        <v>220</v>
      </c>
      <c r="CK15" s="41">
        <f t="shared" si="180"/>
        <v>220</v>
      </c>
      <c r="CL15" s="41">
        <f t="shared" si="180"/>
        <v>220</v>
      </c>
      <c r="CM15" s="41">
        <f t="shared" si="180"/>
        <v>230</v>
      </c>
      <c r="CN15" s="41">
        <f t="shared" si="180"/>
        <v>250</v>
      </c>
      <c r="CO15" s="41">
        <f t="shared" ref="CO15:CP15" si="181">+CO7-CO14</f>
        <v>270</v>
      </c>
      <c r="CP15" s="41">
        <f t="shared" si="181"/>
        <v>290</v>
      </c>
      <c r="CQ15" s="41">
        <f t="shared" ref="CQ15:CV15" si="182">+CQ7-CQ14</f>
        <v>310</v>
      </c>
      <c r="CR15" s="41">
        <f t="shared" si="182"/>
        <v>310</v>
      </c>
      <c r="CS15" s="41">
        <f t="shared" si="182"/>
        <v>350</v>
      </c>
      <c r="CT15" s="41">
        <f t="shared" si="182"/>
        <v>350</v>
      </c>
      <c r="CU15" s="41">
        <f t="shared" si="182"/>
        <v>350</v>
      </c>
      <c r="CV15" s="41">
        <f t="shared" si="182"/>
        <v>350</v>
      </c>
      <c r="CW15" s="41">
        <f t="shared" ref="CW15:CX15" si="183">+CW7-CW14</f>
        <v>350</v>
      </c>
      <c r="CX15" s="41">
        <f t="shared" si="183"/>
        <v>350</v>
      </c>
      <c r="CY15" s="41">
        <f t="shared" ref="CY15:CZ15" si="184">+CY7-CY14</f>
        <v>320</v>
      </c>
      <c r="CZ15" s="41">
        <f t="shared" si="184"/>
        <v>320</v>
      </c>
      <c r="DA15" s="41">
        <f t="shared" ref="DA15:DB15" si="185">+DA7-DA14</f>
        <v>220</v>
      </c>
      <c r="DB15" s="41">
        <f t="shared" si="185"/>
        <v>220</v>
      </c>
      <c r="DC15" s="41">
        <f t="shared" ref="DC15:DD15" si="186">+DC7-DC14</f>
        <v>250</v>
      </c>
      <c r="DD15" s="41">
        <f t="shared" si="186"/>
        <v>250</v>
      </c>
      <c r="DE15" s="41">
        <f t="shared" ref="DE15:DF15" si="187">+DE7-DE14</f>
        <v>250</v>
      </c>
      <c r="DF15" s="41">
        <f t="shared" si="187"/>
        <v>250</v>
      </c>
      <c r="DG15" s="41">
        <f t="shared" ref="DG15:DH15" si="188">+DG7-DG14</f>
        <v>250</v>
      </c>
      <c r="DH15" s="41">
        <f t="shared" si="188"/>
        <v>270</v>
      </c>
      <c r="DI15" s="41">
        <f t="shared" ref="DI15:DJ15" si="189">+DI7-DI14</f>
        <v>270</v>
      </c>
      <c r="DJ15" s="41">
        <f t="shared" si="189"/>
        <v>270</v>
      </c>
      <c r="DK15" s="41">
        <f t="shared" ref="DK15:DL15" si="190">+DK7-DK14</f>
        <v>270</v>
      </c>
      <c r="DL15" s="41">
        <f t="shared" si="190"/>
        <v>290</v>
      </c>
      <c r="DM15" s="41">
        <f t="shared" ref="DM15:DN15" si="191">+DM7-DM14</f>
        <v>300</v>
      </c>
      <c r="DN15" s="41">
        <f t="shared" si="191"/>
        <v>300</v>
      </c>
      <c r="DO15" s="41">
        <f t="shared" ref="DO15:DP15" si="192">+DO7-DO14</f>
        <v>300</v>
      </c>
      <c r="DP15" s="41">
        <f t="shared" si="192"/>
        <v>300</v>
      </c>
      <c r="DQ15" s="41">
        <f t="shared" ref="DQ15:DR15" si="193">+DQ7-DQ14</f>
        <v>270</v>
      </c>
      <c r="DR15" s="41">
        <f t="shared" si="193"/>
        <v>270</v>
      </c>
      <c r="DS15" s="41">
        <f t="shared" ref="DS15:DT15" si="194">+DS7-DS14</f>
        <v>270</v>
      </c>
      <c r="DT15" s="41">
        <f t="shared" si="194"/>
        <v>270</v>
      </c>
      <c r="DU15" s="41">
        <f t="shared" ref="DU15:DV15" si="195">+DU7-DU14</f>
        <v>270</v>
      </c>
      <c r="DV15" s="41">
        <f t="shared" si="195"/>
        <v>270</v>
      </c>
      <c r="DW15" s="41">
        <f t="shared" ref="DW15:DX15" si="196">+DW7-DW14</f>
        <v>270</v>
      </c>
      <c r="DX15" s="41">
        <f t="shared" si="196"/>
        <v>270</v>
      </c>
      <c r="DY15" s="41">
        <f t="shared" ref="DY15:DZ15" si="197">+DY7-DY14</f>
        <v>290</v>
      </c>
      <c r="DZ15" s="41">
        <f t="shared" si="197"/>
        <v>300</v>
      </c>
      <c r="EA15" s="41">
        <f t="shared" ref="EA15:EB15" si="198">+EA7-EA14</f>
        <v>300</v>
      </c>
      <c r="EB15" s="41">
        <f t="shared" si="198"/>
        <v>300</v>
      </c>
      <c r="EC15" s="41">
        <f t="shared" ref="EC15:ED15" si="199">+EC7-EC14</f>
        <v>310</v>
      </c>
      <c r="ED15" s="41">
        <f t="shared" si="199"/>
        <v>310</v>
      </c>
      <c r="EE15" s="41">
        <f t="shared" ref="EE15:EF15" si="200">+EE7-EE14</f>
        <v>310</v>
      </c>
      <c r="EF15" s="41">
        <f t="shared" si="200"/>
        <v>320</v>
      </c>
      <c r="EG15" s="41">
        <f t="shared" ref="EG15:EH15" si="201">+EG7-EG14</f>
        <v>320</v>
      </c>
      <c r="EH15" s="41">
        <f t="shared" si="201"/>
        <v>320</v>
      </c>
      <c r="EI15" s="41">
        <f t="shared" ref="EI15:EJ15" si="202">+EI7-EI14</f>
        <v>330</v>
      </c>
      <c r="EJ15" s="41">
        <f t="shared" si="202"/>
        <v>330</v>
      </c>
      <c r="EK15" s="41">
        <f t="shared" ref="EK15:EL15" si="203">+EK7-EK14</f>
        <v>330</v>
      </c>
      <c r="EL15" s="41">
        <f t="shared" si="203"/>
        <v>310</v>
      </c>
      <c r="EM15" s="41">
        <f t="shared" ref="EM15:EQ15" si="204">+EM7-EM14</f>
        <v>310</v>
      </c>
      <c r="EN15" s="41">
        <f t="shared" si="204"/>
        <v>310</v>
      </c>
      <c r="EO15" s="41">
        <f t="shared" si="204"/>
        <v>310</v>
      </c>
      <c r="EP15" s="41">
        <f t="shared" si="204"/>
        <v>310</v>
      </c>
      <c r="EQ15" s="41">
        <f t="shared" si="204"/>
        <v>310</v>
      </c>
      <c r="ER15" s="41">
        <f t="shared" ref="ER15:EU15" si="205">+ER7-ER14</f>
        <v>310</v>
      </c>
      <c r="ES15" s="41">
        <f t="shared" si="205"/>
        <v>310</v>
      </c>
      <c r="ET15" s="41">
        <f t="shared" si="205"/>
        <v>310</v>
      </c>
      <c r="EU15" s="41">
        <f t="shared" si="205"/>
        <v>310</v>
      </c>
      <c r="EV15" s="41">
        <f t="shared" ref="EV15:EW15" si="206">+EV7-EV14</f>
        <v>310</v>
      </c>
      <c r="EW15" s="41">
        <f t="shared" si="206"/>
        <v>310</v>
      </c>
      <c r="EX15" s="41">
        <f t="shared" ref="EX15:EY15" si="207">+EX7-EX14</f>
        <v>310</v>
      </c>
      <c r="EY15" s="41">
        <f t="shared" si="207"/>
        <v>310</v>
      </c>
      <c r="EZ15" s="41">
        <f t="shared" ref="EZ15:FA15" si="208">+EZ7-EZ14</f>
        <v>310</v>
      </c>
      <c r="FA15" s="41">
        <f t="shared" si="208"/>
        <v>310</v>
      </c>
      <c r="FB15" s="41">
        <f t="shared" ref="FB15:FC15" si="209">+FB7-FB14</f>
        <v>300</v>
      </c>
      <c r="FC15" s="41">
        <f t="shared" si="209"/>
        <v>300</v>
      </c>
      <c r="FD15" s="41">
        <f t="shared" ref="FD15:FG15" si="210">+FD7-FD14</f>
        <v>95</v>
      </c>
      <c r="FE15" s="41">
        <f t="shared" si="210"/>
        <v>95</v>
      </c>
      <c r="FF15" s="41">
        <f t="shared" si="210"/>
        <v>95</v>
      </c>
      <c r="FG15" s="41">
        <f t="shared" si="210"/>
        <v>135</v>
      </c>
      <c r="FH15" s="41">
        <f t="shared" ref="FH15:FK15" si="211">+FH7-FH14</f>
        <v>135</v>
      </c>
      <c r="FI15" s="41">
        <f t="shared" si="211"/>
        <v>145</v>
      </c>
      <c r="FJ15" s="41">
        <f t="shared" si="211"/>
        <v>145</v>
      </c>
      <c r="FK15" s="41">
        <f t="shared" si="211"/>
        <v>135</v>
      </c>
      <c r="FL15" s="41">
        <f t="shared" ref="FL15:FP15" si="212">+FL7-FL14</f>
        <v>80.000000000000114</v>
      </c>
      <c r="FM15" s="41">
        <f t="shared" si="212"/>
        <v>80.000000000000114</v>
      </c>
      <c r="FN15" s="41">
        <f t="shared" si="212"/>
        <v>80.000000000000114</v>
      </c>
      <c r="FO15" s="41">
        <f t="shared" si="212"/>
        <v>80.000000000000114</v>
      </c>
      <c r="FP15" s="41">
        <f t="shared" si="212"/>
        <v>90.000000000000114</v>
      </c>
      <c r="FQ15" s="41">
        <f t="shared" ref="FQ15:FT15" si="213">+FQ7-FQ14</f>
        <v>90.000000000000114</v>
      </c>
      <c r="FR15" s="41">
        <f t="shared" si="213"/>
        <v>90.000000000000114</v>
      </c>
      <c r="FS15" s="41">
        <f t="shared" si="213"/>
        <v>60.000000000000114</v>
      </c>
      <c r="FT15" s="41">
        <f t="shared" si="213"/>
        <v>60.000000000000114</v>
      </c>
      <c r="FU15" s="41">
        <f t="shared" ref="FU15:FY15" si="214">+FU7-FU14</f>
        <v>-930</v>
      </c>
      <c r="FV15" s="41">
        <f t="shared" si="214"/>
        <v>-930</v>
      </c>
      <c r="FW15" s="41">
        <f t="shared" si="214"/>
        <v>-930</v>
      </c>
      <c r="FX15" s="41">
        <f t="shared" si="214"/>
        <v>-930</v>
      </c>
      <c r="FY15" s="41">
        <f t="shared" si="214"/>
        <v>-930</v>
      </c>
      <c r="FZ15" s="41">
        <f t="shared" ref="FZ15:GC15" si="215">+FZ7-FZ14</f>
        <v>-930</v>
      </c>
      <c r="GA15" s="41">
        <f t="shared" si="215"/>
        <v>-930</v>
      </c>
      <c r="GB15" s="41">
        <f t="shared" si="215"/>
        <v>-930</v>
      </c>
      <c r="GC15" s="41">
        <f t="shared" si="215"/>
        <v>-930</v>
      </c>
      <c r="GD15" s="41">
        <f t="shared" ref="GD15:GF15" si="216">+GD7-GD14</f>
        <v>-930</v>
      </c>
      <c r="GE15" s="41">
        <f t="shared" si="216"/>
        <v>-930</v>
      </c>
      <c r="GF15" s="41">
        <f t="shared" si="216"/>
        <v>-930</v>
      </c>
      <c r="GG15" s="41">
        <f t="shared" ref="GG15:GL15" si="217">+GG7-GG14</f>
        <v>-870</v>
      </c>
      <c r="GH15" s="41">
        <f t="shared" si="217"/>
        <v>-870</v>
      </c>
      <c r="GI15" s="41">
        <f t="shared" si="217"/>
        <v>-870</v>
      </c>
      <c r="GJ15" s="41">
        <f t="shared" si="217"/>
        <v>-870</v>
      </c>
      <c r="GK15" s="41">
        <f t="shared" si="217"/>
        <v>-870</v>
      </c>
      <c r="GL15" s="41">
        <f t="shared" si="217"/>
        <v>-870</v>
      </c>
      <c r="GM15" s="41">
        <f t="shared" ref="GM15:GP15" si="218">+GM7-GM14</f>
        <v>-870</v>
      </c>
      <c r="GN15" s="41">
        <f t="shared" si="218"/>
        <v>-830</v>
      </c>
      <c r="GO15" s="41">
        <f t="shared" si="218"/>
        <v>-830</v>
      </c>
      <c r="GP15" s="41">
        <f t="shared" si="218"/>
        <v>-830</v>
      </c>
      <c r="GQ15" s="41">
        <f t="shared" ref="GQ15:GT15" si="219">+GQ7-GQ14</f>
        <v>-830</v>
      </c>
      <c r="GR15" s="41">
        <f t="shared" si="219"/>
        <v>-830</v>
      </c>
      <c r="GS15" s="41">
        <f t="shared" si="219"/>
        <v>-830</v>
      </c>
      <c r="GT15" s="41">
        <f t="shared" si="219"/>
        <v>-830</v>
      </c>
      <c r="GU15" s="41">
        <f t="shared" ref="GU15:GY15" si="220">+GU7-GU14</f>
        <v>0</v>
      </c>
      <c r="GV15" s="41">
        <f t="shared" si="220"/>
        <v>0</v>
      </c>
      <c r="GW15" s="41">
        <f t="shared" si="220"/>
        <v>0</v>
      </c>
      <c r="GX15" s="41">
        <f t="shared" si="220"/>
        <v>0</v>
      </c>
      <c r="GY15" s="41">
        <f t="shared" si="220"/>
        <v>0</v>
      </c>
    </row>
    <row r="16" spans="1:207">
      <c r="H16" s="1" t="s">
        <v>81</v>
      </c>
      <c r="I16" s="51">
        <f t="shared" ref="I16:O16" si="221">+I15/I14</f>
        <v>0.2285012285012285</v>
      </c>
      <c r="J16" s="51">
        <f t="shared" si="221"/>
        <v>0.14416475972540047</v>
      </c>
      <c r="K16" s="51">
        <f t="shared" si="221"/>
        <v>0.17041198501872659</v>
      </c>
      <c r="L16" s="51">
        <f t="shared" si="221"/>
        <v>0.19047619047619047</v>
      </c>
      <c r="M16" s="51">
        <f t="shared" si="221"/>
        <v>0.19904076738609114</v>
      </c>
      <c r="N16" s="51">
        <f t="shared" si="221"/>
        <v>0.28865979381443296</v>
      </c>
      <c r="O16" s="51">
        <f t="shared" si="221"/>
        <v>0.30208333333333331</v>
      </c>
      <c r="P16" s="51">
        <f t="shared" ref="P16:U16" si="222">+P15/P14</f>
        <v>0.24007936507936509</v>
      </c>
      <c r="Q16" s="51">
        <f t="shared" si="222"/>
        <v>0.21654501216545013</v>
      </c>
      <c r="R16" s="51">
        <f t="shared" si="222"/>
        <v>0.22549019607843138</v>
      </c>
      <c r="S16" s="51">
        <f t="shared" si="222"/>
        <v>0.30890052356020942</v>
      </c>
      <c r="T16" s="51">
        <f t="shared" si="222"/>
        <v>0.3888888888888889</v>
      </c>
      <c r="U16" s="51">
        <f t="shared" si="222"/>
        <v>0.31926121372031663</v>
      </c>
      <c r="V16" s="51">
        <f t="shared" ref="V16:W16" si="223">+V15/V14</f>
        <v>0.23762376237623761</v>
      </c>
      <c r="W16" s="51">
        <f t="shared" si="223"/>
        <v>0.25628140703517588</v>
      </c>
      <c r="X16" s="51">
        <f t="shared" ref="X16:Y16" si="224">+X15/X14</f>
        <v>0.28205128205128205</v>
      </c>
      <c r="Y16" s="51">
        <f t="shared" si="224"/>
        <v>0.30753138075313807</v>
      </c>
      <c r="Z16" s="51">
        <f t="shared" ref="Z16:AA16" si="225">+Z15/Z14</f>
        <v>0.27551020408163263</v>
      </c>
      <c r="AA16" s="51">
        <f t="shared" si="225"/>
        <v>0.28205128205128205</v>
      </c>
      <c r="AB16" s="51">
        <f t="shared" ref="AB16:AC16" si="226">+AB15/AB14</f>
        <v>0.32135306553911203</v>
      </c>
      <c r="AC16" s="51">
        <f t="shared" si="226"/>
        <v>0.34048257372654156</v>
      </c>
      <c r="AD16" s="51">
        <f t="shared" ref="AD16:AE16" si="227">+AD15/AD14</f>
        <v>0.34892086330935257</v>
      </c>
      <c r="AE16" s="51">
        <f t="shared" si="227"/>
        <v>0.32978723404255317</v>
      </c>
      <c r="AF16" s="51">
        <f t="shared" ref="AF16:AG16" si="228">+AF15/AF14</f>
        <v>0.32978723404255317</v>
      </c>
      <c r="AG16" s="51">
        <f t="shared" si="228"/>
        <v>0.32978723404255317</v>
      </c>
      <c r="AH16" s="51">
        <f t="shared" ref="AH16:AI16" si="229">+AH15/AH14</f>
        <v>0.32135306553911203</v>
      </c>
      <c r="AI16" s="51">
        <f t="shared" si="229"/>
        <v>0.11170212765957446</v>
      </c>
      <c r="AJ16" s="51">
        <f t="shared" ref="AJ16:AK16" si="230">+AJ15/AJ14</f>
        <v>0.15469613259668508</v>
      </c>
      <c r="AK16" s="51">
        <f t="shared" si="230"/>
        <v>9.0308370044052982E-2</v>
      </c>
      <c r="AL16" s="51">
        <f t="shared" ref="AL16:AM16" si="231">+AL15/AL14</f>
        <v>8.1967213114754217E-2</v>
      </c>
      <c r="AM16" s="51">
        <f t="shared" si="231"/>
        <v>-1</v>
      </c>
      <c r="AN16" s="51">
        <f t="shared" ref="AN16" si="232">+AN15/AN14</f>
        <v>-1</v>
      </c>
      <c r="AO16" s="51">
        <f t="shared" ref="AO16:AP16" si="233">+AO15/AO14</f>
        <v>-1</v>
      </c>
      <c r="AP16" s="51">
        <f t="shared" si="233"/>
        <v>-1</v>
      </c>
      <c r="AQ16" s="51">
        <f t="shared" ref="AQ16:AR16" si="234">+AQ15/AQ14</f>
        <v>-1</v>
      </c>
      <c r="AR16" s="51">
        <f t="shared" si="234"/>
        <v>-1</v>
      </c>
      <c r="AS16" s="51">
        <f t="shared" ref="AS16" si="235">+AS15/AS14</f>
        <v>-1</v>
      </c>
      <c r="AW16" s="1" t="s">
        <v>81</v>
      </c>
      <c r="AX16" s="51">
        <f t="shared" ref="AX16:BI16" si="236">+AX15/AX14</f>
        <v>0.25</v>
      </c>
      <c r="AY16" s="51">
        <f>+AY15/AY14</f>
        <v>0.32978723404255317</v>
      </c>
      <c r="AZ16" s="51">
        <f t="shared" si="236"/>
        <v>0.22549019607843138</v>
      </c>
      <c r="BA16" s="51">
        <f t="shared" si="236"/>
        <v>0.21359223300970873</v>
      </c>
      <c r="BB16" s="51">
        <f t="shared" si="236"/>
        <v>0.15740740740740741</v>
      </c>
      <c r="BC16" s="51">
        <f t="shared" si="236"/>
        <v>0.13636363636363635</v>
      </c>
      <c r="BD16" s="51">
        <f t="shared" si="236"/>
        <v>0.13636363636363635</v>
      </c>
      <c r="BE16" s="51">
        <f t="shared" si="236"/>
        <v>0.14678899082568808</v>
      </c>
      <c r="BF16" s="51">
        <f t="shared" si="236"/>
        <v>0.15740740740740741</v>
      </c>
      <c r="BG16" s="51">
        <f>+BG15/BG14</f>
        <v>0.15740740740740741</v>
      </c>
      <c r="BH16" s="51">
        <f t="shared" si="236"/>
        <v>0.16822429906542055</v>
      </c>
      <c r="BI16" s="51">
        <f t="shared" si="236"/>
        <v>0.16822429906542055</v>
      </c>
      <c r="BJ16" s="51">
        <f>+BJ15/BJ14</f>
        <v>0.16822429906542055</v>
      </c>
      <c r="BK16" s="51">
        <f>+BK15/BK14</f>
        <v>0.19047619047619047</v>
      </c>
      <c r="BL16" s="51">
        <f>+BL15/BL14</f>
        <v>0.19047619047619047</v>
      </c>
      <c r="BM16" s="51">
        <f t="shared" ref="BM16:BU16" si="237">+BM15/BM14</f>
        <v>0.19047619047619047</v>
      </c>
      <c r="BN16" s="51">
        <f t="shared" si="237"/>
        <v>0.19047619047619047</v>
      </c>
      <c r="BO16" s="51">
        <f t="shared" si="237"/>
        <v>0.19047619047619047</v>
      </c>
      <c r="BP16" s="51">
        <f t="shared" si="237"/>
        <v>0.19047619047619047</v>
      </c>
      <c r="BQ16" s="51">
        <f t="shared" si="237"/>
        <v>0.19047619047619047</v>
      </c>
      <c r="BR16" s="51">
        <f t="shared" si="237"/>
        <v>0.20192307692307693</v>
      </c>
      <c r="BS16" s="51">
        <f t="shared" si="237"/>
        <v>0.21359223300970873</v>
      </c>
      <c r="BT16" s="51">
        <f t="shared" si="237"/>
        <v>0.21359223300970873</v>
      </c>
      <c r="BU16" s="51">
        <f t="shared" si="237"/>
        <v>0.31578947368421051</v>
      </c>
      <c r="BV16" s="51">
        <f t="shared" ref="BV16:CA16" si="238">+BV15/BV14</f>
        <v>0.31578947368421051</v>
      </c>
      <c r="BW16" s="51">
        <f t="shared" si="238"/>
        <v>0.31578947368421051</v>
      </c>
      <c r="BX16" s="51">
        <f t="shared" si="238"/>
        <v>0.31578947368421051</v>
      </c>
      <c r="BY16" s="51">
        <f t="shared" si="238"/>
        <v>0.31578947368421051</v>
      </c>
      <c r="BZ16" s="51">
        <f t="shared" si="238"/>
        <v>0.28865979381443296</v>
      </c>
      <c r="CA16" s="51">
        <f t="shared" si="238"/>
        <v>0.28865979381443296</v>
      </c>
      <c r="CB16" s="51">
        <f t="shared" ref="CB16:CG16" si="239">+CB15/CB14</f>
        <v>0.25</v>
      </c>
      <c r="CC16" s="51">
        <f t="shared" si="239"/>
        <v>0.25</v>
      </c>
      <c r="CD16" s="51">
        <f t="shared" si="239"/>
        <v>0.25</v>
      </c>
      <c r="CE16" s="51">
        <f t="shared" si="239"/>
        <v>0.22549019607843138</v>
      </c>
      <c r="CF16" s="51">
        <f t="shared" si="239"/>
        <v>0.22549019607843138</v>
      </c>
      <c r="CG16" s="51">
        <f t="shared" si="239"/>
        <v>0.22549019607843138</v>
      </c>
      <c r="CH16" s="51">
        <f t="shared" ref="CH16:CM16" si="240">+CH15/CH14</f>
        <v>0.21359223300970873</v>
      </c>
      <c r="CI16" s="51">
        <f t="shared" si="240"/>
        <v>0.21359223300970873</v>
      </c>
      <c r="CJ16" s="51">
        <f t="shared" si="240"/>
        <v>0.21359223300970873</v>
      </c>
      <c r="CK16" s="51">
        <f t="shared" si="240"/>
        <v>0.21359223300970873</v>
      </c>
      <c r="CL16" s="51">
        <f t="shared" si="240"/>
        <v>0.21359223300970873</v>
      </c>
      <c r="CM16" s="51">
        <f t="shared" si="240"/>
        <v>0.22549019607843138</v>
      </c>
      <c r="CN16" s="51">
        <f t="shared" ref="CN16:CS16" si="241">+CN15/CN14</f>
        <v>0.25</v>
      </c>
      <c r="CO16" s="51">
        <f t="shared" si="241"/>
        <v>0.27551020408163263</v>
      </c>
      <c r="CP16" s="51">
        <f t="shared" si="241"/>
        <v>0.30208333333333331</v>
      </c>
      <c r="CQ16" s="51">
        <f t="shared" si="241"/>
        <v>0.32978723404255317</v>
      </c>
      <c r="CR16" s="51">
        <f t="shared" si="241"/>
        <v>0.32978723404255317</v>
      </c>
      <c r="CS16" s="51">
        <f t="shared" si="241"/>
        <v>0.3888888888888889</v>
      </c>
      <c r="CT16" s="51">
        <f t="shared" ref="CT16:CU16" si="242">+CT15/CT14</f>
        <v>0.3888888888888889</v>
      </c>
      <c r="CU16" s="51">
        <f t="shared" si="242"/>
        <v>0.3888888888888889</v>
      </c>
      <c r="CV16" s="51">
        <f t="shared" ref="CV16:CW16" si="243">+CV15/CV14</f>
        <v>0.3888888888888889</v>
      </c>
      <c r="CW16" s="51">
        <f t="shared" si="243"/>
        <v>0.3888888888888889</v>
      </c>
      <c r="CX16" s="51">
        <f t="shared" ref="CX16:CY16" si="244">+CX15/CX14</f>
        <v>0.3888888888888889</v>
      </c>
      <c r="CY16" s="51">
        <f t="shared" si="244"/>
        <v>0.34408602150537637</v>
      </c>
      <c r="CZ16" s="51">
        <f t="shared" ref="CZ16:DA16" si="245">+CZ15/CZ14</f>
        <v>0.34408602150537637</v>
      </c>
      <c r="DA16" s="51">
        <f t="shared" si="245"/>
        <v>0.21359223300970873</v>
      </c>
      <c r="DB16" s="51">
        <f t="shared" ref="DB16:DC16" si="246">+DB15/DB14</f>
        <v>0.21359223300970873</v>
      </c>
      <c r="DC16" s="51">
        <f t="shared" si="246"/>
        <v>0.25</v>
      </c>
      <c r="DD16" s="51">
        <f t="shared" ref="DD16:DE16" si="247">+DD15/DD14</f>
        <v>0.25</v>
      </c>
      <c r="DE16" s="51">
        <f t="shared" si="247"/>
        <v>0.25</v>
      </c>
      <c r="DF16" s="51">
        <f t="shared" ref="DF16:DG16" si="248">+DF15/DF14</f>
        <v>0.25</v>
      </c>
      <c r="DG16" s="51">
        <f t="shared" si="248"/>
        <v>0.25</v>
      </c>
      <c r="DH16" s="51">
        <f t="shared" ref="DH16:DI16" si="249">+DH15/DH14</f>
        <v>0.27551020408163263</v>
      </c>
      <c r="DI16" s="51">
        <f t="shared" si="249"/>
        <v>0.27551020408163263</v>
      </c>
      <c r="DJ16" s="51">
        <f t="shared" ref="DJ16:DL16" si="250">+DJ15/DJ14</f>
        <v>0.27551020408163263</v>
      </c>
      <c r="DK16" s="51">
        <f t="shared" si="250"/>
        <v>0.27551020408163263</v>
      </c>
      <c r="DL16" s="51">
        <f t="shared" si="250"/>
        <v>0.30208333333333331</v>
      </c>
      <c r="DM16" s="51">
        <f t="shared" ref="DM16:DN16" si="251">+DM15/DM14</f>
        <v>0.31578947368421051</v>
      </c>
      <c r="DN16" s="51">
        <f t="shared" si="251"/>
        <v>0.31578947368421051</v>
      </c>
      <c r="DO16" s="51">
        <f t="shared" ref="DO16:DP16" si="252">+DO15/DO14</f>
        <v>0.31578947368421051</v>
      </c>
      <c r="DP16" s="51">
        <f t="shared" si="252"/>
        <v>0.31578947368421051</v>
      </c>
      <c r="DQ16" s="51">
        <f t="shared" ref="DQ16:DR16" si="253">+DQ15/DQ14</f>
        <v>0.27551020408163263</v>
      </c>
      <c r="DR16" s="51">
        <f t="shared" si="253"/>
        <v>0.27551020408163263</v>
      </c>
      <c r="DS16" s="51">
        <f t="shared" ref="DS16:DT16" si="254">+DS15/DS14</f>
        <v>0.27551020408163263</v>
      </c>
      <c r="DT16" s="51">
        <f t="shared" si="254"/>
        <v>0.27551020408163263</v>
      </c>
      <c r="DU16" s="51">
        <f t="shared" ref="DU16:DV16" si="255">+DU15/DU14</f>
        <v>0.27551020408163263</v>
      </c>
      <c r="DV16" s="51">
        <f t="shared" si="255"/>
        <v>0.27551020408163263</v>
      </c>
      <c r="DW16" s="51">
        <f t="shared" ref="DW16:DX16" si="256">+DW15/DW14</f>
        <v>0.27551020408163263</v>
      </c>
      <c r="DX16" s="51">
        <f t="shared" si="256"/>
        <v>0.27551020408163263</v>
      </c>
      <c r="DY16" s="51">
        <f t="shared" ref="DY16:DZ16" si="257">+DY15/DY14</f>
        <v>0.30208333333333331</v>
      </c>
      <c r="DZ16" s="51">
        <f t="shared" si="257"/>
        <v>0.31578947368421051</v>
      </c>
      <c r="EA16" s="51">
        <f t="shared" ref="EA16:EB16" si="258">+EA15/EA14</f>
        <v>0.31578947368421051</v>
      </c>
      <c r="EB16" s="51">
        <f t="shared" si="258"/>
        <v>0.31578947368421051</v>
      </c>
      <c r="EC16" s="51">
        <f t="shared" ref="EC16:ED16" si="259">+EC15/EC14</f>
        <v>0.32978723404255317</v>
      </c>
      <c r="ED16" s="51">
        <f t="shared" si="259"/>
        <v>0.32978723404255317</v>
      </c>
      <c r="EE16" s="51">
        <f t="shared" ref="EE16:EF16" si="260">+EE15/EE14</f>
        <v>0.32978723404255317</v>
      </c>
      <c r="EF16" s="51">
        <f t="shared" si="260"/>
        <v>0.34408602150537637</v>
      </c>
      <c r="EG16" s="51">
        <f t="shared" ref="EG16:EH16" si="261">+EG15/EG14</f>
        <v>0.34408602150537637</v>
      </c>
      <c r="EH16" s="51">
        <f t="shared" si="261"/>
        <v>0.34408602150537637</v>
      </c>
      <c r="EI16" s="51">
        <f t="shared" ref="EI16:EJ16" si="262">+EI15/EI14</f>
        <v>0.35869565217391303</v>
      </c>
      <c r="EJ16" s="51">
        <f t="shared" si="262"/>
        <v>0.35869565217391303</v>
      </c>
      <c r="EK16" s="51">
        <f t="shared" ref="EK16:EL16" si="263">+EK15/EK14</f>
        <v>0.35869565217391303</v>
      </c>
      <c r="EL16" s="51">
        <f t="shared" si="263"/>
        <v>0.32978723404255317</v>
      </c>
      <c r="EM16" s="51">
        <f t="shared" ref="EM16:EQ16" si="264">+EM15/EM14</f>
        <v>0.32978723404255317</v>
      </c>
      <c r="EN16" s="51">
        <f t="shared" si="264"/>
        <v>0.32978723404255317</v>
      </c>
      <c r="EO16" s="51">
        <f t="shared" si="264"/>
        <v>0.32978723404255317</v>
      </c>
      <c r="EP16" s="51">
        <f t="shared" si="264"/>
        <v>0.32978723404255317</v>
      </c>
      <c r="EQ16" s="51">
        <f t="shared" si="264"/>
        <v>0.32978723404255317</v>
      </c>
      <c r="ER16" s="51">
        <f t="shared" ref="ER16:EU16" si="265">+ER15/ER14</f>
        <v>0.32978723404255317</v>
      </c>
      <c r="ES16" s="51">
        <f t="shared" si="265"/>
        <v>0.32978723404255317</v>
      </c>
      <c r="ET16" s="51">
        <f t="shared" si="265"/>
        <v>0.32978723404255317</v>
      </c>
      <c r="EU16" s="51">
        <f t="shared" si="265"/>
        <v>0.32978723404255317</v>
      </c>
      <c r="EV16" s="51">
        <f t="shared" ref="EV16:EW16" si="266">+EV15/EV14</f>
        <v>0.32978723404255317</v>
      </c>
      <c r="EW16" s="51">
        <f t="shared" si="266"/>
        <v>0.32978723404255317</v>
      </c>
      <c r="EX16" s="51">
        <f t="shared" ref="EX16:EY16" si="267">+EX15/EX14</f>
        <v>0.32978723404255317</v>
      </c>
      <c r="EY16" s="51">
        <f t="shared" si="267"/>
        <v>0.32978723404255317</v>
      </c>
      <c r="EZ16" s="51">
        <f t="shared" ref="EZ16:FA16" si="268">+EZ15/EZ14</f>
        <v>0.32978723404255317</v>
      </c>
      <c r="FA16" s="51">
        <f t="shared" si="268"/>
        <v>0.32978723404255317</v>
      </c>
      <c r="FB16" s="51">
        <f t="shared" ref="FB16:FC16" si="269">+FB15/FB14</f>
        <v>0.31578947368421051</v>
      </c>
      <c r="FC16" s="51">
        <f t="shared" si="269"/>
        <v>0.31578947368421051</v>
      </c>
      <c r="FD16" s="51">
        <f t="shared" ref="FD16:FG16" si="270">+FD15/FD14</f>
        <v>0.1</v>
      </c>
      <c r="FE16" s="51">
        <f t="shared" si="270"/>
        <v>0.1</v>
      </c>
      <c r="FF16" s="51">
        <f t="shared" si="270"/>
        <v>0.1</v>
      </c>
      <c r="FG16" s="51">
        <f t="shared" si="270"/>
        <v>0.14835164835164835</v>
      </c>
      <c r="FH16" s="51">
        <f t="shared" ref="FH16:FK16" si="271">+FH15/FH14</f>
        <v>0.14835164835164835</v>
      </c>
      <c r="FI16" s="51">
        <f t="shared" si="271"/>
        <v>0.16111111111111112</v>
      </c>
      <c r="FJ16" s="51">
        <f t="shared" si="271"/>
        <v>0.16111111111111112</v>
      </c>
      <c r="FK16" s="51">
        <f t="shared" si="271"/>
        <v>0.14835164835164835</v>
      </c>
      <c r="FL16" s="51">
        <f t="shared" ref="FL16:FP16" si="272">+FL15/FL14</f>
        <v>8.7912087912088044E-2</v>
      </c>
      <c r="FM16" s="51">
        <f t="shared" si="272"/>
        <v>8.7912087912088044E-2</v>
      </c>
      <c r="FN16" s="51">
        <f t="shared" si="272"/>
        <v>8.7912087912088044E-2</v>
      </c>
      <c r="FO16" s="51">
        <f t="shared" si="272"/>
        <v>8.7912087912088044E-2</v>
      </c>
      <c r="FP16" s="51">
        <f t="shared" si="272"/>
        <v>0.10000000000000013</v>
      </c>
      <c r="FQ16" s="51">
        <f t="shared" ref="FQ16:FT16" si="273">+FQ15/FQ14</f>
        <v>0.10000000000000013</v>
      </c>
      <c r="FR16" s="51">
        <f t="shared" si="273"/>
        <v>0.10000000000000013</v>
      </c>
      <c r="FS16" s="51">
        <f t="shared" si="273"/>
        <v>6.4516129032258188E-2</v>
      </c>
      <c r="FT16" s="51">
        <f t="shared" si="273"/>
        <v>6.4516129032258188E-2</v>
      </c>
      <c r="FU16" s="51">
        <f t="shared" ref="FU16:FY16" si="274">+FU15/FU14</f>
        <v>-1</v>
      </c>
      <c r="FV16" s="51">
        <f t="shared" si="274"/>
        <v>-1</v>
      </c>
      <c r="FW16" s="51">
        <f t="shared" si="274"/>
        <v>-1</v>
      </c>
      <c r="FX16" s="51">
        <f t="shared" si="274"/>
        <v>-1</v>
      </c>
      <c r="FY16" s="51">
        <f t="shared" si="274"/>
        <v>-1</v>
      </c>
      <c r="FZ16" s="51">
        <f t="shared" ref="FZ16:GC16" si="275">+FZ15/FZ14</f>
        <v>-1</v>
      </c>
      <c r="GA16" s="51">
        <f t="shared" si="275"/>
        <v>-1</v>
      </c>
      <c r="GB16" s="51">
        <f t="shared" si="275"/>
        <v>-1</v>
      </c>
      <c r="GC16" s="51">
        <f t="shared" si="275"/>
        <v>-1</v>
      </c>
      <c r="GD16" s="51">
        <f t="shared" ref="GD16:GF16" si="276">+GD15/GD14</f>
        <v>-1</v>
      </c>
      <c r="GE16" s="51">
        <f t="shared" si="276"/>
        <v>-1</v>
      </c>
      <c r="GF16" s="51">
        <f t="shared" si="276"/>
        <v>-1</v>
      </c>
      <c r="GG16" s="51">
        <f t="shared" ref="GG16:GL16" si="277">+GG15/GG14</f>
        <v>-1</v>
      </c>
      <c r="GH16" s="51">
        <f t="shared" si="277"/>
        <v>-1</v>
      </c>
      <c r="GI16" s="51">
        <f t="shared" si="277"/>
        <v>-1</v>
      </c>
      <c r="GJ16" s="51">
        <f t="shared" si="277"/>
        <v>-1</v>
      </c>
      <c r="GK16" s="51">
        <f t="shared" si="277"/>
        <v>-1</v>
      </c>
      <c r="GL16" s="51">
        <f t="shared" si="277"/>
        <v>-1</v>
      </c>
      <c r="GM16" s="51">
        <f t="shared" ref="GM16:GP16" si="278">+GM15/GM14</f>
        <v>-1</v>
      </c>
      <c r="GN16" s="51">
        <f t="shared" si="278"/>
        <v>-1</v>
      </c>
      <c r="GO16" s="51">
        <f t="shared" si="278"/>
        <v>-1</v>
      </c>
      <c r="GP16" s="51">
        <f t="shared" si="278"/>
        <v>-1</v>
      </c>
      <c r="GQ16" s="51">
        <f t="shared" ref="GQ16:GT16" si="279">+GQ15/GQ14</f>
        <v>-1</v>
      </c>
      <c r="GR16" s="51">
        <f t="shared" si="279"/>
        <v>-1</v>
      </c>
      <c r="GS16" s="51">
        <f t="shared" si="279"/>
        <v>-1</v>
      </c>
      <c r="GT16" s="51">
        <f t="shared" si="279"/>
        <v>-1</v>
      </c>
      <c r="GU16" s="51" t="e">
        <f t="shared" ref="GU16:GY16" si="280">+GU15/GU14</f>
        <v>#DIV/0!</v>
      </c>
      <c r="GV16" s="51" t="e">
        <f t="shared" si="280"/>
        <v>#DIV/0!</v>
      </c>
      <c r="GW16" s="51" t="e">
        <f t="shared" si="280"/>
        <v>#DIV/0!</v>
      </c>
      <c r="GX16" s="51" t="e">
        <f t="shared" si="280"/>
        <v>#DIV/0!</v>
      </c>
      <c r="GY16" s="51" t="e">
        <f t="shared" si="280"/>
        <v>#DIV/0!</v>
      </c>
    </row>
    <row r="17" spans="6:207">
      <c r="H17" s="1" t="s">
        <v>87</v>
      </c>
      <c r="I17" s="3">
        <v>700</v>
      </c>
      <c r="J17" s="3">
        <v>700</v>
      </c>
      <c r="K17" s="3">
        <v>700</v>
      </c>
      <c r="L17" s="3">
        <v>700</v>
      </c>
      <c r="M17" s="3">
        <v>700</v>
      </c>
      <c r="N17" s="3">
        <v>700</v>
      </c>
      <c r="O17" s="3">
        <v>700</v>
      </c>
      <c r="P17" s="3">
        <v>700</v>
      </c>
      <c r="Q17" s="3">
        <v>700</v>
      </c>
      <c r="R17" s="3">
        <v>700</v>
      </c>
      <c r="S17" s="3">
        <v>700</v>
      </c>
      <c r="T17" s="3">
        <v>700</v>
      </c>
      <c r="U17" s="3">
        <v>700</v>
      </c>
      <c r="V17" s="3">
        <v>700</v>
      </c>
      <c r="W17" s="3">
        <v>700</v>
      </c>
      <c r="X17" s="3">
        <v>700</v>
      </c>
      <c r="Y17" s="3">
        <v>700</v>
      </c>
      <c r="Z17" s="3">
        <v>700</v>
      </c>
      <c r="AA17" s="3">
        <v>867</v>
      </c>
      <c r="AB17" s="3">
        <v>896</v>
      </c>
      <c r="AC17" s="3">
        <v>917</v>
      </c>
      <c r="AD17" s="3">
        <v>929.83940375991074</v>
      </c>
      <c r="AE17" s="3">
        <v>937.6525486806504</v>
      </c>
      <c r="AF17" s="3">
        <v>903.25545215030104</v>
      </c>
      <c r="AG17" s="3">
        <v>892.9656675146</v>
      </c>
      <c r="AH17" s="3">
        <v>888.18378633668294</v>
      </c>
      <c r="AI17" s="3">
        <v>888.72553118965845</v>
      </c>
      <c r="AJ17" s="3">
        <v>907.07292397839512</v>
      </c>
      <c r="AK17" s="3">
        <v>882.40131799312564</v>
      </c>
      <c r="AL17" s="3">
        <v>879.34169259731004</v>
      </c>
      <c r="AM17" s="3">
        <v>869.51494640636486</v>
      </c>
      <c r="AN17" s="3">
        <v>858.88795414284152</v>
      </c>
      <c r="AO17" s="3">
        <v>871.88030785226169</v>
      </c>
      <c r="AP17" s="3">
        <v>720.35177011385679</v>
      </c>
      <c r="AQ17" s="3">
        <v>720.52419756540337</v>
      </c>
      <c r="AR17" s="3">
        <v>733.774414718137</v>
      </c>
      <c r="AS17" s="3">
        <v>747.86078922841239</v>
      </c>
      <c r="AW17" s="1" t="s">
        <v>87</v>
      </c>
      <c r="AX17" s="41">
        <v>1110</v>
      </c>
      <c r="AY17" s="3">
        <v>700</v>
      </c>
      <c r="AZ17" s="3">
        <v>700</v>
      </c>
      <c r="BA17" s="3">
        <v>700</v>
      </c>
      <c r="BB17" s="3">
        <v>700</v>
      </c>
      <c r="BC17" s="3">
        <v>700</v>
      </c>
      <c r="BD17" s="3">
        <v>700</v>
      </c>
      <c r="BE17" s="3">
        <v>700</v>
      </c>
      <c r="BF17" s="3">
        <v>700</v>
      </c>
      <c r="BG17" s="3">
        <v>700</v>
      </c>
      <c r="BH17" s="3">
        <v>700</v>
      </c>
      <c r="BI17" s="3">
        <v>700</v>
      </c>
      <c r="BJ17" s="3">
        <v>700</v>
      </c>
      <c r="BK17" s="3">
        <v>700</v>
      </c>
      <c r="BL17" s="3">
        <v>700</v>
      </c>
      <c r="BM17" s="3">
        <v>700</v>
      </c>
      <c r="BN17" s="3">
        <v>700</v>
      </c>
      <c r="BO17" s="3">
        <v>700</v>
      </c>
      <c r="BP17" s="3">
        <v>700</v>
      </c>
      <c r="BQ17" s="3">
        <v>700</v>
      </c>
      <c r="BR17" s="3">
        <v>700</v>
      </c>
      <c r="BS17" s="3">
        <v>700</v>
      </c>
      <c r="BT17" s="3">
        <v>700</v>
      </c>
      <c r="BU17" s="3">
        <v>700</v>
      </c>
      <c r="BV17" s="3">
        <v>700</v>
      </c>
      <c r="BW17" s="3">
        <v>700</v>
      </c>
      <c r="BX17" s="3">
        <v>700</v>
      </c>
      <c r="BY17" s="3">
        <v>700</v>
      </c>
      <c r="BZ17" s="3">
        <v>700</v>
      </c>
      <c r="CA17" s="3">
        <v>700</v>
      </c>
      <c r="CB17" s="3">
        <v>700</v>
      </c>
      <c r="CC17" s="3">
        <v>700</v>
      </c>
      <c r="CD17" s="3">
        <v>700</v>
      </c>
      <c r="CE17" s="3">
        <v>700</v>
      </c>
      <c r="CF17" s="3">
        <v>700</v>
      </c>
      <c r="CG17" s="3">
        <v>700</v>
      </c>
      <c r="CH17" s="3">
        <v>700</v>
      </c>
      <c r="CI17" s="3">
        <v>700</v>
      </c>
      <c r="CJ17" s="3">
        <v>700</v>
      </c>
      <c r="CK17" s="3">
        <v>700</v>
      </c>
      <c r="CL17" s="3">
        <v>700</v>
      </c>
      <c r="CM17" s="3">
        <v>700</v>
      </c>
      <c r="CN17" s="3">
        <v>700</v>
      </c>
      <c r="CO17" s="3">
        <v>700</v>
      </c>
      <c r="CP17" s="3">
        <v>700</v>
      </c>
      <c r="CQ17" s="3">
        <v>700</v>
      </c>
      <c r="CR17" s="3">
        <v>700</v>
      </c>
      <c r="CS17" s="3">
        <v>700</v>
      </c>
      <c r="CT17" s="3">
        <v>700</v>
      </c>
      <c r="CU17" s="3">
        <v>700</v>
      </c>
      <c r="CV17" s="3">
        <v>700</v>
      </c>
      <c r="CW17" s="3">
        <v>700</v>
      </c>
      <c r="CX17" s="3">
        <v>700</v>
      </c>
      <c r="CY17" s="3">
        <v>700</v>
      </c>
      <c r="CZ17" s="3">
        <v>700</v>
      </c>
      <c r="DA17" s="3">
        <v>700</v>
      </c>
      <c r="DB17" s="3">
        <v>700</v>
      </c>
      <c r="DC17" s="3">
        <v>700</v>
      </c>
      <c r="DD17" s="3">
        <v>700</v>
      </c>
      <c r="DE17" s="3">
        <v>700</v>
      </c>
      <c r="DF17" s="3">
        <v>700</v>
      </c>
      <c r="DG17" s="3">
        <v>700</v>
      </c>
      <c r="DH17" s="3">
        <v>700</v>
      </c>
      <c r="DI17" s="3">
        <v>700</v>
      </c>
      <c r="DJ17" s="3">
        <v>700</v>
      </c>
      <c r="DK17" s="3">
        <v>700</v>
      </c>
      <c r="DL17" s="3">
        <v>700</v>
      </c>
      <c r="DM17" s="3">
        <v>700</v>
      </c>
      <c r="DN17" s="3">
        <v>700</v>
      </c>
      <c r="DO17" s="3">
        <v>700</v>
      </c>
      <c r="DP17" s="3">
        <v>700</v>
      </c>
      <c r="DQ17" s="3">
        <v>700</v>
      </c>
      <c r="DR17" s="3">
        <v>700</v>
      </c>
      <c r="DS17" s="3">
        <v>700</v>
      </c>
      <c r="DT17" s="3">
        <v>700</v>
      </c>
      <c r="DU17" s="3">
        <v>700</v>
      </c>
      <c r="DV17" s="1">
        <v>867</v>
      </c>
      <c r="DW17" s="1">
        <v>867</v>
      </c>
      <c r="DX17" s="1">
        <v>867</v>
      </c>
      <c r="DY17" s="1">
        <v>867</v>
      </c>
      <c r="DZ17" s="1">
        <v>896</v>
      </c>
      <c r="EA17" s="1">
        <v>896</v>
      </c>
      <c r="EB17" s="1">
        <v>896</v>
      </c>
      <c r="EC17" s="1">
        <v>896</v>
      </c>
      <c r="ED17" s="1">
        <v>896</v>
      </c>
      <c r="EE17" s="1">
        <v>917</v>
      </c>
      <c r="EF17" s="1">
        <v>917</v>
      </c>
      <c r="EG17" s="1">
        <v>917</v>
      </c>
      <c r="EH17" s="1">
        <v>917</v>
      </c>
      <c r="EI17" s="173">
        <v>929.83940375991074</v>
      </c>
      <c r="EJ17" s="173">
        <v>929.83940375991074</v>
      </c>
      <c r="EK17" s="173">
        <v>929.83940375991074</v>
      </c>
      <c r="EL17" s="173">
        <v>929.83940375991074</v>
      </c>
      <c r="EM17" s="173">
        <v>937.6525486806504</v>
      </c>
      <c r="EN17" s="173">
        <v>937.6525486806504</v>
      </c>
      <c r="EO17" s="173">
        <v>937.6525486806504</v>
      </c>
      <c r="EP17" s="173">
        <v>937.6525486806504</v>
      </c>
      <c r="EQ17" s="173">
        <v>937.6525486806504</v>
      </c>
      <c r="ER17" s="173">
        <v>903.25545215030104</v>
      </c>
      <c r="ES17" s="173">
        <v>903.25545215030104</v>
      </c>
      <c r="ET17" s="173">
        <v>903.25545215030104</v>
      </c>
      <c r="EU17" s="173">
        <v>903.25545215030104</v>
      </c>
      <c r="EV17" s="173">
        <v>892.9656675146</v>
      </c>
      <c r="EW17" s="173">
        <v>892.9656675146</v>
      </c>
      <c r="EX17" s="173">
        <v>892.9656675146</v>
      </c>
      <c r="EY17" s="173">
        <v>892.9656675146</v>
      </c>
      <c r="EZ17" s="173">
        <v>888.18378633668294</v>
      </c>
      <c r="FA17" s="173">
        <v>888.18378633668294</v>
      </c>
      <c r="FB17" s="173">
        <v>888.18378633668294</v>
      </c>
      <c r="FC17" s="173">
        <v>888.18378633668294</v>
      </c>
      <c r="FD17" s="173">
        <v>888.72553118965845</v>
      </c>
      <c r="FE17" s="173">
        <v>888.72553118965845</v>
      </c>
      <c r="FF17" s="173">
        <v>888.72553118965845</v>
      </c>
      <c r="FG17" s="173">
        <v>888.72553118965845</v>
      </c>
      <c r="FH17" s="173">
        <v>907.07292397839512</v>
      </c>
      <c r="FI17" s="173">
        <v>907.07292397839512</v>
      </c>
      <c r="FJ17" s="173">
        <v>907.07292397839512</v>
      </c>
      <c r="FK17" s="173">
        <v>907.07292397839512</v>
      </c>
      <c r="FL17" s="173">
        <v>882.40131799312564</v>
      </c>
      <c r="FM17" s="173">
        <v>882.40131799312564</v>
      </c>
      <c r="FN17" s="173">
        <v>882.40131799312564</v>
      </c>
      <c r="FO17" s="173">
        <v>882.40131799312564</v>
      </c>
      <c r="FP17" s="173">
        <v>882.40131799312564</v>
      </c>
      <c r="FQ17" s="173">
        <v>879.34169259731004</v>
      </c>
      <c r="FR17" s="173">
        <v>879.34169259731004</v>
      </c>
      <c r="FS17" s="173">
        <v>879.34169259731004</v>
      </c>
      <c r="FT17" s="173">
        <v>879.34169259731004</v>
      </c>
      <c r="FU17" s="3">
        <v>869.51494640636486</v>
      </c>
      <c r="FV17" s="3">
        <v>869.51494640636486</v>
      </c>
      <c r="FW17" s="3">
        <v>869.51494640636486</v>
      </c>
      <c r="FX17" s="3">
        <v>869.51494640636486</v>
      </c>
      <c r="FY17" s="3">
        <v>869.51494640636486</v>
      </c>
      <c r="FZ17" s="3">
        <v>858.88795414284152</v>
      </c>
      <c r="GA17" s="3">
        <v>858.88795414284152</v>
      </c>
      <c r="GB17" s="3">
        <v>858.88795414284152</v>
      </c>
      <c r="GC17" s="3">
        <v>858.88795414284152</v>
      </c>
      <c r="GD17" s="3">
        <v>871.88030785226169</v>
      </c>
      <c r="GE17" s="3">
        <v>871.88030785226169</v>
      </c>
      <c r="GF17" s="3">
        <v>871.88030785226169</v>
      </c>
      <c r="GG17" s="3">
        <v>871.88030785226169</v>
      </c>
      <c r="GH17" s="3">
        <v>720.35177011385679</v>
      </c>
      <c r="GI17" s="3">
        <v>720.35177011385679</v>
      </c>
      <c r="GJ17" s="3">
        <v>720.35177011385679</v>
      </c>
      <c r="GK17" s="3">
        <v>720.35177011385679</v>
      </c>
      <c r="GL17" s="3">
        <v>720.35177011385679</v>
      </c>
      <c r="GM17" s="3">
        <v>720.52419756540337</v>
      </c>
      <c r="GN17" s="3">
        <v>720.52419756540337</v>
      </c>
      <c r="GO17" s="3">
        <v>720.52419756540337</v>
      </c>
      <c r="GP17" s="3">
        <v>720.52419756540337</v>
      </c>
      <c r="GQ17" s="3">
        <v>733.774414718137</v>
      </c>
      <c r="GR17" s="3">
        <v>733.774414718137</v>
      </c>
      <c r="GS17" s="3">
        <v>733.774414718137</v>
      </c>
      <c r="GT17" s="3">
        <v>733.774414718137</v>
      </c>
      <c r="GU17" s="3">
        <v>747.86078922841239</v>
      </c>
      <c r="GV17" s="3">
        <v>747.86078922841239</v>
      </c>
      <c r="GW17" s="3">
        <v>747.86078922841239</v>
      </c>
      <c r="GX17" s="3">
        <v>747.86078922841239</v>
      </c>
      <c r="GY17" s="3">
        <v>747.86078922841239</v>
      </c>
    </row>
    <row r="18" spans="6:207">
      <c r="H18" s="1" t="s">
        <v>106</v>
      </c>
      <c r="O18" s="1">
        <f>CA18</f>
        <v>0</v>
      </c>
      <c r="P18" s="1">
        <f>CB18</f>
        <v>0</v>
      </c>
      <c r="AW18" s="1" t="s">
        <v>106</v>
      </c>
    </row>
    <row r="19" spans="6:207" ht="15.5">
      <c r="F19" s="162"/>
      <c r="H19" s="163" t="s">
        <v>115</v>
      </c>
      <c r="AW19" s="163" t="s">
        <v>115</v>
      </c>
      <c r="CQ19" s="1">
        <v>810</v>
      </c>
      <c r="CR19" s="1">
        <v>810</v>
      </c>
      <c r="CS19" s="1">
        <v>810</v>
      </c>
      <c r="CT19" s="1">
        <v>810</v>
      </c>
      <c r="CU19" s="1">
        <v>810</v>
      </c>
      <c r="CV19" s="1">
        <v>810</v>
      </c>
      <c r="CW19" s="1">
        <v>810</v>
      </c>
      <c r="CX19" s="1">
        <f>'Ma trận giá bán vảy HDPE ÉP'!AL6</f>
        <v>810</v>
      </c>
      <c r="CY19" s="1">
        <f>'Ma trận giá bán vảy HDPE ÉP'!AM6</f>
        <v>810</v>
      </c>
      <c r="CZ19" s="1">
        <f>'Ma trận giá bán vảy HDPE ÉP'!AN6</f>
        <v>810</v>
      </c>
      <c r="DA19" s="1">
        <f>'Ma trận giá bán vảy HDPE ÉP'!AO6</f>
        <v>810</v>
      </c>
      <c r="DB19" s="1">
        <f>'Ma trận giá bán vảy HDPE ÉP'!AP6</f>
        <v>880</v>
      </c>
      <c r="DC19" s="1">
        <f>'Ma trận giá bán vảy HDPE ÉP'!AQ6</f>
        <v>880</v>
      </c>
      <c r="DD19" s="1">
        <f>'Ma trận giá bán vảy HDPE ÉP'!AR6</f>
        <v>880</v>
      </c>
      <c r="DE19" s="1">
        <f>'Ma trận giá bán vảy HDPE ÉP'!AS6</f>
        <v>900</v>
      </c>
      <c r="DF19" s="1">
        <f>'Ma trận giá bán vảy HDPE ÉP'!AT6</f>
        <v>900</v>
      </c>
      <c r="DG19" s="1">
        <f>'Ma trận giá bán vảy HDPE ÉP'!AU6</f>
        <v>900</v>
      </c>
      <c r="DH19" s="1">
        <f>'Ma trận giá bán vảy HDPE ÉP'!AV6</f>
        <v>900</v>
      </c>
      <c r="DI19" s="1">
        <f>'Ma trận giá bán vảy HDPE ÉP'!AW6</f>
        <v>900</v>
      </c>
      <c r="DJ19" s="1">
        <f>'Ma trận giá bán vảy HDPE ÉP'!AX6</f>
        <v>900</v>
      </c>
      <c r="DK19" s="1">
        <f>'Ma trận giá bán vảy HDPE ÉP'!AY6</f>
        <v>900</v>
      </c>
      <c r="DL19" s="1">
        <f>'Ma trận giá bán vảy HDPE ÉP'!AZ6</f>
        <v>900</v>
      </c>
      <c r="DM19" s="1">
        <f>'Ma trận giá bán vảy HDPE ÉP'!BA6</f>
        <v>870</v>
      </c>
      <c r="DN19" s="1">
        <f>'Ma trận giá bán vảy HDPE ÉP'!BB6</f>
        <v>870</v>
      </c>
      <c r="DO19" s="1">
        <f>'Ma trận giá bán vảy HDPE ÉP'!BC6</f>
        <v>870</v>
      </c>
      <c r="DP19" s="1">
        <f>'Ma trận giá bán vảy HDPE ÉP'!BD6</f>
        <v>870</v>
      </c>
      <c r="DQ19" s="1">
        <f>'Ma trận giá bán vảy HDPE ÉP'!BE6</f>
        <v>870</v>
      </c>
      <c r="DR19" s="1">
        <f>'Ma trận giá bán vảy HDPE ÉP'!BF6</f>
        <v>870</v>
      </c>
      <c r="DS19" s="1">
        <f>'Ma trận giá bán vảy HDPE ÉP'!BG6</f>
        <v>870</v>
      </c>
      <c r="DT19" s="1">
        <f>'Ma trận giá bán vảy HDPE ÉP'!BH6</f>
        <v>870</v>
      </c>
      <c r="DU19" s="1">
        <f>'Ma trận giá bán vảy HDPE ÉP'!BI6</f>
        <v>870</v>
      </c>
      <c r="DV19" s="1">
        <f>'Ma trận giá bán vảy HDPE ÉP'!BJ6</f>
        <v>870</v>
      </c>
      <c r="DW19" s="1">
        <f>'Ma trận giá bán vảy HDPE ÉP'!BK6</f>
        <v>870</v>
      </c>
      <c r="DX19" s="1">
        <f>'Ma trận giá bán vảy HDPE ÉP'!BL6</f>
        <v>870</v>
      </c>
      <c r="DY19" s="1">
        <f>'Ma trận giá bán vảy HDPE ÉP'!BM6</f>
        <v>870</v>
      </c>
      <c r="DZ19" s="1">
        <f>'Ma trận giá bán vảy HDPE ÉP'!BN6</f>
        <v>870</v>
      </c>
      <c r="EA19" s="1">
        <f>'Ma trận giá bán vảy HDPE ÉP'!BO6</f>
        <v>870</v>
      </c>
      <c r="EB19" s="1">
        <f>'Ma trận giá bán vảy HDPE ÉP'!BP6</f>
        <v>870</v>
      </c>
      <c r="EC19" s="1">
        <f>'Ma trận giá bán vảy HDPE ÉP'!BQ6</f>
        <v>870</v>
      </c>
      <c r="ED19" s="1">
        <f>'Ma trận giá bán vảy HDPE ÉP'!BR6</f>
        <v>870</v>
      </c>
      <c r="EE19" s="1">
        <f>'Ma trận giá bán vảy HDPE ÉP'!BS6</f>
        <v>850</v>
      </c>
      <c r="EF19" s="1">
        <f>'Ma trận giá bán vảy HDPE ÉP'!BT6</f>
        <v>850</v>
      </c>
      <c r="EG19" s="1">
        <f>'Ma trận giá bán vảy HDPE ÉP'!BU6</f>
        <v>850</v>
      </c>
      <c r="EH19" s="1">
        <f>'Ma trận giá bán vảy HDPE ÉP'!BV6</f>
        <v>850</v>
      </c>
      <c r="EI19" s="1">
        <f>'Ma trận giá bán vảy HDPE ÉP'!BW6</f>
        <v>840</v>
      </c>
      <c r="EJ19" s="1">
        <f>'Ma trận giá bán vảy HDPE ÉP'!BX6</f>
        <v>840</v>
      </c>
      <c r="EK19" s="1">
        <f>'Ma trận giá bán vảy HDPE ÉP'!BY6</f>
        <v>840</v>
      </c>
      <c r="EL19" s="1">
        <f>'Ma trận giá bán vảy HDPE ÉP'!BZ6</f>
        <v>840</v>
      </c>
      <c r="EM19" s="1">
        <f>'Ma trận giá bán vảy HDPE ÉP'!CA6</f>
        <v>825</v>
      </c>
      <c r="EN19" s="1">
        <f>'Ma trận giá bán vảy HDPE ÉP'!CB6</f>
        <v>825</v>
      </c>
      <c r="EO19" s="1">
        <f>'Ma trận giá bán vảy HDPE ÉP'!CC6</f>
        <v>825</v>
      </c>
      <c r="EP19" s="1">
        <f>'Ma trận giá bán vảy HDPE ÉP'!CD6</f>
        <v>825</v>
      </c>
      <c r="EQ19" s="1">
        <f>'Ma trận giá bán vảy HDPE ÉP'!CE6</f>
        <v>825</v>
      </c>
      <c r="ER19" s="1">
        <f>'Ma trận giá bán vảy HDPE ÉP'!CF6</f>
        <v>825</v>
      </c>
      <c r="ES19" s="1">
        <f>'Ma trận giá bán vảy HDPE ÉP'!CG6</f>
        <v>825</v>
      </c>
      <c r="ET19" s="1">
        <f>'Ma trận giá bán vảy HDPE ÉP'!CH6</f>
        <v>825</v>
      </c>
      <c r="EU19" s="1">
        <f>'Ma trận giá bán vảy HDPE ÉP'!CI6</f>
        <v>825</v>
      </c>
      <c r="EV19" s="1">
        <f>'Ma trận giá bán vảy HDPE ÉP'!CJ6</f>
        <v>825</v>
      </c>
      <c r="EW19" s="1">
        <f>'Ma trận giá bán vảy HDPE ÉP'!CK6</f>
        <v>825</v>
      </c>
      <c r="EX19" s="1">
        <f>'Ma trận giá bán vảy HDPE ÉP'!CL6</f>
        <v>825</v>
      </c>
      <c r="EY19" s="1">
        <f>'Ma trận giá bán vảy HDPE ÉP'!CM6</f>
        <v>825</v>
      </c>
      <c r="EZ19" s="1">
        <f>'Ma trận giá bán vảy HDPE ÉP'!CN6</f>
        <v>750</v>
      </c>
      <c r="FA19" s="1">
        <f>'Ma trận giá bán vảy HDPE ÉP'!CO6</f>
        <v>750</v>
      </c>
      <c r="FB19" s="1">
        <f>'Ma trận giá bán vảy HDPE ÉP'!CP6</f>
        <v>750</v>
      </c>
      <c r="FC19" s="1">
        <f>'Ma trận giá bán vảy HDPE ÉP'!CQ6</f>
        <v>750</v>
      </c>
      <c r="FD19" s="1">
        <f>'Ma trận giá bán vảy HDPE ÉP'!CR6</f>
        <v>750</v>
      </c>
      <c r="FE19" s="1">
        <f>'Ma trận giá bán vảy HDPE ÉP'!CS6</f>
        <v>750</v>
      </c>
      <c r="FF19" s="1">
        <f>'Ma trận giá bán vảy HDPE ÉP'!CT6</f>
        <v>750</v>
      </c>
      <c r="FG19" s="1">
        <f>'Ma trận giá bán vảy HDPE ÉP'!CU6</f>
        <v>750</v>
      </c>
      <c r="FH19" s="1">
        <f>'Ma trận giá bán vảy HDPE ÉP'!CV6</f>
        <v>750</v>
      </c>
      <c r="FI19" s="1">
        <f>'Ma trận giá bán vảy HDPE ÉP'!CW6</f>
        <v>750</v>
      </c>
      <c r="FJ19" s="1">
        <f>'Ma trận giá bán vảy HDPE ÉP'!CX6</f>
        <v>750</v>
      </c>
      <c r="FK19" s="1">
        <f>'Ma trận giá bán vảy HDPE ÉP'!CY6</f>
        <v>750</v>
      </c>
      <c r="FL19" s="1">
        <f>'Ma trận giá bán vảy HDPE ÉP'!CZ6</f>
        <v>720</v>
      </c>
      <c r="FM19" s="1">
        <f>'Ma trận giá bán vảy HDPE ÉP'!DA6</f>
        <v>720</v>
      </c>
      <c r="FN19" s="1">
        <f>'Ma trận giá bán vảy HDPE ÉP'!DB6</f>
        <v>720</v>
      </c>
      <c r="FO19" s="1">
        <f>'Ma trận giá bán vảy HDPE ÉP'!DC6</f>
        <v>720</v>
      </c>
      <c r="FP19" s="1">
        <f>'Ma trận giá bán vảy HDPE ÉP'!DD6</f>
        <v>720</v>
      </c>
      <c r="FQ19" s="1">
        <f>'Ma trận giá bán vảy HDPE ÉP'!DE6</f>
        <v>720</v>
      </c>
      <c r="FR19" s="1">
        <f>'Ma trận giá bán vảy HDPE ÉP'!DF6</f>
        <v>720</v>
      </c>
      <c r="FS19" s="1">
        <f>'Ma trận giá bán vảy HDPE ÉP'!DG6</f>
        <v>720</v>
      </c>
      <c r="FT19" s="1">
        <f>'Ma trận giá bán vảy HDPE ÉP'!DH6</f>
        <v>720</v>
      </c>
      <c r="FU19" s="1">
        <f>'Ma trận giá bán vảy HDPE ÉP'!DI6</f>
        <v>720</v>
      </c>
      <c r="FV19" s="1">
        <f>'Ma trận giá bán vảy HDPE ÉP'!DJ6</f>
        <v>720</v>
      </c>
      <c r="FW19" s="1">
        <f>'Ma trận giá bán vảy HDPE ÉP'!DK6</f>
        <v>720</v>
      </c>
      <c r="FX19" s="1">
        <f>'Ma trận giá bán vảy HDPE ÉP'!DL6</f>
        <v>720</v>
      </c>
      <c r="FY19" s="1">
        <f>'Ma trận giá bán vảy HDPE ÉP'!DM6</f>
        <v>720</v>
      </c>
      <c r="FZ19" s="1">
        <f>'Ma trận giá bán vảy HDPE ÉP'!DN6</f>
        <v>700</v>
      </c>
      <c r="GA19" s="1">
        <f>'Ma trận giá bán vảy HDPE ÉP'!DO6</f>
        <v>700</v>
      </c>
      <c r="GB19" s="1">
        <f>'Ma trận giá bán vảy HDPE ÉP'!DP6</f>
        <v>700</v>
      </c>
      <c r="GC19" s="1">
        <f>'Ma trận giá bán vảy HDPE ÉP'!DQ6</f>
        <v>700</v>
      </c>
      <c r="GD19" s="1">
        <f>'Ma trận giá bán vảy HDPE ÉP'!DR6</f>
        <v>700</v>
      </c>
      <c r="GE19" s="1">
        <f>'Ma trận giá bán vảy HDPE ÉP'!DS6</f>
        <v>700</v>
      </c>
      <c r="GF19" s="1">
        <f>'Ma trận giá bán vảy HDPE ÉP'!DT6</f>
        <v>700</v>
      </c>
      <c r="GG19" s="1">
        <f>'Ma trận giá bán vảy HDPE ÉP'!DU6</f>
        <v>700</v>
      </c>
      <c r="GH19" s="1">
        <f>'Ma trận giá bán vảy HDPE ÉP'!DV6</f>
        <v>700</v>
      </c>
      <c r="GI19" s="1">
        <f>'Ma trận giá bán vảy HDPE ÉP'!DW6</f>
        <v>700</v>
      </c>
      <c r="GJ19" s="1">
        <f>'Ma trận giá bán vảy HDPE ÉP'!DX6</f>
        <v>700</v>
      </c>
      <c r="GK19" s="1">
        <f>'Ma trận giá bán vảy HDPE ÉP'!DY6</f>
        <v>700</v>
      </c>
      <c r="GL19" s="1">
        <f>'Ma trận giá bán vảy HDPE ÉP'!DZ6</f>
        <v>700</v>
      </c>
      <c r="GM19" s="1">
        <f>'Ma trận giá bán vảy HDPE ÉP'!EA6</f>
        <v>690</v>
      </c>
      <c r="GN19" s="1">
        <f>'Ma trận giá bán vảy HDPE ÉP'!EB6</f>
        <v>690</v>
      </c>
      <c r="GO19" s="1">
        <f>'Ma trận giá bán vảy HDPE ÉP'!EC6</f>
        <v>690</v>
      </c>
      <c r="GP19" s="1">
        <f>'Ma trận giá bán vảy HDPE ÉP'!ED6</f>
        <v>690</v>
      </c>
      <c r="GQ19" s="1">
        <f>'Ma trận giá bán vảy HDPE ÉP'!EE6</f>
        <v>665</v>
      </c>
      <c r="GR19" s="1">
        <f>'Ma trận giá bán vảy HDPE ÉP'!EF6</f>
        <v>665</v>
      </c>
      <c r="GS19" s="1">
        <f>'Ma trận giá bán vảy HDPE ÉP'!EG6</f>
        <v>665</v>
      </c>
      <c r="GT19" s="1">
        <f>'Ma trận giá bán vảy HDPE ÉP'!EH6</f>
        <v>665</v>
      </c>
      <c r="GU19" s="1">
        <f>'Ma trận giá bán vảy HDPE ÉP'!EI6</f>
        <v>665</v>
      </c>
      <c r="GV19" s="1">
        <f>'Ma trận giá bán vảy HDPE ÉP'!EJ6</f>
        <v>665</v>
      </c>
      <c r="GW19" s="1">
        <f>'Ma trận giá bán vảy HDPE ÉP'!EK6</f>
        <v>665</v>
      </c>
      <c r="GX19" s="1">
        <f>'Ma trận giá bán vảy HDPE ÉP'!EL6</f>
        <v>665</v>
      </c>
      <c r="GY19" s="1">
        <f>'Ma trận giá bán vảy HDPE ÉP'!EM6</f>
        <v>665</v>
      </c>
    </row>
    <row r="22" spans="6:207">
      <c r="DA22" s="51">
        <f t="shared" ref="DA22:DD22" si="281">DA8/DA13-1</f>
        <v>-7.7669902912621325E-2</v>
      </c>
      <c r="DB22" s="51">
        <f t="shared" si="281"/>
        <v>-7.7669902912621325E-2</v>
      </c>
      <c r="DC22" s="51">
        <f t="shared" si="281"/>
        <v>-5.0000000000000044E-2</v>
      </c>
      <c r="DD22" s="51">
        <f t="shared" si="281"/>
        <v>-5.0000000000000044E-2</v>
      </c>
      <c r="DE22" s="51"/>
      <c r="DF22" s="51"/>
      <c r="DG22" s="51"/>
      <c r="DH22" s="51"/>
    </row>
    <row r="31" spans="6:207">
      <c r="F31" s="32"/>
      <c r="G31" s="32"/>
      <c r="H31" s="32"/>
    </row>
    <row r="32" spans="6:207">
      <c r="F32" s="32"/>
      <c r="G32" s="32"/>
      <c r="H32" s="32"/>
    </row>
    <row r="33" spans="6:8">
      <c r="F33" s="32"/>
      <c r="G33" s="32"/>
      <c r="H33" s="32"/>
    </row>
    <row r="34" spans="6:8">
      <c r="F34" s="32"/>
      <c r="G34" s="32"/>
      <c r="H34" s="32"/>
    </row>
    <row r="35" spans="6:8">
      <c r="F35" s="31"/>
      <c r="G35" s="32"/>
      <c r="H35" s="31"/>
    </row>
  </sheetData>
  <phoneticPr fontId="20" type="noConversion"/>
  <pageMargins left="0.70866141732283472" right="0.70866141732283472" top="0.74803149606299213" bottom="0.74803149606299213" header="0.31496062992125984" footer="0.31496062992125984"/>
  <pageSetup orientation="landscape" horizontalDpi="200" verticalDpi="2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7F5F60-4B87-488C-8FB3-BABE9C61E389}">
  <sheetPr>
    <tabColor theme="9"/>
  </sheetPr>
  <dimension ref="R31:V71"/>
  <sheetViews>
    <sheetView topLeftCell="A55" zoomScale="85" zoomScaleNormal="85" workbookViewId="0">
      <selection activeCell="R68" sqref="R68"/>
    </sheetView>
  </sheetViews>
  <sheetFormatPr defaultColWidth="8.81640625" defaultRowHeight="14.5"/>
  <cols>
    <col min="1" max="16384" width="8.81640625" style="122"/>
  </cols>
  <sheetData>
    <row r="31" spans="22:22">
      <c r="V31" s="124"/>
    </row>
    <row r="32" spans="22:22">
      <c r="V32" s="123"/>
    </row>
    <row r="33" spans="22:22">
      <c r="V33" s="123"/>
    </row>
    <row r="34" spans="22:22">
      <c r="V34" s="123"/>
    </row>
    <row r="71" spans="18:18">
      <c r="R71" s="124"/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2DFC6-CCD3-4E25-980E-7A34FAB4E021}">
  <sheetPr>
    <tabColor theme="9"/>
  </sheetPr>
  <dimension ref="V71:V72"/>
  <sheetViews>
    <sheetView topLeftCell="A7" zoomScale="80" zoomScaleNormal="80" workbookViewId="0">
      <selection activeCell="R36" sqref="R36"/>
    </sheetView>
  </sheetViews>
  <sheetFormatPr defaultColWidth="8.81640625" defaultRowHeight="14.5"/>
  <cols>
    <col min="1" max="16384" width="8.81640625" style="122"/>
  </cols>
  <sheetData>
    <row r="71" spans="22:22">
      <c r="V71" s="124"/>
    </row>
    <row r="72" spans="22:22">
      <c r="V72" s="123"/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C1642B-5A29-4637-864A-ED1F1969E573}">
  <dimension ref="A1:GY35"/>
  <sheetViews>
    <sheetView showGridLines="0" topLeftCell="D3" zoomScale="90" zoomScaleNormal="90" workbookViewId="0">
      <pane xSplit="3" ySplit="3" topLeftCell="G9" activePane="bottomRight" state="frozen"/>
      <selection activeCell="GK3" sqref="GK1:GK1048576"/>
      <selection pane="topRight" activeCell="GK3" sqref="GK1:GK1048576"/>
      <selection pane="bottomLeft" activeCell="GK3" sqref="GK1:GK1048576"/>
      <selection pane="bottomRight" activeCell="Z22" sqref="Z22"/>
    </sheetView>
  </sheetViews>
  <sheetFormatPr defaultColWidth="9.1796875" defaultRowHeight="13"/>
  <cols>
    <col min="1" max="1" width="6.1796875" style="1" hidden="1" customWidth="1"/>
    <col min="2" max="2" width="10.1796875" style="1" hidden="1" customWidth="1"/>
    <col min="3" max="3" width="8.81640625" style="1" hidden="1" customWidth="1"/>
    <col min="4" max="4" width="9.1796875" style="1" customWidth="1"/>
    <col min="5" max="5" width="33.1796875" style="1" hidden="1" customWidth="1"/>
    <col min="6" max="6" width="21" style="1" customWidth="1"/>
    <col min="7" max="7" width="10.54296875" style="1" hidden="1" customWidth="1"/>
    <col min="8" max="8" width="28.1796875" style="1" hidden="1" customWidth="1"/>
    <col min="9" max="20" width="7.81640625" style="1" hidden="1" customWidth="1"/>
    <col min="21" max="45" width="7.81640625" style="1" customWidth="1"/>
    <col min="46" max="46" width="4.54296875" style="1" customWidth="1"/>
    <col min="47" max="47" width="9.1796875" style="1"/>
    <col min="48" max="48" width="9.1796875" style="1" hidden="1" customWidth="1"/>
    <col min="49" max="49" width="21.54296875" style="1" customWidth="1"/>
    <col min="50" max="50" width="9.1796875" style="1" hidden="1" customWidth="1"/>
    <col min="51" max="51" width="8.1796875" style="1" hidden="1" customWidth="1"/>
    <col min="52" max="52" width="9.1796875" style="1" hidden="1" customWidth="1"/>
    <col min="53" max="53" width="10.1796875" style="1" hidden="1" customWidth="1"/>
    <col min="54" max="101" width="0" style="1" hidden="1" customWidth="1"/>
    <col min="102" max="102" width="8" style="1" hidden="1" customWidth="1"/>
    <col min="103" max="151" width="7.81640625" style="1" hidden="1" customWidth="1"/>
    <col min="152" max="187" width="7.81640625" style="1" customWidth="1"/>
    <col min="188" max="188" width="5.81640625" style="1" bestFit="1" customWidth="1"/>
    <col min="189" max="189" width="5.54296875" style="1" bestFit="1" customWidth="1"/>
    <col min="190" max="191" width="5.81640625" style="1" bestFit="1" customWidth="1"/>
    <col min="192" max="207" width="7" style="1" bestFit="1" customWidth="1"/>
    <col min="208" max="16384" width="9.1796875" style="1"/>
  </cols>
  <sheetData>
    <row r="1" spans="1:207" hidden="1"/>
    <row r="2" spans="1:207" hidden="1"/>
    <row r="3" spans="1:207" ht="19.399999999999999" customHeight="1">
      <c r="F3" s="15" t="s">
        <v>90</v>
      </c>
      <c r="H3" s="15"/>
      <c r="AY3" s="1">
        <v>2023</v>
      </c>
      <c r="BC3" s="116" t="s">
        <v>76</v>
      </c>
      <c r="BD3" s="116" t="s">
        <v>79</v>
      </c>
      <c r="BE3" s="116" t="s">
        <v>80</v>
      </c>
      <c r="BF3" s="116" t="s">
        <v>86</v>
      </c>
      <c r="BG3" s="116">
        <v>7.03</v>
      </c>
      <c r="BH3" s="116">
        <v>14.03</v>
      </c>
      <c r="BI3" s="116">
        <v>21.03</v>
      </c>
      <c r="BJ3" s="116">
        <v>28.03</v>
      </c>
      <c r="BK3" s="116">
        <v>30.03</v>
      </c>
      <c r="BL3" s="116">
        <v>6.04</v>
      </c>
      <c r="BM3" s="116">
        <v>13.04</v>
      </c>
      <c r="BN3" s="116">
        <v>20.04</v>
      </c>
      <c r="BO3" s="1">
        <v>27.04</v>
      </c>
      <c r="BP3" s="1">
        <v>4.05</v>
      </c>
      <c r="BR3" s="1">
        <v>23.05</v>
      </c>
      <c r="BS3" s="1">
        <v>30.05</v>
      </c>
      <c r="BT3" s="1">
        <v>6.06</v>
      </c>
      <c r="BU3" s="1">
        <v>13.06</v>
      </c>
      <c r="BV3" s="1">
        <v>20.059999999999999</v>
      </c>
      <c r="CX3" s="170">
        <v>2024</v>
      </c>
      <c r="EV3" s="170">
        <v>2025</v>
      </c>
    </row>
    <row r="4" spans="1:207" s="61" customFormat="1" ht="17.5">
      <c r="A4" s="71"/>
      <c r="B4" s="71"/>
      <c r="C4" s="71"/>
      <c r="D4" s="72"/>
      <c r="E4" s="71"/>
      <c r="F4" s="73" t="s">
        <v>3</v>
      </c>
      <c r="G4" s="73"/>
      <c r="H4" s="73"/>
      <c r="I4" s="74">
        <v>24000</v>
      </c>
      <c r="J4" s="74">
        <v>24000</v>
      </c>
      <c r="K4" s="74">
        <v>24000</v>
      </c>
      <c r="L4" s="74">
        <v>24000</v>
      </c>
      <c r="M4" s="74">
        <v>24000</v>
      </c>
      <c r="N4" s="74">
        <v>24000</v>
      </c>
      <c r="O4" s="74">
        <v>24000</v>
      </c>
      <c r="P4" s="74">
        <v>24000</v>
      </c>
      <c r="Q4" s="74">
        <v>24000</v>
      </c>
      <c r="R4" s="74">
        <v>24000</v>
      </c>
      <c r="S4" s="74">
        <v>24000</v>
      </c>
      <c r="T4" s="74">
        <v>24000</v>
      </c>
      <c r="U4" s="74"/>
      <c r="V4" s="74"/>
      <c r="W4" s="74"/>
      <c r="X4" s="74"/>
      <c r="Y4" s="74"/>
      <c r="Z4" s="74"/>
      <c r="AA4" s="74"/>
      <c r="AB4" s="74"/>
      <c r="AC4" s="74"/>
      <c r="AD4" s="74"/>
      <c r="AE4" s="74"/>
      <c r="AF4" s="74"/>
      <c r="AG4" s="74"/>
      <c r="AH4" s="74"/>
      <c r="AI4" s="74"/>
      <c r="AJ4" s="74"/>
      <c r="AK4" s="74"/>
      <c r="AL4" s="74"/>
      <c r="AM4" s="74"/>
      <c r="AN4" s="74"/>
      <c r="AO4" s="74"/>
      <c r="AP4" s="74"/>
      <c r="AQ4" s="74"/>
      <c r="AR4" s="74"/>
      <c r="AS4" s="74"/>
      <c r="AX4" s="74">
        <v>24000</v>
      </c>
      <c r="AY4" s="74">
        <v>24000</v>
      </c>
      <c r="AZ4" s="74">
        <v>24000</v>
      </c>
      <c r="BA4" s="74">
        <v>24000</v>
      </c>
      <c r="BB4" s="74">
        <v>24000</v>
      </c>
      <c r="BC4" s="74">
        <v>24000</v>
      </c>
      <c r="BD4" s="74">
        <v>24000</v>
      </c>
      <c r="BE4" s="74">
        <v>24000</v>
      </c>
      <c r="BF4" s="74">
        <v>24000</v>
      </c>
      <c r="BG4" s="74">
        <v>24000</v>
      </c>
      <c r="BH4" s="74">
        <v>24000</v>
      </c>
      <c r="BI4" s="74">
        <v>24000</v>
      </c>
      <c r="BJ4" s="74">
        <v>24000</v>
      </c>
      <c r="BK4" s="74">
        <v>24000</v>
      </c>
      <c r="BL4" s="74">
        <v>24000</v>
      </c>
      <c r="BM4" s="74">
        <v>24000</v>
      </c>
      <c r="BN4" s="74">
        <v>24000</v>
      </c>
      <c r="BO4" s="74">
        <v>24000</v>
      </c>
      <c r="BP4" s="74">
        <v>24000</v>
      </c>
      <c r="BQ4" s="74">
        <v>24000</v>
      </c>
      <c r="BR4" s="74">
        <v>24000</v>
      </c>
      <c r="BS4" s="74">
        <v>24000</v>
      </c>
      <c r="BT4" s="74">
        <v>24000</v>
      </c>
      <c r="BU4" s="74">
        <v>24000</v>
      </c>
      <c r="BV4" s="74">
        <v>24000</v>
      </c>
      <c r="BW4" s="74">
        <v>24000</v>
      </c>
      <c r="BX4" s="74">
        <v>24000</v>
      </c>
      <c r="BY4" s="74">
        <v>24000</v>
      </c>
      <c r="BZ4" s="74">
        <v>24000</v>
      </c>
      <c r="CA4" s="74">
        <v>24000</v>
      </c>
      <c r="CB4" s="74">
        <v>24000</v>
      </c>
      <c r="CC4" s="74">
        <v>24000</v>
      </c>
      <c r="CD4" s="74">
        <v>24000</v>
      </c>
      <c r="CE4" s="74">
        <v>24000</v>
      </c>
      <c r="CF4" s="74">
        <v>24000</v>
      </c>
      <c r="CG4" s="74">
        <v>24000</v>
      </c>
      <c r="CH4" s="74">
        <v>24000</v>
      </c>
      <c r="CI4" s="74">
        <v>24000</v>
      </c>
      <c r="CJ4" s="74">
        <v>24000</v>
      </c>
      <c r="CK4" s="74">
        <v>24000</v>
      </c>
      <c r="CL4" s="74">
        <v>24000</v>
      </c>
      <c r="CM4" s="74">
        <v>24000</v>
      </c>
      <c r="CN4" s="74">
        <v>24000</v>
      </c>
      <c r="CO4" s="74">
        <v>24000</v>
      </c>
      <c r="CP4" s="74">
        <v>24000</v>
      </c>
      <c r="CQ4" s="74">
        <v>24000</v>
      </c>
      <c r="CR4" s="74">
        <v>24000</v>
      </c>
      <c r="CS4" s="74">
        <v>24000</v>
      </c>
      <c r="CT4" s="74">
        <v>24000</v>
      </c>
      <c r="CU4" s="74">
        <v>24000</v>
      </c>
      <c r="CV4" s="74">
        <v>24000</v>
      </c>
      <c r="CW4" s="74">
        <v>24000</v>
      </c>
      <c r="CX4" s="74">
        <v>24000</v>
      </c>
      <c r="CY4" s="74">
        <v>24000</v>
      </c>
      <c r="CZ4" s="74">
        <v>24000</v>
      </c>
      <c r="DA4" s="74">
        <v>24000</v>
      </c>
      <c r="DB4" s="74"/>
      <c r="DC4" s="74"/>
      <c r="DD4" s="74"/>
      <c r="DE4" s="74"/>
      <c r="DF4" s="74"/>
      <c r="DG4" s="74"/>
      <c r="DH4" s="74"/>
      <c r="DI4" s="74"/>
      <c r="DJ4" s="74"/>
      <c r="DK4" s="74"/>
      <c r="DL4" s="74"/>
      <c r="DM4" s="74"/>
      <c r="DN4" s="74"/>
      <c r="DO4" s="74"/>
      <c r="DP4" s="74"/>
      <c r="GU4" s="178">
        <v>2026</v>
      </c>
    </row>
    <row r="5" spans="1:207" s="32" customFormat="1" ht="19.5" customHeight="1">
      <c r="A5" s="33" t="s">
        <v>0</v>
      </c>
      <c r="B5" s="33" t="s">
        <v>1</v>
      </c>
      <c r="C5" s="33" t="s">
        <v>4</v>
      </c>
      <c r="D5" s="34" t="s">
        <v>5</v>
      </c>
      <c r="E5" s="33" t="s">
        <v>6</v>
      </c>
      <c r="F5" s="33" t="s">
        <v>2</v>
      </c>
      <c r="G5" s="33" t="s">
        <v>7</v>
      </c>
      <c r="H5" s="33" t="s">
        <v>2</v>
      </c>
      <c r="I5" s="86" t="s">
        <v>75</v>
      </c>
      <c r="J5" s="86">
        <v>2</v>
      </c>
      <c r="K5" s="86">
        <v>3</v>
      </c>
      <c r="L5" s="86">
        <v>4</v>
      </c>
      <c r="M5" s="86">
        <v>5</v>
      </c>
      <c r="N5" s="86">
        <v>6</v>
      </c>
      <c r="O5" s="86">
        <v>7</v>
      </c>
      <c r="P5" s="86">
        <v>8</v>
      </c>
      <c r="Q5" s="86">
        <v>9</v>
      </c>
      <c r="R5" s="86">
        <v>10</v>
      </c>
      <c r="S5" s="86">
        <v>11</v>
      </c>
      <c r="T5" s="86">
        <v>12</v>
      </c>
      <c r="U5" s="86" t="s">
        <v>122</v>
      </c>
      <c r="V5" s="86">
        <v>2</v>
      </c>
      <c r="W5" s="86">
        <v>3</v>
      </c>
      <c r="X5" s="86">
        <v>4</v>
      </c>
      <c r="Y5" s="86">
        <v>5</v>
      </c>
      <c r="Z5" s="86">
        <v>6</v>
      </c>
      <c r="AA5" s="86">
        <v>7</v>
      </c>
      <c r="AB5" s="86">
        <v>8</v>
      </c>
      <c r="AC5" s="86">
        <v>9</v>
      </c>
      <c r="AD5" s="86">
        <v>10</v>
      </c>
      <c r="AE5" s="86">
        <v>11</v>
      </c>
      <c r="AF5" s="86">
        <v>12</v>
      </c>
      <c r="AG5" s="86" t="s">
        <v>174</v>
      </c>
      <c r="AH5" s="86">
        <v>2</v>
      </c>
      <c r="AI5" s="86">
        <v>3</v>
      </c>
      <c r="AJ5" s="86">
        <v>4</v>
      </c>
      <c r="AK5" s="86">
        <v>5</v>
      </c>
      <c r="AL5" s="86">
        <v>6</v>
      </c>
      <c r="AM5" s="86">
        <v>7</v>
      </c>
      <c r="AN5" s="86">
        <v>8</v>
      </c>
      <c r="AO5" s="86">
        <v>9</v>
      </c>
      <c r="AP5" s="86">
        <v>10</v>
      </c>
      <c r="AQ5" s="86">
        <v>11</v>
      </c>
      <c r="AR5" s="86">
        <v>12</v>
      </c>
      <c r="AS5" s="86" t="s">
        <v>198</v>
      </c>
      <c r="AU5" s="34" t="s">
        <v>5</v>
      </c>
      <c r="AV5" s="33" t="s">
        <v>6</v>
      </c>
      <c r="AW5" s="33" t="s">
        <v>2</v>
      </c>
      <c r="AX5" s="101">
        <v>52</v>
      </c>
      <c r="AY5" s="90" t="s">
        <v>97</v>
      </c>
      <c r="AZ5" s="90">
        <v>2</v>
      </c>
      <c r="BA5" s="90">
        <v>3</v>
      </c>
      <c r="BB5" s="90">
        <v>5</v>
      </c>
      <c r="BC5" s="90">
        <v>6</v>
      </c>
      <c r="BD5" s="90">
        <v>7</v>
      </c>
      <c r="BE5" s="90">
        <v>8</v>
      </c>
      <c r="BF5" s="90">
        <v>9</v>
      </c>
      <c r="BG5" s="90">
        <v>10</v>
      </c>
      <c r="BH5" s="90">
        <v>11</v>
      </c>
      <c r="BI5" s="90">
        <v>12</v>
      </c>
      <c r="BJ5" s="90">
        <v>13</v>
      </c>
      <c r="BK5" s="90">
        <v>14</v>
      </c>
      <c r="BL5" s="90">
        <v>15</v>
      </c>
      <c r="BM5" s="90">
        <v>16</v>
      </c>
      <c r="BN5" s="90">
        <v>17</v>
      </c>
      <c r="BO5" s="101">
        <v>18</v>
      </c>
      <c r="BP5" s="101">
        <v>19</v>
      </c>
      <c r="BQ5" s="101">
        <v>20</v>
      </c>
      <c r="BR5" s="101">
        <v>21</v>
      </c>
      <c r="BS5" s="101">
        <v>22</v>
      </c>
      <c r="BT5" s="101">
        <v>23</v>
      </c>
      <c r="BU5" s="101">
        <v>24</v>
      </c>
      <c r="BV5" s="101">
        <v>25</v>
      </c>
      <c r="BW5" s="101">
        <v>26</v>
      </c>
      <c r="BX5" s="101">
        <v>27</v>
      </c>
      <c r="BY5" s="101">
        <v>28</v>
      </c>
      <c r="BZ5" s="101">
        <v>29</v>
      </c>
      <c r="CA5" s="101">
        <v>30</v>
      </c>
      <c r="CB5" s="101">
        <v>31</v>
      </c>
      <c r="CC5" s="101">
        <v>32</v>
      </c>
      <c r="CD5" s="101">
        <v>33</v>
      </c>
      <c r="CE5" s="101">
        <v>34</v>
      </c>
      <c r="CF5" s="101">
        <v>35</v>
      </c>
      <c r="CG5" s="101">
        <v>36</v>
      </c>
      <c r="CH5" s="101">
        <v>37</v>
      </c>
      <c r="CI5" s="101">
        <v>38</v>
      </c>
      <c r="CJ5" s="101">
        <v>39</v>
      </c>
      <c r="CK5" s="101">
        <v>40</v>
      </c>
      <c r="CL5" s="101">
        <v>41</v>
      </c>
      <c r="CM5" s="101">
        <v>42</v>
      </c>
      <c r="CN5" s="101">
        <v>43</v>
      </c>
      <c r="CO5" s="101">
        <v>44</v>
      </c>
      <c r="CP5" s="101">
        <v>45</v>
      </c>
      <c r="CQ5" s="101">
        <v>46</v>
      </c>
      <c r="CR5" s="101">
        <v>47</v>
      </c>
      <c r="CS5" s="101">
        <v>48</v>
      </c>
      <c r="CT5" s="101">
        <v>49</v>
      </c>
      <c r="CU5" s="101">
        <v>50</v>
      </c>
      <c r="CV5" s="101">
        <v>51</v>
      </c>
      <c r="CW5" s="101">
        <v>52</v>
      </c>
      <c r="CX5" s="101" t="s">
        <v>117</v>
      </c>
      <c r="CY5" s="90" t="s">
        <v>123</v>
      </c>
      <c r="CZ5" s="90" t="s">
        <v>124</v>
      </c>
      <c r="DA5" s="90" t="s">
        <v>125</v>
      </c>
      <c r="DB5" s="90" t="s">
        <v>126</v>
      </c>
      <c r="DC5" s="90" t="s">
        <v>142</v>
      </c>
      <c r="DD5" s="90" t="s">
        <v>143</v>
      </c>
      <c r="DE5" s="90" t="s">
        <v>144</v>
      </c>
      <c r="DF5" s="90" t="s">
        <v>145</v>
      </c>
      <c r="DG5" s="90" t="s">
        <v>146</v>
      </c>
      <c r="DH5" s="90" t="s">
        <v>147</v>
      </c>
      <c r="DI5" s="90" t="s">
        <v>148</v>
      </c>
      <c r="DJ5" s="90" t="s">
        <v>149</v>
      </c>
      <c r="DK5" s="90" t="s">
        <v>150</v>
      </c>
      <c r="DL5" s="90" t="s">
        <v>151</v>
      </c>
      <c r="DM5" s="90" t="s">
        <v>152</v>
      </c>
      <c r="DN5" s="90" t="s">
        <v>153</v>
      </c>
      <c r="DO5" s="90" t="s">
        <v>154</v>
      </c>
      <c r="DP5" s="90" t="s">
        <v>155</v>
      </c>
      <c r="DQ5" s="90" t="s">
        <v>162</v>
      </c>
      <c r="DR5" s="90" t="s">
        <v>163</v>
      </c>
      <c r="DS5" s="90" t="s">
        <v>164</v>
      </c>
      <c r="DT5" s="90" t="s">
        <v>165</v>
      </c>
      <c r="DU5" s="90" t="s">
        <v>166</v>
      </c>
      <c r="DV5" s="90" t="s">
        <v>167</v>
      </c>
      <c r="DW5" s="90" t="s">
        <v>168</v>
      </c>
      <c r="DX5" s="90" t="s">
        <v>169</v>
      </c>
      <c r="DY5" s="90" t="s">
        <v>170</v>
      </c>
      <c r="DZ5" s="90" t="s">
        <v>171</v>
      </c>
      <c r="EA5" s="90" t="s">
        <v>172</v>
      </c>
      <c r="EB5" s="90" t="s">
        <v>173</v>
      </c>
      <c r="EC5" s="90">
        <v>34</v>
      </c>
      <c r="ED5" s="90">
        <v>35</v>
      </c>
      <c r="EE5" s="90">
        <v>36</v>
      </c>
      <c r="EF5" s="90">
        <v>37</v>
      </c>
      <c r="EG5" s="90">
        <v>38</v>
      </c>
      <c r="EH5" s="90">
        <v>39</v>
      </c>
      <c r="EI5" s="90">
        <v>40</v>
      </c>
      <c r="EJ5" s="90">
        <v>41</v>
      </c>
      <c r="EK5" s="90">
        <v>42</v>
      </c>
      <c r="EL5" s="90">
        <v>43</v>
      </c>
      <c r="EM5" s="90">
        <v>44</v>
      </c>
      <c r="EN5" s="90">
        <v>45</v>
      </c>
      <c r="EO5" s="90">
        <v>46</v>
      </c>
      <c r="EP5" s="90">
        <v>47</v>
      </c>
      <c r="EQ5" s="90">
        <v>48</v>
      </c>
      <c r="ER5" s="90">
        <v>49</v>
      </c>
      <c r="ES5" s="90">
        <v>50</v>
      </c>
      <c r="ET5" s="90">
        <v>51</v>
      </c>
      <c r="EU5" s="90">
        <v>52</v>
      </c>
      <c r="EV5" s="90" t="s">
        <v>121</v>
      </c>
      <c r="EW5" s="90" t="s">
        <v>123</v>
      </c>
      <c r="EX5" s="90" t="s">
        <v>124</v>
      </c>
      <c r="EY5" s="90" t="s">
        <v>125</v>
      </c>
      <c r="EZ5" s="90" t="s">
        <v>175</v>
      </c>
      <c r="FA5" s="90" t="s">
        <v>177</v>
      </c>
      <c r="FB5" s="90" t="s">
        <v>142</v>
      </c>
      <c r="FC5" s="90" t="s">
        <v>143</v>
      </c>
      <c r="FD5" s="90" t="s">
        <v>144</v>
      </c>
      <c r="FE5" s="90" t="s">
        <v>145</v>
      </c>
      <c r="FF5" s="90" t="s">
        <v>146</v>
      </c>
      <c r="FG5" s="90" t="s">
        <v>147</v>
      </c>
      <c r="FH5" s="90" t="s">
        <v>148</v>
      </c>
      <c r="FI5" s="90" t="s">
        <v>149</v>
      </c>
      <c r="FJ5" s="90" t="s">
        <v>150</v>
      </c>
      <c r="FK5" s="90" t="s">
        <v>151</v>
      </c>
      <c r="FL5" s="90">
        <v>18</v>
      </c>
      <c r="FM5" s="90">
        <v>19</v>
      </c>
      <c r="FN5" s="90">
        <v>20</v>
      </c>
      <c r="FO5" s="90">
        <v>21</v>
      </c>
      <c r="FP5" s="90">
        <v>22</v>
      </c>
      <c r="FQ5" s="90">
        <v>23</v>
      </c>
      <c r="FR5" s="90">
        <v>24</v>
      </c>
      <c r="FS5" s="90">
        <v>25</v>
      </c>
      <c r="FT5" s="90">
        <v>26</v>
      </c>
      <c r="FU5" s="90">
        <v>27</v>
      </c>
      <c r="FV5" s="90">
        <v>28</v>
      </c>
      <c r="FW5" s="90">
        <v>29</v>
      </c>
      <c r="FX5" s="90">
        <v>30</v>
      </c>
      <c r="FY5" s="90">
        <v>31</v>
      </c>
      <c r="FZ5" s="90">
        <v>32</v>
      </c>
      <c r="GA5" s="90">
        <v>33</v>
      </c>
      <c r="GB5" s="90">
        <v>34</v>
      </c>
      <c r="GC5" s="90">
        <v>35</v>
      </c>
      <c r="GD5" s="90">
        <v>36</v>
      </c>
      <c r="GE5" s="90">
        <v>37</v>
      </c>
      <c r="GF5" s="90">
        <v>38</v>
      </c>
      <c r="GG5" s="90">
        <v>39</v>
      </c>
      <c r="GH5" s="90">
        <v>40</v>
      </c>
      <c r="GI5" s="90">
        <v>41</v>
      </c>
      <c r="GJ5" s="90">
        <v>42</v>
      </c>
      <c r="GK5" s="90">
        <v>43</v>
      </c>
      <c r="GL5" s="90">
        <v>44</v>
      </c>
      <c r="GM5" s="90">
        <v>45</v>
      </c>
      <c r="GN5" s="90">
        <v>46</v>
      </c>
      <c r="GO5" s="90">
        <v>47</v>
      </c>
      <c r="GP5" s="90">
        <v>48</v>
      </c>
      <c r="GQ5" s="90">
        <v>49</v>
      </c>
      <c r="GR5" s="90">
        <v>50</v>
      </c>
      <c r="GS5" s="90">
        <v>51</v>
      </c>
      <c r="GT5" s="90">
        <v>52</v>
      </c>
      <c r="GU5" s="90" t="s">
        <v>121</v>
      </c>
      <c r="GV5" s="90" t="s">
        <v>123</v>
      </c>
      <c r="GW5" s="90" t="s">
        <v>124</v>
      </c>
      <c r="GX5" s="90" t="s">
        <v>125</v>
      </c>
      <c r="GY5" s="90" t="s">
        <v>126</v>
      </c>
    </row>
    <row r="6" spans="1:207" ht="14" hidden="1">
      <c r="A6" s="4">
        <v>3</v>
      </c>
      <c r="B6" s="8">
        <v>150000007</v>
      </c>
      <c r="C6" s="8" t="s">
        <v>20</v>
      </c>
      <c r="D6" s="4"/>
      <c r="E6" s="5" t="s">
        <v>22</v>
      </c>
      <c r="F6" s="7" t="s">
        <v>91</v>
      </c>
      <c r="G6" s="16" t="s">
        <v>23</v>
      </c>
      <c r="H6" s="7" t="str">
        <f>F6</f>
        <v xml:space="preserve">Vảy PP tuyển </v>
      </c>
      <c r="I6" s="48"/>
      <c r="J6" s="48"/>
      <c r="K6" s="48"/>
      <c r="L6" s="48"/>
      <c r="M6" s="48"/>
      <c r="N6" s="48"/>
      <c r="O6" s="48"/>
      <c r="P6" s="48"/>
      <c r="Q6" s="48"/>
      <c r="R6" s="48"/>
      <c r="S6" s="48"/>
      <c r="T6" s="48"/>
      <c r="U6" s="48"/>
      <c r="V6" s="48"/>
      <c r="W6" s="48"/>
      <c r="X6" s="48"/>
      <c r="Y6" s="48"/>
      <c r="Z6" s="48"/>
      <c r="AA6" s="48"/>
      <c r="AB6" s="48"/>
      <c r="AC6" s="48"/>
      <c r="AD6" s="48"/>
      <c r="AE6" s="48"/>
      <c r="AF6" s="48"/>
      <c r="AG6" s="48"/>
      <c r="AH6" s="48"/>
      <c r="AI6" s="48"/>
      <c r="AJ6" s="48"/>
      <c r="AK6" s="48"/>
      <c r="AL6" s="48"/>
      <c r="AM6" s="48"/>
      <c r="AN6" s="48"/>
      <c r="AO6" s="48"/>
      <c r="AP6" s="48"/>
      <c r="AQ6" s="48"/>
      <c r="AR6" s="48"/>
      <c r="AS6" s="48"/>
      <c r="AU6" s="4"/>
      <c r="AV6" s="5" t="s">
        <v>22</v>
      </c>
      <c r="AW6" s="7" t="str">
        <f>F6</f>
        <v xml:space="preserve">Vảy PP tuyển </v>
      </c>
      <c r="AX6" s="48"/>
      <c r="AY6" s="48"/>
      <c r="AZ6" s="48"/>
      <c r="BA6" s="48"/>
      <c r="BB6" s="48"/>
      <c r="BC6" s="48"/>
      <c r="BD6" s="48"/>
      <c r="BE6" s="48"/>
      <c r="BF6" s="48"/>
      <c r="BG6" s="48"/>
      <c r="BH6" s="48"/>
      <c r="BI6" s="48"/>
      <c r="BJ6" s="48"/>
      <c r="BK6" s="48"/>
      <c r="BL6" s="48"/>
      <c r="BM6" s="48"/>
      <c r="BN6" s="48"/>
      <c r="BO6" s="48"/>
      <c r="BP6" s="48"/>
      <c r="BQ6" s="48"/>
      <c r="BR6" s="48"/>
      <c r="BS6" s="48"/>
      <c r="BT6" s="48"/>
      <c r="BU6" s="48"/>
      <c r="BV6" s="48"/>
      <c r="BW6" s="48"/>
      <c r="BX6" s="48"/>
      <c r="BY6" s="48"/>
      <c r="BZ6" s="48"/>
      <c r="CA6" s="48"/>
      <c r="CB6" s="48"/>
      <c r="CC6" s="48"/>
      <c r="CD6" s="48"/>
      <c r="CE6" s="48"/>
      <c r="CF6" s="48"/>
      <c r="CG6" s="48"/>
      <c r="CH6" s="48"/>
      <c r="CI6" s="48"/>
      <c r="CJ6" s="48"/>
      <c r="CK6" s="48"/>
      <c r="CL6" s="48"/>
      <c r="CM6" s="48"/>
      <c r="CN6" s="48"/>
      <c r="CO6" s="48"/>
      <c r="CP6" s="48"/>
      <c r="CQ6" s="48"/>
      <c r="CR6" s="48"/>
      <c r="CS6" s="48"/>
      <c r="CT6" s="48"/>
      <c r="CU6" s="48"/>
      <c r="CV6" s="48"/>
      <c r="CW6" s="48"/>
      <c r="CX6" s="48"/>
      <c r="CY6" s="48"/>
      <c r="CZ6" s="48"/>
      <c r="DA6" s="48"/>
      <c r="DB6" s="48"/>
      <c r="DC6" s="48"/>
      <c r="DD6" s="48"/>
      <c r="DE6" s="48"/>
      <c r="DF6" s="48"/>
      <c r="DG6" s="48"/>
      <c r="DH6" s="48"/>
      <c r="DI6" s="48"/>
      <c r="DJ6" s="48"/>
      <c r="DK6" s="48"/>
      <c r="DL6" s="48"/>
      <c r="DM6" s="48"/>
      <c r="DN6" s="48"/>
      <c r="DO6" s="48"/>
      <c r="DP6" s="48"/>
      <c r="DQ6" s="48"/>
      <c r="DR6" s="48"/>
      <c r="DS6" s="48"/>
      <c r="DT6" s="48"/>
      <c r="DU6" s="48"/>
      <c r="DV6" s="48"/>
      <c r="DW6" s="48"/>
      <c r="DX6" s="48"/>
      <c r="DY6" s="48"/>
      <c r="DZ6" s="48"/>
      <c r="EA6" s="48"/>
      <c r="EB6" s="48"/>
      <c r="EC6" s="48"/>
      <c r="ED6" s="48"/>
      <c r="EE6" s="48"/>
      <c r="EF6" s="48"/>
      <c r="EG6" s="48"/>
      <c r="EH6" s="48"/>
      <c r="EI6" s="48"/>
      <c r="EJ6" s="48"/>
      <c r="EK6" s="48"/>
      <c r="EL6" s="48"/>
      <c r="EM6" s="48"/>
      <c r="EN6" s="48"/>
      <c r="EO6" s="48"/>
      <c r="EP6" s="48"/>
      <c r="EQ6" s="48"/>
      <c r="ER6" s="48"/>
      <c r="ES6" s="48"/>
      <c r="ET6" s="48"/>
      <c r="EU6" s="48"/>
      <c r="EV6" s="48"/>
      <c r="EW6" s="48"/>
      <c r="EX6" s="48"/>
      <c r="EY6" s="48"/>
      <c r="EZ6" s="48"/>
      <c r="FA6" s="48"/>
      <c r="FB6" s="48"/>
      <c r="FC6" s="48"/>
      <c r="FD6" s="48"/>
      <c r="FE6" s="48"/>
      <c r="FF6" s="48"/>
      <c r="FG6" s="48"/>
      <c r="FH6" s="48"/>
      <c r="FI6" s="48"/>
      <c r="FJ6" s="48"/>
      <c r="FK6" s="48"/>
      <c r="FL6" s="48"/>
      <c r="FM6" s="48"/>
      <c r="FN6" s="48"/>
      <c r="FO6" s="48"/>
      <c r="FP6" s="48"/>
      <c r="FQ6" s="48"/>
      <c r="FR6" s="48"/>
      <c r="FS6" s="48"/>
      <c r="FT6" s="48"/>
      <c r="FU6" s="48"/>
      <c r="FV6" s="48"/>
      <c r="FW6" s="48"/>
      <c r="FX6" s="48"/>
      <c r="FY6" s="48"/>
      <c r="FZ6" s="48"/>
      <c r="GA6" s="48"/>
      <c r="GB6" s="48"/>
      <c r="GC6" s="48"/>
      <c r="GD6" s="48"/>
      <c r="GE6" s="48"/>
      <c r="GF6" s="48"/>
      <c r="GG6" s="48"/>
      <c r="GH6" s="48"/>
      <c r="GI6" s="48"/>
      <c r="GJ6" s="48"/>
      <c r="GK6" s="48"/>
      <c r="GL6" s="48"/>
      <c r="GM6" s="48"/>
      <c r="GN6" s="48"/>
      <c r="GO6" s="48"/>
      <c r="GP6" s="48"/>
      <c r="GQ6" s="48"/>
      <c r="GR6" s="48"/>
      <c r="GS6" s="48"/>
      <c r="GT6" s="48"/>
      <c r="GU6" s="48"/>
      <c r="GV6" s="48"/>
      <c r="GW6" s="48"/>
      <c r="GX6" s="48"/>
      <c r="GY6" s="48"/>
    </row>
    <row r="7" spans="1:207" ht="18" hidden="1" customHeight="1">
      <c r="A7" s="4">
        <v>3</v>
      </c>
      <c r="B7" s="8">
        <v>150000007</v>
      </c>
      <c r="C7" s="8" t="s">
        <v>20</v>
      </c>
      <c r="D7" s="4"/>
      <c r="E7" s="5" t="s">
        <v>22</v>
      </c>
      <c r="F7" s="7" t="s">
        <v>91</v>
      </c>
      <c r="G7" s="4" t="s">
        <v>24</v>
      </c>
      <c r="H7" s="7" t="str">
        <f>F7</f>
        <v xml:space="preserve">Vảy PP tuyển </v>
      </c>
      <c r="I7" s="49">
        <f>I6/I4*1000</f>
        <v>0</v>
      </c>
      <c r="J7" s="49">
        <f>J6/J4*1000</f>
        <v>0</v>
      </c>
      <c r="K7" s="49">
        <f>K6/K4*1000</f>
        <v>0</v>
      </c>
      <c r="L7" s="49"/>
      <c r="M7" s="49"/>
      <c r="N7" s="49"/>
      <c r="O7" s="49"/>
      <c r="P7" s="49"/>
      <c r="Q7" s="49"/>
      <c r="R7" s="49"/>
      <c r="S7" s="49"/>
      <c r="T7" s="49"/>
      <c r="U7" s="49"/>
      <c r="V7" s="49"/>
      <c r="W7" s="49"/>
      <c r="X7" s="49"/>
      <c r="Y7" s="49"/>
      <c r="Z7" s="49"/>
      <c r="AA7" s="49"/>
      <c r="AB7" s="49"/>
      <c r="AC7" s="49"/>
      <c r="AD7" s="49"/>
      <c r="AE7" s="49"/>
      <c r="AF7" s="49"/>
      <c r="AG7" s="49"/>
      <c r="AH7" s="49"/>
      <c r="AI7" s="49"/>
      <c r="AJ7" s="49"/>
      <c r="AK7" s="49"/>
      <c r="AL7" s="49"/>
      <c r="AM7" s="49"/>
      <c r="AN7" s="49"/>
      <c r="AO7" s="49"/>
      <c r="AP7" s="49"/>
      <c r="AQ7" s="49"/>
      <c r="AR7" s="49"/>
      <c r="AS7" s="49"/>
      <c r="AU7" s="4"/>
      <c r="AV7" s="5" t="s">
        <v>22</v>
      </c>
      <c r="AW7" s="7" t="str">
        <f>F7</f>
        <v xml:space="preserve">Vảy PP tuyển </v>
      </c>
      <c r="AX7" s="24">
        <v>666.66666666666697</v>
      </c>
      <c r="AY7" s="24">
        <v>666.66666666666697</v>
      </c>
      <c r="AZ7" s="24">
        <v>666.66666666666697</v>
      </c>
      <c r="BA7" s="24">
        <v>666.66666666666697</v>
      </c>
      <c r="BB7" s="24">
        <v>666.66666666666697</v>
      </c>
      <c r="BC7" s="24">
        <v>666.66666666666697</v>
      </c>
      <c r="BD7" s="24">
        <v>666.66666666666697</v>
      </c>
      <c r="BE7" s="24">
        <v>666.66666666666697</v>
      </c>
      <c r="BF7" s="24">
        <v>666.66666666666697</v>
      </c>
      <c r="BG7" s="24">
        <v>666.66666666666697</v>
      </c>
      <c r="BH7" s="24">
        <v>666.66666666666697</v>
      </c>
      <c r="BI7" s="24">
        <v>666.66666666666697</v>
      </c>
      <c r="BJ7" s="24">
        <v>666.66666666666697</v>
      </c>
      <c r="BK7" s="24">
        <v>666.66666666666697</v>
      </c>
      <c r="BL7" s="24">
        <v>666.66666666666697</v>
      </c>
      <c r="BM7" s="24">
        <v>666.66666666666697</v>
      </c>
      <c r="BN7" s="24">
        <v>666.66666666666697</v>
      </c>
      <c r="BO7" s="24">
        <v>666.66666666666697</v>
      </c>
      <c r="BP7" s="24">
        <v>666.66666666666697</v>
      </c>
      <c r="BQ7" s="24">
        <v>666.66666666666697</v>
      </c>
      <c r="BR7" s="24">
        <v>666.66666666666697</v>
      </c>
      <c r="BS7" s="24">
        <v>666.66666666666697</v>
      </c>
      <c r="BT7" s="24">
        <v>666.66666666666697</v>
      </c>
      <c r="BU7" s="24">
        <v>666.66666666666697</v>
      </c>
      <c r="BV7" s="24">
        <v>666.66666666666697</v>
      </c>
      <c r="BW7" s="24">
        <v>666.66666666666697</v>
      </c>
      <c r="BX7" s="24">
        <v>666.66666666666697</v>
      </c>
      <c r="BY7" s="24">
        <v>666.66666666666697</v>
      </c>
      <c r="BZ7" s="24">
        <v>666.66666666666697</v>
      </c>
      <c r="CA7" s="24">
        <v>666.66666666666697</v>
      </c>
      <c r="CB7" s="24">
        <v>666.66666666666697</v>
      </c>
      <c r="CC7" s="24">
        <v>666.66666666666697</v>
      </c>
      <c r="CD7" s="24">
        <v>666.66666666666697</v>
      </c>
      <c r="CE7" s="24">
        <v>666.66666666666697</v>
      </c>
      <c r="CF7" s="24">
        <v>666.66666666666697</v>
      </c>
      <c r="CG7" s="24">
        <v>666.66666666666697</v>
      </c>
      <c r="CH7" s="24">
        <v>666.66666666666697</v>
      </c>
      <c r="CI7" s="24">
        <v>666.66666666666697</v>
      </c>
      <c r="CJ7" s="24">
        <v>666.66666666666697</v>
      </c>
      <c r="CK7" s="24">
        <v>666.66666666666697</v>
      </c>
      <c r="CL7" s="24">
        <v>666.66666666666697</v>
      </c>
      <c r="CM7" s="24">
        <v>666.66666666666697</v>
      </c>
      <c r="CN7" s="24">
        <v>666.66666666666697</v>
      </c>
      <c r="CO7" s="24">
        <v>666.66666666666697</v>
      </c>
      <c r="CP7" s="24">
        <v>666.66666666666697</v>
      </c>
      <c r="CQ7" s="24">
        <v>666.66666666666697</v>
      </c>
      <c r="CR7" s="24">
        <v>666.66666666666697</v>
      </c>
      <c r="CS7" s="24">
        <v>666.66666666666697</v>
      </c>
      <c r="CT7" s="24">
        <v>666.66666666666697</v>
      </c>
      <c r="CU7" s="24">
        <v>666.66666666666697</v>
      </c>
      <c r="CV7" s="24">
        <v>666.66666666666697</v>
      </c>
      <c r="CW7" s="24">
        <v>666.66666666666697</v>
      </c>
      <c r="CX7" s="24">
        <v>666.66666666666697</v>
      </c>
      <c r="CY7" s="24">
        <v>666.66666666666697</v>
      </c>
      <c r="CZ7" s="24">
        <v>666.66666666666697</v>
      </c>
      <c r="DA7" s="24">
        <v>666.66666666666697</v>
      </c>
      <c r="DB7" s="24">
        <v>666.66666666666697</v>
      </c>
      <c r="DC7" s="24">
        <v>666.66666666666697</v>
      </c>
      <c r="DD7" s="24">
        <v>666.66666666666697</v>
      </c>
      <c r="DE7" s="24">
        <v>666.66666666666697</v>
      </c>
      <c r="DF7" s="24">
        <v>666.66666666666697</v>
      </c>
      <c r="DG7" s="24">
        <v>666.66666666666697</v>
      </c>
      <c r="DH7" s="24"/>
      <c r="DI7" s="24"/>
      <c r="DJ7" s="24"/>
      <c r="DK7" s="24"/>
      <c r="DL7" s="24"/>
      <c r="DM7" s="24"/>
      <c r="DN7" s="24"/>
      <c r="DO7" s="24"/>
      <c r="DP7" s="24"/>
      <c r="DQ7" s="24"/>
      <c r="DR7" s="24"/>
      <c r="DS7" s="24"/>
      <c r="DT7" s="24"/>
      <c r="DU7" s="24"/>
      <c r="DV7" s="24"/>
      <c r="DW7" s="24"/>
      <c r="DX7" s="24"/>
      <c r="DY7" s="24"/>
      <c r="DZ7" s="24"/>
      <c r="EA7" s="24"/>
      <c r="EB7" s="24"/>
      <c r="EC7" s="24"/>
      <c r="ED7" s="24"/>
      <c r="EE7" s="24"/>
      <c r="EF7" s="24"/>
      <c r="EG7" s="24"/>
      <c r="EH7" s="24"/>
      <c r="EI7" s="24"/>
      <c r="EJ7" s="24"/>
      <c r="EK7" s="24"/>
      <c r="EL7" s="24"/>
      <c r="EM7" s="24"/>
      <c r="EN7" s="24"/>
      <c r="EO7" s="24"/>
      <c r="EP7" s="24"/>
      <c r="EQ7" s="24"/>
      <c r="ER7" s="24"/>
      <c r="ES7" s="24"/>
      <c r="ET7" s="24"/>
      <c r="EU7" s="24"/>
      <c r="EV7" s="24"/>
      <c r="EW7" s="24"/>
      <c r="EX7" s="24"/>
      <c r="EY7" s="24"/>
      <c r="EZ7" s="24"/>
      <c r="FA7" s="24"/>
      <c r="FB7" s="24"/>
      <c r="FC7" s="24"/>
      <c r="FD7" s="24"/>
      <c r="FE7" s="24"/>
      <c r="FF7" s="24"/>
      <c r="FG7" s="24"/>
      <c r="FH7" s="24"/>
      <c r="FI7" s="24"/>
      <c r="FJ7" s="24"/>
      <c r="FK7" s="24"/>
      <c r="FL7" s="24"/>
      <c r="FM7" s="24"/>
      <c r="FN7" s="24"/>
      <c r="FO7" s="24"/>
      <c r="FP7" s="24"/>
      <c r="FQ7" s="24"/>
      <c r="FR7" s="24"/>
      <c r="FS7" s="24"/>
      <c r="FT7" s="24"/>
      <c r="FU7" s="24"/>
      <c r="FV7" s="24"/>
      <c r="FW7" s="24"/>
      <c r="FX7" s="24"/>
      <c r="FY7" s="24"/>
      <c r="FZ7" s="24"/>
      <c r="GA7" s="24"/>
      <c r="GB7" s="24"/>
      <c r="GC7" s="24"/>
      <c r="GD7" s="24"/>
      <c r="GE7" s="24"/>
      <c r="GF7" s="24"/>
      <c r="GG7" s="24"/>
      <c r="GH7" s="24"/>
      <c r="GI7" s="24"/>
      <c r="GJ7" s="24"/>
      <c r="GK7" s="24"/>
      <c r="GL7" s="24"/>
      <c r="GM7" s="24"/>
      <c r="GN7" s="24"/>
      <c r="GO7" s="24"/>
      <c r="GP7" s="24"/>
      <c r="GQ7" s="24"/>
      <c r="GR7" s="24"/>
      <c r="GS7" s="24"/>
      <c r="GT7" s="24"/>
      <c r="GU7" s="24"/>
      <c r="GV7" s="24"/>
      <c r="GW7" s="24"/>
      <c r="GX7" s="24"/>
      <c r="GY7" s="24"/>
    </row>
    <row r="8" spans="1:207" ht="18" hidden="1" customHeight="1">
      <c r="A8" s="4"/>
      <c r="B8" s="8"/>
      <c r="C8" s="8"/>
      <c r="D8" s="105" t="s">
        <v>21</v>
      </c>
      <c r="E8" s="5" t="s">
        <v>22</v>
      </c>
      <c r="F8" s="7" t="s">
        <v>92</v>
      </c>
      <c r="G8" s="4" t="s">
        <v>24</v>
      </c>
      <c r="H8" s="7" t="str">
        <f>F8</f>
        <v>Vảy PP tuyển mua ngoài - ICIS</v>
      </c>
      <c r="I8" s="75"/>
      <c r="J8" s="75"/>
      <c r="K8" s="75"/>
      <c r="L8" s="75"/>
      <c r="M8" s="75"/>
      <c r="N8" s="75"/>
      <c r="O8" s="75"/>
      <c r="P8" s="75"/>
      <c r="Q8" s="75"/>
      <c r="R8" s="75"/>
      <c r="S8" s="75"/>
      <c r="T8" s="75"/>
      <c r="U8" s="75"/>
      <c r="V8" s="75"/>
      <c r="W8" s="75"/>
      <c r="X8" s="75"/>
      <c r="Y8" s="75"/>
      <c r="Z8" s="75"/>
      <c r="AA8" s="75"/>
      <c r="AB8" s="75"/>
      <c r="AC8" s="75"/>
      <c r="AD8" s="75"/>
      <c r="AE8" s="75"/>
      <c r="AF8" s="75"/>
      <c r="AG8" s="75"/>
      <c r="AH8" s="75"/>
      <c r="AI8" s="75"/>
      <c r="AJ8" s="75"/>
      <c r="AK8" s="75"/>
      <c r="AL8" s="75"/>
      <c r="AM8" s="75"/>
      <c r="AN8" s="75"/>
      <c r="AO8" s="75"/>
      <c r="AP8" s="75"/>
      <c r="AQ8" s="75"/>
      <c r="AR8" s="75"/>
      <c r="AS8" s="75"/>
      <c r="AU8" s="4"/>
      <c r="AV8" s="5" t="s">
        <v>22</v>
      </c>
      <c r="AW8" s="7" t="str">
        <f>F8</f>
        <v>Vảy PP tuyển mua ngoài - ICIS</v>
      </c>
      <c r="AX8" s="75"/>
      <c r="AY8" s="75"/>
      <c r="AZ8" s="75"/>
      <c r="BA8" s="75"/>
      <c r="BB8" s="75"/>
      <c r="BC8" s="75"/>
      <c r="BD8" s="75"/>
      <c r="BE8" s="75"/>
      <c r="BF8" s="75"/>
      <c r="BG8" s="75"/>
      <c r="BH8" s="75"/>
      <c r="BI8" s="75"/>
      <c r="BJ8" s="75"/>
      <c r="BK8" s="75"/>
      <c r="BL8" s="75"/>
      <c r="BM8" s="75"/>
      <c r="BN8" s="75"/>
      <c r="BO8" s="75"/>
      <c r="BP8" s="75"/>
      <c r="BQ8" s="75"/>
      <c r="BR8" s="75"/>
      <c r="BS8" s="75"/>
      <c r="BT8" s="75"/>
      <c r="BU8" s="75"/>
      <c r="BV8" s="75"/>
      <c r="BW8" s="75"/>
      <c r="BX8" s="75"/>
      <c r="BY8" s="75"/>
      <c r="BZ8" s="75"/>
      <c r="CA8" s="75"/>
      <c r="CB8" s="75"/>
      <c r="CC8" s="75"/>
      <c r="CD8" s="75"/>
      <c r="CE8" s="75"/>
      <c r="CF8" s="75"/>
      <c r="CG8" s="75"/>
      <c r="CH8" s="75"/>
      <c r="CI8" s="75"/>
      <c r="CJ8" s="75"/>
      <c r="CK8" s="75"/>
      <c r="CL8" s="75"/>
      <c r="CM8" s="75"/>
      <c r="CN8" s="75"/>
      <c r="CO8" s="75"/>
      <c r="CP8" s="75"/>
      <c r="CQ8" s="75"/>
      <c r="CR8" s="75"/>
      <c r="CS8" s="75"/>
      <c r="CT8" s="75"/>
      <c r="CU8" s="75"/>
      <c r="CV8" s="75"/>
      <c r="CW8" s="75"/>
      <c r="CX8" s="75"/>
      <c r="CY8" s="75"/>
      <c r="CZ8" s="75"/>
      <c r="DA8" s="75"/>
      <c r="DB8" s="75"/>
      <c r="DC8" s="75"/>
      <c r="DD8" s="75"/>
      <c r="DE8" s="75"/>
      <c r="DF8" s="75"/>
      <c r="DG8" s="75"/>
      <c r="DH8" s="75"/>
      <c r="DI8" s="75"/>
      <c r="DJ8" s="75"/>
      <c r="DK8" s="75"/>
      <c r="DL8" s="75"/>
      <c r="DM8" s="75"/>
      <c r="DN8" s="75"/>
      <c r="DO8" s="75"/>
      <c r="DP8" s="75"/>
      <c r="DQ8" s="75"/>
      <c r="DR8" s="75"/>
      <c r="DS8" s="75"/>
      <c r="DT8" s="75"/>
      <c r="DU8" s="75"/>
      <c r="DV8" s="75"/>
      <c r="DW8" s="75"/>
      <c r="DX8" s="75"/>
      <c r="DY8" s="75"/>
      <c r="DZ8" s="75"/>
      <c r="EA8" s="75"/>
      <c r="EB8" s="75"/>
      <c r="EC8" s="75"/>
      <c r="ED8" s="75"/>
      <c r="EE8" s="75"/>
      <c r="EF8" s="75"/>
      <c r="EG8" s="75"/>
      <c r="EH8" s="75"/>
      <c r="EI8" s="75"/>
      <c r="EJ8" s="75"/>
      <c r="EK8" s="75"/>
      <c r="EL8" s="75"/>
      <c r="EM8" s="75"/>
      <c r="EN8" s="75"/>
      <c r="EO8" s="75"/>
      <c r="EP8" s="75"/>
      <c r="EQ8" s="75"/>
      <c r="ER8" s="75"/>
      <c r="ES8" s="75"/>
      <c r="ET8" s="75"/>
      <c r="EU8" s="75"/>
      <c r="EV8" s="75"/>
      <c r="EW8" s="75"/>
      <c r="EX8" s="75"/>
      <c r="EY8" s="75"/>
      <c r="EZ8" s="75"/>
      <c r="FA8" s="75"/>
      <c r="FB8" s="75"/>
      <c r="FC8" s="75"/>
      <c r="FD8" s="75"/>
      <c r="FE8" s="75"/>
      <c r="FF8" s="75"/>
      <c r="FG8" s="75"/>
      <c r="FH8" s="75"/>
      <c r="FI8" s="75"/>
      <c r="FJ8" s="75"/>
      <c r="FK8" s="75"/>
      <c r="FL8" s="75"/>
      <c r="FM8" s="75"/>
      <c r="FN8" s="75"/>
      <c r="FO8" s="75"/>
      <c r="FP8" s="75"/>
      <c r="FQ8" s="75"/>
      <c r="FR8" s="75"/>
      <c r="FS8" s="75"/>
      <c r="FT8" s="75"/>
      <c r="FU8" s="75"/>
      <c r="FV8" s="75"/>
      <c r="FW8" s="75"/>
      <c r="FX8" s="75"/>
      <c r="FY8" s="75"/>
      <c r="FZ8" s="75"/>
      <c r="GA8" s="75"/>
      <c r="GB8" s="75"/>
      <c r="GC8" s="75"/>
      <c r="GD8" s="75"/>
      <c r="GE8" s="75"/>
      <c r="GF8" s="75"/>
      <c r="GG8" s="75"/>
      <c r="GH8" s="75"/>
      <c r="GI8" s="75"/>
      <c r="GJ8" s="75"/>
      <c r="GK8" s="75"/>
      <c r="GL8" s="75"/>
      <c r="GM8" s="75"/>
      <c r="GN8" s="75"/>
      <c r="GO8" s="75"/>
      <c r="GP8" s="75"/>
      <c r="GQ8" s="75"/>
      <c r="GR8" s="75"/>
      <c r="GS8" s="75"/>
      <c r="GT8" s="75"/>
      <c r="GU8" s="75"/>
      <c r="GV8" s="75"/>
      <c r="GW8" s="75"/>
      <c r="GX8" s="75"/>
      <c r="GY8" s="75"/>
    </row>
    <row r="9" spans="1:207" ht="14">
      <c r="A9" s="9">
        <v>5</v>
      </c>
      <c r="B9" s="11" t="s">
        <v>25</v>
      </c>
      <c r="C9" s="11" t="s">
        <v>26</v>
      </c>
      <c r="D9" s="9"/>
      <c r="E9" s="11" t="s">
        <v>28</v>
      </c>
      <c r="F9" s="11" t="s">
        <v>137</v>
      </c>
      <c r="G9" s="9" t="s">
        <v>24</v>
      </c>
      <c r="H9" s="11" t="s">
        <v>137</v>
      </c>
      <c r="I9" s="50">
        <f>+SUM(AY9:BB9)/COUNT(AY9:BB9)</f>
        <v>1100</v>
      </c>
      <c r="J9" s="12">
        <f>+SUM(BC9:BF9)/COUNT(BC9:BF9)</f>
        <v>1100</v>
      </c>
      <c r="K9" s="12">
        <f>+SUM(BG9:BK9)/COUNT(BG9:BK9)</f>
        <v>1100</v>
      </c>
      <c r="L9" s="50">
        <f>+SUM(BL9:BO9)/COUNT(BL9:BO9)</f>
        <v>1100</v>
      </c>
      <c r="M9" s="50">
        <f>+SUM(BP9:BS9)/COUNT(BP9:BS9)</f>
        <v>1087.5</v>
      </c>
      <c r="N9" s="50">
        <f>+SUM(BT9:BW9)/COUNT(BT9:BW9)</f>
        <v>1050</v>
      </c>
      <c r="O9" s="50">
        <f>+SUM(BX9:CA9)/COUNT(BX9:CA9)</f>
        <v>1050</v>
      </c>
      <c r="P9" s="50">
        <f>+SUM(CB9:CF9)/COUNT(CB9:CF9)</f>
        <v>950</v>
      </c>
      <c r="Q9" s="50">
        <f>+SUM(CG9:CJ9)/COUNT(CG9:CJ9)</f>
        <v>950</v>
      </c>
      <c r="R9" s="50">
        <f>+SUM(CK9:CL9)/COUNT(CK9:CL9)</f>
        <v>950</v>
      </c>
      <c r="S9" s="50">
        <f>+SUM(CL9:CQ9)/COUNT(CL9:CQ9)</f>
        <v>950</v>
      </c>
      <c r="T9" s="50">
        <f>+SUM(CS9:CW9)/COUNT(CS9:CW9)</f>
        <v>950</v>
      </c>
      <c r="U9" s="50">
        <f>+SUM(CX9:DA9)/COUNT(CX9:DA9)</f>
        <v>930</v>
      </c>
      <c r="V9" s="50">
        <f>+SUM(DB9:DD9)/COUNT(DB9:DD9)</f>
        <v>930</v>
      </c>
      <c r="W9" s="50">
        <f>+SUM(DE9:DH9)/COUNT(DE9:DH9)</f>
        <v>930</v>
      </c>
      <c r="X9" s="50">
        <f>+SUM(DI9:DL9)/COUNT(DI9:DL9)</f>
        <v>950</v>
      </c>
      <c r="Y9" s="50">
        <f>+SUM(DM9:DQ9)/COUNT(DM9:DQ9)</f>
        <v>950</v>
      </c>
      <c r="Z9" s="50">
        <f t="shared" ref="Z9:Z10" si="0">+SUM(DR9:DU9)/COUNT(DR9:DU9)</f>
        <v>950</v>
      </c>
      <c r="AA9" s="50">
        <v>950</v>
      </c>
      <c r="AB9" s="50">
        <v>950</v>
      </c>
      <c r="AC9" s="50">
        <v>910</v>
      </c>
      <c r="AD9" s="50">
        <v>900</v>
      </c>
      <c r="AE9" s="50">
        <v>900</v>
      </c>
      <c r="AF9" s="50">
        <v>900</v>
      </c>
      <c r="AG9" s="50">
        <v>900</v>
      </c>
      <c r="AH9" s="50">
        <v>820</v>
      </c>
      <c r="AI9" s="50">
        <v>840</v>
      </c>
      <c r="AJ9" s="50">
        <v>835</v>
      </c>
      <c r="AK9" s="50">
        <v>815</v>
      </c>
      <c r="AL9" s="50">
        <v>815</v>
      </c>
      <c r="AM9" s="50">
        <v>789.5</v>
      </c>
      <c r="AN9" s="50">
        <f>789.5-20</f>
        <v>769.5</v>
      </c>
      <c r="AO9" s="50">
        <f>789.5-20-15</f>
        <v>754.5</v>
      </c>
      <c r="AP9" s="50">
        <v>740</v>
      </c>
      <c r="AQ9" s="50">
        <v>715</v>
      </c>
      <c r="AR9" s="50">
        <v>705</v>
      </c>
      <c r="AS9" s="50">
        <v>695</v>
      </c>
      <c r="AU9" s="9"/>
      <c r="AV9" s="11"/>
      <c r="AW9" s="11" t="s">
        <v>137</v>
      </c>
      <c r="AX9" s="50">
        <v>1250</v>
      </c>
      <c r="AY9" s="50">
        <v>1100</v>
      </c>
      <c r="AZ9" s="50">
        <v>1100</v>
      </c>
      <c r="BA9" s="50">
        <v>1100</v>
      </c>
      <c r="BB9" s="50">
        <v>1100</v>
      </c>
      <c r="BC9" s="50">
        <v>1100</v>
      </c>
      <c r="BD9" s="50">
        <v>1100</v>
      </c>
      <c r="BE9" s="50">
        <v>1100</v>
      </c>
      <c r="BF9" s="50">
        <v>1100</v>
      </c>
      <c r="BG9" s="50">
        <v>1100</v>
      </c>
      <c r="BH9" s="50">
        <v>1100</v>
      </c>
      <c r="BI9" s="50">
        <v>1100</v>
      </c>
      <c r="BJ9" s="50">
        <v>1100</v>
      </c>
      <c r="BK9" s="50">
        <v>1100</v>
      </c>
      <c r="BL9" s="50">
        <v>1100</v>
      </c>
      <c r="BM9" s="50">
        <v>1100</v>
      </c>
      <c r="BN9" s="50">
        <v>1100</v>
      </c>
      <c r="BO9" s="50">
        <v>1100</v>
      </c>
      <c r="BP9" s="50">
        <v>1100</v>
      </c>
      <c r="BQ9" s="50">
        <v>1100</v>
      </c>
      <c r="BR9" s="50">
        <v>1100</v>
      </c>
      <c r="BS9" s="50">
        <v>1050</v>
      </c>
      <c r="BT9" s="50">
        <v>1050</v>
      </c>
      <c r="BU9" s="50">
        <v>1050</v>
      </c>
      <c r="BV9" s="50">
        <v>1050</v>
      </c>
      <c r="BW9" s="50">
        <v>1050</v>
      </c>
      <c r="BX9" s="50">
        <v>1050</v>
      </c>
      <c r="BY9" s="50">
        <v>1050</v>
      </c>
      <c r="BZ9" s="50">
        <v>1050</v>
      </c>
      <c r="CA9" s="50">
        <v>1050</v>
      </c>
      <c r="CB9" s="50">
        <v>950</v>
      </c>
      <c r="CC9" s="50">
        <v>950</v>
      </c>
      <c r="CD9" s="50">
        <v>950</v>
      </c>
      <c r="CE9" s="50">
        <v>950</v>
      </c>
      <c r="CF9" s="50">
        <v>950</v>
      </c>
      <c r="CG9" s="50">
        <v>950</v>
      </c>
      <c r="CH9" s="50">
        <v>950</v>
      </c>
      <c r="CI9" s="50">
        <v>950</v>
      </c>
      <c r="CJ9" s="50">
        <v>950</v>
      </c>
      <c r="CK9" s="50">
        <v>950</v>
      </c>
      <c r="CL9" s="50">
        <v>950</v>
      </c>
      <c r="CM9" s="50">
        <v>950</v>
      </c>
      <c r="CN9" s="50">
        <v>950</v>
      </c>
      <c r="CO9" s="50">
        <v>950</v>
      </c>
      <c r="CP9" s="50">
        <v>950</v>
      </c>
      <c r="CQ9" s="50">
        <v>950</v>
      </c>
      <c r="CR9" s="50">
        <v>950</v>
      </c>
      <c r="CS9" s="50">
        <v>950</v>
      </c>
      <c r="CT9" s="50">
        <v>950</v>
      </c>
      <c r="CU9" s="50">
        <v>950</v>
      </c>
      <c r="CV9" s="50">
        <v>950</v>
      </c>
      <c r="CW9" s="50">
        <v>950</v>
      </c>
      <c r="CX9" s="50">
        <v>930</v>
      </c>
      <c r="CY9" s="50">
        <v>930</v>
      </c>
      <c r="CZ9" s="50">
        <v>930</v>
      </c>
      <c r="DA9" s="50">
        <v>930</v>
      </c>
      <c r="DB9" s="50">
        <v>930</v>
      </c>
      <c r="DC9" s="50">
        <v>930</v>
      </c>
      <c r="DD9" s="50">
        <v>930</v>
      </c>
      <c r="DE9" s="50">
        <v>930</v>
      </c>
      <c r="DF9" s="50">
        <v>930</v>
      </c>
      <c r="DG9" s="50">
        <v>930</v>
      </c>
      <c r="DH9" s="50">
        <v>930</v>
      </c>
      <c r="DI9" s="50">
        <v>950</v>
      </c>
      <c r="DJ9" s="50">
        <v>950</v>
      </c>
      <c r="DK9" s="50">
        <v>950</v>
      </c>
      <c r="DL9" s="50">
        <v>950</v>
      </c>
      <c r="DM9" s="50">
        <v>950</v>
      </c>
      <c r="DN9" s="50">
        <v>950</v>
      </c>
      <c r="DO9" s="50">
        <v>950</v>
      </c>
      <c r="DP9" s="50">
        <v>950</v>
      </c>
      <c r="DQ9" s="50">
        <v>950</v>
      </c>
      <c r="DR9" s="50">
        <v>950</v>
      </c>
      <c r="DS9" s="50">
        <v>950</v>
      </c>
      <c r="DT9" s="50">
        <v>950</v>
      </c>
      <c r="DU9" s="50">
        <v>950</v>
      </c>
      <c r="DV9" s="50">
        <v>950</v>
      </c>
      <c r="DW9" s="50">
        <v>950</v>
      </c>
      <c r="DX9" s="50">
        <v>950</v>
      </c>
      <c r="DY9" s="50">
        <v>950</v>
      </c>
      <c r="DZ9" s="50">
        <v>950</v>
      </c>
      <c r="EA9" s="50">
        <v>950</v>
      </c>
      <c r="EB9" s="50">
        <v>950</v>
      </c>
      <c r="EC9" s="50">
        <v>950</v>
      </c>
      <c r="ED9" s="50">
        <v>950</v>
      </c>
      <c r="EE9" s="50">
        <v>910</v>
      </c>
      <c r="EF9" s="50">
        <v>910</v>
      </c>
      <c r="EG9" s="50">
        <v>910</v>
      </c>
      <c r="EH9" s="50">
        <v>910</v>
      </c>
      <c r="EI9" s="50">
        <v>900</v>
      </c>
      <c r="EJ9" s="50">
        <v>900</v>
      </c>
      <c r="EK9" s="50">
        <v>900</v>
      </c>
      <c r="EL9" s="50">
        <v>900</v>
      </c>
      <c r="EM9" s="50">
        <v>900</v>
      </c>
      <c r="EN9" s="50">
        <v>900</v>
      </c>
      <c r="EO9" s="50">
        <v>900</v>
      </c>
      <c r="EP9" s="50">
        <v>900</v>
      </c>
      <c r="EQ9" s="50">
        <v>900</v>
      </c>
      <c r="ER9" s="50">
        <v>900</v>
      </c>
      <c r="ES9" s="50">
        <v>900</v>
      </c>
      <c r="ET9" s="50">
        <v>900</v>
      </c>
      <c r="EU9" s="50">
        <v>900</v>
      </c>
      <c r="EV9" s="50">
        <v>900</v>
      </c>
      <c r="EW9" s="50">
        <v>900</v>
      </c>
      <c r="EX9" s="50">
        <v>900</v>
      </c>
      <c r="EY9" s="50">
        <v>900</v>
      </c>
      <c r="EZ9" s="50">
        <v>820</v>
      </c>
      <c r="FA9" s="50">
        <v>820</v>
      </c>
      <c r="FB9" s="50">
        <v>820</v>
      </c>
      <c r="FC9" s="50">
        <v>820</v>
      </c>
      <c r="FD9" s="50">
        <v>840</v>
      </c>
      <c r="FE9" s="50">
        <v>840</v>
      </c>
      <c r="FF9" s="50">
        <v>840</v>
      </c>
      <c r="FG9" s="50">
        <v>840</v>
      </c>
      <c r="FH9" s="50">
        <v>835</v>
      </c>
      <c r="FI9" s="50">
        <v>835</v>
      </c>
      <c r="FJ9" s="50">
        <v>835</v>
      </c>
      <c r="FK9" s="50">
        <v>835</v>
      </c>
      <c r="FL9" s="50">
        <v>815</v>
      </c>
      <c r="FM9" s="50">
        <v>815</v>
      </c>
      <c r="FN9" s="50">
        <v>815</v>
      </c>
      <c r="FO9" s="50">
        <v>815</v>
      </c>
      <c r="FP9" s="50">
        <v>815</v>
      </c>
      <c r="FQ9" s="50">
        <v>815</v>
      </c>
      <c r="FR9" s="50">
        <v>815</v>
      </c>
      <c r="FS9" s="50">
        <v>815</v>
      </c>
      <c r="FT9" s="50">
        <v>815</v>
      </c>
      <c r="FU9" s="50">
        <v>789.5</v>
      </c>
      <c r="FV9" s="50">
        <v>789.5</v>
      </c>
      <c r="FW9" s="50">
        <v>789.5</v>
      </c>
      <c r="FX9" s="50">
        <v>789.5</v>
      </c>
      <c r="FY9" s="50">
        <v>789.5</v>
      </c>
      <c r="FZ9" s="50">
        <f>789.5-20</f>
        <v>769.5</v>
      </c>
      <c r="GA9" s="50">
        <f t="shared" ref="GA9:GC9" si="1">789.5-20</f>
        <v>769.5</v>
      </c>
      <c r="GB9" s="50">
        <f t="shared" si="1"/>
        <v>769.5</v>
      </c>
      <c r="GC9" s="50">
        <f t="shared" si="1"/>
        <v>769.5</v>
      </c>
      <c r="GD9" s="50">
        <f>789.5-20-15</f>
        <v>754.5</v>
      </c>
      <c r="GE9" s="50">
        <f t="shared" ref="GE9:GG9" si="2">789.5-20-15</f>
        <v>754.5</v>
      </c>
      <c r="GF9" s="50">
        <f t="shared" si="2"/>
        <v>754.5</v>
      </c>
      <c r="GG9" s="50">
        <f t="shared" si="2"/>
        <v>754.5</v>
      </c>
      <c r="GH9" s="50">
        <v>740</v>
      </c>
      <c r="GI9" s="50">
        <v>740</v>
      </c>
      <c r="GJ9" s="50">
        <v>740</v>
      </c>
      <c r="GK9" s="50">
        <v>740</v>
      </c>
      <c r="GL9" s="50">
        <v>740</v>
      </c>
      <c r="GM9" s="50">
        <v>715</v>
      </c>
      <c r="GN9" s="50">
        <v>715</v>
      </c>
      <c r="GO9" s="50">
        <v>715</v>
      </c>
      <c r="GP9" s="50">
        <v>715</v>
      </c>
      <c r="GQ9" s="50">
        <v>705</v>
      </c>
      <c r="GR9" s="50">
        <v>705</v>
      </c>
      <c r="GS9" s="50">
        <v>705</v>
      </c>
      <c r="GT9" s="50">
        <v>705</v>
      </c>
      <c r="GU9" s="50">
        <v>695</v>
      </c>
      <c r="GV9" s="50">
        <v>695</v>
      </c>
      <c r="GW9" s="50">
        <v>695</v>
      </c>
      <c r="GX9" s="50">
        <v>695</v>
      </c>
      <c r="GY9" s="50">
        <v>695</v>
      </c>
    </row>
    <row r="10" spans="1:207" ht="14" hidden="1">
      <c r="A10" s="9"/>
      <c r="B10" s="11"/>
      <c r="C10" s="11"/>
      <c r="D10" s="9"/>
      <c r="E10" s="11"/>
      <c r="F10" s="11" t="s">
        <v>110</v>
      </c>
      <c r="G10" s="9"/>
      <c r="H10" s="11" t="s">
        <v>93</v>
      </c>
      <c r="I10" s="50">
        <f>+SUM(AY10:BB10)/COUNT(AY10:BB10)</f>
        <v>1125</v>
      </c>
      <c r="J10" s="12">
        <f>+SUM(BC10:BF10)/COUNT(BC10:BF10)</f>
        <v>1125</v>
      </c>
      <c r="K10" s="12">
        <f>+SUM(BG10:BK10)/COUNT(BG10:BK10)</f>
        <v>1125</v>
      </c>
      <c r="L10" s="50">
        <f>+SUM(BL10:BO10)/COUNT(BL10:BO10)</f>
        <v>1125</v>
      </c>
      <c r="M10" s="50">
        <f>+SUM(BP10:BS10)/COUNT(BP10:BS10)</f>
        <v>1112.5</v>
      </c>
      <c r="N10" s="50">
        <f>+SUM(BT10:BW10)/COUNT(BT10:BW10)</f>
        <v>1075</v>
      </c>
      <c r="O10" s="50">
        <f>+SUM(BX10:CA10)/COUNT(BX10:CA10)</f>
        <v>1075</v>
      </c>
      <c r="P10" s="50">
        <f>+SUM(CB10:CF10)/COUNT(CB10:CF10)</f>
        <v>975</v>
      </c>
      <c r="Q10" s="50">
        <f>+SUM(CG10:CJ10)/COUNT(CG10:CJ10)</f>
        <v>975</v>
      </c>
      <c r="R10" s="50">
        <f>+SUM(CK10:CL10)/COUNT(CK10:CL10)</f>
        <v>975</v>
      </c>
      <c r="S10" s="50">
        <f>+SUM(CL10:CQ10)/COUNT(CL10:CQ10)</f>
        <v>975</v>
      </c>
      <c r="T10" s="50">
        <f>+SUM(CS10:CW10)/COUNT(CS10:CW10)</f>
        <v>975</v>
      </c>
      <c r="U10" s="50">
        <f t="shared" ref="U10:U13" si="3">+SUM(CX10:DA10)/COUNT(CX10:DA10)</f>
        <v>955</v>
      </c>
      <c r="V10" s="50">
        <f t="shared" ref="V10:V13" si="4">+SUM(DB10:DD10)/COUNT(DB10:DD10)</f>
        <v>955</v>
      </c>
      <c r="W10" s="50">
        <f t="shared" ref="W10:W13" si="5">+SUM(DE10:DH10)/COUNT(DE10:DH10)</f>
        <v>955</v>
      </c>
      <c r="X10" s="50">
        <f>+SUM(DI10:DL10)/COUNT(DI10:DL10)</f>
        <v>975</v>
      </c>
      <c r="Y10" s="50">
        <f>+SUM(DM10:DQ10)/COUNT(DM10:DQ10)</f>
        <v>975</v>
      </c>
      <c r="Z10" s="50">
        <f t="shared" si="0"/>
        <v>975</v>
      </c>
      <c r="AA10" s="50">
        <v>975</v>
      </c>
      <c r="AB10" s="50">
        <v>975</v>
      </c>
      <c r="AC10" s="50">
        <v>975</v>
      </c>
      <c r="AD10" s="50">
        <v>975</v>
      </c>
      <c r="AE10" s="50">
        <v>975</v>
      </c>
      <c r="AF10" s="50">
        <v>975</v>
      </c>
      <c r="AG10" s="50">
        <v>975</v>
      </c>
      <c r="AH10" s="50">
        <v>975</v>
      </c>
      <c r="AI10" s="50">
        <v>975</v>
      </c>
      <c r="AJ10" s="50">
        <v>975</v>
      </c>
      <c r="AK10" s="50">
        <v>975</v>
      </c>
      <c r="AL10" s="50">
        <v>975</v>
      </c>
      <c r="AM10" s="50">
        <v>975</v>
      </c>
      <c r="AN10" s="50">
        <v>975</v>
      </c>
      <c r="AO10" s="50">
        <v>975</v>
      </c>
      <c r="AP10" s="50">
        <v>975</v>
      </c>
      <c r="AQ10" s="50">
        <v>975</v>
      </c>
      <c r="AR10" s="50">
        <v>975</v>
      </c>
      <c r="AS10" s="50">
        <v>975</v>
      </c>
      <c r="AU10" s="9"/>
      <c r="AV10" s="11"/>
      <c r="AW10" s="11" t="s">
        <v>95</v>
      </c>
      <c r="AX10" s="50">
        <f>+AX9+40</f>
        <v>1290</v>
      </c>
      <c r="AY10" s="50">
        <f>+AY9+25</f>
        <v>1125</v>
      </c>
      <c r="AZ10" s="50">
        <f t="shared" ref="AZ10:CG10" si="6">+AZ9+25</f>
        <v>1125</v>
      </c>
      <c r="BA10" s="50">
        <f t="shared" si="6"/>
        <v>1125</v>
      </c>
      <c r="BB10" s="50">
        <f t="shared" si="6"/>
        <v>1125</v>
      </c>
      <c r="BC10" s="50">
        <f t="shared" si="6"/>
        <v>1125</v>
      </c>
      <c r="BD10" s="50">
        <f t="shared" si="6"/>
        <v>1125</v>
      </c>
      <c r="BE10" s="50">
        <f t="shared" si="6"/>
        <v>1125</v>
      </c>
      <c r="BF10" s="50">
        <f t="shared" si="6"/>
        <v>1125</v>
      </c>
      <c r="BG10" s="50">
        <f t="shared" si="6"/>
        <v>1125</v>
      </c>
      <c r="BH10" s="50">
        <f t="shared" si="6"/>
        <v>1125</v>
      </c>
      <c r="BI10" s="50">
        <f t="shared" si="6"/>
        <v>1125</v>
      </c>
      <c r="BJ10" s="50">
        <f t="shared" si="6"/>
        <v>1125</v>
      </c>
      <c r="BK10" s="50">
        <f t="shared" si="6"/>
        <v>1125</v>
      </c>
      <c r="BL10" s="50">
        <f t="shared" si="6"/>
        <v>1125</v>
      </c>
      <c r="BM10" s="50">
        <f t="shared" si="6"/>
        <v>1125</v>
      </c>
      <c r="BN10" s="50">
        <f t="shared" si="6"/>
        <v>1125</v>
      </c>
      <c r="BO10" s="50">
        <f t="shared" si="6"/>
        <v>1125</v>
      </c>
      <c r="BP10" s="50">
        <f t="shared" si="6"/>
        <v>1125</v>
      </c>
      <c r="BQ10" s="50">
        <f t="shared" si="6"/>
        <v>1125</v>
      </c>
      <c r="BR10" s="50">
        <f t="shared" si="6"/>
        <v>1125</v>
      </c>
      <c r="BS10" s="50">
        <f t="shared" si="6"/>
        <v>1075</v>
      </c>
      <c r="BT10" s="50">
        <f t="shared" si="6"/>
        <v>1075</v>
      </c>
      <c r="BU10" s="50">
        <f t="shared" si="6"/>
        <v>1075</v>
      </c>
      <c r="BV10" s="50">
        <f t="shared" si="6"/>
        <v>1075</v>
      </c>
      <c r="BW10" s="50">
        <f t="shared" si="6"/>
        <v>1075</v>
      </c>
      <c r="BX10" s="50">
        <f t="shared" si="6"/>
        <v>1075</v>
      </c>
      <c r="BY10" s="50">
        <f t="shared" si="6"/>
        <v>1075</v>
      </c>
      <c r="BZ10" s="50">
        <f t="shared" si="6"/>
        <v>1075</v>
      </c>
      <c r="CA10" s="50">
        <f t="shared" si="6"/>
        <v>1075</v>
      </c>
      <c r="CB10" s="50">
        <f t="shared" si="6"/>
        <v>975</v>
      </c>
      <c r="CC10" s="50">
        <f t="shared" si="6"/>
        <v>975</v>
      </c>
      <c r="CD10" s="50">
        <f t="shared" si="6"/>
        <v>975</v>
      </c>
      <c r="CE10" s="50">
        <f t="shared" si="6"/>
        <v>975</v>
      </c>
      <c r="CF10" s="50">
        <f t="shared" si="6"/>
        <v>975</v>
      </c>
      <c r="CG10" s="50">
        <f t="shared" si="6"/>
        <v>975</v>
      </c>
      <c r="CH10" s="50">
        <f t="shared" ref="CH10:CN10" si="7">+CH9+25</f>
        <v>975</v>
      </c>
      <c r="CI10" s="50">
        <f t="shared" si="7"/>
        <v>975</v>
      </c>
      <c r="CJ10" s="50">
        <f t="shared" si="7"/>
        <v>975</v>
      </c>
      <c r="CK10" s="50">
        <f t="shared" si="7"/>
        <v>975</v>
      </c>
      <c r="CL10" s="50">
        <f t="shared" si="7"/>
        <v>975</v>
      </c>
      <c r="CM10" s="50">
        <f t="shared" si="7"/>
        <v>975</v>
      </c>
      <c r="CN10" s="50">
        <f t="shared" si="7"/>
        <v>975</v>
      </c>
      <c r="CO10" s="50">
        <f t="shared" ref="CO10:CP10" si="8">+CO9+25</f>
        <v>975</v>
      </c>
      <c r="CP10" s="50">
        <f t="shared" si="8"/>
        <v>975</v>
      </c>
      <c r="CQ10" s="50">
        <f t="shared" ref="CQ10:CR10" si="9">+CQ9+25</f>
        <v>975</v>
      </c>
      <c r="CR10" s="50">
        <f t="shared" si="9"/>
        <v>975</v>
      </c>
      <c r="CS10" s="50">
        <f t="shared" ref="CS10:CT10" si="10">+CS9+25</f>
        <v>975</v>
      </c>
      <c r="CT10" s="50">
        <f t="shared" si="10"/>
        <v>975</v>
      </c>
      <c r="CU10" s="50">
        <f t="shared" ref="CU10:CW10" si="11">+CU9+25</f>
        <v>975</v>
      </c>
      <c r="CV10" s="50">
        <f t="shared" si="11"/>
        <v>975</v>
      </c>
      <c r="CW10" s="50">
        <f t="shared" si="11"/>
        <v>975</v>
      </c>
      <c r="CX10" s="50">
        <f t="shared" ref="CX10:CY10" si="12">+CX9+25</f>
        <v>955</v>
      </c>
      <c r="CY10" s="50">
        <f t="shared" si="12"/>
        <v>955</v>
      </c>
      <c r="CZ10" s="50">
        <f t="shared" ref="CZ10:DA10" si="13">+CZ9+25</f>
        <v>955</v>
      </c>
      <c r="DA10" s="50">
        <f t="shared" si="13"/>
        <v>955</v>
      </c>
      <c r="DB10" s="50">
        <f t="shared" ref="DB10:DC10" si="14">+DB9+25</f>
        <v>955</v>
      </c>
      <c r="DC10" s="50">
        <f t="shared" si="14"/>
        <v>955</v>
      </c>
      <c r="DD10" s="50">
        <f t="shared" ref="DD10:DE10" si="15">+DD9+25</f>
        <v>955</v>
      </c>
      <c r="DE10" s="50">
        <f t="shared" si="15"/>
        <v>955</v>
      </c>
      <c r="DF10" s="50">
        <f t="shared" ref="DF10:DI10" si="16">+DF9+25</f>
        <v>955</v>
      </c>
      <c r="DG10" s="50">
        <f t="shared" si="16"/>
        <v>955</v>
      </c>
      <c r="DH10" s="50">
        <f t="shared" si="16"/>
        <v>955</v>
      </c>
      <c r="DI10" s="50">
        <f t="shared" si="16"/>
        <v>975</v>
      </c>
      <c r="DJ10" s="50">
        <f t="shared" ref="DJ10:DL10" si="17">+DJ9+25</f>
        <v>975</v>
      </c>
      <c r="DK10" s="50">
        <f t="shared" si="17"/>
        <v>975</v>
      </c>
      <c r="DL10" s="50">
        <f t="shared" si="17"/>
        <v>975</v>
      </c>
      <c r="DM10" s="50">
        <f t="shared" ref="DM10:DN10" si="18">+DM9+25</f>
        <v>975</v>
      </c>
      <c r="DN10" s="50">
        <f t="shared" si="18"/>
        <v>975</v>
      </c>
      <c r="DO10" s="50">
        <f t="shared" ref="DO10:DP10" si="19">+DO9+25</f>
        <v>975</v>
      </c>
      <c r="DP10" s="50">
        <f t="shared" si="19"/>
        <v>975</v>
      </c>
      <c r="DQ10" s="50">
        <f t="shared" ref="DQ10:DR10" si="20">+DQ9+25</f>
        <v>975</v>
      </c>
      <c r="DR10" s="50">
        <f t="shared" si="20"/>
        <v>975</v>
      </c>
      <c r="DS10" s="50">
        <f t="shared" ref="DS10:DT10" si="21">+DS9+25</f>
        <v>975</v>
      </c>
      <c r="DT10" s="50">
        <f t="shared" si="21"/>
        <v>975</v>
      </c>
      <c r="DU10" s="50">
        <f t="shared" ref="DU10:DV10" si="22">+DU9+25</f>
        <v>975</v>
      </c>
      <c r="DV10" s="50">
        <f t="shared" si="22"/>
        <v>975</v>
      </c>
      <c r="DW10" s="50">
        <f t="shared" ref="DW10:DX10" si="23">+DW9+25</f>
        <v>975</v>
      </c>
      <c r="DX10" s="50">
        <f t="shared" si="23"/>
        <v>975</v>
      </c>
      <c r="DY10" s="50">
        <f t="shared" ref="DY10:DZ10" si="24">+DY9+25</f>
        <v>975</v>
      </c>
      <c r="DZ10" s="50">
        <f t="shared" si="24"/>
        <v>975</v>
      </c>
      <c r="EA10" s="50">
        <f t="shared" ref="EA10:EB10" si="25">+EA9+25</f>
        <v>975</v>
      </c>
      <c r="EB10" s="50">
        <f t="shared" si="25"/>
        <v>975</v>
      </c>
      <c r="EC10" s="50">
        <f t="shared" ref="EC10:EE10" si="26">+EC9+25</f>
        <v>975</v>
      </c>
      <c r="ED10" s="50">
        <f t="shared" si="26"/>
        <v>975</v>
      </c>
      <c r="EE10" s="50">
        <f t="shared" si="26"/>
        <v>935</v>
      </c>
      <c r="EF10" s="50">
        <f t="shared" ref="EF10:EG10" si="27">+EF9+25</f>
        <v>935</v>
      </c>
      <c r="EG10" s="50">
        <f t="shared" si="27"/>
        <v>935</v>
      </c>
      <c r="EH10" s="50">
        <f t="shared" ref="EH10:EJ10" si="28">+EH9+25</f>
        <v>935</v>
      </c>
      <c r="EI10" s="50">
        <f t="shared" si="28"/>
        <v>925</v>
      </c>
      <c r="EJ10" s="50">
        <f t="shared" si="28"/>
        <v>925</v>
      </c>
      <c r="EK10" s="50">
        <f t="shared" ref="EK10" si="29">+EK9+25</f>
        <v>925</v>
      </c>
      <c r="EL10" s="50"/>
      <c r="EM10" s="50"/>
      <c r="EN10" s="50"/>
      <c r="EO10" s="50"/>
      <c r="EP10" s="50"/>
      <c r="EQ10" s="50"/>
      <c r="ER10" s="50"/>
      <c r="ES10" s="50"/>
      <c r="ET10" s="50"/>
      <c r="EU10" s="50"/>
      <c r="EV10" s="50"/>
      <c r="EW10" s="50"/>
      <c r="EX10" s="50"/>
      <c r="EY10" s="50"/>
      <c r="EZ10" s="50"/>
      <c r="FA10" s="50"/>
      <c r="FB10" s="50"/>
      <c r="FC10" s="50"/>
      <c r="FD10" s="50"/>
      <c r="FE10" s="50"/>
      <c r="FF10" s="50"/>
      <c r="FG10" s="50"/>
      <c r="FH10" s="50"/>
      <c r="FI10" s="50"/>
      <c r="FJ10" s="50"/>
      <c r="FK10" s="50"/>
      <c r="FL10" s="50"/>
      <c r="FM10" s="50"/>
      <c r="FN10" s="50"/>
      <c r="FO10" s="50"/>
      <c r="FP10" s="50"/>
      <c r="FQ10" s="50"/>
      <c r="FR10" s="50"/>
      <c r="FS10" s="50"/>
      <c r="FT10" s="50"/>
      <c r="FU10" s="50"/>
      <c r="FV10" s="50"/>
      <c r="FW10" s="50"/>
      <c r="FX10" s="50"/>
      <c r="FY10" s="50"/>
      <c r="FZ10" s="50"/>
      <c r="GA10" s="50"/>
      <c r="GB10" s="50"/>
      <c r="GC10" s="50"/>
      <c r="GD10" s="50"/>
      <c r="GE10" s="50"/>
      <c r="GF10" s="50"/>
      <c r="GG10" s="50"/>
      <c r="GH10" s="50"/>
      <c r="GI10" s="50"/>
      <c r="GJ10" s="50"/>
      <c r="GK10" s="50"/>
      <c r="GL10" s="50"/>
      <c r="GM10" s="50"/>
      <c r="GN10" s="50"/>
      <c r="GO10" s="50"/>
      <c r="GP10" s="50"/>
      <c r="GQ10" s="50"/>
      <c r="GR10" s="50"/>
      <c r="GS10" s="50"/>
      <c r="GT10" s="50"/>
      <c r="GU10" s="50"/>
      <c r="GV10" s="50"/>
      <c r="GW10" s="50"/>
      <c r="GX10" s="50"/>
      <c r="GY10" s="50"/>
    </row>
    <row r="11" spans="1:207" s="13" customFormat="1" ht="14">
      <c r="A11" s="54">
        <v>9</v>
      </c>
      <c r="B11" s="55"/>
      <c r="C11" s="55"/>
      <c r="D11" s="106" t="s">
        <v>37</v>
      </c>
      <c r="E11" s="55" t="s">
        <v>38</v>
      </c>
      <c r="F11" s="55" t="s">
        <v>128</v>
      </c>
      <c r="G11" s="54" t="s">
        <v>24</v>
      </c>
      <c r="H11" s="111" t="str">
        <f>F11</f>
        <v>Hạt đen (Châu Âu) - ICIS</v>
      </c>
      <c r="I11" s="129">
        <f>+SUM(AY11:BB11)/COUNT(AY11:BB11)</f>
        <v>1063.43</v>
      </c>
      <c r="J11" s="129">
        <f>+SUM(BC11:BF11)/COUNT(BC11:BF11)</f>
        <v>1063.4425000000001</v>
      </c>
      <c r="K11" s="129">
        <f>+SUM(BG11:BK11)/COUNT(BG11:BK11)</f>
        <v>1061.0620000000001</v>
      </c>
      <c r="L11" s="129">
        <f>+SUM(BL11:BO11)/COUNT(BL11:BO11)</f>
        <v>1038.75</v>
      </c>
      <c r="M11" s="129">
        <f>+SUM(BP11:BS11)/COUNT(BP11:BS11)</f>
        <v>963</v>
      </c>
      <c r="N11" s="129">
        <f>+SUM(BT11:BW11)/COUNT(BT11:BW11)</f>
        <v>941.7075000000001</v>
      </c>
      <c r="O11" s="129">
        <f>+SUM(BX11:CA11)/COUNT(BX11:CA11)</f>
        <v>936.71500000000015</v>
      </c>
      <c r="P11" s="129">
        <f>+SUM(CB11:CF11)/COUNT(CB11:CF11)</f>
        <v>890.976</v>
      </c>
      <c r="Q11" s="129">
        <f>+SUM(CG11:CJ11)/COUNT(CG11:CJ11)</f>
        <v>873.09750000000008</v>
      </c>
      <c r="R11" s="129">
        <f>+SUM(CK11:CN11)/COUNT(CK11:CN11)</f>
        <v>850.12249999999995</v>
      </c>
      <c r="S11" s="129">
        <f>+SUM(CO11:CR11)/COUNT(CO11:CR11)</f>
        <v>862.17</v>
      </c>
      <c r="T11" s="129">
        <f>+SUM(CS11:CW11)/COUNT(CS11:CW11)</f>
        <v>813.33400000000006</v>
      </c>
      <c r="U11" s="129">
        <f t="shared" si="3"/>
        <v>795.74750000000006</v>
      </c>
      <c r="V11" s="129">
        <f t="shared" si="4"/>
        <v>808.88999999999987</v>
      </c>
      <c r="W11" s="129">
        <f t="shared" si="5"/>
        <v>807.18</v>
      </c>
      <c r="X11" s="129"/>
      <c r="Y11" s="129"/>
      <c r="Z11" s="129"/>
      <c r="AA11" s="129"/>
      <c r="AB11" s="129"/>
      <c r="AC11" s="129"/>
      <c r="AD11" s="129"/>
      <c r="AE11" s="129"/>
      <c r="AF11" s="129"/>
      <c r="AG11" s="129"/>
      <c r="AH11" s="129"/>
      <c r="AI11" s="129"/>
      <c r="AJ11" s="129"/>
      <c r="AK11" s="129"/>
      <c r="AL11" s="129"/>
      <c r="AM11" s="129"/>
      <c r="AN11" s="129"/>
      <c r="AO11" s="129"/>
      <c r="AP11" s="129"/>
      <c r="AQ11" s="129"/>
      <c r="AR11" s="129"/>
      <c r="AS11" s="129"/>
      <c r="AU11" s="54" t="s">
        <v>37</v>
      </c>
      <c r="AV11" s="55" t="s">
        <v>38</v>
      </c>
      <c r="AW11" s="111" t="str">
        <f>H11</f>
        <v>Hạt đen (Châu Âu) - ICIS</v>
      </c>
      <c r="AX11" s="114" t="e">
        <f>#REF!</f>
        <v>#REF!</v>
      </c>
      <c r="AY11" s="56">
        <v>1041.21</v>
      </c>
      <c r="AZ11" s="56">
        <v>1069.97</v>
      </c>
      <c r="BA11" s="56">
        <v>1068.1099999999999</v>
      </c>
      <c r="BB11" s="56">
        <v>1074.43</v>
      </c>
      <c r="BC11" s="56">
        <v>1082.6099999999999</v>
      </c>
      <c r="BD11" s="56">
        <v>1065.47</v>
      </c>
      <c r="BE11" s="56">
        <v>1056.6500000000001</v>
      </c>
      <c r="BF11" s="56">
        <v>1049.04</v>
      </c>
      <c r="BG11" s="56">
        <v>1050.44</v>
      </c>
      <c r="BH11" s="56">
        <v>1046.3599999999999</v>
      </c>
      <c r="BI11" s="56">
        <v>1051.3900000000001</v>
      </c>
      <c r="BJ11" s="56">
        <v>1078.1199999999999</v>
      </c>
      <c r="BK11" s="56">
        <v>1079</v>
      </c>
      <c r="BL11" s="56">
        <v>1086</v>
      </c>
      <c r="BM11" s="58">
        <v>1086</v>
      </c>
      <c r="BN11" s="58">
        <v>992</v>
      </c>
      <c r="BO11" s="58">
        <v>991</v>
      </c>
      <c r="BP11" s="58">
        <v>982</v>
      </c>
      <c r="BQ11" s="58">
        <v>970</v>
      </c>
      <c r="BR11" s="58">
        <v>965</v>
      </c>
      <c r="BS11" s="58">
        <v>935</v>
      </c>
      <c r="BT11" s="58">
        <v>937.84</v>
      </c>
      <c r="BU11" s="58">
        <v>951.1</v>
      </c>
      <c r="BV11" s="58">
        <v>952.95</v>
      </c>
      <c r="BW11" s="58">
        <v>924.94</v>
      </c>
      <c r="BX11" s="58">
        <v>924.94</v>
      </c>
      <c r="BY11" s="58">
        <v>924.07</v>
      </c>
      <c r="BZ11" s="58">
        <v>951.34</v>
      </c>
      <c r="CA11" s="58">
        <v>946.51</v>
      </c>
      <c r="CB11" s="58">
        <v>896.52</v>
      </c>
      <c r="CC11" s="58">
        <v>892.09</v>
      </c>
      <c r="CD11" s="58">
        <v>897.78</v>
      </c>
      <c r="CE11" s="58">
        <v>886.14</v>
      </c>
      <c r="CF11" s="102">
        <v>882.35</v>
      </c>
      <c r="CG11" s="102">
        <v>882.35</v>
      </c>
      <c r="CH11" s="102">
        <v>872.34</v>
      </c>
      <c r="CI11" s="102">
        <v>868.61</v>
      </c>
      <c r="CJ11" s="102">
        <v>869.09</v>
      </c>
      <c r="CK11" s="102">
        <v>851.44</v>
      </c>
      <c r="CL11" s="102">
        <v>847.31</v>
      </c>
      <c r="CM11" s="102">
        <v>850.87</v>
      </c>
      <c r="CN11" s="102">
        <v>850.87</v>
      </c>
      <c r="CO11" s="102">
        <v>847.98</v>
      </c>
      <c r="CP11" s="102">
        <v>862.54</v>
      </c>
      <c r="CQ11" s="102">
        <v>862.54</v>
      </c>
      <c r="CR11" s="102">
        <v>875.62</v>
      </c>
      <c r="CS11" s="102">
        <v>878.23</v>
      </c>
      <c r="CT11" s="102">
        <v>796.36</v>
      </c>
      <c r="CU11" s="102">
        <v>787.17</v>
      </c>
      <c r="CV11" s="102">
        <v>802.63</v>
      </c>
      <c r="CW11" s="102">
        <v>802.28</v>
      </c>
      <c r="CX11" s="102">
        <v>799.72</v>
      </c>
      <c r="CY11" s="102">
        <v>799.05</v>
      </c>
      <c r="CZ11" s="102">
        <v>792.11</v>
      </c>
      <c r="DA11" s="102">
        <v>792.11</v>
      </c>
      <c r="DB11" s="102">
        <v>812.31</v>
      </c>
      <c r="DC11" s="102">
        <v>807.18</v>
      </c>
      <c r="DD11" s="102">
        <v>807.18</v>
      </c>
      <c r="DE11" s="102">
        <v>807.18</v>
      </c>
      <c r="DF11" s="102"/>
      <c r="DG11" s="102"/>
      <c r="DH11" s="102"/>
      <c r="DI11" s="102"/>
      <c r="DJ11" s="102"/>
      <c r="DK11" s="102"/>
      <c r="DL11" s="102"/>
      <c r="DM11" s="102"/>
      <c r="DN11" s="102"/>
      <c r="DO11" s="102"/>
      <c r="DP11" s="102"/>
      <c r="DQ11" s="102"/>
      <c r="DR11" s="102"/>
      <c r="DS11" s="102"/>
      <c r="DT11" s="102"/>
      <c r="DU11" s="102"/>
      <c r="DV11" s="102"/>
      <c r="DW11" s="102"/>
      <c r="DX11" s="102"/>
      <c r="DY11" s="102"/>
      <c r="DZ11" s="102"/>
      <c r="EA11" s="102"/>
      <c r="EB11" s="102"/>
      <c r="EC11" s="102"/>
      <c r="ED11" s="102"/>
      <c r="EE11" s="102"/>
      <c r="EF11" s="102"/>
      <c r="EG11" s="102"/>
      <c r="EH11" s="102"/>
      <c r="EI11" s="102"/>
      <c r="EJ11" s="102"/>
      <c r="EK11" s="102"/>
      <c r="EL11" s="102"/>
      <c r="EM11" s="102"/>
      <c r="EN11" s="102"/>
      <c r="EO11" s="102"/>
      <c r="EP11" s="102"/>
      <c r="EQ11" s="102"/>
      <c r="ER11" s="102"/>
      <c r="ES11" s="102"/>
      <c r="ET11" s="102"/>
      <c r="EU11" s="102"/>
      <c r="EV11" s="102"/>
      <c r="EW11" s="102"/>
      <c r="EX11" s="102"/>
      <c r="EY11" s="102"/>
      <c r="EZ11" s="102"/>
      <c r="FA11" s="102"/>
      <c r="FB11" s="102"/>
      <c r="FC11" s="102"/>
      <c r="FD11" s="102"/>
      <c r="FE11" s="102"/>
      <c r="FF11" s="102"/>
      <c r="FG11" s="102"/>
      <c r="FH11" s="102"/>
      <c r="FI11" s="102"/>
      <c r="FJ11" s="102"/>
      <c r="FK11" s="102"/>
      <c r="FL11" s="102"/>
      <c r="FM11" s="102"/>
      <c r="FN11" s="102"/>
      <c r="FO11" s="102"/>
      <c r="FP11" s="102"/>
      <c r="FQ11" s="102"/>
      <c r="FR11" s="102"/>
      <c r="FS11" s="102"/>
      <c r="FT11" s="102"/>
      <c r="FU11" s="102"/>
      <c r="FV11" s="102"/>
      <c r="FW11" s="102"/>
      <c r="FX11" s="102"/>
      <c r="FY11" s="102"/>
      <c r="FZ11" s="102"/>
      <c r="GA11" s="102"/>
      <c r="GB11" s="102"/>
      <c r="GC11" s="102"/>
      <c r="GD11" s="102"/>
      <c r="GE11" s="102"/>
      <c r="GF11" s="102"/>
      <c r="GG11" s="102"/>
      <c r="GH11" s="102"/>
      <c r="GI11" s="102"/>
      <c r="GJ11" s="102"/>
      <c r="GK11" s="102"/>
      <c r="GL11" s="102"/>
      <c r="GM11" s="102"/>
      <c r="GN11" s="102"/>
      <c r="GO11" s="102"/>
      <c r="GP11" s="102"/>
      <c r="GQ11" s="102"/>
      <c r="GR11" s="102"/>
      <c r="GS11" s="102"/>
      <c r="GT11" s="102"/>
      <c r="GU11" s="102"/>
      <c r="GV11" s="102"/>
      <c r="GW11" s="102"/>
      <c r="GX11" s="102"/>
      <c r="GY11" s="102"/>
    </row>
    <row r="12" spans="1:207" s="13" customFormat="1" ht="14">
      <c r="A12" s="54">
        <v>9</v>
      </c>
      <c r="B12" s="55"/>
      <c r="C12" s="55"/>
      <c r="D12" s="54" t="s">
        <v>37</v>
      </c>
      <c r="E12" s="55" t="s">
        <v>38</v>
      </c>
      <c r="F12" s="55" t="s">
        <v>129</v>
      </c>
      <c r="G12" s="54" t="s">
        <v>24</v>
      </c>
      <c r="H12" s="111" t="str">
        <f>F12</f>
        <v>Hạt màu (Châu Âu) - ICIS</v>
      </c>
      <c r="I12" s="130">
        <f>+SUM(AY12:BB12)/COUNT(AY12:BB12)</f>
        <v>1476.7075</v>
      </c>
      <c r="J12" s="130">
        <f>+SUM(BC12:BF12)/COUNT(BC12:BF12)</f>
        <v>1396.4399999999998</v>
      </c>
      <c r="K12" s="130">
        <f>+SUM(BG12:BK12)/COUNT(BG12:BK12)</f>
        <v>1393.316</v>
      </c>
      <c r="L12" s="130">
        <f>+SUM(BL12:BO12)/COUNT(BL12:BO12)</f>
        <v>1427.4324999999999</v>
      </c>
      <c r="M12" s="130">
        <f>+SUM(BP12:BS12)/COUNT(BP12:BS12)</f>
        <v>1403</v>
      </c>
      <c r="N12" s="130">
        <f>+SUM(BT12:BW12)/COUNT(BT12:BW12)</f>
        <v>1417.6175000000001</v>
      </c>
      <c r="O12" s="130">
        <f>+SUM(BX12:CA12)/COUNT(BX12:CA12)</f>
        <v>964.26750000000004</v>
      </c>
      <c r="P12" s="130">
        <f>+SUM(CB12:CF12)/COUNT(CB12:CF12)</f>
        <v>956.56799999999998</v>
      </c>
      <c r="Q12" s="130">
        <f>+SUM(CG12:CJ12)/COUNT(CG12:CJ12)</f>
        <v>937.37749999999994</v>
      </c>
      <c r="R12" s="130">
        <f>+SUM(CK12:CN12)/COUNT(CK12:CN12)</f>
        <v>924.04250000000002</v>
      </c>
      <c r="S12" s="130">
        <f t="shared" ref="S12:S13" si="30">+SUM(CO12:CR12)/COUNT(CO12:CR12)</f>
        <v>937.14499999999998</v>
      </c>
      <c r="T12" s="130">
        <f t="shared" ref="T12:T13" si="31">+SUM(CS12:CW12)/COUNT(CS12:CW12)</f>
        <v>955.28399999999999</v>
      </c>
      <c r="U12" s="129">
        <f t="shared" si="3"/>
        <v>953.80500000000006</v>
      </c>
      <c r="V12" s="129">
        <f t="shared" si="4"/>
        <v>943.70333333333338</v>
      </c>
      <c r="W12" s="129">
        <f t="shared" si="5"/>
        <v>941.71</v>
      </c>
      <c r="X12" s="129"/>
      <c r="Y12" s="129"/>
      <c r="Z12" s="129"/>
      <c r="AA12" s="129"/>
      <c r="AB12" s="129"/>
      <c r="AC12" s="129"/>
      <c r="AD12" s="129"/>
      <c r="AE12" s="129"/>
      <c r="AF12" s="129"/>
      <c r="AG12" s="129"/>
      <c r="AH12" s="129"/>
      <c r="AI12" s="129"/>
      <c r="AJ12" s="129"/>
      <c r="AK12" s="129"/>
      <c r="AL12" s="129"/>
      <c r="AM12" s="129"/>
      <c r="AN12" s="129"/>
      <c r="AO12" s="129"/>
      <c r="AP12" s="129"/>
      <c r="AQ12" s="129"/>
      <c r="AR12" s="129"/>
      <c r="AS12" s="129"/>
      <c r="AU12" s="54" t="s">
        <v>37</v>
      </c>
      <c r="AV12" s="55" t="s">
        <v>38</v>
      </c>
      <c r="AW12" s="111" t="str">
        <f>H12</f>
        <v>Hạt màu (Châu Âu) - ICIS</v>
      </c>
      <c r="AX12" s="115" t="e">
        <f>#REF!</f>
        <v>#REF!</v>
      </c>
      <c r="AY12" s="58">
        <v>1472.42</v>
      </c>
      <c r="AZ12" s="58">
        <v>1513.09</v>
      </c>
      <c r="BA12" s="58">
        <v>1510.45</v>
      </c>
      <c r="BB12" s="58">
        <v>1410.87</v>
      </c>
      <c r="BC12" s="58">
        <v>1421.61</v>
      </c>
      <c r="BD12" s="58">
        <v>1399.1</v>
      </c>
      <c r="BE12" s="58">
        <v>1387.52</v>
      </c>
      <c r="BF12" s="58">
        <v>1377.53</v>
      </c>
      <c r="BG12" s="58">
        <v>1379.37</v>
      </c>
      <c r="BH12" s="58">
        <v>1374.01</v>
      </c>
      <c r="BI12" s="58">
        <v>1380.62</v>
      </c>
      <c r="BJ12" s="58">
        <v>1415.71</v>
      </c>
      <c r="BK12" s="58">
        <v>1416.87</v>
      </c>
      <c r="BL12" s="58">
        <v>1420.31</v>
      </c>
      <c r="BM12" s="58">
        <v>1426.12</v>
      </c>
      <c r="BN12" s="58">
        <v>1432.19</v>
      </c>
      <c r="BO12" s="58">
        <v>1431.11</v>
      </c>
      <c r="BP12" s="58">
        <v>1419</v>
      </c>
      <c r="BQ12" s="58">
        <v>1401</v>
      </c>
      <c r="BR12" s="58">
        <v>1394</v>
      </c>
      <c r="BS12" s="58">
        <v>1398</v>
      </c>
      <c r="BT12" s="58">
        <v>1401.38</v>
      </c>
      <c r="BU12" s="58">
        <v>1421.19</v>
      </c>
      <c r="BV12" s="58">
        <v>1423.95</v>
      </c>
      <c r="BW12" s="58">
        <v>1423.95</v>
      </c>
      <c r="BX12" s="58">
        <v>952.15</v>
      </c>
      <c r="BY12" s="58">
        <v>951.25</v>
      </c>
      <c r="BZ12" s="58">
        <v>979.32</v>
      </c>
      <c r="CA12" s="58">
        <v>974.35</v>
      </c>
      <c r="CB12" s="58">
        <v>962.52</v>
      </c>
      <c r="CC12" s="58">
        <v>957.76</v>
      </c>
      <c r="CD12" s="58">
        <v>963.87</v>
      </c>
      <c r="CE12" s="58">
        <v>951.38</v>
      </c>
      <c r="CF12" s="102">
        <v>947.31</v>
      </c>
      <c r="CG12" s="102">
        <v>947.31</v>
      </c>
      <c r="CH12" s="102">
        <v>936.56</v>
      </c>
      <c r="CI12" s="102">
        <v>932.56</v>
      </c>
      <c r="CJ12" s="102">
        <v>933.08</v>
      </c>
      <c r="CK12" s="102">
        <v>925.48</v>
      </c>
      <c r="CL12" s="102">
        <v>920.99</v>
      </c>
      <c r="CM12" s="102">
        <v>924.85</v>
      </c>
      <c r="CN12" s="102">
        <v>924.85</v>
      </c>
      <c r="CO12" s="102">
        <v>921.72</v>
      </c>
      <c r="CP12" s="102">
        <v>937.55</v>
      </c>
      <c r="CQ12" s="102">
        <v>937.55</v>
      </c>
      <c r="CR12" s="102">
        <v>951.76</v>
      </c>
      <c r="CS12" s="102">
        <v>954.6</v>
      </c>
      <c r="CT12" s="102">
        <v>954.6</v>
      </c>
      <c r="CU12" s="102">
        <v>943.52</v>
      </c>
      <c r="CV12" s="102">
        <v>962.06</v>
      </c>
      <c r="CW12" s="102">
        <v>961.64</v>
      </c>
      <c r="CX12" s="102">
        <v>958.57</v>
      </c>
      <c r="CY12" s="102">
        <v>957.77</v>
      </c>
      <c r="CZ12" s="102">
        <v>949.44</v>
      </c>
      <c r="DA12" s="102">
        <v>949.44</v>
      </c>
      <c r="DB12" s="102">
        <v>947.69</v>
      </c>
      <c r="DC12" s="102">
        <v>941.71</v>
      </c>
      <c r="DD12" s="102">
        <v>941.71</v>
      </c>
      <c r="DE12" s="102">
        <v>941.71</v>
      </c>
      <c r="DF12" s="102"/>
      <c r="DG12" s="102"/>
      <c r="DH12" s="102"/>
      <c r="DI12" s="102"/>
      <c r="DJ12" s="102"/>
      <c r="DK12" s="102"/>
      <c r="DL12" s="102"/>
      <c r="DM12" s="102"/>
      <c r="DN12" s="102"/>
      <c r="DO12" s="102"/>
      <c r="DP12" s="102"/>
      <c r="DQ12" s="102"/>
      <c r="DR12" s="102"/>
      <c r="DS12" s="102"/>
      <c r="DT12" s="102"/>
      <c r="DU12" s="102"/>
      <c r="DV12" s="102"/>
      <c r="DW12" s="102"/>
      <c r="DX12" s="102"/>
      <c r="DY12" s="102"/>
      <c r="DZ12" s="102"/>
      <c r="EA12" s="102"/>
      <c r="EB12" s="102"/>
      <c r="EC12" s="102"/>
      <c r="ED12" s="102"/>
      <c r="EE12" s="102"/>
      <c r="EF12" s="102"/>
      <c r="EG12" s="102"/>
      <c r="EH12" s="102"/>
      <c r="EI12" s="102"/>
      <c r="EJ12" s="102"/>
      <c r="EK12" s="102"/>
      <c r="EL12" s="102"/>
      <c r="EM12" s="102"/>
      <c r="EN12" s="102"/>
      <c r="EO12" s="102"/>
      <c r="EP12" s="102"/>
      <c r="EQ12" s="102"/>
      <c r="ER12" s="102"/>
      <c r="ES12" s="102"/>
      <c r="ET12" s="102"/>
      <c r="EU12" s="102"/>
      <c r="EV12" s="102"/>
      <c r="EW12" s="102"/>
      <c r="EX12" s="102"/>
      <c r="EY12" s="102"/>
      <c r="EZ12" s="102"/>
      <c r="FA12" s="102"/>
      <c r="FB12" s="102"/>
      <c r="FC12" s="102"/>
      <c r="FD12" s="102"/>
      <c r="FE12" s="102"/>
      <c r="FF12" s="102"/>
      <c r="FG12" s="102"/>
      <c r="FH12" s="102"/>
      <c r="FI12" s="102"/>
      <c r="FJ12" s="102"/>
      <c r="FK12" s="102"/>
      <c r="FL12" s="102"/>
      <c r="FM12" s="102"/>
      <c r="FN12" s="102"/>
      <c r="FO12" s="102"/>
      <c r="FP12" s="102"/>
      <c r="FQ12" s="102"/>
      <c r="FR12" s="102"/>
      <c r="FS12" s="102"/>
      <c r="FT12" s="102"/>
      <c r="FU12" s="102"/>
      <c r="FV12" s="102"/>
      <c r="FW12" s="102"/>
      <c r="FX12" s="102"/>
      <c r="FY12" s="102"/>
      <c r="FZ12" s="102"/>
      <c r="GA12" s="102"/>
      <c r="GB12" s="102"/>
      <c r="GC12" s="102"/>
      <c r="GD12" s="102"/>
      <c r="GE12" s="102"/>
      <c r="GF12" s="102"/>
      <c r="GG12" s="102"/>
      <c r="GH12" s="102"/>
      <c r="GI12" s="102"/>
      <c r="GJ12" s="102"/>
      <c r="GK12" s="102"/>
      <c r="GL12" s="102"/>
      <c r="GM12" s="102"/>
      <c r="GN12" s="102"/>
      <c r="GO12" s="102"/>
      <c r="GP12" s="102"/>
      <c r="GQ12" s="102"/>
      <c r="GR12" s="102"/>
      <c r="GS12" s="102"/>
      <c r="GT12" s="102"/>
      <c r="GU12" s="102"/>
      <c r="GV12" s="102"/>
      <c r="GW12" s="102"/>
      <c r="GX12" s="102"/>
      <c r="GY12" s="102"/>
    </row>
    <row r="13" spans="1:207" ht="14">
      <c r="D13" s="54" t="s">
        <v>41</v>
      </c>
      <c r="E13" s="25"/>
      <c r="F13" s="59" t="s">
        <v>130</v>
      </c>
      <c r="G13" s="54" t="s">
        <v>24</v>
      </c>
      <c r="H13" s="111" t="str">
        <f>F13</f>
        <v>RESIN</v>
      </c>
      <c r="I13" s="129">
        <f>+SUM(AY13:BB13)/COUNT(AY13:BB13)</f>
        <v>1045</v>
      </c>
      <c r="J13" s="129">
        <f>+SUM(BC13:BF13)/COUNT(BC13:BF13)</f>
        <v>1087.5</v>
      </c>
      <c r="K13" s="129">
        <f>+SUM(BG13:BK13)/COUNT(BG13:BK13)</f>
        <v>1040</v>
      </c>
      <c r="L13" s="129">
        <f>+SUM(BL13:BO13)/COUNT(BL13:BO13)</f>
        <v>1027.5</v>
      </c>
      <c r="M13" s="129">
        <f>+SUM(BP13:BS13)/COUNT(BP13:BS13)</f>
        <v>967.5</v>
      </c>
      <c r="N13" s="129">
        <f>+SUM(BT13:BW13)/COUNT(BT13:BW13)</f>
        <v>887.5</v>
      </c>
      <c r="O13" s="129">
        <f>+SUM(BX13:CA13)/COUNT(BX13:CA13)</f>
        <v>900</v>
      </c>
      <c r="P13" s="129">
        <f>+SUM(CB13:CF13)/COUNT(CB13:CF13)</f>
        <v>958</v>
      </c>
      <c r="Q13" s="129">
        <f>+SUM(CG13:CJ13)/COUNT(CG13:CJ13)</f>
        <v>980</v>
      </c>
      <c r="R13" s="129">
        <f>+SUM(CK13:CN13)/COUNT(CK13:CN13)</f>
        <v>967.5</v>
      </c>
      <c r="S13" s="129">
        <f t="shared" si="30"/>
        <v>927.5</v>
      </c>
      <c r="T13" s="129">
        <f t="shared" si="31"/>
        <v>926</v>
      </c>
      <c r="U13" s="129">
        <f t="shared" si="3"/>
        <v>962.5</v>
      </c>
      <c r="V13" s="129">
        <f t="shared" si="4"/>
        <v>986.66666666666663</v>
      </c>
      <c r="W13" s="129">
        <f t="shared" si="5"/>
        <v>990</v>
      </c>
      <c r="X13" s="129">
        <f>+SUM(DI13:DL13)/COUNT(DI13:DL13)</f>
        <v>992.5</v>
      </c>
      <c r="Y13" s="129">
        <f>+SUM(DM13:DQ13)/COUNT(DM13:DQ13)</f>
        <v>1002</v>
      </c>
      <c r="Z13" s="129">
        <f>+SUM(DR13:DU13)/COUNT(DR13:DU13)</f>
        <v>1025</v>
      </c>
      <c r="AA13" s="129">
        <f>+SUM(DV13:DY13)/COUNT(DV13:DY13)</f>
        <v>1020</v>
      </c>
      <c r="AB13" s="129">
        <f>+SUM(DZ13:ED13)/COUNT(DZ13:ED13)</f>
        <v>970</v>
      </c>
      <c r="AC13" s="129">
        <f>+SUM(EE13:EH13)/COUNT(EE13:EH13)</f>
        <v>955</v>
      </c>
      <c r="AD13" s="129">
        <f>+SUM(EJ13:EL13)/COUNT(EJ13:EL13)</f>
        <v>956.66666666666663</v>
      </c>
      <c r="AE13" s="129">
        <f>+SUM(EM13:EQ13)/COUNT(EM13:EQ13)</f>
        <v>968</v>
      </c>
      <c r="AF13" s="129">
        <f>+SUM(ER13:EU13)/COUNT(ER13:EU13)</f>
        <v>960</v>
      </c>
      <c r="AG13" s="129">
        <f>+SUM(EV13:EY13)/COUNT(EV13:EY13)</f>
        <v>970</v>
      </c>
      <c r="AH13" s="129">
        <f>+SUM(EZ13:FC13)/COUNT(EZ13:FC13)</f>
        <v>985</v>
      </c>
      <c r="AI13" s="129">
        <f>+SUM(FD13:FG13)/COUNT(FD13:FG13)</f>
        <v>980</v>
      </c>
      <c r="AJ13" s="129">
        <f>+SUM(FH13:FK13)/COUNT(FH13:FK13)</f>
        <v>965</v>
      </c>
      <c r="AK13" s="129">
        <f>+SUM(FL13:FP13)/COUNT(FL13:FP13)</f>
        <v>932</v>
      </c>
      <c r="AL13" s="129">
        <f>+SUM(FQ13:FT13)/COUNT(FQ13:FT13)</f>
        <v>922.5</v>
      </c>
      <c r="AM13" s="129">
        <f>+SUM(FU13:FY13)/COUNT(FU13:FY13)</f>
        <v>918</v>
      </c>
      <c r="AN13" s="129">
        <f>+SUM(FZ13:GC13)/COUNT(FZ13:GC13)</f>
        <v>895</v>
      </c>
      <c r="AO13" s="129">
        <f>+SUM(GD13:GG13)/COUNT(GD13:GG13)</f>
        <v>870</v>
      </c>
      <c r="AP13" s="129">
        <f>+SUM(GH13:GL13)/COUNT(GH13:GL13)</f>
        <v>842</v>
      </c>
      <c r="AQ13" s="129">
        <f>+SUM(GM13:GP13)/COUNT(GM13:GP13)</f>
        <v>827.5</v>
      </c>
      <c r="AR13" s="129">
        <f>+SUM(GQ13:GT13)/COUNT(GQ13:GT13)</f>
        <v>820</v>
      </c>
      <c r="AS13" s="129">
        <v>820</v>
      </c>
      <c r="AT13" s="51"/>
      <c r="AU13" s="54" t="s">
        <v>41</v>
      </c>
      <c r="AV13" s="25"/>
      <c r="AW13" s="111" t="s">
        <v>130</v>
      </c>
      <c r="AX13" s="56">
        <v>1000</v>
      </c>
      <c r="AY13" s="56">
        <f>AX13</f>
        <v>1000</v>
      </c>
      <c r="AZ13" s="56">
        <v>1010</v>
      </c>
      <c r="BA13" s="56">
        <v>1070</v>
      </c>
      <c r="BB13" s="118">
        <v>1100</v>
      </c>
      <c r="BC13" s="118">
        <v>1100</v>
      </c>
      <c r="BD13" s="118">
        <v>1100</v>
      </c>
      <c r="BE13" s="118">
        <v>1090</v>
      </c>
      <c r="BF13" s="118">
        <v>1060</v>
      </c>
      <c r="BG13" s="118">
        <v>1060</v>
      </c>
      <c r="BH13" s="118">
        <v>1040</v>
      </c>
      <c r="BI13" s="118">
        <v>1040</v>
      </c>
      <c r="BJ13" s="118">
        <v>1040</v>
      </c>
      <c r="BK13" s="118">
        <v>1020</v>
      </c>
      <c r="BL13" s="118">
        <v>1020</v>
      </c>
      <c r="BM13" s="118">
        <v>1030</v>
      </c>
      <c r="BN13" s="118">
        <v>1030</v>
      </c>
      <c r="BO13" s="118">
        <v>1030</v>
      </c>
      <c r="BP13" s="118">
        <v>1030</v>
      </c>
      <c r="BQ13" s="118">
        <v>1000</v>
      </c>
      <c r="BR13" s="118">
        <v>920</v>
      </c>
      <c r="BS13" s="118">
        <v>920</v>
      </c>
      <c r="BT13" s="118">
        <v>910</v>
      </c>
      <c r="BU13" s="118">
        <v>880</v>
      </c>
      <c r="BV13" s="118">
        <v>880</v>
      </c>
      <c r="BW13" s="118">
        <v>880</v>
      </c>
      <c r="BX13" s="118">
        <v>870</v>
      </c>
      <c r="BY13" s="118">
        <v>890</v>
      </c>
      <c r="BZ13" s="118">
        <v>920</v>
      </c>
      <c r="CA13" s="118">
        <v>920</v>
      </c>
      <c r="CB13" s="118">
        <v>950</v>
      </c>
      <c r="CC13" s="118">
        <v>960</v>
      </c>
      <c r="CD13" s="118">
        <v>960</v>
      </c>
      <c r="CE13" s="118">
        <v>960</v>
      </c>
      <c r="CF13" s="118">
        <v>960</v>
      </c>
      <c r="CG13" s="118">
        <v>950</v>
      </c>
      <c r="CH13" s="118">
        <v>990</v>
      </c>
      <c r="CI13" s="118">
        <v>990</v>
      </c>
      <c r="CJ13" s="118">
        <v>990</v>
      </c>
      <c r="CK13" s="118">
        <v>980</v>
      </c>
      <c r="CL13" s="118">
        <v>970</v>
      </c>
      <c r="CM13" s="118">
        <v>970</v>
      </c>
      <c r="CN13" s="118">
        <v>950</v>
      </c>
      <c r="CO13" s="118">
        <v>950</v>
      </c>
      <c r="CP13" s="118">
        <v>920</v>
      </c>
      <c r="CQ13" s="118">
        <v>920</v>
      </c>
      <c r="CR13" s="118">
        <v>920</v>
      </c>
      <c r="CS13" s="118">
        <v>920</v>
      </c>
      <c r="CT13" s="118">
        <v>920</v>
      </c>
      <c r="CU13" s="118">
        <v>930</v>
      </c>
      <c r="CV13" s="118">
        <v>930</v>
      </c>
      <c r="CW13" s="118">
        <v>930</v>
      </c>
      <c r="CX13" s="118">
        <v>930</v>
      </c>
      <c r="CY13" s="118">
        <v>970</v>
      </c>
      <c r="CZ13" s="118">
        <v>970</v>
      </c>
      <c r="DA13" s="118">
        <v>980</v>
      </c>
      <c r="DB13" s="118">
        <v>1000</v>
      </c>
      <c r="DC13" s="118">
        <v>980</v>
      </c>
      <c r="DD13" s="118">
        <v>980</v>
      </c>
      <c r="DE13" s="118">
        <v>980</v>
      </c>
      <c r="DF13" s="118">
        <v>980</v>
      </c>
      <c r="DG13" s="118">
        <v>1000</v>
      </c>
      <c r="DH13" s="118">
        <v>1000</v>
      </c>
      <c r="DI13" s="118">
        <v>1000</v>
      </c>
      <c r="DJ13" s="118">
        <v>990</v>
      </c>
      <c r="DK13" s="118">
        <v>990</v>
      </c>
      <c r="DL13" s="118">
        <v>990</v>
      </c>
      <c r="DM13" s="118">
        <v>990</v>
      </c>
      <c r="DN13" s="118">
        <v>1000</v>
      </c>
      <c r="DO13" s="118">
        <v>1000</v>
      </c>
      <c r="DP13" s="118">
        <v>1000</v>
      </c>
      <c r="DQ13" s="118">
        <v>1020</v>
      </c>
      <c r="DR13" s="118">
        <v>1020</v>
      </c>
      <c r="DS13" s="118">
        <v>1020</v>
      </c>
      <c r="DT13" s="118">
        <v>1030</v>
      </c>
      <c r="DU13" s="118">
        <v>1030</v>
      </c>
      <c r="DV13" s="118">
        <v>1030</v>
      </c>
      <c r="DW13" s="118">
        <v>1030</v>
      </c>
      <c r="DX13" s="118">
        <v>1030</v>
      </c>
      <c r="DY13" s="118">
        <v>990</v>
      </c>
      <c r="DZ13" s="118">
        <v>980</v>
      </c>
      <c r="EA13" s="118">
        <v>980</v>
      </c>
      <c r="EB13" s="118">
        <v>970</v>
      </c>
      <c r="EC13" s="118">
        <v>960</v>
      </c>
      <c r="ED13" s="118">
        <v>960</v>
      </c>
      <c r="EE13" s="118">
        <v>960</v>
      </c>
      <c r="EF13" s="118">
        <v>960</v>
      </c>
      <c r="EG13" s="118">
        <v>950</v>
      </c>
      <c r="EH13" s="118">
        <v>950</v>
      </c>
      <c r="EI13" s="118">
        <v>950</v>
      </c>
      <c r="EJ13" s="118">
        <v>950</v>
      </c>
      <c r="EK13" s="118">
        <v>950</v>
      </c>
      <c r="EL13" s="118">
        <v>970</v>
      </c>
      <c r="EM13" s="118">
        <v>970</v>
      </c>
      <c r="EN13" s="118">
        <v>970</v>
      </c>
      <c r="EO13" s="118">
        <v>970</v>
      </c>
      <c r="EP13" s="118">
        <v>970</v>
      </c>
      <c r="EQ13" s="118">
        <v>960</v>
      </c>
      <c r="ER13" s="118">
        <v>960</v>
      </c>
      <c r="ES13" s="118">
        <v>960</v>
      </c>
      <c r="ET13" s="118">
        <v>960</v>
      </c>
      <c r="EU13" s="118">
        <v>960</v>
      </c>
      <c r="EV13" s="118">
        <v>960</v>
      </c>
      <c r="EW13" s="118">
        <v>970</v>
      </c>
      <c r="EX13" s="118">
        <v>970</v>
      </c>
      <c r="EY13" s="118">
        <v>980</v>
      </c>
      <c r="EZ13" s="118">
        <v>970</v>
      </c>
      <c r="FA13" s="118">
        <v>1000</v>
      </c>
      <c r="FB13" s="118">
        <v>990</v>
      </c>
      <c r="FC13" s="118">
        <v>980</v>
      </c>
      <c r="FD13" s="118">
        <v>980</v>
      </c>
      <c r="FE13" s="118">
        <v>980</v>
      </c>
      <c r="FF13" s="118">
        <v>980</v>
      </c>
      <c r="FG13" s="118">
        <v>980</v>
      </c>
      <c r="FH13" s="118">
        <v>980</v>
      </c>
      <c r="FI13" s="118">
        <v>970</v>
      </c>
      <c r="FJ13" s="118">
        <v>960</v>
      </c>
      <c r="FK13" s="118">
        <v>950</v>
      </c>
      <c r="FL13" s="118">
        <v>950</v>
      </c>
      <c r="FM13" s="118">
        <v>930</v>
      </c>
      <c r="FN13" s="118">
        <v>930</v>
      </c>
      <c r="FO13" s="118">
        <v>930</v>
      </c>
      <c r="FP13" s="118">
        <v>920</v>
      </c>
      <c r="FQ13" s="118">
        <v>920</v>
      </c>
      <c r="FR13" s="118">
        <v>910</v>
      </c>
      <c r="FS13" s="118">
        <v>930</v>
      </c>
      <c r="FT13" s="118">
        <v>930</v>
      </c>
      <c r="FU13" s="118">
        <v>930</v>
      </c>
      <c r="FV13" s="118">
        <v>930</v>
      </c>
      <c r="FW13" s="118">
        <v>930</v>
      </c>
      <c r="FX13" s="118">
        <v>900</v>
      </c>
      <c r="FY13" s="118">
        <v>900</v>
      </c>
      <c r="FZ13" s="118">
        <v>900</v>
      </c>
      <c r="GA13" s="118">
        <v>900</v>
      </c>
      <c r="GB13" s="118">
        <v>890</v>
      </c>
      <c r="GC13" s="118">
        <v>890</v>
      </c>
      <c r="GD13" s="118">
        <v>890</v>
      </c>
      <c r="GE13" s="118">
        <v>870</v>
      </c>
      <c r="GF13" s="118">
        <v>870</v>
      </c>
      <c r="GG13" s="118">
        <v>850</v>
      </c>
      <c r="GH13" s="118">
        <v>850</v>
      </c>
      <c r="GI13" s="118">
        <v>850</v>
      </c>
      <c r="GJ13" s="118">
        <v>840</v>
      </c>
      <c r="GK13" s="118">
        <v>840</v>
      </c>
      <c r="GL13" s="118">
        <v>830</v>
      </c>
      <c r="GM13" s="118">
        <v>830</v>
      </c>
      <c r="GN13" s="118">
        <v>830</v>
      </c>
      <c r="GO13" s="118">
        <v>830</v>
      </c>
      <c r="GP13" s="118">
        <v>820</v>
      </c>
      <c r="GQ13" s="118">
        <v>820</v>
      </c>
      <c r="GR13" s="118">
        <v>820</v>
      </c>
      <c r="GS13" s="118">
        <v>820</v>
      </c>
      <c r="GT13" s="118">
        <v>820</v>
      </c>
      <c r="GU13" s="118"/>
      <c r="GV13" s="118"/>
      <c r="GW13" s="118"/>
      <c r="GX13" s="118"/>
      <c r="GY13" s="118"/>
    </row>
    <row r="14" spans="1:207" ht="14">
      <c r="F14" s="117" t="s">
        <v>82</v>
      </c>
      <c r="H14" s="117" t="s">
        <v>82</v>
      </c>
      <c r="I14" s="131">
        <f t="shared" ref="I14:O14" si="32">I13</f>
        <v>1045</v>
      </c>
      <c r="J14" s="131">
        <f t="shared" si="32"/>
        <v>1087.5</v>
      </c>
      <c r="K14" s="131">
        <f t="shared" si="32"/>
        <v>1040</v>
      </c>
      <c r="L14" s="131">
        <f t="shared" si="32"/>
        <v>1027.5</v>
      </c>
      <c r="M14" s="131">
        <f t="shared" si="32"/>
        <v>967.5</v>
      </c>
      <c r="N14" s="131">
        <f t="shared" si="32"/>
        <v>887.5</v>
      </c>
      <c r="O14" s="131">
        <f t="shared" si="32"/>
        <v>900</v>
      </c>
      <c r="P14" s="131">
        <f t="shared" ref="P14:U14" si="33">P13</f>
        <v>958</v>
      </c>
      <c r="Q14" s="131">
        <f t="shared" si="33"/>
        <v>980</v>
      </c>
      <c r="R14" s="131">
        <f t="shared" si="33"/>
        <v>967.5</v>
      </c>
      <c r="S14" s="131">
        <f t="shared" si="33"/>
        <v>927.5</v>
      </c>
      <c r="T14" s="131">
        <f t="shared" si="33"/>
        <v>926</v>
      </c>
      <c r="U14" s="131">
        <f t="shared" si="33"/>
        <v>962.5</v>
      </c>
      <c r="V14" s="131">
        <f t="shared" ref="V14:W14" si="34">V13</f>
        <v>986.66666666666663</v>
      </c>
      <c r="W14" s="131">
        <f t="shared" si="34"/>
        <v>990</v>
      </c>
      <c r="X14" s="131">
        <f t="shared" ref="X14:AC14" si="35">X13</f>
        <v>992.5</v>
      </c>
      <c r="Y14" s="131">
        <f t="shared" si="35"/>
        <v>1002</v>
      </c>
      <c r="Z14" s="131">
        <f t="shared" si="35"/>
        <v>1025</v>
      </c>
      <c r="AA14" s="131">
        <f t="shared" si="35"/>
        <v>1020</v>
      </c>
      <c r="AB14" s="131">
        <f t="shared" si="35"/>
        <v>970</v>
      </c>
      <c r="AC14" s="131">
        <f t="shared" si="35"/>
        <v>955</v>
      </c>
      <c r="AD14" s="131">
        <f t="shared" ref="AD14:AE14" si="36">AD13</f>
        <v>956.66666666666663</v>
      </c>
      <c r="AE14" s="131">
        <f t="shared" si="36"/>
        <v>968</v>
      </c>
      <c r="AF14" s="131">
        <f t="shared" ref="AF14:AG14" si="37">AF13</f>
        <v>960</v>
      </c>
      <c r="AG14" s="131">
        <f t="shared" si="37"/>
        <v>970</v>
      </c>
      <c r="AH14" s="131">
        <f t="shared" ref="AH14:AI14" si="38">AH13</f>
        <v>985</v>
      </c>
      <c r="AI14" s="131">
        <f t="shared" si="38"/>
        <v>980</v>
      </c>
      <c r="AJ14" s="131">
        <f t="shared" ref="AJ14:AK14" si="39">AJ13</f>
        <v>965</v>
      </c>
      <c r="AK14" s="131">
        <f t="shared" si="39"/>
        <v>932</v>
      </c>
      <c r="AL14" s="131">
        <f t="shared" ref="AL14:AM14" si="40">AL13</f>
        <v>922.5</v>
      </c>
      <c r="AM14" s="131">
        <f t="shared" si="40"/>
        <v>918</v>
      </c>
      <c r="AN14" s="131">
        <f t="shared" ref="AN14:AO14" si="41">AN13</f>
        <v>895</v>
      </c>
      <c r="AO14" s="131">
        <f t="shared" si="41"/>
        <v>870</v>
      </c>
      <c r="AP14" s="131">
        <f t="shared" ref="AP14:AQ14" si="42">AP13</f>
        <v>842</v>
      </c>
      <c r="AQ14" s="131">
        <f t="shared" si="42"/>
        <v>827.5</v>
      </c>
      <c r="AR14" s="131">
        <f t="shared" ref="AR14:AS14" si="43">AR13</f>
        <v>820</v>
      </c>
      <c r="AS14" s="131">
        <f t="shared" si="43"/>
        <v>820</v>
      </c>
      <c r="AW14" s="117" t="s">
        <v>82</v>
      </c>
      <c r="AX14" s="41">
        <f t="shared" ref="AX14:BJ14" si="44">AX13</f>
        <v>1000</v>
      </c>
      <c r="AY14" s="41">
        <f>AY13</f>
        <v>1000</v>
      </c>
      <c r="AZ14" s="41">
        <f t="shared" si="44"/>
        <v>1010</v>
      </c>
      <c r="BA14" s="41">
        <f t="shared" si="44"/>
        <v>1070</v>
      </c>
      <c r="BB14" s="41">
        <f t="shared" si="44"/>
        <v>1100</v>
      </c>
      <c r="BC14" s="41">
        <f t="shared" si="44"/>
        <v>1100</v>
      </c>
      <c r="BD14" s="41">
        <f t="shared" si="44"/>
        <v>1100</v>
      </c>
      <c r="BE14" s="41">
        <f t="shared" si="44"/>
        <v>1090</v>
      </c>
      <c r="BF14" s="41">
        <f t="shared" si="44"/>
        <v>1060</v>
      </c>
      <c r="BG14" s="41">
        <f t="shared" si="44"/>
        <v>1060</v>
      </c>
      <c r="BH14" s="41">
        <f t="shared" si="44"/>
        <v>1040</v>
      </c>
      <c r="BI14" s="41">
        <f t="shared" si="44"/>
        <v>1040</v>
      </c>
      <c r="BJ14" s="41">
        <f t="shared" si="44"/>
        <v>1040</v>
      </c>
      <c r="BK14" s="41">
        <f>BK13</f>
        <v>1020</v>
      </c>
      <c r="BL14" s="41">
        <f>BL13</f>
        <v>1020</v>
      </c>
      <c r="BM14" s="41">
        <f>BM13</f>
        <v>1030</v>
      </c>
      <c r="BN14" s="41">
        <f>BN13</f>
        <v>1030</v>
      </c>
      <c r="BO14" s="41">
        <f t="shared" ref="BO14:BT14" si="45">BO13</f>
        <v>1030</v>
      </c>
      <c r="BP14" s="41">
        <f t="shared" si="45"/>
        <v>1030</v>
      </c>
      <c r="BQ14" s="41">
        <f t="shared" si="45"/>
        <v>1000</v>
      </c>
      <c r="BR14" s="41">
        <f t="shared" si="45"/>
        <v>920</v>
      </c>
      <c r="BS14" s="41">
        <f t="shared" si="45"/>
        <v>920</v>
      </c>
      <c r="BT14" s="41">
        <f t="shared" si="45"/>
        <v>910</v>
      </c>
      <c r="BU14" s="41">
        <f t="shared" ref="BU14:BZ14" si="46">BU13</f>
        <v>880</v>
      </c>
      <c r="BV14" s="41">
        <f t="shared" si="46"/>
        <v>880</v>
      </c>
      <c r="BW14" s="41">
        <f t="shared" si="46"/>
        <v>880</v>
      </c>
      <c r="BX14" s="41">
        <f t="shared" si="46"/>
        <v>870</v>
      </c>
      <c r="BY14" s="41">
        <f t="shared" si="46"/>
        <v>890</v>
      </c>
      <c r="BZ14" s="41">
        <f t="shared" si="46"/>
        <v>920</v>
      </c>
      <c r="CA14" s="41">
        <f t="shared" ref="CA14:CG14" si="47">CA13</f>
        <v>920</v>
      </c>
      <c r="CB14" s="41">
        <f t="shared" si="47"/>
        <v>950</v>
      </c>
      <c r="CC14" s="41">
        <f t="shared" si="47"/>
        <v>960</v>
      </c>
      <c r="CD14" s="41">
        <f t="shared" si="47"/>
        <v>960</v>
      </c>
      <c r="CE14" s="41">
        <f t="shared" si="47"/>
        <v>960</v>
      </c>
      <c r="CF14" s="41">
        <f t="shared" si="47"/>
        <v>960</v>
      </c>
      <c r="CG14" s="41">
        <f t="shared" si="47"/>
        <v>950</v>
      </c>
      <c r="CH14" s="41">
        <f t="shared" ref="CH14:CM14" si="48">CH13</f>
        <v>990</v>
      </c>
      <c r="CI14" s="41">
        <f t="shared" si="48"/>
        <v>990</v>
      </c>
      <c r="CJ14" s="41">
        <f t="shared" si="48"/>
        <v>990</v>
      </c>
      <c r="CK14" s="41">
        <f t="shared" si="48"/>
        <v>980</v>
      </c>
      <c r="CL14" s="41">
        <f t="shared" si="48"/>
        <v>970</v>
      </c>
      <c r="CM14" s="41">
        <f t="shared" si="48"/>
        <v>970</v>
      </c>
      <c r="CN14" s="41">
        <f t="shared" ref="CN14:CS14" si="49">CN13</f>
        <v>950</v>
      </c>
      <c r="CO14" s="41">
        <f t="shared" si="49"/>
        <v>950</v>
      </c>
      <c r="CP14" s="41">
        <f t="shared" si="49"/>
        <v>920</v>
      </c>
      <c r="CQ14" s="41">
        <f t="shared" si="49"/>
        <v>920</v>
      </c>
      <c r="CR14" s="41">
        <f t="shared" si="49"/>
        <v>920</v>
      </c>
      <c r="CS14" s="41">
        <f t="shared" si="49"/>
        <v>920</v>
      </c>
      <c r="CT14" s="41">
        <f t="shared" ref="CT14:CU14" si="50">CT13</f>
        <v>920</v>
      </c>
      <c r="CU14" s="41">
        <f t="shared" si="50"/>
        <v>930</v>
      </c>
      <c r="CV14" s="41">
        <f t="shared" ref="CV14:CW14" si="51">CV13</f>
        <v>930</v>
      </c>
      <c r="CW14" s="41">
        <f t="shared" si="51"/>
        <v>930</v>
      </c>
      <c r="CX14" s="41">
        <f t="shared" ref="CX14:CY14" si="52">CX13</f>
        <v>930</v>
      </c>
      <c r="CY14" s="41">
        <f t="shared" si="52"/>
        <v>970</v>
      </c>
      <c r="CZ14" s="41">
        <f t="shared" ref="CZ14:DA14" si="53">CZ13</f>
        <v>970</v>
      </c>
      <c r="DA14" s="41">
        <f t="shared" si="53"/>
        <v>980</v>
      </c>
      <c r="DB14" s="41">
        <f t="shared" ref="DB14:DC14" si="54">DB13</f>
        <v>1000</v>
      </c>
      <c r="DC14" s="41">
        <f t="shared" si="54"/>
        <v>980</v>
      </c>
      <c r="DD14" s="41">
        <f t="shared" ref="DD14:DE14" si="55">DD13</f>
        <v>980</v>
      </c>
      <c r="DE14" s="41">
        <f t="shared" si="55"/>
        <v>980</v>
      </c>
      <c r="DF14" s="41">
        <f t="shared" ref="DF14:DG14" si="56">DF13</f>
        <v>980</v>
      </c>
      <c r="DG14" s="41">
        <f t="shared" si="56"/>
        <v>1000</v>
      </c>
      <c r="DH14" s="41">
        <f t="shared" ref="DH14:DI14" si="57">DH13</f>
        <v>1000</v>
      </c>
      <c r="DI14" s="41">
        <f t="shared" si="57"/>
        <v>1000</v>
      </c>
      <c r="DJ14" s="41">
        <f t="shared" ref="DJ14:DL14" si="58">DJ13</f>
        <v>990</v>
      </c>
      <c r="DK14" s="41">
        <f t="shared" si="58"/>
        <v>990</v>
      </c>
      <c r="DL14" s="41">
        <f t="shared" si="58"/>
        <v>990</v>
      </c>
      <c r="DM14" s="41">
        <f t="shared" ref="DM14:DN14" si="59">DM13</f>
        <v>990</v>
      </c>
      <c r="DN14" s="41">
        <f t="shared" si="59"/>
        <v>1000</v>
      </c>
      <c r="DO14" s="41">
        <f t="shared" ref="DO14:DP14" si="60">DO13</f>
        <v>1000</v>
      </c>
      <c r="DP14" s="41">
        <f t="shared" si="60"/>
        <v>1000</v>
      </c>
      <c r="DQ14" s="41">
        <f t="shared" ref="DQ14:DR14" si="61">DQ13</f>
        <v>1020</v>
      </c>
      <c r="DR14" s="41">
        <f t="shared" si="61"/>
        <v>1020</v>
      </c>
      <c r="DS14" s="41">
        <f t="shared" ref="DS14:DT14" si="62">DS13</f>
        <v>1020</v>
      </c>
      <c r="DT14" s="41">
        <f t="shared" si="62"/>
        <v>1030</v>
      </c>
      <c r="DU14" s="41">
        <f t="shared" ref="DU14:DV14" si="63">DU13</f>
        <v>1030</v>
      </c>
      <c r="DV14" s="41">
        <f t="shared" si="63"/>
        <v>1030</v>
      </c>
      <c r="DW14" s="41">
        <f t="shared" ref="DW14:DX14" si="64">DW13</f>
        <v>1030</v>
      </c>
      <c r="DX14" s="41">
        <f t="shared" si="64"/>
        <v>1030</v>
      </c>
      <c r="DY14" s="41">
        <f t="shared" ref="DY14:DZ14" si="65">DY13</f>
        <v>990</v>
      </c>
      <c r="DZ14" s="41">
        <f t="shared" si="65"/>
        <v>980</v>
      </c>
      <c r="EA14" s="41">
        <f t="shared" ref="EA14:EB14" si="66">EA13</f>
        <v>980</v>
      </c>
      <c r="EB14" s="41">
        <f t="shared" si="66"/>
        <v>970</v>
      </c>
      <c r="EC14" s="41">
        <f t="shared" ref="EC14:EE14" si="67">EC13</f>
        <v>960</v>
      </c>
      <c r="ED14" s="41">
        <f t="shared" si="67"/>
        <v>960</v>
      </c>
      <c r="EE14" s="41">
        <f t="shared" si="67"/>
        <v>960</v>
      </c>
      <c r="EF14" s="41">
        <f t="shared" ref="EF14:EG14" si="68">EF13</f>
        <v>960</v>
      </c>
      <c r="EG14" s="41">
        <f t="shared" si="68"/>
        <v>950</v>
      </c>
      <c r="EH14" s="41">
        <f t="shared" ref="EH14:EJ14" si="69">EH13</f>
        <v>950</v>
      </c>
      <c r="EI14" s="41">
        <f t="shared" si="69"/>
        <v>950</v>
      </c>
      <c r="EJ14" s="41">
        <f t="shared" si="69"/>
        <v>950</v>
      </c>
      <c r="EK14" s="41">
        <f t="shared" ref="EK14:EL14" si="70">EK13</f>
        <v>950</v>
      </c>
      <c r="EL14" s="41">
        <f t="shared" si="70"/>
        <v>970</v>
      </c>
      <c r="EM14" s="41">
        <f t="shared" ref="EM14:EQ14" si="71">EM13</f>
        <v>970</v>
      </c>
      <c r="EN14" s="41">
        <f t="shared" si="71"/>
        <v>970</v>
      </c>
      <c r="EO14" s="41">
        <f t="shared" si="71"/>
        <v>970</v>
      </c>
      <c r="EP14" s="41">
        <f t="shared" si="71"/>
        <v>970</v>
      </c>
      <c r="EQ14" s="41">
        <f t="shared" si="71"/>
        <v>960</v>
      </c>
      <c r="ER14" s="41">
        <f t="shared" ref="ER14:EU14" si="72">ER13</f>
        <v>960</v>
      </c>
      <c r="ES14" s="41">
        <f t="shared" si="72"/>
        <v>960</v>
      </c>
      <c r="ET14" s="41">
        <f t="shared" si="72"/>
        <v>960</v>
      </c>
      <c r="EU14" s="41">
        <f t="shared" si="72"/>
        <v>960</v>
      </c>
      <c r="EV14" s="41">
        <f t="shared" ref="EV14:EW14" si="73">EV13</f>
        <v>960</v>
      </c>
      <c r="EW14" s="41">
        <f t="shared" si="73"/>
        <v>970</v>
      </c>
      <c r="EX14" s="41">
        <f t="shared" ref="EX14:EY14" si="74">EX13</f>
        <v>970</v>
      </c>
      <c r="EY14" s="41">
        <f t="shared" si="74"/>
        <v>980</v>
      </c>
      <c r="EZ14" s="41">
        <f t="shared" ref="EZ14:FB14" si="75">EZ13</f>
        <v>970</v>
      </c>
      <c r="FA14" s="41">
        <f t="shared" si="75"/>
        <v>1000</v>
      </c>
      <c r="FB14" s="41">
        <f t="shared" si="75"/>
        <v>990</v>
      </c>
      <c r="FC14" s="41">
        <f t="shared" ref="FC14:FD14" si="76">FC13</f>
        <v>980</v>
      </c>
      <c r="FD14" s="41">
        <f t="shared" si="76"/>
        <v>980</v>
      </c>
      <c r="FE14" s="41">
        <f t="shared" ref="FE14:FG14" si="77">FE13</f>
        <v>980</v>
      </c>
      <c r="FF14" s="41">
        <f t="shared" si="77"/>
        <v>980</v>
      </c>
      <c r="FG14" s="41">
        <f t="shared" si="77"/>
        <v>980</v>
      </c>
      <c r="FH14" s="41">
        <f t="shared" ref="FH14:FK14" si="78">FH13</f>
        <v>980</v>
      </c>
      <c r="FI14" s="41">
        <f t="shared" si="78"/>
        <v>970</v>
      </c>
      <c r="FJ14" s="41">
        <f t="shared" si="78"/>
        <v>960</v>
      </c>
      <c r="FK14" s="41">
        <f t="shared" si="78"/>
        <v>950</v>
      </c>
      <c r="FL14" s="41">
        <f t="shared" ref="FL14:FP14" si="79">FL13</f>
        <v>950</v>
      </c>
      <c r="FM14" s="41">
        <f t="shared" si="79"/>
        <v>930</v>
      </c>
      <c r="FN14" s="41">
        <f t="shared" si="79"/>
        <v>930</v>
      </c>
      <c r="FO14" s="41">
        <f t="shared" si="79"/>
        <v>930</v>
      </c>
      <c r="FP14" s="41">
        <f t="shared" si="79"/>
        <v>920</v>
      </c>
      <c r="FQ14" s="41">
        <f t="shared" ref="FQ14:FT14" si="80">FQ13</f>
        <v>920</v>
      </c>
      <c r="FR14" s="41">
        <f t="shared" si="80"/>
        <v>910</v>
      </c>
      <c r="FS14" s="41">
        <f t="shared" si="80"/>
        <v>930</v>
      </c>
      <c r="FT14" s="41">
        <f t="shared" si="80"/>
        <v>930</v>
      </c>
      <c r="FU14" s="41">
        <f t="shared" ref="FU14:FY14" si="81">FU13</f>
        <v>930</v>
      </c>
      <c r="FV14" s="41">
        <f t="shared" si="81"/>
        <v>930</v>
      </c>
      <c r="FW14" s="41">
        <f t="shared" si="81"/>
        <v>930</v>
      </c>
      <c r="FX14" s="41">
        <f t="shared" si="81"/>
        <v>900</v>
      </c>
      <c r="FY14" s="41">
        <f t="shared" si="81"/>
        <v>900</v>
      </c>
      <c r="FZ14" s="41">
        <f t="shared" ref="FZ14:GC14" si="82">FZ13</f>
        <v>900</v>
      </c>
      <c r="GA14" s="41">
        <f t="shared" si="82"/>
        <v>900</v>
      </c>
      <c r="GB14" s="41">
        <f t="shared" si="82"/>
        <v>890</v>
      </c>
      <c r="GC14" s="41">
        <f t="shared" si="82"/>
        <v>890</v>
      </c>
      <c r="GD14" s="41">
        <f t="shared" ref="GD14:GG14" si="83">GD13</f>
        <v>890</v>
      </c>
      <c r="GE14" s="41">
        <f t="shared" si="83"/>
        <v>870</v>
      </c>
      <c r="GF14" s="41">
        <f t="shared" si="83"/>
        <v>870</v>
      </c>
      <c r="GG14" s="41">
        <f t="shared" si="83"/>
        <v>850</v>
      </c>
      <c r="GH14" s="41">
        <f t="shared" ref="GH14:GL14" si="84">GH13</f>
        <v>850</v>
      </c>
      <c r="GI14" s="41">
        <f t="shared" si="84"/>
        <v>850</v>
      </c>
      <c r="GJ14" s="41">
        <f t="shared" si="84"/>
        <v>840</v>
      </c>
      <c r="GK14" s="41">
        <f t="shared" si="84"/>
        <v>840</v>
      </c>
      <c r="GL14" s="41">
        <f t="shared" si="84"/>
        <v>830</v>
      </c>
      <c r="GM14" s="41">
        <f t="shared" ref="GM14:GP14" si="85">GM13</f>
        <v>830</v>
      </c>
      <c r="GN14" s="41">
        <f t="shared" si="85"/>
        <v>830</v>
      </c>
      <c r="GO14" s="41">
        <f t="shared" si="85"/>
        <v>830</v>
      </c>
      <c r="GP14" s="41">
        <f t="shared" si="85"/>
        <v>820</v>
      </c>
      <c r="GQ14" s="41">
        <f t="shared" ref="GQ14:GT14" si="86">GQ13</f>
        <v>820</v>
      </c>
      <c r="GR14" s="41">
        <f t="shared" si="86"/>
        <v>820</v>
      </c>
      <c r="GS14" s="41">
        <f t="shared" si="86"/>
        <v>820</v>
      </c>
      <c r="GT14" s="41">
        <f t="shared" si="86"/>
        <v>820</v>
      </c>
      <c r="GU14" s="41">
        <f t="shared" ref="GU14:GY14" si="87">GU13</f>
        <v>0</v>
      </c>
      <c r="GV14" s="41">
        <f t="shared" si="87"/>
        <v>0</v>
      </c>
      <c r="GW14" s="41">
        <f t="shared" si="87"/>
        <v>0</v>
      </c>
      <c r="GX14" s="41">
        <f t="shared" si="87"/>
        <v>0</v>
      </c>
      <c r="GY14" s="41">
        <f t="shared" si="87"/>
        <v>0</v>
      </c>
    </row>
    <row r="15" spans="1:207" ht="14">
      <c r="F15" s="117" t="s">
        <v>83</v>
      </c>
      <c r="H15" s="117" t="s">
        <v>83</v>
      </c>
      <c r="I15" s="41">
        <f t="shared" ref="I15:O15" si="88">+I9-I14</f>
        <v>55</v>
      </c>
      <c r="J15" s="41">
        <f t="shared" si="88"/>
        <v>12.5</v>
      </c>
      <c r="K15" s="41">
        <f t="shared" si="88"/>
        <v>60</v>
      </c>
      <c r="L15" s="41">
        <f t="shared" si="88"/>
        <v>72.5</v>
      </c>
      <c r="M15" s="41">
        <f t="shared" si="88"/>
        <v>120</v>
      </c>
      <c r="N15" s="41">
        <f t="shared" si="88"/>
        <v>162.5</v>
      </c>
      <c r="O15" s="41">
        <f t="shared" si="88"/>
        <v>150</v>
      </c>
      <c r="P15" s="41">
        <f t="shared" ref="P15:U15" si="89">+P9-P14</f>
        <v>-8</v>
      </c>
      <c r="Q15" s="41">
        <f t="shared" si="89"/>
        <v>-30</v>
      </c>
      <c r="R15" s="41">
        <f t="shared" si="89"/>
        <v>-17.5</v>
      </c>
      <c r="S15" s="41">
        <f t="shared" si="89"/>
        <v>22.5</v>
      </c>
      <c r="T15" s="41">
        <f t="shared" si="89"/>
        <v>24</v>
      </c>
      <c r="U15" s="41">
        <f t="shared" si="89"/>
        <v>-32.5</v>
      </c>
      <c r="V15" s="41">
        <f t="shared" ref="V15:W15" si="90">+V9-V14</f>
        <v>-56.666666666666629</v>
      </c>
      <c r="W15" s="41">
        <f t="shared" si="90"/>
        <v>-60</v>
      </c>
      <c r="X15" s="41">
        <f t="shared" ref="X15:Y15" si="91">+X9-X14</f>
        <v>-42.5</v>
      </c>
      <c r="Y15" s="41">
        <f t="shared" si="91"/>
        <v>-52</v>
      </c>
      <c r="Z15" s="41">
        <f t="shared" ref="Z15:AA15" si="92">+Z9-Z14</f>
        <v>-75</v>
      </c>
      <c r="AA15" s="41">
        <f t="shared" si="92"/>
        <v>-70</v>
      </c>
      <c r="AB15" s="41">
        <f t="shared" ref="AB15:AC15" si="93">+AB9-AB14</f>
        <v>-20</v>
      </c>
      <c r="AC15" s="41">
        <f t="shared" si="93"/>
        <v>-45</v>
      </c>
      <c r="AD15" s="41">
        <f t="shared" ref="AD15:AE15" si="94">+AD9-AD14</f>
        <v>-56.666666666666629</v>
      </c>
      <c r="AE15" s="41">
        <f t="shared" si="94"/>
        <v>-68</v>
      </c>
      <c r="AF15" s="41">
        <f t="shared" ref="AF15:AG15" si="95">+AF9-AF14</f>
        <v>-60</v>
      </c>
      <c r="AG15" s="41">
        <f t="shared" si="95"/>
        <v>-70</v>
      </c>
      <c r="AH15" s="41">
        <f t="shared" ref="AH15:AI15" si="96">+AH9-AH14</f>
        <v>-165</v>
      </c>
      <c r="AI15" s="41">
        <f t="shared" si="96"/>
        <v>-140</v>
      </c>
      <c r="AJ15" s="41">
        <f t="shared" ref="AJ15:AK15" si="97">+AJ9-AJ14</f>
        <v>-130</v>
      </c>
      <c r="AK15" s="41">
        <f t="shared" si="97"/>
        <v>-117</v>
      </c>
      <c r="AL15" s="41">
        <f t="shared" ref="AL15:AM15" si="98">+AL9-AL14</f>
        <v>-107.5</v>
      </c>
      <c r="AM15" s="41">
        <f t="shared" si="98"/>
        <v>-128.5</v>
      </c>
      <c r="AN15" s="41">
        <f t="shared" ref="AN15:AO15" si="99">+AN9-AN14</f>
        <v>-125.5</v>
      </c>
      <c r="AO15" s="41">
        <f t="shared" si="99"/>
        <v>-115.5</v>
      </c>
      <c r="AP15" s="41">
        <f t="shared" ref="AP15:AQ15" si="100">+AP9-AP14</f>
        <v>-102</v>
      </c>
      <c r="AQ15" s="41">
        <f t="shared" si="100"/>
        <v>-112.5</v>
      </c>
      <c r="AR15" s="41">
        <f t="shared" ref="AR15:AS15" si="101">+AR9-AR14</f>
        <v>-115</v>
      </c>
      <c r="AS15" s="41">
        <f t="shared" si="101"/>
        <v>-125</v>
      </c>
      <c r="AW15" s="117" t="s">
        <v>83</v>
      </c>
      <c r="AX15" s="41">
        <f t="shared" ref="AX15:BJ15" si="102">+AX9-AX14</f>
        <v>250</v>
      </c>
      <c r="AY15" s="41">
        <f>+AY9-AY14</f>
        <v>100</v>
      </c>
      <c r="AZ15" s="41">
        <f t="shared" si="102"/>
        <v>90</v>
      </c>
      <c r="BA15" s="41">
        <f t="shared" si="102"/>
        <v>30</v>
      </c>
      <c r="BB15" s="41">
        <f t="shared" si="102"/>
        <v>0</v>
      </c>
      <c r="BC15" s="41">
        <f t="shared" si="102"/>
        <v>0</v>
      </c>
      <c r="BD15" s="41">
        <f t="shared" si="102"/>
        <v>0</v>
      </c>
      <c r="BE15" s="41">
        <f t="shared" si="102"/>
        <v>10</v>
      </c>
      <c r="BF15" s="41">
        <f t="shared" si="102"/>
        <v>40</v>
      </c>
      <c r="BG15" s="41">
        <f t="shared" si="102"/>
        <v>40</v>
      </c>
      <c r="BH15" s="41">
        <f t="shared" si="102"/>
        <v>60</v>
      </c>
      <c r="BI15" s="41">
        <f t="shared" si="102"/>
        <v>60</v>
      </c>
      <c r="BJ15" s="41">
        <f t="shared" si="102"/>
        <v>60</v>
      </c>
      <c r="BK15" s="41">
        <f>+BK9-BK14</f>
        <v>80</v>
      </c>
      <c r="BL15" s="41">
        <f>+BL9-BL14</f>
        <v>80</v>
      </c>
      <c r="BM15" s="41">
        <f>+BM9-BM14</f>
        <v>70</v>
      </c>
      <c r="BN15" s="41">
        <f>+BN9-BN14</f>
        <v>70</v>
      </c>
      <c r="BO15" s="41">
        <f t="shared" ref="BO15:BT15" si="103">+BO9-BO14</f>
        <v>70</v>
      </c>
      <c r="BP15" s="41">
        <f t="shared" si="103"/>
        <v>70</v>
      </c>
      <c r="BQ15" s="41">
        <f t="shared" si="103"/>
        <v>100</v>
      </c>
      <c r="BR15" s="41">
        <f t="shared" si="103"/>
        <v>180</v>
      </c>
      <c r="BS15" s="41">
        <f t="shared" si="103"/>
        <v>130</v>
      </c>
      <c r="BT15" s="41">
        <f t="shared" si="103"/>
        <v>140</v>
      </c>
      <c r="BU15" s="41">
        <f t="shared" ref="BU15:BZ15" si="104">+BU9-BU14</f>
        <v>170</v>
      </c>
      <c r="BV15" s="41">
        <f t="shared" si="104"/>
        <v>170</v>
      </c>
      <c r="BW15" s="41">
        <f t="shared" si="104"/>
        <v>170</v>
      </c>
      <c r="BX15" s="41">
        <f t="shared" si="104"/>
        <v>180</v>
      </c>
      <c r="BY15" s="41">
        <f t="shared" si="104"/>
        <v>160</v>
      </c>
      <c r="BZ15" s="41">
        <f t="shared" si="104"/>
        <v>130</v>
      </c>
      <c r="CA15" s="41">
        <f t="shared" ref="CA15:CF15" si="105">+CA9-CA14</f>
        <v>130</v>
      </c>
      <c r="CB15" s="41">
        <f t="shared" si="105"/>
        <v>0</v>
      </c>
      <c r="CC15" s="41">
        <f t="shared" si="105"/>
        <v>-10</v>
      </c>
      <c r="CD15" s="41">
        <f t="shared" si="105"/>
        <v>-10</v>
      </c>
      <c r="CE15" s="41">
        <f t="shared" si="105"/>
        <v>-10</v>
      </c>
      <c r="CF15" s="41">
        <f t="shared" si="105"/>
        <v>-10</v>
      </c>
      <c r="CG15" s="41">
        <f t="shared" ref="CG15:CL15" si="106">+CG9-CG14</f>
        <v>0</v>
      </c>
      <c r="CH15" s="41">
        <f t="shared" si="106"/>
        <v>-40</v>
      </c>
      <c r="CI15" s="41">
        <f t="shared" si="106"/>
        <v>-40</v>
      </c>
      <c r="CJ15" s="41">
        <f t="shared" si="106"/>
        <v>-40</v>
      </c>
      <c r="CK15" s="41">
        <f t="shared" si="106"/>
        <v>-30</v>
      </c>
      <c r="CL15" s="41">
        <f t="shared" si="106"/>
        <v>-20</v>
      </c>
      <c r="CM15" s="41">
        <f t="shared" ref="CM15:CR15" si="107">+CM9-CM14</f>
        <v>-20</v>
      </c>
      <c r="CN15" s="41">
        <f t="shared" si="107"/>
        <v>0</v>
      </c>
      <c r="CO15" s="41">
        <f t="shared" si="107"/>
        <v>0</v>
      </c>
      <c r="CP15" s="41">
        <f t="shared" si="107"/>
        <v>30</v>
      </c>
      <c r="CQ15" s="41">
        <f t="shared" si="107"/>
        <v>30</v>
      </c>
      <c r="CR15" s="41">
        <f t="shared" si="107"/>
        <v>30</v>
      </c>
      <c r="CS15" s="41">
        <f t="shared" ref="CS15:CT15" si="108">+CS9-CS14</f>
        <v>30</v>
      </c>
      <c r="CT15" s="41">
        <f t="shared" si="108"/>
        <v>30</v>
      </c>
      <c r="CU15" s="41">
        <f t="shared" ref="CU15:CV15" si="109">+CU9-CU14</f>
        <v>20</v>
      </c>
      <c r="CV15" s="41">
        <f t="shared" si="109"/>
        <v>20</v>
      </c>
      <c r="CW15" s="41">
        <f t="shared" ref="CW15:CX15" si="110">+CW9-CW14</f>
        <v>20</v>
      </c>
      <c r="CX15" s="41">
        <f t="shared" si="110"/>
        <v>0</v>
      </c>
      <c r="CY15" s="41">
        <f t="shared" ref="CY15:CZ15" si="111">+CY9-CY14</f>
        <v>-40</v>
      </c>
      <c r="CZ15" s="41">
        <f t="shared" si="111"/>
        <v>-40</v>
      </c>
      <c r="DA15" s="41">
        <f t="shared" ref="DA15:DB15" si="112">+DA9-DA14</f>
        <v>-50</v>
      </c>
      <c r="DB15" s="41">
        <f t="shared" si="112"/>
        <v>-70</v>
      </c>
      <c r="DC15" s="41">
        <f t="shared" ref="DC15:DE15" si="113">+DC9-DC14</f>
        <v>-50</v>
      </c>
      <c r="DD15" s="41">
        <f t="shared" si="113"/>
        <v>-50</v>
      </c>
      <c r="DE15" s="41">
        <f t="shared" si="113"/>
        <v>-50</v>
      </c>
      <c r="DF15" s="41">
        <f t="shared" ref="DF15:DG15" si="114">+DF9-DF14</f>
        <v>-50</v>
      </c>
      <c r="DG15" s="41">
        <f t="shared" si="114"/>
        <v>-70</v>
      </c>
      <c r="DH15" s="41">
        <f t="shared" ref="DH15:DI15" si="115">+DH9-DH14</f>
        <v>-70</v>
      </c>
      <c r="DI15" s="41">
        <f t="shared" si="115"/>
        <v>-50</v>
      </c>
      <c r="DJ15" s="41">
        <f t="shared" ref="DJ15:DL15" si="116">+DJ9-DJ14</f>
        <v>-40</v>
      </c>
      <c r="DK15" s="41">
        <f t="shared" si="116"/>
        <v>-40</v>
      </c>
      <c r="DL15" s="41">
        <f t="shared" si="116"/>
        <v>-40</v>
      </c>
      <c r="DM15" s="41">
        <f t="shared" ref="DM15:DN15" si="117">+DM9-DM14</f>
        <v>-40</v>
      </c>
      <c r="DN15" s="41">
        <f t="shared" si="117"/>
        <v>-50</v>
      </c>
      <c r="DO15" s="41">
        <f t="shared" ref="DO15:DP15" si="118">+DO9-DO14</f>
        <v>-50</v>
      </c>
      <c r="DP15" s="41">
        <f t="shared" si="118"/>
        <v>-50</v>
      </c>
      <c r="DQ15" s="41">
        <f t="shared" ref="DQ15:DR15" si="119">+DQ9-DQ14</f>
        <v>-70</v>
      </c>
      <c r="DR15" s="41">
        <f t="shared" si="119"/>
        <v>-70</v>
      </c>
      <c r="DS15" s="41">
        <f t="shared" ref="DS15:DT15" si="120">+DS9-DS14</f>
        <v>-70</v>
      </c>
      <c r="DT15" s="41">
        <f t="shared" si="120"/>
        <v>-80</v>
      </c>
      <c r="DU15" s="41">
        <f t="shared" ref="DU15:DV15" si="121">+DU9-DU14</f>
        <v>-80</v>
      </c>
      <c r="DV15" s="41">
        <f t="shared" si="121"/>
        <v>-80</v>
      </c>
      <c r="DW15" s="41">
        <f t="shared" ref="DW15:DX15" si="122">+DW9-DW14</f>
        <v>-80</v>
      </c>
      <c r="DX15" s="41">
        <f t="shared" si="122"/>
        <v>-80</v>
      </c>
      <c r="DY15" s="41">
        <f t="shared" ref="DY15:DZ15" si="123">+DY9-DY14</f>
        <v>-40</v>
      </c>
      <c r="DZ15" s="41">
        <f t="shared" si="123"/>
        <v>-30</v>
      </c>
      <c r="EA15" s="41">
        <f t="shared" ref="EA15:EB15" si="124">+EA9-EA14</f>
        <v>-30</v>
      </c>
      <c r="EB15" s="41">
        <f t="shared" si="124"/>
        <v>-20</v>
      </c>
      <c r="EC15" s="41">
        <f t="shared" ref="EC15:EE15" si="125">+EC9-EC14</f>
        <v>-10</v>
      </c>
      <c r="ED15" s="41">
        <f t="shared" si="125"/>
        <v>-10</v>
      </c>
      <c r="EE15" s="41">
        <f t="shared" si="125"/>
        <v>-50</v>
      </c>
      <c r="EF15" s="41">
        <f t="shared" ref="EF15:EG15" si="126">+EF9-EF14</f>
        <v>-50</v>
      </c>
      <c r="EG15" s="41">
        <f t="shared" si="126"/>
        <v>-40</v>
      </c>
      <c r="EH15" s="41">
        <f t="shared" ref="EH15:EJ15" si="127">+EH9-EH14</f>
        <v>-40</v>
      </c>
      <c r="EI15" s="41">
        <f t="shared" si="127"/>
        <v>-50</v>
      </c>
      <c r="EJ15" s="41">
        <f t="shared" si="127"/>
        <v>-50</v>
      </c>
      <c r="EK15" s="41">
        <f t="shared" ref="EK15:EL15" si="128">+EK9-EK14</f>
        <v>-50</v>
      </c>
      <c r="EL15" s="41">
        <f t="shared" si="128"/>
        <v>-70</v>
      </c>
      <c r="EM15" s="41">
        <f t="shared" ref="EM15:EQ15" si="129">+EM9-EM14</f>
        <v>-70</v>
      </c>
      <c r="EN15" s="41">
        <f t="shared" si="129"/>
        <v>-70</v>
      </c>
      <c r="EO15" s="41">
        <f t="shared" si="129"/>
        <v>-70</v>
      </c>
      <c r="EP15" s="41">
        <f t="shared" si="129"/>
        <v>-70</v>
      </c>
      <c r="EQ15" s="41">
        <f t="shared" si="129"/>
        <v>-60</v>
      </c>
      <c r="ER15" s="41">
        <f t="shared" ref="ER15:EU15" si="130">+ER9-ER14</f>
        <v>-60</v>
      </c>
      <c r="ES15" s="41">
        <f t="shared" si="130"/>
        <v>-60</v>
      </c>
      <c r="ET15" s="41">
        <f t="shared" si="130"/>
        <v>-60</v>
      </c>
      <c r="EU15" s="41">
        <f t="shared" si="130"/>
        <v>-60</v>
      </c>
      <c r="EV15" s="41">
        <f t="shared" ref="EV15:EW15" si="131">+EV9-EV14</f>
        <v>-60</v>
      </c>
      <c r="EW15" s="41">
        <f t="shared" si="131"/>
        <v>-70</v>
      </c>
      <c r="EX15" s="41">
        <f t="shared" ref="EX15:EY15" si="132">+EX9-EX14</f>
        <v>-70</v>
      </c>
      <c r="EY15" s="41">
        <f t="shared" si="132"/>
        <v>-80</v>
      </c>
      <c r="EZ15" s="41">
        <f t="shared" ref="EZ15:FB15" si="133">+EZ9-EZ14</f>
        <v>-150</v>
      </c>
      <c r="FA15" s="41">
        <f t="shared" si="133"/>
        <v>-180</v>
      </c>
      <c r="FB15" s="41">
        <f t="shared" si="133"/>
        <v>-170</v>
      </c>
      <c r="FC15" s="41">
        <f t="shared" ref="FC15:FD15" si="134">+FC9-FC14</f>
        <v>-160</v>
      </c>
      <c r="FD15" s="41">
        <f t="shared" si="134"/>
        <v>-140</v>
      </c>
      <c r="FE15" s="41">
        <f t="shared" ref="FE15:FG15" si="135">+FE9-FE14</f>
        <v>-140</v>
      </c>
      <c r="FF15" s="41">
        <f t="shared" si="135"/>
        <v>-140</v>
      </c>
      <c r="FG15" s="41">
        <f t="shared" si="135"/>
        <v>-140</v>
      </c>
      <c r="FH15" s="41">
        <f t="shared" ref="FH15:FK15" si="136">+FH9-FH14</f>
        <v>-145</v>
      </c>
      <c r="FI15" s="41">
        <f t="shared" si="136"/>
        <v>-135</v>
      </c>
      <c r="FJ15" s="41">
        <f t="shared" si="136"/>
        <v>-125</v>
      </c>
      <c r="FK15" s="41">
        <f t="shared" si="136"/>
        <v>-115</v>
      </c>
      <c r="FL15" s="41">
        <f t="shared" ref="FL15:FP15" si="137">+FL9-FL14</f>
        <v>-135</v>
      </c>
      <c r="FM15" s="41">
        <f t="shared" si="137"/>
        <v>-115</v>
      </c>
      <c r="FN15" s="41">
        <f t="shared" si="137"/>
        <v>-115</v>
      </c>
      <c r="FO15" s="41">
        <f t="shared" si="137"/>
        <v>-115</v>
      </c>
      <c r="FP15" s="41">
        <f t="shared" si="137"/>
        <v>-105</v>
      </c>
      <c r="FQ15" s="41">
        <f t="shared" ref="FQ15:FT15" si="138">+FQ9-FQ14</f>
        <v>-105</v>
      </c>
      <c r="FR15" s="41">
        <f t="shared" si="138"/>
        <v>-95</v>
      </c>
      <c r="FS15" s="41">
        <f t="shared" si="138"/>
        <v>-115</v>
      </c>
      <c r="FT15" s="41">
        <f t="shared" si="138"/>
        <v>-115</v>
      </c>
      <c r="FU15" s="41">
        <f t="shared" ref="FU15:FY15" si="139">+FU9-FU14</f>
        <v>-140.5</v>
      </c>
      <c r="FV15" s="41">
        <f t="shared" si="139"/>
        <v>-140.5</v>
      </c>
      <c r="FW15" s="41">
        <f t="shared" si="139"/>
        <v>-140.5</v>
      </c>
      <c r="FX15" s="41">
        <f t="shared" si="139"/>
        <v>-110.5</v>
      </c>
      <c r="FY15" s="41">
        <f t="shared" si="139"/>
        <v>-110.5</v>
      </c>
      <c r="FZ15" s="41">
        <f t="shared" ref="FZ15:GC15" si="140">+FZ9-FZ14</f>
        <v>-130.5</v>
      </c>
      <c r="GA15" s="41">
        <f t="shared" si="140"/>
        <v>-130.5</v>
      </c>
      <c r="GB15" s="41">
        <f t="shared" si="140"/>
        <v>-120.5</v>
      </c>
      <c r="GC15" s="41">
        <f t="shared" si="140"/>
        <v>-120.5</v>
      </c>
      <c r="GD15" s="41">
        <f t="shared" ref="GD15:GG15" si="141">+GD9-GD14</f>
        <v>-135.5</v>
      </c>
      <c r="GE15" s="41">
        <f t="shared" si="141"/>
        <v>-115.5</v>
      </c>
      <c r="GF15" s="41">
        <f t="shared" si="141"/>
        <v>-115.5</v>
      </c>
      <c r="GG15" s="41">
        <f t="shared" si="141"/>
        <v>-95.5</v>
      </c>
      <c r="GH15" s="41">
        <f t="shared" ref="GH15:GL15" si="142">+GH9-GH14</f>
        <v>-110</v>
      </c>
      <c r="GI15" s="41">
        <f t="shared" si="142"/>
        <v>-110</v>
      </c>
      <c r="GJ15" s="41">
        <f t="shared" si="142"/>
        <v>-100</v>
      </c>
      <c r="GK15" s="41">
        <f t="shared" si="142"/>
        <v>-100</v>
      </c>
      <c r="GL15" s="41">
        <f t="shared" si="142"/>
        <v>-90</v>
      </c>
      <c r="GM15" s="41">
        <f t="shared" ref="GM15:GP15" si="143">+GM9-GM14</f>
        <v>-115</v>
      </c>
      <c r="GN15" s="41">
        <f t="shared" si="143"/>
        <v>-115</v>
      </c>
      <c r="GO15" s="41">
        <f t="shared" si="143"/>
        <v>-115</v>
      </c>
      <c r="GP15" s="41">
        <f t="shared" si="143"/>
        <v>-105</v>
      </c>
      <c r="GQ15" s="41">
        <f t="shared" ref="GQ15:GT15" si="144">+GQ9-GQ14</f>
        <v>-115</v>
      </c>
      <c r="GR15" s="41">
        <f t="shared" si="144"/>
        <v>-115</v>
      </c>
      <c r="GS15" s="41">
        <f t="shared" si="144"/>
        <v>-115</v>
      </c>
      <c r="GT15" s="41">
        <f t="shared" si="144"/>
        <v>-115</v>
      </c>
      <c r="GU15" s="41">
        <f t="shared" ref="GU15:GY15" si="145">+GU9-GU14</f>
        <v>695</v>
      </c>
      <c r="GV15" s="41">
        <f t="shared" si="145"/>
        <v>695</v>
      </c>
      <c r="GW15" s="41">
        <f t="shared" si="145"/>
        <v>695</v>
      </c>
      <c r="GX15" s="41">
        <f t="shared" si="145"/>
        <v>695</v>
      </c>
      <c r="GY15" s="41">
        <f t="shared" si="145"/>
        <v>695</v>
      </c>
    </row>
    <row r="16" spans="1:207">
      <c r="F16" s="1" t="s">
        <v>81</v>
      </c>
      <c r="H16" s="1" t="s">
        <v>81</v>
      </c>
      <c r="I16" s="51">
        <f t="shared" ref="I16:O16" si="146">+I15/I14</f>
        <v>5.2631578947368418E-2</v>
      </c>
      <c r="J16" s="51">
        <f t="shared" si="146"/>
        <v>1.1494252873563218E-2</v>
      </c>
      <c r="K16" s="51">
        <f t="shared" si="146"/>
        <v>5.7692307692307696E-2</v>
      </c>
      <c r="L16" s="51">
        <f t="shared" si="146"/>
        <v>7.0559610705596104E-2</v>
      </c>
      <c r="M16" s="51">
        <f t="shared" si="146"/>
        <v>0.12403100775193798</v>
      </c>
      <c r="N16" s="51">
        <f t="shared" si="146"/>
        <v>0.18309859154929578</v>
      </c>
      <c r="O16" s="51">
        <f t="shared" si="146"/>
        <v>0.16666666666666666</v>
      </c>
      <c r="P16" s="51">
        <f t="shared" ref="P16:U16" si="147">+P15/P14</f>
        <v>-8.350730688935281E-3</v>
      </c>
      <c r="Q16" s="51">
        <f t="shared" si="147"/>
        <v>-3.0612244897959183E-2</v>
      </c>
      <c r="R16" s="51">
        <f t="shared" si="147"/>
        <v>-1.8087855297157621E-2</v>
      </c>
      <c r="S16" s="51">
        <f t="shared" si="147"/>
        <v>2.4258760107816711E-2</v>
      </c>
      <c r="T16" s="51">
        <f t="shared" si="147"/>
        <v>2.591792656587473E-2</v>
      </c>
      <c r="U16" s="51">
        <f t="shared" si="147"/>
        <v>-3.3766233766233764E-2</v>
      </c>
      <c r="V16" s="51">
        <f t="shared" ref="V16:W16" si="148">+V15/V14</f>
        <v>-5.7432432432432394E-2</v>
      </c>
      <c r="W16" s="51">
        <f t="shared" si="148"/>
        <v>-6.0606060606060608E-2</v>
      </c>
      <c r="X16" s="51">
        <f t="shared" ref="X16:Y16" si="149">+X15/X14</f>
        <v>-4.2821158690176324E-2</v>
      </c>
      <c r="Y16" s="51">
        <f t="shared" si="149"/>
        <v>-5.1896207584830337E-2</v>
      </c>
      <c r="Z16" s="51">
        <f t="shared" ref="Z16:AA16" si="150">+Z15/Z14</f>
        <v>-7.3170731707317069E-2</v>
      </c>
      <c r="AA16" s="51">
        <f t="shared" si="150"/>
        <v>-6.8627450980392163E-2</v>
      </c>
      <c r="AB16" s="51">
        <f t="shared" ref="AB16:AC16" si="151">+AB15/AB14</f>
        <v>-2.0618556701030927E-2</v>
      </c>
      <c r="AC16" s="51">
        <f t="shared" si="151"/>
        <v>-4.712041884816754E-2</v>
      </c>
      <c r="AD16" s="51">
        <f t="shared" ref="AD16:AE16" si="152">+AD15/AD14</f>
        <v>-5.9233449477351881E-2</v>
      </c>
      <c r="AE16" s="51">
        <f t="shared" si="152"/>
        <v>-7.0247933884297523E-2</v>
      </c>
      <c r="AF16" s="51">
        <f t="shared" ref="AF16:AG16" si="153">+AF15/AF14</f>
        <v>-6.25E-2</v>
      </c>
      <c r="AG16" s="51">
        <f t="shared" si="153"/>
        <v>-7.2164948453608241E-2</v>
      </c>
      <c r="AH16" s="51">
        <f t="shared" ref="AH16:AI16" si="154">+AH15/AH14</f>
        <v>-0.16751269035532995</v>
      </c>
      <c r="AI16" s="51">
        <f t="shared" si="154"/>
        <v>-0.14285714285714285</v>
      </c>
      <c r="AJ16" s="51">
        <f t="shared" ref="AJ16:AK16" si="155">+AJ15/AJ14</f>
        <v>-0.13471502590673576</v>
      </c>
      <c r="AK16" s="51">
        <f t="shared" si="155"/>
        <v>-0.12553648068669529</v>
      </c>
      <c r="AL16" s="51">
        <f t="shared" ref="AL16:AM16" si="156">+AL15/AL14</f>
        <v>-0.11653116531165311</v>
      </c>
      <c r="AM16" s="51">
        <f t="shared" si="156"/>
        <v>-0.13997821350762527</v>
      </c>
      <c r="AN16" s="51">
        <f t="shared" ref="AN16:AO16" si="157">+AN15/AN14</f>
        <v>-0.14022346368715083</v>
      </c>
      <c r="AO16" s="51">
        <f t="shared" si="157"/>
        <v>-0.13275862068965516</v>
      </c>
      <c r="AP16" s="51">
        <f t="shared" ref="AP16:AQ16" si="158">+AP15/AP14</f>
        <v>-0.12114014251781473</v>
      </c>
      <c r="AQ16" s="51">
        <f t="shared" si="158"/>
        <v>-0.13595166163141995</v>
      </c>
      <c r="AR16" s="51">
        <f t="shared" ref="AR16:AS16" si="159">+AR15/AR14</f>
        <v>-0.1402439024390244</v>
      </c>
      <c r="AS16" s="51">
        <f t="shared" si="159"/>
        <v>-0.1524390243902439</v>
      </c>
      <c r="AW16" s="1" t="s">
        <v>81</v>
      </c>
      <c r="AX16" s="51">
        <f t="shared" ref="AX16:BI16" si="160">+AX15/AX14</f>
        <v>0.25</v>
      </c>
      <c r="AY16" s="51">
        <f>+AY15/AY14</f>
        <v>0.1</v>
      </c>
      <c r="AZ16" s="51">
        <f t="shared" si="160"/>
        <v>8.9108910891089105E-2</v>
      </c>
      <c r="BA16" s="51">
        <f t="shared" si="160"/>
        <v>2.8037383177570093E-2</v>
      </c>
      <c r="BB16" s="51">
        <f t="shared" si="160"/>
        <v>0</v>
      </c>
      <c r="BC16" s="51">
        <f t="shared" si="160"/>
        <v>0</v>
      </c>
      <c r="BD16" s="51">
        <f t="shared" si="160"/>
        <v>0</v>
      </c>
      <c r="BE16" s="51">
        <f t="shared" si="160"/>
        <v>9.1743119266055051E-3</v>
      </c>
      <c r="BF16" s="51">
        <f t="shared" si="160"/>
        <v>3.7735849056603772E-2</v>
      </c>
      <c r="BG16" s="51">
        <f>+BG15/BG14</f>
        <v>3.7735849056603772E-2</v>
      </c>
      <c r="BH16" s="51">
        <f t="shared" si="160"/>
        <v>5.7692307692307696E-2</v>
      </c>
      <c r="BI16" s="51">
        <f t="shared" si="160"/>
        <v>5.7692307692307696E-2</v>
      </c>
      <c r="BJ16" s="51">
        <f>+BJ15/BJ14</f>
        <v>5.7692307692307696E-2</v>
      </c>
      <c r="BK16" s="51">
        <f>+BK15/BK14</f>
        <v>7.8431372549019607E-2</v>
      </c>
      <c r="BL16" s="51">
        <f>+BL15/BL14</f>
        <v>7.8431372549019607E-2</v>
      </c>
      <c r="BM16" s="51">
        <f>+BM15/BM14</f>
        <v>6.7961165048543687E-2</v>
      </c>
      <c r="BN16" s="51">
        <f>+BN15/BN14</f>
        <v>6.7961165048543687E-2</v>
      </c>
      <c r="BO16" s="51">
        <f t="shared" ref="BO16:BT16" si="161">+BO15/BO14</f>
        <v>6.7961165048543687E-2</v>
      </c>
      <c r="BP16" s="51">
        <f t="shared" si="161"/>
        <v>6.7961165048543687E-2</v>
      </c>
      <c r="BQ16" s="51">
        <f t="shared" si="161"/>
        <v>0.1</v>
      </c>
      <c r="BR16" s="51">
        <f t="shared" si="161"/>
        <v>0.19565217391304349</v>
      </c>
      <c r="BS16" s="51">
        <f t="shared" si="161"/>
        <v>0.14130434782608695</v>
      </c>
      <c r="BT16" s="51">
        <f t="shared" si="161"/>
        <v>0.15384615384615385</v>
      </c>
      <c r="BU16" s="51">
        <f t="shared" ref="BU16:BZ16" si="162">+BU15/BU14</f>
        <v>0.19318181818181818</v>
      </c>
      <c r="BV16" s="51">
        <f t="shared" si="162"/>
        <v>0.19318181818181818</v>
      </c>
      <c r="BW16" s="51">
        <f t="shared" si="162"/>
        <v>0.19318181818181818</v>
      </c>
      <c r="BX16" s="51">
        <f t="shared" si="162"/>
        <v>0.20689655172413793</v>
      </c>
      <c r="BY16" s="51">
        <f t="shared" si="162"/>
        <v>0.1797752808988764</v>
      </c>
      <c r="BZ16" s="51">
        <f t="shared" si="162"/>
        <v>0.14130434782608695</v>
      </c>
      <c r="CA16" s="51">
        <f t="shared" ref="CA16:CN16" si="163">+CA15/CA14</f>
        <v>0.14130434782608695</v>
      </c>
      <c r="CB16" s="51">
        <f t="shared" si="163"/>
        <v>0</v>
      </c>
      <c r="CC16" s="51">
        <f t="shared" si="163"/>
        <v>-1.0416666666666666E-2</v>
      </c>
      <c r="CD16" s="51">
        <f t="shared" si="163"/>
        <v>-1.0416666666666666E-2</v>
      </c>
      <c r="CE16" s="51">
        <f t="shared" si="163"/>
        <v>-1.0416666666666666E-2</v>
      </c>
      <c r="CF16" s="51">
        <f t="shared" si="163"/>
        <v>-1.0416666666666666E-2</v>
      </c>
      <c r="CG16" s="51">
        <f t="shared" si="163"/>
        <v>0</v>
      </c>
      <c r="CH16" s="51">
        <f t="shared" si="163"/>
        <v>-4.0404040404040407E-2</v>
      </c>
      <c r="CI16" s="51">
        <f t="shared" si="163"/>
        <v>-4.0404040404040407E-2</v>
      </c>
      <c r="CJ16" s="51">
        <f t="shared" si="163"/>
        <v>-4.0404040404040407E-2</v>
      </c>
      <c r="CK16" s="51">
        <f t="shared" si="163"/>
        <v>-3.0612244897959183E-2</v>
      </c>
      <c r="CL16" s="51">
        <f t="shared" si="163"/>
        <v>-2.0618556701030927E-2</v>
      </c>
      <c r="CM16" s="51">
        <f t="shared" si="163"/>
        <v>-2.0618556701030927E-2</v>
      </c>
      <c r="CN16" s="51">
        <f t="shared" si="163"/>
        <v>0</v>
      </c>
      <c r="CO16" s="51">
        <f t="shared" ref="CO16:CP16" si="164">+CO15/CO14</f>
        <v>0</v>
      </c>
      <c r="CP16" s="51">
        <f t="shared" si="164"/>
        <v>3.2608695652173912E-2</v>
      </c>
      <c r="CQ16" s="51">
        <f t="shared" ref="CQ16:CR16" si="165">+CQ15/CQ14</f>
        <v>3.2608695652173912E-2</v>
      </c>
      <c r="CR16" s="51">
        <f t="shared" si="165"/>
        <v>3.2608695652173912E-2</v>
      </c>
      <c r="CS16" s="51">
        <f t="shared" ref="CS16:CT16" si="166">+CS15/CS14</f>
        <v>3.2608695652173912E-2</v>
      </c>
      <c r="CT16" s="51">
        <f t="shared" si="166"/>
        <v>3.2608695652173912E-2</v>
      </c>
      <c r="CU16" s="51">
        <f t="shared" ref="CU16:CV16" si="167">+CU15/CU14</f>
        <v>2.1505376344086023E-2</v>
      </c>
      <c r="CV16" s="51">
        <f t="shared" si="167"/>
        <v>2.1505376344086023E-2</v>
      </c>
      <c r="CW16" s="51">
        <f t="shared" ref="CW16:CX16" si="168">+CW15/CW14</f>
        <v>2.1505376344086023E-2</v>
      </c>
      <c r="CX16" s="51">
        <f t="shared" si="168"/>
        <v>0</v>
      </c>
      <c r="CY16" s="51">
        <f t="shared" ref="CY16:CZ16" si="169">+CY15/CY14</f>
        <v>-4.1237113402061855E-2</v>
      </c>
      <c r="CZ16" s="51">
        <f t="shared" si="169"/>
        <v>-4.1237113402061855E-2</v>
      </c>
      <c r="DA16" s="51">
        <f t="shared" ref="DA16:DB16" si="170">+DA15/DA14</f>
        <v>-5.1020408163265307E-2</v>
      </c>
      <c r="DB16" s="51">
        <f t="shared" si="170"/>
        <v>-7.0000000000000007E-2</v>
      </c>
      <c r="DC16" s="51">
        <f t="shared" ref="DC16:DE16" si="171">+DC15/DC14</f>
        <v>-5.1020408163265307E-2</v>
      </c>
      <c r="DD16" s="51">
        <f t="shared" si="171"/>
        <v>-5.1020408163265307E-2</v>
      </c>
      <c r="DE16" s="51">
        <f t="shared" si="171"/>
        <v>-5.1020408163265307E-2</v>
      </c>
      <c r="DF16" s="51">
        <f t="shared" ref="DF16:DG16" si="172">+DF15/DF14</f>
        <v>-5.1020408163265307E-2</v>
      </c>
      <c r="DG16" s="51">
        <f t="shared" si="172"/>
        <v>-7.0000000000000007E-2</v>
      </c>
      <c r="DH16" s="51">
        <f t="shared" ref="DH16:DI16" si="173">+DH15/DH14</f>
        <v>-7.0000000000000007E-2</v>
      </c>
      <c r="DI16" s="51">
        <f t="shared" si="173"/>
        <v>-0.05</v>
      </c>
      <c r="DJ16" s="51">
        <f t="shared" ref="DJ16:DL16" si="174">+DJ15/DJ14</f>
        <v>-4.0404040404040407E-2</v>
      </c>
      <c r="DK16" s="51">
        <f t="shared" si="174"/>
        <v>-4.0404040404040407E-2</v>
      </c>
      <c r="DL16" s="51">
        <f t="shared" si="174"/>
        <v>-4.0404040404040407E-2</v>
      </c>
      <c r="DM16" s="51">
        <f t="shared" ref="DM16:DN16" si="175">+DM15/DM14</f>
        <v>-4.0404040404040407E-2</v>
      </c>
      <c r="DN16" s="51">
        <f t="shared" si="175"/>
        <v>-0.05</v>
      </c>
      <c r="DO16" s="51">
        <f t="shared" ref="DO16:DP16" si="176">+DO15/DO14</f>
        <v>-0.05</v>
      </c>
      <c r="DP16" s="51">
        <f t="shared" si="176"/>
        <v>-0.05</v>
      </c>
      <c r="DQ16" s="51">
        <f t="shared" ref="DQ16:DR16" si="177">+DQ15/DQ14</f>
        <v>-6.8627450980392163E-2</v>
      </c>
      <c r="DR16" s="51">
        <f t="shared" si="177"/>
        <v>-6.8627450980392163E-2</v>
      </c>
      <c r="DS16" s="51">
        <f t="shared" ref="DS16:DT16" si="178">+DS15/DS14</f>
        <v>-6.8627450980392163E-2</v>
      </c>
      <c r="DT16" s="51">
        <f t="shared" si="178"/>
        <v>-7.7669902912621352E-2</v>
      </c>
      <c r="DU16" s="51">
        <f t="shared" ref="DU16:DV16" si="179">+DU15/DU14</f>
        <v>-7.7669902912621352E-2</v>
      </c>
      <c r="DV16" s="51">
        <f t="shared" si="179"/>
        <v>-7.7669902912621352E-2</v>
      </c>
      <c r="DW16" s="51">
        <f t="shared" ref="DW16:DX16" si="180">+DW15/DW14</f>
        <v>-7.7669902912621352E-2</v>
      </c>
      <c r="DX16" s="51">
        <f t="shared" si="180"/>
        <v>-7.7669902912621352E-2</v>
      </c>
      <c r="DY16" s="51">
        <f t="shared" ref="DY16:DZ16" si="181">+DY15/DY14</f>
        <v>-4.0404040404040407E-2</v>
      </c>
      <c r="DZ16" s="51">
        <f t="shared" si="181"/>
        <v>-3.0612244897959183E-2</v>
      </c>
      <c r="EA16" s="51">
        <f t="shared" ref="EA16:EB16" si="182">+EA15/EA14</f>
        <v>-3.0612244897959183E-2</v>
      </c>
      <c r="EB16" s="51">
        <f t="shared" si="182"/>
        <v>-2.0618556701030927E-2</v>
      </c>
      <c r="EC16" s="51">
        <f t="shared" ref="EC16:EE16" si="183">+EC15/EC14</f>
        <v>-1.0416666666666666E-2</v>
      </c>
      <c r="ED16" s="51">
        <f t="shared" si="183"/>
        <v>-1.0416666666666666E-2</v>
      </c>
      <c r="EE16" s="51">
        <f t="shared" si="183"/>
        <v>-5.2083333333333336E-2</v>
      </c>
      <c r="EF16" s="51">
        <f t="shared" ref="EF16:EG16" si="184">+EF15/EF14</f>
        <v>-5.2083333333333336E-2</v>
      </c>
      <c r="EG16" s="51">
        <f t="shared" si="184"/>
        <v>-4.2105263157894736E-2</v>
      </c>
      <c r="EH16" s="51">
        <f t="shared" ref="EH16:EJ16" si="185">+EH15/EH14</f>
        <v>-4.2105263157894736E-2</v>
      </c>
      <c r="EI16" s="51">
        <f t="shared" si="185"/>
        <v>-5.2631578947368418E-2</v>
      </c>
      <c r="EJ16" s="51">
        <f t="shared" si="185"/>
        <v>-5.2631578947368418E-2</v>
      </c>
      <c r="EK16" s="51">
        <f t="shared" ref="EK16:EL16" si="186">+EK15/EK14</f>
        <v>-5.2631578947368418E-2</v>
      </c>
      <c r="EL16" s="51">
        <f t="shared" si="186"/>
        <v>-7.2164948453608241E-2</v>
      </c>
      <c r="EM16" s="51">
        <f t="shared" ref="EM16:EQ16" si="187">+EM15/EM14</f>
        <v>-7.2164948453608241E-2</v>
      </c>
      <c r="EN16" s="51">
        <f t="shared" si="187"/>
        <v>-7.2164948453608241E-2</v>
      </c>
      <c r="EO16" s="51">
        <f t="shared" si="187"/>
        <v>-7.2164948453608241E-2</v>
      </c>
      <c r="EP16" s="51">
        <f t="shared" si="187"/>
        <v>-7.2164948453608241E-2</v>
      </c>
      <c r="EQ16" s="51">
        <f t="shared" si="187"/>
        <v>-6.25E-2</v>
      </c>
      <c r="ER16" s="51">
        <f t="shared" ref="ER16:EU16" si="188">+ER15/ER14</f>
        <v>-6.25E-2</v>
      </c>
      <c r="ES16" s="51">
        <f t="shared" si="188"/>
        <v>-6.25E-2</v>
      </c>
      <c r="ET16" s="51">
        <f t="shared" si="188"/>
        <v>-6.25E-2</v>
      </c>
      <c r="EU16" s="51">
        <f t="shared" si="188"/>
        <v>-6.25E-2</v>
      </c>
      <c r="EV16" s="51">
        <f t="shared" ref="EV16:EW16" si="189">+EV15/EV14</f>
        <v>-6.25E-2</v>
      </c>
      <c r="EW16" s="51">
        <f t="shared" si="189"/>
        <v>-7.2164948453608241E-2</v>
      </c>
      <c r="EX16" s="51">
        <f t="shared" ref="EX16:EY16" si="190">+EX15/EX14</f>
        <v>-7.2164948453608241E-2</v>
      </c>
      <c r="EY16" s="51">
        <f t="shared" si="190"/>
        <v>-8.1632653061224483E-2</v>
      </c>
      <c r="EZ16" s="51">
        <f t="shared" ref="EZ16:FB16" si="191">+EZ15/EZ14</f>
        <v>-0.15463917525773196</v>
      </c>
      <c r="FA16" s="51">
        <f t="shared" si="191"/>
        <v>-0.18</v>
      </c>
      <c r="FB16" s="51">
        <f t="shared" si="191"/>
        <v>-0.17171717171717171</v>
      </c>
      <c r="FC16" s="51">
        <f t="shared" ref="FC16:FD16" si="192">+FC15/FC14</f>
        <v>-0.16326530612244897</v>
      </c>
      <c r="FD16" s="51">
        <f t="shared" si="192"/>
        <v>-0.14285714285714285</v>
      </c>
      <c r="FE16" s="51">
        <f t="shared" ref="FE16:FG16" si="193">+FE15/FE14</f>
        <v>-0.14285714285714285</v>
      </c>
      <c r="FF16" s="51">
        <f t="shared" si="193"/>
        <v>-0.14285714285714285</v>
      </c>
      <c r="FG16" s="51">
        <f t="shared" si="193"/>
        <v>-0.14285714285714285</v>
      </c>
      <c r="FH16" s="51">
        <f t="shared" ref="FH16:FK16" si="194">+FH15/FH14</f>
        <v>-0.14795918367346939</v>
      </c>
      <c r="FI16" s="51">
        <f t="shared" si="194"/>
        <v>-0.13917525773195877</v>
      </c>
      <c r="FJ16" s="51">
        <f t="shared" si="194"/>
        <v>-0.13020833333333334</v>
      </c>
      <c r="FK16" s="51">
        <f t="shared" si="194"/>
        <v>-0.12105263157894737</v>
      </c>
      <c r="FL16" s="51">
        <f t="shared" ref="FL16:FP16" si="195">+FL15/FL14</f>
        <v>-0.14210526315789473</v>
      </c>
      <c r="FM16" s="51">
        <f t="shared" si="195"/>
        <v>-0.12365591397849462</v>
      </c>
      <c r="FN16" s="51">
        <f t="shared" si="195"/>
        <v>-0.12365591397849462</v>
      </c>
      <c r="FO16" s="51">
        <f t="shared" si="195"/>
        <v>-0.12365591397849462</v>
      </c>
      <c r="FP16" s="51">
        <f t="shared" si="195"/>
        <v>-0.11413043478260869</v>
      </c>
      <c r="FQ16" s="51">
        <f t="shared" ref="FQ16:FT16" si="196">+FQ15/FQ14</f>
        <v>-0.11413043478260869</v>
      </c>
      <c r="FR16" s="51">
        <f t="shared" si="196"/>
        <v>-0.1043956043956044</v>
      </c>
      <c r="FS16" s="51">
        <f t="shared" si="196"/>
        <v>-0.12365591397849462</v>
      </c>
      <c r="FT16" s="51">
        <f t="shared" si="196"/>
        <v>-0.12365591397849462</v>
      </c>
      <c r="FU16" s="51">
        <f t="shared" ref="FU16:FY16" si="197">+FU15/FU14</f>
        <v>-0.15107526881720429</v>
      </c>
      <c r="FV16" s="51">
        <f t="shared" si="197"/>
        <v>-0.15107526881720429</v>
      </c>
      <c r="FW16" s="51">
        <f t="shared" si="197"/>
        <v>-0.15107526881720429</v>
      </c>
      <c r="FX16" s="51">
        <f t="shared" si="197"/>
        <v>-0.12277777777777778</v>
      </c>
      <c r="FY16" s="51">
        <f t="shared" si="197"/>
        <v>-0.12277777777777778</v>
      </c>
      <c r="FZ16" s="51">
        <f t="shared" ref="FZ16:GC16" si="198">+FZ15/FZ14</f>
        <v>-0.14499999999999999</v>
      </c>
      <c r="GA16" s="51">
        <f t="shared" si="198"/>
        <v>-0.14499999999999999</v>
      </c>
      <c r="GB16" s="51">
        <f t="shared" si="198"/>
        <v>-0.13539325842696628</v>
      </c>
      <c r="GC16" s="51">
        <f t="shared" si="198"/>
        <v>-0.13539325842696628</v>
      </c>
      <c r="GD16" s="51">
        <f t="shared" ref="GD16:GG16" si="199">+GD15/GD14</f>
        <v>-0.15224719101123596</v>
      </c>
      <c r="GE16" s="51">
        <f t="shared" si="199"/>
        <v>-0.13275862068965516</v>
      </c>
      <c r="GF16" s="51">
        <f t="shared" si="199"/>
        <v>-0.13275862068965516</v>
      </c>
      <c r="GG16" s="51">
        <f t="shared" si="199"/>
        <v>-0.11235294117647059</v>
      </c>
      <c r="GH16" s="51">
        <f t="shared" ref="GH16:GL16" si="200">+GH15/GH14</f>
        <v>-0.12941176470588237</v>
      </c>
      <c r="GI16" s="51">
        <f t="shared" si="200"/>
        <v>-0.12941176470588237</v>
      </c>
      <c r="GJ16" s="51">
        <f t="shared" si="200"/>
        <v>-0.11904761904761904</v>
      </c>
      <c r="GK16" s="51">
        <f t="shared" si="200"/>
        <v>-0.11904761904761904</v>
      </c>
      <c r="GL16" s="51">
        <f t="shared" si="200"/>
        <v>-0.10843373493975904</v>
      </c>
      <c r="GM16" s="51">
        <f t="shared" ref="GM16:GP16" si="201">+GM15/GM14</f>
        <v>-0.13855421686746988</v>
      </c>
      <c r="GN16" s="51">
        <f t="shared" si="201"/>
        <v>-0.13855421686746988</v>
      </c>
      <c r="GO16" s="51">
        <f t="shared" si="201"/>
        <v>-0.13855421686746988</v>
      </c>
      <c r="GP16" s="51">
        <f t="shared" si="201"/>
        <v>-0.12804878048780488</v>
      </c>
      <c r="GQ16" s="51">
        <f t="shared" ref="GQ16:GT16" si="202">+GQ15/GQ14</f>
        <v>-0.1402439024390244</v>
      </c>
      <c r="GR16" s="51">
        <f t="shared" si="202"/>
        <v>-0.1402439024390244</v>
      </c>
      <c r="GS16" s="51">
        <f t="shared" si="202"/>
        <v>-0.1402439024390244</v>
      </c>
      <c r="GT16" s="51">
        <f t="shared" si="202"/>
        <v>-0.1402439024390244</v>
      </c>
      <c r="GU16" s="51" t="e">
        <f t="shared" ref="GU16:GY16" si="203">+GU15/GU14</f>
        <v>#DIV/0!</v>
      </c>
      <c r="GV16" s="51" t="e">
        <f t="shared" si="203"/>
        <v>#DIV/0!</v>
      </c>
      <c r="GW16" s="51" t="e">
        <f t="shared" si="203"/>
        <v>#DIV/0!</v>
      </c>
      <c r="GX16" s="51" t="e">
        <f t="shared" si="203"/>
        <v>#DIV/0!</v>
      </c>
      <c r="GY16" s="51" t="e">
        <f t="shared" si="203"/>
        <v>#DIV/0!</v>
      </c>
    </row>
    <row r="17" spans="6:207" ht="14.5">
      <c r="F17" s="1" t="s">
        <v>87</v>
      </c>
      <c r="H17" s="1" t="s">
        <v>87</v>
      </c>
      <c r="I17" s="41">
        <v>885</v>
      </c>
      <c r="J17" s="41">
        <v>885</v>
      </c>
      <c r="K17" s="41">
        <v>885</v>
      </c>
      <c r="L17" s="41">
        <v>885</v>
      </c>
      <c r="M17" s="41">
        <v>885</v>
      </c>
      <c r="N17" s="41">
        <v>885</v>
      </c>
      <c r="O17" s="41">
        <v>885</v>
      </c>
      <c r="P17" s="41">
        <v>885</v>
      </c>
      <c r="Q17" s="41">
        <v>885</v>
      </c>
      <c r="R17" s="41">
        <v>885</v>
      </c>
      <c r="S17" s="41">
        <v>885</v>
      </c>
      <c r="T17" s="41">
        <v>885</v>
      </c>
      <c r="U17" s="41">
        <v>885</v>
      </c>
      <c r="V17" s="41">
        <v>885</v>
      </c>
      <c r="W17" s="41">
        <v>885</v>
      </c>
      <c r="X17" s="41">
        <v>861</v>
      </c>
      <c r="Y17" s="41">
        <v>861</v>
      </c>
      <c r="Z17" s="41">
        <v>850</v>
      </c>
      <c r="AA17" s="41">
        <v>794</v>
      </c>
      <c r="AB17" s="41">
        <v>836.80121639671654</v>
      </c>
      <c r="AC17" s="41">
        <v>856.16419630615974</v>
      </c>
      <c r="AD17" s="41">
        <v>856.16419630615974</v>
      </c>
      <c r="AE17" s="41">
        <v>856.16419630615974</v>
      </c>
      <c r="AF17" s="41">
        <v>827.7737832482228</v>
      </c>
      <c r="AG17" s="41">
        <v>842.58758463763786</v>
      </c>
      <c r="AH17" s="41">
        <v>835.02956014903214</v>
      </c>
      <c r="AI17" s="41">
        <v>835.02956014903214</v>
      </c>
      <c r="AJ17" s="41">
        <v>821.92388317274299</v>
      </c>
      <c r="AK17" s="41">
        <v>838</v>
      </c>
      <c r="AL17" s="41">
        <v>863.68590309795047</v>
      </c>
      <c r="AM17" s="41">
        <v>864.84654926023097</v>
      </c>
      <c r="AN17" s="41">
        <v>864.84654926023097</v>
      </c>
      <c r="AO17" s="41">
        <v>864.84654926023097</v>
      </c>
      <c r="AP17" s="41">
        <v>877</v>
      </c>
      <c r="AQ17" s="41">
        <v>899.20414893105215</v>
      </c>
      <c r="AR17" s="41">
        <v>896.54965726587238</v>
      </c>
      <c r="AS17" s="41">
        <v>896.54965726587238</v>
      </c>
      <c r="AW17" s="1" t="s">
        <v>87</v>
      </c>
      <c r="AX17" s="41">
        <v>1110</v>
      </c>
      <c r="AY17" s="41">
        <v>885</v>
      </c>
      <c r="AZ17" s="41">
        <v>885</v>
      </c>
      <c r="BA17" s="41">
        <v>885</v>
      </c>
      <c r="BB17" s="41">
        <v>885</v>
      </c>
      <c r="BC17" s="41">
        <v>885</v>
      </c>
      <c r="BD17" s="41">
        <v>885</v>
      </c>
      <c r="BE17" s="41">
        <v>885</v>
      </c>
      <c r="BF17" s="41">
        <v>885</v>
      </c>
      <c r="BG17" s="41">
        <v>885</v>
      </c>
      <c r="BH17" s="41">
        <v>885</v>
      </c>
      <c r="BI17" s="41">
        <v>885</v>
      </c>
      <c r="BJ17" s="41">
        <v>885</v>
      </c>
      <c r="BK17" s="41">
        <v>885</v>
      </c>
      <c r="BL17" s="41">
        <v>885</v>
      </c>
      <c r="BM17" s="41">
        <v>885</v>
      </c>
      <c r="BN17" s="41">
        <v>885</v>
      </c>
      <c r="BO17" s="41">
        <v>885</v>
      </c>
      <c r="BP17" s="41">
        <v>885</v>
      </c>
      <c r="BQ17" s="41">
        <v>885</v>
      </c>
      <c r="BR17" s="41">
        <v>885</v>
      </c>
      <c r="BS17" s="41">
        <v>885</v>
      </c>
      <c r="BT17" s="41">
        <v>885</v>
      </c>
      <c r="BU17" s="41">
        <v>885</v>
      </c>
      <c r="BV17" s="41">
        <v>885</v>
      </c>
      <c r="BW17" s="41">
        <v>885</v>
      </c>
      <c r="BX17" s="41">
        <v>885</v>
      </c>
      <c r="BY17" s="41">
        <v>885</v>
      </c>
      <c r="BZ17" s="41">
        <v>885</v>
      </c>
      <c r="CA17" s="41">
        <v>885</v>
      </c>
      <c r="CB17" s="41">
        <v>885</v>
      </c>
      <c r="CC17" s="41">
        <v>885</v>
      </c>
      <c r="CD17" s="41">
        <v>885</v>
      </c>
      <c r="CE17" s="41">
        <v>885</v>
      </c>
      <c r="CF17" s="41">
        <v>885</v>
      </c>
      <c r="CG17" s="41">
        <v>885</v>
      </c>
      <c r="CH17" s="41">
        <v>885</v>
      </c>
      <c r="CI17" s="41">
        <v>885</v>
      </c>
      <c r="CJ17" s="41">
        <v>885</v>
      </c>
      <c r="CK17" s="41">
        <v>885</v>
      </c>
      <c r="CL17" s="41">
        <v>885</v>
      </c>
      <c r="CM17" s="41">
        <v>885</v>
      </c>
      <c r="CN17" s="41">
        <v>885</v>
      </c>
      <c r="CO17" s="41">
        <v>885</v>
      </c>
      <c r="CP17" s="41">
        <v>885</v>
      </c>
      <c r="CQ17" s="41">
        <v>885</v>
      </c>
      <c r="CR17" s="41">
        <v>885</v>
      </c>
      <c r="CS17" s="41">
        <v>885</v>
      </c>
      <c r="CT17" s="41">
        <v>885</v>
      </c>
      <c r="CU17" s="41">
        <v>885</v>
      </c>
      <c r="CV17" s="41">
        <v>885</v>
      </c>
      <c r="CW17" s="41">
        <v>885</v>
      </c>
      <c r="CX17" s="41">
        <v>885</v>
      </c>
      <c r="CY17" s="41">
        <v>885</v>
      </c>
      <c r="CZ17" s="41">
        <v>885</v>
      </c>
      <c r="DA17" s="41">
        <v>885</v>
      </c>
      <c r="DB17" s="41">
        <v>885</v>
      </c>
      <c r="DC17" s="41">
        <v>885</v>
      </c>
      <c r="DD17" s="41">
        <v>885</v>
      </c>
      <c r="DE17" s="41">
        <v>885</v>
      </c>
      <c r="DF17" s="41">
        <v>885</v>
      </c>
      <c r="DG17" s="41">
        <v>885</v>
      </c>
      <c r="DH17" s="41">
        <v>885</v>
      </c>
      <c r="DI17" s="168">
        <v>861</v>
      </c>
      <c r="DJ17" s="168">
        <v>861</v>
      </c>
      <c r="DK17" s="168">
        <v>861</v>
      </c>
      <c r="DL17" s="168">
        <v>861</v>
      </c>
      <c r="DM17" s="168">
        <v>861</v>
      </c>
      <c r="DN17" s="168">
        <v>861</v>
      </c>
      <c r="DO17" s="168">
        <v>861</v>
      </c>
      <c r="DP17" s="168">
        <v>861</v>
      </c>
      <c r="DQ17" s="168">
        <v>861</v>
      </c>
      <c r="DR17" s="168">
        <v>861</v>
      </c>
      <c r="DS17" s="168">
        <v>861</v>
      </c>
      <c r="DT17" s="168">
        <v>861</v>
      </c>
      <c r="DU17" s="168">
        <v>861</v>
      </c>
      <c r="DV17" s="168">
        <v>794</v>
      </c>
      <c r="DW17" s="168">
        <v>794</v>
      </c>
      <c r="DX17" s="168">
        <v>794</v>
      </c>
      <c r="DY17" s="168">
        <v>794</v>
      </c>
      <c r="DZ17" s="174">
        <v>836.80121639671654</v>
      </c>
      <c r="EA17" s="174">
        <v>836.80121639671654</v>
      </c>
      <c r="EB17" s="174">
        <v>836.80121639671654</v>
      </c>
      <c r="EC17" s="174">
        <v>836.80121639671654</v>
      </c>
      <c r="ED17" s="174">
        <v>836.80121639671654</v>
      </c>
      <c r="EE17" s="174">
        <v>856</v>
      </c>
      <c r="EF17" s="174">
        <v>856</v>
      </c>
      <c r="EG17" s="174">
        <v>856</v>
      </c>
      <c r="EH17" s="174">
        <v>856</v>
      </c>
      <c r="EI17" s="41">
        <v>856.16419630615974</v>
      </c>
      <c r="EJ17" s="41">
        <v>856.16419630615974</v>
      </c>
      <c r="EK17" s="41">
        <v>856.16419630615974</v>
      </c>
      <c r="EL17" s="41">
        <v>856.16419630615974</v>
      </c>
      <c r="EM17" s="41">
        <v>856.16419630615974</v>
      </c>
      <c r="EN17" s="41">
        <v>856.16419630615974</v>
      </c>
      <c r="EO17" s="41">
        <v>856.16419630615974</v>
      </c>
      <c r="EP17" s="41">
        <v>856.16419630615974</v>
      </c>
      <c r="EQ17" s="41">
        <v>856.16419630615974</v>
      </c>
      <c r="ER17" s="41">
        <v>827.7737832482228</v>
      </c>
      <c r="ES17" s="41">
        <v>827.7737832482228</v>
      </c>
      <c r="ET17" s="41">
        <v>827.7737832482228</v>
      </c>
      <c r="EU17" s="41">
        <v>827.7737832482228</v>
      </c>
      <c r="EV17" s="41">
        <v>842.58758463763786</v>
      </c>
      <c r="EW17" s="41">
        <v>842.58758463763786</v>
      </c>
      <c r="EX17" s="41">
        <v>842.58758463763786</v>
      </c>
      <c r="EY17" s="41">
        <v>842.58758463763786</v>
      </c>
      <c r="EZ17" s="41">
        <v>835.02956014903214</v>
      </c>
      <c r="FA17" s="41">
        <v>835.02956014903214</v>
      </c>
      <c r="FB17" s="41">
        <v>835.02956014903214</v>
      </c>
      <c r="FC17" s="41">
        <v>835.02956014903214</v>
      </c>
      <c r="FD17" s="41">
        <v>835.02956014903214</v>
      </c>
      <c r="FE17" s="41">
        <v>835.02956014903214</v>
      </c>
      <c r="FF17" s="41">
        <v>835.02956014903214</v>
      </c>
      <c r="FG17" s="41">
        <v>835.02956014903214</v>
      </c>
      <c r="FH17" s="41">
        <v>821.92388317274299</v>
      </c>
      <c r="FI17" s="41">
        <v>821.92388317274299</v>
      </c>
      <c r="FJ17" s="41">
        <v>821.92388317274299</v>
      </c>
      <c r="FK17" s="41">
        <v>821.92388317274299</v>
      </c>
      <c r="FL17" s="41">
        <v>838</v>
      </c>
      <c r="FM17" s="41">
        <v>838</v>
      </c>
      <c r="FN17" s="41">
        <v>838</v>
      </c>
      <c r="FO17" s="41">
        <v>838</v>
      </c>
      <c r="FP17" s="41">
        <v>838</v>
      </c>
      <c r="FQ17" s="41">
        <v>863.68590309795047</v>
      </c>
      <c r="FR17" s="41">
        <v>863.68590309795047</v>
      </c>
      <c r="FS17" s="41">
        <v>863.68590309795047</v>
      </c>
      <c r="FT17" s="41">
        <v>863.68590309795047</v>
      </c>
      <c r="FU17" s="41">
        <v>864.84654926023097</v>
      </c>
      <c r="FV17" s="41">
        <v>864.84654926023097</v>
      </c>
      <c r="FW17" s="41">
        <v>864.84654926023097</v>
      </c>
      <c r="FX17" s="41">
        <v>864.84654926023097</v>
      </c>
      <c r="FY17" s="41">
        <v>864.84654926023097</v>
      </c>
      <c r="FZ17" s="41">
        <v>864.84654926023097</v>
      </c>
      <c r="GA17" s="41">
        <v>864.84654926023097</v>
      </c>
      <c r="GB17" s="41">
        <v>864.84654926023097</v>
      </c>
      <c r="GC17" s="41">
        <v>864.84654926023097</v>
      </c>
      <c r="GD17" s="41">
        <v>864.84654926023097</v>
      </c>
      <c r="GE17" s="41">
        <v>864.84654926023097</v>
      </c>
      <c r="GF17" s="41">
        <v>864.84654926023097</v>
      </c>
      <c r="GG17" s="41">
        <v>864.84654926023097</v>
      </c>
      <c r="GH17" s="41">
        <v>877</v>
      </c>
      <c r="GI17" s="41">
        <v>877</v>
      </c>
      <c r="GJ17" s="41">
        <v>877</v>
      </c>
      <c r="GK17" s="41">
        <v>877</v>
      </c>
      <c r="GL17" s="41">
        <v>877</v>
      </c>
      <c r="GM17" s="41">
        <v>899.20414893105215</v>
      </c>
      <c r="GN17" s="41">
        <v>899.20414893105215</v>
      </c>
      <c r="GO17" s="41">
        <v>899.20414893105215</v>
      </c>
      <c r="GP17" s="41">
        <v>899.20414893105215</v>
      </c>
      <c r="GQ17" s="41">
        <v>896.54965726587238</v>
      </c>
      <c r="GR17" s="41">
        <v>896.54965726587238</v>
      </c>
      <c r="GS17" s="41">
        <v>896.54965726587238</v>
      </c>
      <c r="GT17" s="41">
        <v>896.54965726587238</v>
      </c>
      <c r="GU17" s="41">
        <v>896.54965726587238</v>
      </c>
      <c r="GV17" s="41">
        <v>896.54965726587238</v>
      </c>
      <c r="GW17" s="41">
        <v>896.54965726587238</v>
      </c>
      <c r="GX17" s="41">
        <v>896.54965726587238</v>
      </c>
      <c r="GY17" s="41">
        <v>896.54965726587238</v>
      </c>
    </row>
    <row r="18" spans="6:207" ht="15.5">
      <c r="F18" s="1" t="s">
        <v>114</v>
      </c>
      <c r="H18" s="64"/>
      <c r="AW18" s="1" t="s">
        <v>114</v>
      </c>
      <c r="CQ18" s="1">
        <v>810</v>
      </c>
      <c r="CR18" s="1">
        <v>810</v>
      </c>
      <c r="CS18" s="1">
        <v>810</v>
      </c>
      <c r="CT18" s="1">
        <v>810</v>
      </c>
      <c r="CU18" s="1">
        <v>810</v>
      </c>
      <c r="CV18" s="1">
        <v>810</v>
      </c>
      <c r="CW18" s="1">
        <v>810</v>
      </c>
      <c r="CX18" s="1">
        <v>810</v>
      </c>
      <c r="CY18" s="1">
        <v>810</v>
      </c>
      <c r="CZ18" s="1">
        <v>810</v>
      </c>
      <c r="DA18" s="1">
        <v>810</v>
      </c>
      <c r="DB18" s="1">
        <f>'Ma trận giá bán vảy PP'!AU6</f>
        <v>840</v>
      </c>
      <c r="DC18" s="1">
        <f>'Ma trận giá bán vảy PP'!AV6</f>
        <v>840</v>
      </c>
      <c r="DD18" s="1">
        <f>'Ma trận giá bán vảy PP'!AW6</f>
        <v>840</v>
      </c>
      <c r="DE18" s="1">
        <f>'Ma trận giá bán vảy PP'!AX6</f>
        <v>880</v>
      </c>
      <c r="DF18" s="1">
        <f>'Ma trận giá bán vảy PP'!AY6</f>
        <v>880</v>
      </c>
      <c r="DG18" s="1">
        <f>'Ma trận giá bán vảy PP'!AZ6</f>
        <v>880</v>
      </c>
      <c r="DH18" s="1">
        <v>880</v>
      </c>
      <c r="DI18" s="1">
        <v>900</v>
      </c>
      <c r="DJ18" s="1">
        <v>900</v>
      </c>
      <c r="DK18" s="1">
        <v>900</v>
      </c>
      <c r="DL18" s="1">
        <v>900</v>
      </c>
      <c r="DM18" s="1">
        <v>900</v>
      </c>
      <c r="DN18" s="1">
        <v>900</v>
      </c>
      <c r="DO18" s="1">
        <v>900</v>
      </c>
      <c r="DP18" s="1">
        <v>900</v>
      </c>
      <c r="DQ18" s="1">
        <v>900</v>
      </c>
      <c r="DR18" s="1">
        <v>900</v>
      </c>
      <c r="DS18" s="1">
        <v>900</v>
      </c>
      <c r="DT18" s="1">
        <v>900</v>
      </c>
      <c r="DU18" s="1">
        <v>900</v>
      </c>
      <c r="DV18" s="1">
        <v>900</v>
      </c>
      <c r="DW18" s="1">
        <v>900</v>
      </c>
      <c r="DX18" s="1">
        <v>900</v>
      </c>
      <c r="DY18" s="1">
        <v>900</v>
      </c>
      <c r="DZ18" s="1">
        <v>900</v>
      </c>
      <c r="EA18" s="1">
        <v>900</v>
      </c>
      <c r="EB18" s="1">
        <v>900</v>
      </c>
      <c r="EC18" s="1">
        <v>900</v>
      </c>
      <c r="ED18" s="1">
        <v>900</v>
      </c>
      <c r="EE18" s="1">
        <v>860</v>
      </c>
      <c r="EF18" s="1">
        <v>860</v>
      </c>
      <c r="EG18" s="1">
        <v>860</v>
      </c>
      <c r="EH18" s="1">
        <f>'Ma trận giá bán vảy PP'!CA6</f>
        <v>860</v>
      </c>
      <c r="EI18" s="1">
        <f>'Ma trận giá bán vảy PP'!CB6</f>
        <v>855</v>
      </c>
      <c r="EJ18" s="1">
        <f>'Ma trận giá bán vảy PP'!CC6</f>
        <v>855</v>
      </c>
      <c r="EK18" s="1">
        <f>'Ma trận giá bán vảy PP'!CD6</f>
        <v>855</v>
      </c>
      <c r="EL18" s="1">
        <f>'Ma trận giá bán vảy PP'!CE6</f>
        <v>855</v>
      </c>
      <c r="EM18" s="1">
        <f>'Ma trận giá bán vảy PP'!CF6</f>
        <v>855</v>
      </c>
      <c r="EN18" s="1">
        <f>'Ma trận giá bán vảy PP'!CG6</f>
        <v>855</v>
      </c>
      <c r="EO18" s="1">
        <f>'Ma trận giá bán vảy PP'!CH6</f>
        <v>855</v>
      </c>
      <c r="EP18" s="1">
        <f>'Ma trận giá bán vảy PP'!CI6</f>
        <v>855</v>
      </c>
      <c r="EQ18" s="1">
        <f>'Ma trận giá bán vảy PP'!CJ6</f>
        <v>855</v>
      </c>
      <c r="ER18" s="1">
        <f>'Ma trận giá bán vảy PP'!CK6</f>
        <v>855</v>
      </c>
      <c r="ES18" s="1">
        <f>'Ma trận giá bán vảy PP'!CL6</f>
        <v>855</v>
      </c>
      <c r="ET18" s="1">
        <f>'Ma trận giá bán vảy PP'!CM6</f>
        <v>855</v>
      </c>
      <c r="EU18" s="1">
        <f>'Ma trận giá bán vảy PP'!CN6</f>
        <v>855</v>
      </c>
      <c r="EV18" s="1">
        <f>'Ma trận giá bán vảy PP'!CO6</f>
        <v>855</v>
      </c>
      <c r="EW18" s="1">
        <f>'Ma trận giá bán vảy PP'!CP6</f>
        <v>855</v>
      </c>
      <c r="EX18" s="1">
        <f>'Ma trận giá bán vảy PP'!CQ6</f>
        <v>855</v>
      </c>
      <c r="EY18" s="1">
        <f>'Ma trận giá bán vảy PP'!CR6</f>
        <v>855</v>
      </c>
      <c r="EZ18" s="1">
        <f>'Ma trận giá bán vảy PP'!CS6</f>
        <v>780</v>
      </c>
      <c r="FA18" s="1">
        <f>'Ma trận giá bán vảy PP'!CT6</f>
        <v>780</v>
      </c>
      <c r="FB18" s="1">
        <f>'Ma trận giá bán vảy PP'!CU6</f>
        <v>780</v>
      </c>
      <c r="FC18" s="1">
        <f>'Ma trận giá bán vảy PP'!CV6</f>
        <v>780</v>
      </c>
      <c r="FD18" s="1">
        <f>'Ma trận giá bán vảy PP'!CW6</f>
        <v>790</v>
      </c>
      <c r="FE18" s="1">
        <f>'Ma trận giá bán vảy PP'!CX6</f>
        <v>790</v>
      </c>
      <c r="FF18" s="1">
        <f>'Ma trận giá bán vảy PP'!CY6</f>
        <v>790</v>
      </c>
      <c r="FG18" s="1">
        <f>'Ma trận giá bán vảy PP'!CZ6</f>
        <v>790</v>
      </c>
      <c r="FH18" s="1">
        <f>'Ma trận giá bán vảy PP'!DA6</f>
        <v>785</v>
      </c>
      <c r="FI18" s="1">
        <f>'Ma trận giá bán vảy PP'!DB6</f>
        <v>785</v>
      </c>
      <c r="FJ18" s="1">
        <f>'Ma trận giá bán vảy PP'!DC6</f>
        <v>785</v>
      </c>
      <c r="FK18" s="1">
        <f>'Ma trận giá bán vảy PP'!DD6</f>
        <v>785</v>
      </c>
      <c r="FL18" s="1">
        <f>'Ma trận giá bán vảy PP'!DE6</f>
        <v>765</v>
      </c>
      <c r="FM18" s="1">
        <f>'Ma trận giá bán vảy PP'!DF6</f>
        <v>765</v>
      </c>
      <c r="FN18" s="1">
        <f>'Ma trận giá bán vảy PP'!DG6</f>
        <v>765</v>
      </c>
      <c r="FO18" s="1">
        <f>'Ma trận giá bán vảy PP'!DH6</f>
        <v>765</v>
      </c>
      <c r="FP18" s="1">
        <f>'Ma trận giá bán vảy PP'!DI6</f>
        <v>765</v>
      </c>
      <c r="FQ18" s="1">
        <f>'Ma trận giá bán vảy PP'!DJ6</f>
        <v>765</v>
      </c>
      <c r="FR18" s="1">
        <f>'Ma trận giá bán vảy PP'!DK6</f>
        <v>765</v>
      </c>
      <c r="FS18" s="1">
        <f>'Ma trận giá bán vảy PP'!DL6</f>
        <v>765</v>
      </c>
      <c r="FT18" s="1">
        <f>'Ma trận giá bán vảy PP'!DM6</f>
        <v>765</v>
      </c>
      <c r="FU18" s="1">
        <f>'Ma trận giá bán vảy PP'!DN6</f>
        <v>680</v>
      </c>
      <c r="FV18" s="1">
        <f>'Ma trận giá bán vảy PP'!DO6</f>
        <v>680</v>
      </c>
      <c r="FW18" s="1">
        <f>'Ma trận giá bán vảy PP'!DP6</f>
        <v>680</v>
      </c>
      <c r="FX18" s="1">
        <f>'Ma trận giá bán vảy PP'!DQ6</f>
        <v>680</v>
      </c>
      <c r="FY18" s="1">
        <f>'Ma trận giá bán vảy PP'!DR6</f>
        <v>680</v>
      </c>
      <c r="FZ18" s="1">
        <f>'Ma trận giá bán vảy PP'!DS6</f>
        <v>660</v>
      </c>
      <c r="GA18" s="1">
        <f>'Ma trận giá bán vảy PP'!DT6</f>
        <v>660</v>
      </c>
      <c r="GB18" s="1">
        <f>'Ma trận giá bán vảy PP'!DU6</f>
        <v>660</v>
      </c>
      <c r="GC18" s="1">
        <f>'Ma trận giá bán vảy PP'!DV6</f>
        <v>660</v>
      </c>
      <c r="GD18" s="1">
        <f>'Ma trận giá bán vảy PP'!DW6</f>
        <v>660</v>
      </c>
      <c r="GE18" s="1">
        <f>'Ma trận giá bán vảy PP'!DX6</f>
        <v>660</v>
      </c>
      <c r="GF18" s="1">
        <f>'Ma trận giá bán vảy PP'!DY6</f>
        <v>660</v>
      </c>
      <c r="GG18" s="1">
        <f>'Ma trận giá bán vảy PP'!DZ6</f>
        <v>660</v>
      </c>
      <c r="GH18" s="1">
        <f>'Ma trận giá bán vảy PP'!EA6</f>
        <v>650</v>
      </c>
      <c r="GI18" s="1">
        <f>'Ma trận giá bán vảy PP'!EB6</f>
        <v>650</v>
      </c>
      <c r="GJ18" s="1">
        <f>'Ma trận giá bán vảy PP'!EC6</f>
        <v>650</v>
      </c>
      <c r="GK18" s="1">
        <f>'Ma trận giá bán vảy PP'!ED6</f>
        <v>650</v>
      </c>
      <c r="GL18" s="1">
        <f>'Ma trận giá bán vảy PP'!EE6</f>
        <v>650</v>
      </c>
      <c r="GM18" s="1">
        <f>'Ma trận giá bán vảy PP'!EF6</f>
        <v>650</v>
      </c>
      <c r="GN18" s="1">
        <f>'Ma trận giá bán vảy PP'!EG6</f>
        <v>650</v>
      </c>
      <c r="GO18" s="1">
        <f>'Ma trận giá bán vảy PP'!EH6</f>
        <v>650</v>
      </c>
      <c r="GP18" s="1">
        <f>'Ma trận giá bán vảy PP'!EI6</f>
        <v>650</v>
      </c>
      <c r="GQ18" s="1">
        <f>'Ma trận giá bán vảy PP'!EJ6</f>
        <v>650</v>
      </c>
      <c r="GR18" s="1">
        <f>'Ma trận giá bán vảy PP'!EK6</f>
        <v>650</v>
      </c>
      <c r="GS18" s="1">
        <f>'Ma trận giá bán vảy PP'!EL6</f>
        <v>650</v>
      </c>
      <c r="GT18" s="1">
        <f>'Ma trận giá bán vảy PP'!EM6</f>
        <v>650</v>
      </c>
      <c r="GU18" s="1">
        <f>'Ma trận giá bán vảy PP'!EN6</f>
        <v>650</v>
      </c>
      <c r="GV18" s="1">
        <f>'Ma trận giá bán vảy PP'!EO6</f>
        <v>650</v>
      </c>
      <c r="GW18" s="1">
        <f>'Ma trận giá bán vảy PP'!EP6</f>
        <v>650</v>
      </c>
      <c r="GX18" s="1">
        <f>'Ma trận giá bán vảy PP'!EQ6</f>
        <v>650</v>
      </c>
      <c r="GY18" s="1">
        <f>'Ma trận giá bán vảy PP'!ER6</f>
        <v>650</v>
      </c>
    </row>
    <row r="19" spans="6:207" ht="15">
      <c r="F19" s="62"/>
      <c r="H19" s="62"/>
      <c r="AK19" s="41"/>
      <c r="AL19" s="41"/>
      <c r="AM19" s="41"/>
      <c r="AN19" s="41"/>
      <c r="AO19" s="41"/>
      <c r="AP19" s="41"/>
      <c r="AQ19" s="41"/>
      <c r="AR19" s="41"/>
      <c r="AS19" s="41"/>
    </row>
    <row r="31" spans="6:207">
      <c r="F31" s="32"/>
      <c r="G31" s="32"/>
      <c r="H31" s="32"/>
    </row>
    <row r="32" spans="6:207">
      <c r="F32" s="32"/>
      <c r="G32" s="32"/>
      <c r="H32" s="32"/>
    </row>
    <row r="33" spans="6:8">
      <c r="F33" s="32"/>
      <c r="G33" s="32"/>
      <c r="H33" s="32"/>
    </row>
    <row r="34" spans="6:8">
      <c r="F34" s="32"/>
      <c r="G34" s="32"/>
      <c r="H34" s="32"/>
    </row>
    <row r="35" spans="6:8">
      <c r="F35" s="31"/>
      <c r="G35" s="32"/>
      <c r="H35" s="31"/>
    </row>
  </sheetData>
  <phoneticPr fontId="20" type="noConversion"/>
  <pageMargins left="0.70866141732283472" right="0.70866141732283472" top="0.74803149606299213" bottom="0.74803149606299213" header="0.31496062992125984" footer="0.31496062992125984"/>
  <pageSetup orientation="landscape" horizontalDpi="200" verticalDpi="200" r:id="rId1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41BB5B-408A-4E4D-98FD-DEDF4C5E225C}">
  <sheetPr>
    <tabColor rgb="FF2CD8D4"/>
  </sheetPr>
  <dimension ref="A1:V72"/>
  <sheetViews>
    <sheetView zoomScale="80" zoomScaleNormal="80" workbookViewId="0"/>
  </sheetViews>
  <sheetFormatPr defaultColWidth="8.81640625" defaultRowHeight="14.5"/>
  <cols>
    <col min="1" max="16384" width="8.81640625" style="122"/>
  </cols>
  <sheetData>
    <row r="1" spans="1:1">
      <c r="A1" s="122" t="e" vm="1">
        <v>#VALUE!</v>
      </c>
    </row>
    <row r="71" spans="22:22">
      <c r="V71" s="124"/>
    </row>
    <row r="72" spans="22:22">
      <c r="V72" s="123"/>
    </row>
  </sheetData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EDCA19-A703-4DEE-B4A1-A163BF41AE5A}">
  <sheetPr>
    <tabColor rgb="FF2CD8D4"/>
  </sheetPr>
  <dimension ref="V71:V72"/>
  <sheetViews>
    <sheetView zoomScale="70" zoomScaleNormal="70" workbookViewId="0"/>
  </sheetViews>
  <sheetFormatPr defaultColWidth="8.81640625" defaultRowHeight="14.5"/>
  <cols>
    <col min="1" max="16384" width="8.81640625" style="122"/>
  </cols>
  <sheetData>
    <row r="71" spans="22:22">
      <c r="V71" s="124"/>
    </row>
    <row r="72" spans="22:22">
      <c r="V72" s="123"/>
    </row>
  </sheetData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CF0F9B-8E8B-4919-9C3C-F61FC3463B66}">
  <dimension ref="A1:ER27"/>
  <sheetViews>
    <sheetView showGridLines="0" topLeftCell="D3" zoomScale="90" zoomScaleNormal="90" workbookViewId="0">
      <pane xSplit="3" ySplit="3" topLeftCell="DX6" activePane="bottomRight" state="frozen"/>
      <selection activeCell="GK3" sqref="GK1:GK1048576"/>
      <selection pane="topRight" activeCell="GK3" sqref="GK1:GK1048576"/>
      <selection pane="bottomLeft" activeCell="GK3" sqref="GK1:GK1048576"/>
      <selection pane="bottomRight" activeCell="EN7" sqref="EN7"/>
    </sheetView>
  </sheetViews>
  <sheetFormatPr defaultColWidth="9.1796875" defaultRowHeight="13"/>
  <cols>
    <col min="1" max="1" width="6.1796875" style="1" hidden="1" customWidth="1"/>
    <col min="2" max="2" width="10.1796875" style="1" hidden="1" customWidth="1"/>
    <col min="3" max="3" width="8.81640625" style="1" hidden="1" customWidth="1"/>
    <col min="4" max="4" width="6.81640625" style="1" customWidth="1"/>
    <col min="5" max="5" width="33.1796875" style="1" hidden="1" customWidth="1"/>
    <col min="6" max="6" width="40.453125" style="1" hidden="1" customWidth="1"/>
    <col min="7" max="7" width="10.54296875" style="1" hidden="1" customWidth="1"/>
    <col min="8" max="8" width="14.81640625" style="1" customWidth="1"/>
    <col min="9" max="9" width="9.81640625" style="1" hidden="1" customWidth="1"/>
    <col min="10" max="34" width="8" style="1" customWidth="1"/>
    <col min="35" max="36" width="9.1796875" style="1"/>
    <col min="37" max="37" width="15.1796875" style="1" customWidth="1"/>
    <col min="38" max="48" width="0" style="1" hidden="1" customWidth="1"/>
    <col min="49" max="92" width="8.1796875" style="1" hidden="1" customWidth="1"/>
    <col min="93" max="148" width="8.1796875" style="1" customWidth="1"/>
    <col min="149" max="16384" width="9.1796875" style="1"/>
  </cols>
  <sheetData>
    <row r="1" spans="1:148" hidden="1"/>
    <row r="2" spans="1:148" hidden="1"/>
    <row r="3" spans="1:148" ht="19.399999999999999" customHeight="1">
      <c r="F3" s="15"/>
      <c r="H3" s="15" t="s">
        <v>118</v>
      </c>
      <c r="AQ3" s="170">
        <v>2024</v>
      </c>
      <c r="CO3" s="170">
        <v>2025</v>
      </c>
    </row>
    <row r="4" spans="1:148" s="61" customFormat="1" ht="17.5">
      <c r="A4" s="71"/>
      <c r="B4" s="71"/>
      <c r="C4" s="71"/>
      <c r="D4" s="72"/>
      <c r="E4" s="71"/>
      <c r="F4" s="73" t="s">
        <v>3</v>
      </c>
      <c r="G4" s="73"/>
      <c r="H4" s="73"/>
      <c r="I4" s="74">
        <v>24000</v>
      </c>
      <c r="J4" s="74"/>
      <c r="K4" s="74"/>
      <c r="L4" s="74"/>
      <c r="M4" s="74"/>
      <c r="N4" s="74"/>
      <c r="O4" s="74"/>
      <c r="P4" s="74"/>
      <c r="Q4" s="74"/>
      <c r="R4" s="74"/>
      <c r="S4" s="74"/>
      <c r="T4" s="74"/>
      <c r="U4" s="74"/>
      <c r="V4" s="74"/>
      <c r="W4" s="74"/>
      <c r="X4" s="74"/>
      <c r="Y4" s="74"/>
      <c r="Z4" s="74"/>
      <c r="AA4" s="74"/>
      <c r="AB4" s="74"/>
      <c r="AC4" s="74"/>
      <c r="AD4" s="74"/>
      <c r="AE4" s="74"/>
      <c r="AF4" s="74"/>
      <c r="AG4" s="74"/>
      <c r="AH4" s="74"/>
      <c r="AL4" s="74">
        <v>24000</v>
      </c>
      <c r="AM4" s="74">
        <v>24000</v>
      </c>
      <c r="AN4" s="74">
        <v>24000</v>
      </c>
      <c r="AO4" s="74">
        <v>24000</v>
      </c>
      <c r="AP4" s="74">
        <v>24000</v>
      </c>
      <c r="AQ4" s="74">
        <v>24000</v>
      </c>
      <c r="AR4" s="74">
        <v>24000</v>
      </c>
      <c r="AS4" s="74"/>
      <c r="AT4" s="74"/>
      <c r="AU4" s="74"/>
      <c r="AV4" s="74"/>
      <c r="AW4" s="74"/>
      <c r="AX4" s="74"/>
      <c r="AY4" s="74"/>
      <c r="AZ4" s="74"/>
      <c r="BA4" s="74"/>
      <c r="BB4" s="74"/>
      <c r="BC4" s="74"/>
      <c r="BD4" s="74"/>
      <c r="BE4" s="74"/>
      <c r="BF4" s="74"/>
      <c r="BG4" s="74"/>
      <c r="BH4" s="74"/>
      <c r="BI4" s="74"/>
      <c r="EN4" s="178">
        <v>2026</v>
      </c>
    </row>
    <row r="5" spans="1:148" s="32" customFormat="1" ht="19.5" customHeight="1">
      <c r="A5" s="33" t="s">
        <v>0</v>
      </c>
      <c r="B5" s="33" t="s">
        <v>1</v>
      </c>
      <c r="C5" s="33" t="s">
        <v>4</v>
      </c>
      <c r="D5" s="34" t="s">
        <v>5</v>
      </c>
      <c r="E5" s="33" t="s">
        <v>6</v>
      </c>
      <c r="F5" s="33" t="s">
        <v>2</v>
      </c>
      <c r="G5" s="33" t="s">
        <v>7</v>
      </c>
      <c r="H5" s="33" t="s">
        <v>2</v>
      </c>
      <c r="I5" s="86" t="s">
        <v>119</v>
      </c>
      <c r="J5" s="86" t="s">
        <v>122</v>
      </c>
      <c r="K5" s="86">
        <v>2</v>
      </c>
      <c r="L5" s="86">
        <v>3</v>
      </c>
      <c r="M5" s="86">
        <v>4</v>
      </c>
      <c r="N5" s="86">
        <v>5</v>
      </c>
      <c r="O5" s="86">
        <v>6</v>
      </c>
      <c r="P5" s="86">
        <v>7</v>
      </c>
      <c r="Q5" s="86">
        <v>8</v>
      </c>
      <c r="R5" s="86">
        <v>9</v>
      </c>
      <c r="S5" s="86">
        <v>10</v>
      </c>
      <c r="T5" s="86">
        <v>11</v>
      </c>
      <c r="U5" s="86">
        <v>12</v>
      </c>
      <c r="V5" s="86" t="s">
        <v>174</v>
      </c>
      <c r="W5" s="86">
        <v>2</v>
      </c>
      <c r="X5" s="86">
        <v>3</v>
      </c>
      <c r="Y5" s="86">
        <v>4</v>
      </c>
      <c r="Z5" s="86">
        <v>5</v>
      </c>
      <c r="AA5" s="86">
        <v>6</v>
      </c>
      <c r="AB5" s="86">
        <v>7</v>
      </c>
      <c r="AC5" s="86">
        <v>8</v>
      </c>
      <c r="AD5" s="86">
        <v>9</v>
      </c>
      <c r="AE5" s="86">
        <v>10</v>
      </c>
      <c r="AF5" s="86">
        <v>11</v>
      </c>
      <c r="AG5" s="86">
        <v>12</v>
      </c>
      <c r="AH5" s="86" t="s">
        <v>198</v>
      </c>
      <c r="AJ5" s="34" t="s">
        <v>5</v>
      </c>
      <c r="AK5" s="33" t="s">
        <v>2</v>
      </c>
      <c r="AL5" s="101">
        <v>48</v>
      </c>
      <c r="AM5" s="101">
        <v>49</v>
      </c>
      <c r="AN5" s="101">
        <v>50</v>
      </c>
      <c r="AO5" s="101">
        <v>51</v>
      </c>
      <c r="AP5" s="101">
        <v>52</v>
      </c>
      <c r="AQ5" s="90" t="s">
        <v>121</v>
      </c>
      <c r="AR5" s="90" t="s">
        <v>123</v>
      </c>
      <c r="AS5" s="90" t="s">
        <v>124</v>
      </c>
      <c r="AT5" s="90" t="s">
        <v>125</v>
      </c>
      <c r="AU5" s="90" t="s">
        <v>126</v>
      </c>
      <c r="AV5" s="90" t="s">
        <v>142</v>
      </c>
      <c r="AW5" s="90" t="s">
        <v>143</v>
      </c>
      <c r="AX5" s="90" t="s">
        <v>144</v>
      </c>
      <c r="AY5" s="90" t="s">
        <v>145</v>
      </c>
      <c r="AZ5" s="90" t="s">
        <v>146</v>
      </c>
      <c r="BA5" s="90" t="s">
        <v>147</v>
      </c>
      <c r="BB5" s="90" t="s">
        <v>148</v>
      </c>
      <c r="BC5" s="90" t="s">
        <v>149</v>
      </c>
      <c r="BD5" s="90" t="s">
        <v>150</v>
      </c>
      <c r="BE5" s="90" t="s">
        <v>151</v>
      </c>
      <c r="BF5" s="90" t="s">
        <v>152</v>
      </c>
      <c r="BG5" s="90" t="s">
        <v>153</v>
      </c>
      <c r="BH5" s="90" t="s">
        <v>154</v>
      </c>
      <c r="BI5" s="90" t="s">
        <v>155</v>
      </c>
      <c r="BJ5" s="90" t="s">
        <v>162</v>
      </c>
      <c r="BK5" s="90" t="s">
        <v>163</v>
      </c>
      <c r="BL5" s="90" t="s">
        <v>164</v>
      </c>
      <c r="BM5" s="90" t="s">
        <v>165</v>
      </c>
      <c r="BN5" s="90" t="s">
        <v>166</v>
      </c>
      <c r="BO5" s="90" t="s">
        <v>167</v>
      </c>
      <c r="BP5" s="90" t="s">
        <v>168</v>
      </c>
      <c r="BQ5" s="90" t="s">
        <v>169</v>
      </c>
      <c r="BR5" s="90" t="s">
        <v>170</v>
      </c>
      <c r="BS5" s="90" t="s">
        <v>171</v>
      </c>
      <c r="BT5" s="90" t="s">
        <v>172</v>
      </c>
      <c r="BU5" s="90" t="s">
        <v>173</v>
      </c>
      <c r="BV5" s="90">
        <v>34</v>
      </c>
      <c r="BW5" s="90">
        <v>35</v>
      </c>
      <c r="BX5" s="90">
        <v>36</v>
      </c>
      <c r="BY5" s="90">
        <v>37</v>
      </c>
      <c r="BZ5" s="90">
        <v>38</v>
      </c>
      <c r="CA5" s="90">
        <v>39</v>
      </c>
      <c r="CB5" s="90">
        <v>40</v>
      </c>
      <c r="CC5" s="90">
        <v>41</v>
      </c>
      <c r="CD5" s="90">
        <v>42</v>
      </c>
      <c r="CE5" s="90">
        <v>43</v>
      </c>
      <c r="CF5" s="90">
        <v>44</v>
      </c>
      <c r="CG5" s="90">
        <v>45</v>
      </c>
      <c r="CH5" s="90">
        <v>46</v>
      </c>
      <c r="CI5" s="90">
        <v>47</v>
      </c>
      <c r="CJ5" s="90">
        <v>48</v>
      </c>
      <c r="CK5" s="90">
        <v>49</v>
      </c>
      <c r="CL5" s="90">
        <v>50</v>
      </c>
      <c r="CM5" s="90">
        <v>51</v>
      </c>
      <c r="CN5" s="90">
        <v>52</v>
      </c>
      <c r="CO5" s="90" t="s">
        <v>121</v>
      </c>
      <c r="CP5" s="90" t="s">
        <v>123</v>
      </c>
      <c r="CQ5" s="90" t="s">
        <v>124</v>
      </c>
      <c r="CR5" s="90" t="s">
        <v>125</v>
      </c>
      <c r="CS5" s="90" t="s">
        <v>175</v>
      </c>
      <c r="CT5" s="90" t="s">
        <v>177</v>
      </c>
      <c r="CU5" s="90" t="s">
        <v>142</v>
      </c>
      <c r="CV5" s="90" t="s">
        <v>143</v>
      </c>
      <c r="CW5" s="90" t="s">
        <v>144</v>
      </c>
      <c r="CX5" s="90" t="s">
        <v>145</v>
      </c>
      <c r="CY5" s="90" t="s">
        <v>146</v>
      </c>
      <c r="CZ5" s="90" t="s">
        <v>147</v>
      </c>
      <c r="DA5" s="90" t="s">
        <v>148</v>
      </c>
      <c r="DB5" s="90" t="s">
        <v>149</v>
      </c>
      <c r="DC5" s="90" t="s">
        <v>150</v>
      </c>
      <c r="DD5" s="90" t="s">
        <v>151</v>
      </c>
      <c r="DE5" s="90" t="s">
        <v>152</v>
      </c>
      <c r="DF5" s="90" t="s">
        <v>153</v>
      </c>
      <c r="DG5" s="90" t="s">
        <v>154</v>
      </c>
      <c r="DH5" s="90" t="s">
        <v>155</v>
      </c>
      <c r="DI5" s="90" t="s">
        <v>162</v>
      </c>
      <c r="DJ5" s="90" t="s">
        <v>163</v>
      </c>
      <c r="DK5" s="90" t="s">
        <v>164</v>
      </c>
      <c r="DL5" s="90" t="s">
        <v>165</v>
      </c>
      <c r="DM5" s="90" t="s">
        <v>166</v>
      </c>
      <c r="DN5" s="90" t="s">
        <v>167</v>
      </c>
      <c r="DO5" s="90" t="s">
        <v>168</v>
      </c>
      <c r="DP5" s="90" t="s">
        <v>169</v>
      </c>
      <c r="DQ5" s="90" t="s">
        <v>170</v>
      </c>
      <c r="DR5" s="90" t="s">
        <v>171</v>
      </c>
      <c r="DS5" s="90" t="s">
        <v>172</v>
      </c>
      <c r="DT5" s="90" t="s">
        <v>173</v>
      </c>
      <c r="DU5" s="90" t="s">
        <v>179</v>
      </c>
      <c r="DV5" s="90" t="s">
        <v>180</v>
      </c>
      <c r="DW5" s="90" t="s">
        <v>181</v>
      </c>
      <c r="DX5" s="90" t="s">
        <v>182</v>
      </c>
      <c r="DY5" s="90" t="s">
        <v>183</v>
      </c>
      <c r="DZ5" s="90" t="s">
        <v>184</v>
      </c>
      <c r="EA5" s="90">
        <v>40</v>
      </c>
      <c r="EB5" s="90">
        <v>41</v>
      </c>
      <c r="EC5" s="90">
        <v>42</v>
      </c>
      <c r="ED5" s="90">
        <v>43</v>
      </c>
      <c r="EE5" s="90">
        <v>44</v>
      </c>
      <c r="EF5" s="90">
        <v>45</v>
      </c>
      <c r="EG5" s="90">
        <v>46</v>
      </c>
      <c r="EH5" s="90">
        <v>47</v>
      </c>
      <c r="EI5" s="90">
        <v>48</v>
      </c>
      <c r="EJ5" s="90">
        <v>49</v>
      </c>
      <c r="EK5" s="90">
        <v>50</v>
      </c>
      <c r="EL5" s="90">
        <v>51</v>
      </c>
      <c r="EM5" s="90">
        <v>52</v>
      </c>
      <c r="EN5" s="90" t="s">
        <v>121</v>
      </c>
      <c r="EO5" s="90" t="s">
        <v>123</v>
      </c>
      <c r="EP5" s="90" t="s">
        <v>124</v>
      </c>
      <c r="EQ5" s="90" t="s">
        <v>125</v>
      </c>
      <c r="ER5" s="90" t="s">
        <v>126</v>
      </c>
    </row>
    <row r="6" spans="1:148" ht="14">
      <c r="A6" s="9">
        <v>5</v>
      </c>
      <c r="B6" s="11" t="s">
        <v>25</v>
      </c>
      <c r="C6" s="11" t="s">
        <v>26</v>
      </c>
      <c r="D6" s="9"/>
      <c r="E6" s="11" t="s">
        <v>28</v>
      </c>
      <c r="F6" s="11" t="s">
        <v>29</v>
      </c>
      <c r="G6" s="9" t="s">
        <v>24</v>
      </c>
      <c r="H6" s="11" t="s">
        <v>137</v>
      </c>
      <c r="I6" s="50">
        <v>810</v>
      </c>
      <c r="J6" s="50">
        <v>810</v>
      </c>
      <c r="K6" s="50">
        <v>840</v>
      </c>
      <c r="L6" s="50">
        <v>880</v>
      </c>
      <c r="M6" s="50">
        <v>900</v>
      </c>
      <c r="N6" s="50">
        <v>900</v>
      </c>
      <c r="O6" s="50">
        <v>900</v>
      </c>
      <c r="P6" s="50">
        <v>900</v>
      </c>
      <c r="Q6" s="50">
        <v>900</v>
      </c>
      <c r="R6" s="50">
        <v>860</v>
      </c>
      <c r="S6" s="50">
        <v>855</v>
      </c>
      <c r="T6" s="50">
        <v>855</v>
      </c>
      <c r="U6" s="50">
        <v>855</v>
      </c>
      <c r="V6" s="50">
        <f>+SUM(CO6:CR6)/COUNT(CO6:CR6)</f>
        <v>855</v>
      </c>
      <c r="W6" s="50">
        <f>+SUM(CS6:CV6)/COUNT(CS6:CV6)</f>
        <v>780</v>
      </c>
      <c r="X6" s="50">
        <f>+SUM(CW6:CZ6)/COUNT(CW6:CZ6)</f>
        <v>790</v>
      </c>
      <c r="Y6" s="50">
        <v>785</v>
      </c>
      <c r="Z6" s="50">
        <v>765</v>
      </c>
      <c r="AA6" s="50">
        <v>765</v>
      </c>
      <c r="AB6" s="50">
        <v>680</v>
      </c>
      <c r="AC6" s="50">
        <f>680-20</f>
        <v>660</v>
      </c>
      <c r="AD6" s="50">
        <f>680-20</f>
        <v>660</v>
      </c>
      <c r="AE6" s="50">
        <v>650</v>
      </c>
      <c r="AF6" s="50">
        <v>650</v>
      </c>
      <c r="AG6" s="50">
        <v>650</v>
      </c>
      <c r="AH6" s="50">
        <v>650</v>
      </c>
      <c r="AJ6" s="9"/>
      <c r="AK6" s="11" t="s">
        <v>137</v>
      </c>
      <c r="AL6" s="50">
        <v>810</v>
      </c>
      <c r="AM6" s="50">
        <v>810</v>
      </c>
      <c r="AN6" s="50">
        <v>810</v>
      </c>
      <c r="AO6" s="50">
        <v>810</v>
      </c>
      <c r="AP6" s="50">
        <v>810</v>
      </c>
      <c r="AQ6" s="50">
        <v>810</v>
      </c>
      <c r="AR6" s="50">
        <v>810</v>
      </c>
      <c r="AS6" s="50">
        <v>810</v>
      </c>
      <c r="AT6" s="50">
        <v>810</v>
      </c>
      <c r="AU6" s="50">
        <v>840</v>
      </c>
      <c r="AV6" s="50">
        <v>840</v>
      </c>
      <c r="AW6" s="50">
        <v>840</v>
      </c>
      <c r="AX6" s="50">
        <v>880</v>
      </c>
      <c r="AY6" s="50">
        <v>880</v>
      </c>
      <c r="AZ6" s="50">
        <v>880</v>
      </c>
      <c r="BA6" s="50">
        <v>880</v>
      </c>
      <c r="BB6" s="50">
        <v>900</v>
      </c>
      <c r="BC6" s="50">
        <v>900</v>
      </c>
      <c r="BD6" s="50">
        <v>900</v>
      </c>
      <c r="BE6" s="50">
        <v>900</v>
      </c>
      <c r="BF6" s="50">
        <v>900</v>
      </c>
      <c r="BG6" s="50">
        <v>900</v>
      </c>
      <c r="BH6" s="50">
        <v>900</v>
      </c>
      <c r="BI6" s="50">
        <v>900</v>
      </c>
      <c r="BJ6" s="50">
        <v>900</v>
      </c>
      <c r="BK6" s="50">
        <v>900</v>
      </c>
      <c r="BL6" s="50">
        <v>900</v>
      </c>
      <c r="BM6" s="50">
        <v>900</v>
      </c>
      <c r="BN6" s="50">
        <v>900</v>
      </c>
      <c r="BO6" s="50">
        <v>900</v>
      </c>
      <c r="BP6" s="50">
        <v>900</v>
      </c>
      <c r="BQ6" s="50">
        <v>900</v>
      </c>
      <c r="BR6" s="50">
        <v>900</v>
      </c>
      <c r="BS6" s="50">
        <v>900</v>
      </c>
      <c r="BT6" s="50">
        <v>900</v>
      </c>
      <c r="BU6" s="50">
        <v>900</v>
      </c>
      <c r="BV6" s="50">
        <v>900</v>
      </c>
      <c r="BW6" s="50">
        <v>900</v>
      </c>
      <c r="BX6" s="50">
        <v>860</v>
      </c>
      <c r="BY6" s="50">
        <v>860</v>
      </c>
      <c r="BZ6" s="50">
        <v>860</v>
      </c>
      <c r="CA6" s="50">
        <v>860</v>
      </c>
      <c r="CB6" s="50">
        <v>855</v>
      </c>
      <c r="CC6" s="50">
        <v>855</v>
      </c>
      <c r="CD6" s="50">
        <v>855</v>
      </c>
      <c r="CE6" s="50">
        <v>855</v>
      </c>
      <c r="CF6" s="50">
        <v>855</v>
      </c>
      <c r="CG6" s="50">
        <v>855</v>
      </c>
      <c r="CH6" s="50">
        <v>855</v>
      </c>
      <c r="CI6" s="50">
        <v>855</v>
      </c>
      <c r="CJ6" s="50">
        <v>855</v>
      </c>
      <c r="CK6" s="50">
        <v>855</v>
      </c>
      <c r="CL6" s="50">
        <v>855</v>
      </c>
      <c r="CM6" s="50">
        <v>855</v>
      </c>
      <c r="CN6" s="50">
        <v>855</v>
      </c>
      <c r="CO6" s="50">
        <v>855</v>
      </c>
      <c r="CP6" s="50">
        <v>855</v>
      </c>
      <c r="CQ6" s="50">
        <v>855</v>
      </c>
      <c r="CR6" s="50">
        <v>855</v>
      </c>
      <c r="CS6" s="50">
        <v>780</v>
      </c>
      <c r="CT6" s="50">
        <v>780</v>
      </c>
      <c r="CU6" s="50">
        <v>780</v>
      </c>
      <c r="CV6" s="50">
        <v>780</v>
      </c>
      <c r="CW6" s="50">
        <v>790</v>
      </c>
      <c r="CX6" s="50">
        <v>790</v>
      </c>
      <c r="CY6" s="50">
        <v>790</v>
      </c>
      <c r="CZ6" s="50">
        <v>790</v>
      </c>
      <c r="DA6" s="50">
        <v>785</v>
      </c>
      <c r="DB6" s="50">
        <v>785</v>
      </c>
      <c r="DC6" s="50">
        <v>785</v>
      </c>
      <c r="DD6" s="50">
        <v>785</v>
      </c>
      <c r="DE6" s="50">
        <v>765</v>
      </c>
      <c r="DF6" s="50">
        <v>765</v>
      </c>
      <c r="DG6" s="50">
        <v>765</v>
      </c>
      <c r="DH6" s="50">
        <v>765</v>
      </c>
      <c r="DI6" s="50">
        <v>765</v>
      </c>
      <c r="DJ6" s="50">
        <v>765</v>
      </c>
      <c r="DK6" s="50">
        <v>765</v>
      </c>
      <c r="DL6" s="50">
        <v>765</v>
      </c>
      <c r="DM6" s="50">
        <v>765</v>
      </c>
      <c r="DN6" s="50">
        <v>680</v>
      </c>
      <c r="DO6" s="50">
        <v>680</v>
      </c>
      <c r="DP6" s="50">
        <v>680</v>
      </c>
      <c r="DQ6" s="50">
        <v>680</v>
      </c>
      <c r="DR6" s="50">
        <v>680</v>
      </c>
      <c r="DS6" s="50">
        <f>680-20</f>
        <v>660</v>
      </c>
      <c r="DT6" s="50">
        <f t="shared" ref="DT6:DZ6" si="0">680-20</f>
        <v>660</v>
      </c>
      <c r="DU6" s="50">
        <f t="shared" si="0"/>
        <v>660</v>
      </c>
      <c r="DV6" s="50">
        <f t="shared" si="0"/>
        <v>660</v>
      </c>
      <c r="DW6" s="50">
        <f t="shared" si="0"/>
        <v>660</v>
      </c>
      <c r="DX6" s="50">
        <f t="shared" si="0"/>
        <v>660</v>
      </c>
      <c r="DY6" s="50">
        <f t="shared" si="0"/>
        <v>660</v>
      </c>
      <c r="DZ6" s="50">
        <f t="shared" si="0"/>
        <v>660</v>
      </c>
      <c r="EA6" s="50">
        <v>650</v>
      </c>
      <c r="EB6" s="50">
        <v>650</v>
      </c>
      <c r="EC6" s="50">
        <v>650</v>
      </c>
      <c r="ED6" s="50">
        <v>650</v>
      </c>
      <c r="EE6" s="50">
        <v>650</v>
      </c>
      <c r="EF6" s="50">
        <v>650</v>
      </c>
      <c r="EG6" s="50">
        <v>650</v>
      </c>
      <c r="EH6" s="50">
        <v>650</v>
      </c>
      <c r="EI6" s="50">
        <v>650</v>
      </c>
      <c r="EJ6" s="50">
        <v>650</v>
      </c>
      <c r="EK6" s="50">
        <v>650</v>
      </c>
      <c r="EL6" s="50">
        <v>650</v>
      </c>
      <c r="EM6" s="50">
        <v>650</v>
      </c>
      <c r="EN6" s="50">
        <v>650</v>
      </c>
      <c r="EO6" s="50">
        <v>650</v>
      </c>
      <c r="EP6" s="50">
        <v>650</v>
      </c>
      <c r="EQ6" s="50">
        <v>650</v>
      </c>
      <c r="ER6" s="50">
        <v>650</v>
      </c>
    </row>
    <row r="7" spans="1:148" ht="14">
      <c r="D7" s="54" t="s">
        <v>41</v>
      </c>
      <c r="E7" s="25"/>
      <c r="F7" s="59" t="s">
        <v>94</v>
      </c>
      <c r="G7" s="54" t="s">
        <v>24</v>
      </c>
      <c r="H7" s="111" t="s">
        <v>130</v>
      </c>
      <c r="I7" s="129">
        <f>+SUM(AL7:AP7)/COUNT(AL7:AP7)</f>
        <v>926</v>
      </c>
      <c r="J7" s="129">
        <f>+SUM(AQ7:AT7)/COUNT(AQ7:AT7)</f>
        <v>962.5</v>
      </c>
      <c r="K7" s="129">
        <f>+SUM(AU7:AW7)/COUNT(AU7:AW7)</f>
        <v>986.66666666666663</v>
      </c>
      <c r="L7" s="129">
        <f>+SUM(AX7:BA7)/COUNT(AX7:BA7)</f>
        <v>990</v>
      </c>
      <c r="M7" s="129">
        <f>+SUM(BB7:BE7)/COUNT(BB7:BE7)</f>
        <v>992.5</v>
      </c>
      <c r="N7" s="129">
        <f>+SUM(BF7:BJ7)/COUNT(BF7:BJ7)</f>
        <v>1002</v>
      </c>
      <c r="O7" s="129">
        <f>+SUM(BK7:BN7)/COUNT(BK7:BN7)</f>
        <v>1025</v>
      </c>
      <c r="P7" s="129">
        <f>+SUM(BO7:BR7)/COUNT(BO7:BR7)</f>
        <v>1020</v>
      </c>
      <c r="Q7" s="129">
        <f>+SUM(BS7:BW7)/COUNT(BS7:BW7)</f>
        <v>970</v>
      </c>
      <c r="R7" s="129">
        <f>+SUM(BX7:CA7)/COUNT(BX7:CA7)</f>
        <v>955</v>
      </c>
      <c r="S7" s="129">
        <f>+SUM(CB7:CE7)/COUNT(CB7:CE7)</f>
        <v>955</v>
      </c>
      <c r="T7" s="129">
        <f>+SUM(CF7:CJ7)/COUNT(CF7:CJ7)</f>
        <v>968</v>
      </c>
      <c r="U7" s="129">
        <f>+SUM(CK7:CN7)/COUNT(CK7:CN7)</f>
        <v>960</v>
      </c>
      <c r="V7" s="129">
        <f>+SUM(CO7:CR7)/COUNT(CO7:CR7)</f>
        <v>970</v>
      </c>
      <c r="W7" s="129">
        <f>+SUM(CS7:CV7)/COUNT(CS7:CV7)</f>
        <v>985</v>
      </c>
      <c r="X7" s="129">
        <f>+SUM(CW7:CZ7)/COUNT(CW7:CZ7)</f>
        <v>980</v>
      </c>
      <c r="Y7" s="129">
        <f>+SUM(DA7:DD7)/COUNT(DA7:DD7)</f>
        <v>965</v>
      </c>
      <c r="Z7" s="129">
        <f>+SUM(DE7:DI7)/COUNT(DE7:DI7)</f>
        <v>932</v>
      </c>
      <c r="AA7" s="129">
        <f>+SUM(DJ7:DM7)/COUNT(DJ7:DM7)</f>
        <v>922.5</v>
      </c>
      <c r="AB7" s="129">
        <f>+SUM(DN7:DR7)/COUNT(DN7:DR7)</f>
        <v>918</v>
      </c>
      <c r="AC7" s="129">
        <f>+SUM(DS7:DV7)/COUNT(DS7:DV7)</f>
        <v>895</v>
      </c>
      <c r="AD7" s="129">
        <f>+SUM(DW7:DZ7)/COUNT(DW7:DZ7)</f>
        <v>870</v>
      </c>
      <c r="AE7" s="129">
        <f>+SUM(EA7:EE7)/COUNT(EA7:EE7)</f>
        <v>842</v>
      </c>
      <c r="AF7" s="129">
        <f>+SUM(EF7:EI7)/COUNT(EF7:EI7)</f>
        <v>827.5</v>
      </c>
      <c r="AG7" s="129">
        <f>+SUM(EJ7:EM7)/COUNT(EJ7:EM7)</f>
        <v>820</v>
      </c>
      <c r="AH7" s="129">
        <v>820</v>
      </c>
      <c r="AJ7" s="54" t="s">
        <v>41</v>
      </c>
      <c r="AK7" s="111" t="s">
        <v>130</v>
      </c>
      <c r="AL7" s="118">
        <v>920</v>
      </c>
      <c r="AM7" s="118">
        <v>920</v>
      </c>
      <c r="AN7" s="118">
        <v>930</v>
      </c>
      <c r="AO7" s="118">
        <v>930</v>
      </c>
      <c r="AP7" s="118">
        <v>930</v>
      </c>
      <c r="AQ7" s="118">
        <v>930</v>
      </c>
      <c r="AR7" s="118">
        <v>970</v>
      </c>
      <c r="AS7" s="118">
        <v>970</v>
      </c>
      <c r="AT7" s="118">
        <v>980</v>
      </c>
      <c r="AU7" s="118">
        <v>1000</v>
      </c>
      <c r="AV7" s="118">
        <v>980</v>
      </c>
      <c r="AW7" s="118">
        <v>980</v>
      </c>
      <c r="AX7" s="118">
        <v>980</v>
      </c>
      <c r="AY7" s="118">
        <v>980</v>
      </c>
      <c r="AZ7" s="118">
        <v>1000</v>
      </c>
      <c r="BA7" s="118">
        <v>1000</v>
      </c>
      <c r="BB7" s="118">
        <v>1000</v>
      </c>
      <c r="BC7" s="118">
        <v>990</v>
      </c>
      <c r="BD7" s="118">
        <v>990</v>
      </c>
      <c r="BE7" s="118">
        <v>990</v>
      </c>
      <c r="BF7" s="118">
        <v>990</v>
      </c>
      <c r="BG7" s="118">
        <v>1000</v>
      </c>
      <c r="BH7" s="118">
        <v>1000</v>
      </c>
      <c r="BI7" s="118">
        <v>1000</v>
      </c>
      <c r="BJ7" s="118">
        <v>1020</v>
      </c>
      <c r="BK7" s="118">
        <v>1020</v>
      </c>
      <c r="BL7" s="118">
        <v>1020</v>
      </c>
      <c r="BM7" s="118">
        <v>1030</v>
      </c>
      <c r="BN7" s="118">
        <v>1030</v>
      </c>
      <c r="BO7" s="118">
        <v>1030</v>
      </c>
      <c r="BP7" s="118">
        <v>1030</v>
      </c>
      <c r="BQ7" s="118">
        <v>1030</v>
      </c>
      <c r="BR7" s="118">
        <v>990</v>
      </c>
      <c r="BS7" s="118">
        <v>980</v>
      </c>
      <c r="BT7" s="118">
        <v>980</v>
      </c>
      <c r="BU7" s="118">
        <v>970</v>
      </c>
      <c r="BV7" s="118">
        <v>960</v>
      </c>
      <c r="BW7" s="118">
        <v>960</v>
      </c>
      <c r="BX7" s="118">
        <v>960</v>
      </c>
      <c r="BY7" s="118">
        <v>960</v>
      </c>
      <c r="BZ7" s="118">
        <v>950</v>
      </c>
      <c r="CA7" s="118">
        <v>950</v>
      </c>
      <c r="CB7" s="118">
        <v>950</v>
      </c>
      <c r="CC7" s="118">
        <v>950</v>
      </c>
      <c r="CD7" s="118">
        <v>950</v>
      </c>
      <c r="CE7" s="118">
        <v>970</v>
      </c>
      <c r="CF7" s="118">
        <v>970</v>
      </c>
      <c r="CG7" s="118">
        <v>970</v>
      </c>
      <c r="CH7" s="118">
        <v>970</v>
      </c>
      <c r="CI7" s="118">
        <v>970</v>
      </c>
      <c r="CJ7" s="118">
        <v>960</v>
      </c>
      <c r="CK7" s="118">
        <v>960</v>
      </c>
      <c r="CL7" s="118">
        <v>960</v>
      </c>
      <c r="CM7" s="118">
        <v>960</v>
      </c>
      <c r="CN7" s="118">
        <v>960</v>
      </c>
      <c r="CO7" s="118">
        <v>960</v>
      </c>
      <c r="CP7" s="118">
        <v>970</v>
      </c>
      <c r="CQ7" s="118">
        <v>970</v>
      </c>
      <c r="CR7" s="118">
        <v>980</v>
      </c>
      <c r="CS7" s="118">
        <v>970</v>
      </c>
      <c r="CT7" s="118">
        <v>1000</v>
      </c>
      <c r="CU7" s="118">
        <v>990</v>
      </c>
      <c r="CV7" s="118">
        <v>980</v>
      </c>
      <c r="CW7" s="118">
        <v>980</v>
      </c>
      <c r="CX7" s="118">
        <v>980</v>
      </c>
      <c r="CY7" s="118">
        <v>980</v>
      </c>
      <c r="CZ7" s="118">
        <v>980</v>
      </c>
      <c r="DA7" s="118">
        <v>980</v>
      </c>
      <c r="DB7" s="118">
        <v>970</v>
      </c>
      <c r="DC7" s="118">
        <v>960</v>
      </c>
      <c r="DD7" s="118">
        <v>950</v>
      </c>
      <c r="DE7" s="118">
        <v>950</v>
      </c>
      <c r="DF7" s="118">
        <v>930</v>
      </c>
      <c r="DG7" s="118">
        <v>930</v>
      </c>
      <c r="DH7" s="118">
        <v>930</v>
      </c>
      <c r="DI7" s="118">
        <v>920</v>
      </c>
      <c r="DJ7" s="118">
        <v>920</v>
      </c>
      <c r="DK7" s="118">
        <v>910</v>
      </c>
      <c r="DL7" s="118">
        <v>930</v>
      </c>
      <c r="DM7" s="118">
        <v>930</v>
      </c>
      <c r="DN7" s="118">
        <v>930</v>
      </c>
      <c r="DO7" s="118">
        <v>930</v>
      </c>
      <c r="DP7" s="118">
        <v>930</v>
      </c>
      <c r="DQ7" s="118">
        <v>900</v>
      </c>
      <c r="DR7" s="118">
        <v>900</v>
      </c>
      <c r="DS7" s="118">
        <v>900</v>
      </c>
      <c r="DT7" s="118">
        <v>900</v>
      </c>
      <c r="DU7" s="118">
        <v>890</v>
      </c>
      <c r="DV7" s="118">
        <v>890</v>
      </c>
      <c r="DW7" s="118">
        <v>890</v>
      </c>
      <c r="DX7" s="118">
        <v>870</v>
      </c>
      <c r="DY7" s="118">
        <v>870</v>
      </c>
      <c r="DZ7" s="118">
        <v>850</v>
      </c>
      <c r="EA7" s="118">
        <v>850</v>
      </c>
      <c r="EB7" s="118">
        <v>850</v>
      </c>
      <c r="EC7" s="118">
        <v>840</v>
      </c>
      <c r="ED7" s="118">
        <v>840</v>
      </c>
      <c r="EE7" s="118">
        <v>830</v>
      </c>
      <c r="EF7" s="118">
        <v>830</v>
      </c>
      <c r="EG7" s="118">
        <v>830</v>
      </c>
      <c r="EH7" s="118">
        <v>830</v>
      </c>
      <c r="EI7" s="118">
        <v>820</v>
      </c>
      <c r="EJ7" s="118">
        <v>820</v>
      </c>
      <c r="EK7" s="118">
        <v>820</v>
      </c>
      <c r="EL7" s="118">
        <v>820</v>
      </c>
      <c r="EM7" s="118">
        <v>820</v>
      </c>
      <c r="EN7" s="118"/>
      <c r="EO7" s="118"/>
      <c r="EP7" s="118"/>
      <c r="EQ7" s="118"/>
      <c r="ER7" s="118"/>
    </row>
    <row r="8" spans="1:148" ht="14">
      <c r="F8" s="117"/>
      <c r="H8" s="117" t="s">
        <v>82</v>
      </c>
      <c r="I8" s="131">
        <f t="shared" ref="I8:N8" si="1">I7</f>
        <v>926</v>
      </c>
      <c r="J8" s="131">
        <f t="shared" si="1"/>
        <v>962.5</v>
      </c>
      <c r="K8" s="131">
        <f t="shared" si="1"/>
        <v>986.66666666666663</v>
      </c>
      <c r="L8" s="131">
        <f t="shared" si="1"/>
        <v>990</v>
      </c>
      <c r="M8" s="131">
        <f t="shared" si="1"/>
        <v>992.5</v>
      </c>
      <c r="N8" s="131">
        <f t="shared" si="1"/>
        <v>1002</v>
      </c>
      <c r="O8" s="131">
        <f t="shared" ref="O8:P8" si="2">O7</f>
        <v>1025</v>
      </c>
      <c r="P8" s="131">
        <f t="shared" si="2"/>
        <v>1020</v>
      </c>
      <c r="Q8" s="131">
        <f t="shared" ref="Q8:R8" si="3">Q7</f>
        <v>970</v>
      </c>
      <c r="R8" s="131">
        <f t="shared" si="3"/>
        <v>955</v>
      </c>
      <c r="S8" s="131">
        <f t="shared" ref="S8:T8" si="4">S7</f>
        <v>955</v>
      </c>
      <c r="T8" s="131">
        <f t="shared" si="4"/>
        <v>968</v>
      </c>
      <c r="U8" s="131">
        <f t="shared" ref="U8:V8" si="5">U7</f>
        <v>960</v>
      </c>
      <c r="V8" s="131">
        <f t="shared" si="5"/>
        <v>970</v>
      </c>
      <c r="W8" s="131">
        <f t="shared" ref="W8:X8" si="6">W7</f>
        <v>985</v>
      </c>
      <c r="X8" s="131">
        <f t="shared" si="6"/>
        <v>980</v>
      </c>
      <c r="Y8" s="131">
        <f t="shared" ref="Y8:Z8" si="7">Y7</f>
        <v>965</v>
      </c>
      <c r="Z8" s="131">
        <f t="shared" si="7"/>
        <v>932</v>
      </c>
      <c r="AA8" s="131">
        <f t="shared" ref="AA8:AB8" si="8">AA7</f>
        <v>922.5</v>
      </c>
      <c r="AB8" s="131">
        <f t="shared" si="8"/>
        <v>918</v>
      </c>
      <c r="AC8" s="131">
        <f t="shared" ref="AC8:AD8" si="9">AC7</f>
        <v>895</v>
      </c>
      <c r="AD8" s="131">
        <f t="shared" si="9"/>
        <v>870</v>
      </c>
      <c r="AE8" s="131">
        <f t="shared" ref="AE8:AF8" si="10">AE7</f>
        <v>842</v>
      </c>
      <c r="AF8" s="131">
        <f t="shared" si="10"/>
        <v>827.5</v>
      </c>
      <c r="AG8" s="131">
        <f t="shared" ref="AG8:AH8" si="11">AG7</f>
        <v>820</v>
      </c>
      <c r="AH8" s="131">
        <f t="shared" si="11"/>
        <v>820</v>
      </c>
      <c r="AK8" s="117" t="s">
        <v>82</v>
      </c>
      <c r="AL8" s="41">
        <f t="shared" ref="AL8:AO8" si="12">AL7</f>
        <v>920</v>
      </c>
      <c r="AM8" s="41">
        <f t="shared" si="12"/>
        <v>920</v>
      </c>
      <c r="AN8" s="41">
        <f t="shared" si="12"/>
        <v>930</v>
      </c>
      <c r="AO8" s="41">
        <f t="shared" si="12"/>
        <v>930</v>
      </c>
      <c r="AP8" s="41">
        <f t="shared" ref="AP8:AQ8" si="13">AP7</f>
        <v>930</v>
      </c>
      <c r="AQ8" s="41">
        <f t="shared" si="13"/>
        <v>930</v>
      </c>
      <c r="AR8" s="41">
        <f t="shared" ref="AR8:AS8" si="14">AR7</f>
        <v>970</v>
      </c>
      <c r="AS8" s="41">
        <f t="shared" si="14"/>
        <v>970</v>
      </c>
      <c r="AT8" s="41">
        <f t="shared" ref="AT8:AU8" si="15">AT7</f>
        <v>980</v>
      </c>
      <c r="AU8" s="41">
        <f t="shared" si="15"/>
        <v>1000</v>
      </c>
      <c r="AV8" s="41">
        <f t="shared" ref="AV8:AW8" si="16">AV7</f>
        <v>980</v>
      </c>
      <c r="AW8" s="41">
        <f t="shared" si="16"/>
        <v>980</v>
      </c>
      <c r="AX8" s="41">
        <f t="shared" ref="AX8:AY8" si="17">AX7</f>
        <v>980</v>
      </c>
      <c r="AY8" s="41">
        <f t="shared" si="17"/>
        <v>980</v>
      </c>
      <c r="AZ8" s="41">
        <f t="shared" ref="AZ8:BA8" si="18">AZ7</f>
        <v>1000</v>
      </c>
      <c r="BA8" s="41">
        <f t="shared" si="18"/>
        <v>1000</v>
      </c>
      <c r="BB8" s="41">
        <f t="shared" ref="BB8:BC8" si="19">BB7</f>
        <v>1000</v>
      </c>
      <c r="BC8" s="41">
        <f t="shared" si="19"/>
        <v>990</v>
      </c>
      <c r="BD8" s="41">
        <f t="shared" ref="BD8:BE8" si="20">BD7</f>
        <v>990</v>
      </c>
      <c r="BE8" s="41">
        <f t="shared" si="20"/>
        <v>990</v>
      </c>
      <c r="BF8" s="41">
        <f t="shared" ref="BF8:BG8" si="21">BF7</f>
        <v>990</v>
      </c>
      <c r="BG8" s="41">
        <f t="shared" si="21"/>
        <v>1000</v>
      </c>
      <c r="BH8" s="41">
        <f t="shared" ref="BH8:BI8" si="22">BH7</f>
        <v>1000</v>
      </c>
      <c r="BI8" s="41">
        <f t="shared" si="22"/>
        <v>1000</v>
      </c>
      <c r="BJ8" s="41">
        <f t="shared" ref="BJ8:BK8" si="23">BJ7</f>
        <v>1020</v>
      </c>
      <c r="BK8" s="41">
        <f t="shared" si="23"/>
        <v>1020</v>
      </c>
      <c r="BL8" s="41">
        <f t="shared" ref="BL8:BM8" si="24">BL7</f>
        <v>1020</v>
      </c>
      <c r="BM8" s="41">
        <f t="shared" si="24"/>
        <v>1030</v>
      </c>
      <c r="BN8" s="41">
        <f t="shared" ref="BN8:BO8" si="25">BN7</f>
        <v>1030</v>
      </c>
      <c r="BO8" s="41">
        <f t="shared" si="25"/>
        <v>1030</v>
      </c>
      <c r="BP8" s="41">
        <f t="shared" ref="BP8:BQ8" si="26">BP7</f>
        <v>1030</v>
      </c>
      <c r="BQ8" s="41">
        <f t="shared" si="26"/>
        <v>1030</v>
      </c>
      <c r="BR8" s="41">
        <f t="shared" ref="BR8:BS8" si="27">BR7</f>
        <v>990</v>
      </c>
      <c r="BS8" s="41">
        <f t="shared" si="27"/>
        <v>980</v>
      </c>
      <c r="BT8" s="41">
        <f t="shared" ref="BT8:BU8" si="28">BT7</f>
        <v>980</v>
      </c>
      <c r="BU8" s="41">
        <f t="shared" si="28"/>
        <v>970</v>
      </c>
      <c r="BV8" s="41">
        <f t="shared" ref="BV8:BX8" si="29">BV7</f>
        <v>960</v>
      </c>
      <c r="BW8" s="41">
        <f t="shared" si="29"/>
        <v>960</v>
      </c>
      <c r="BX8" s="41">
        <f t="shared" si="29"/>
        <v>960</v>
      </c>
      <c r="BY8" s="41">
        <f t="shared" ref="BY8:BZ8" si="30">BY7</f>
        <v>960</v>
      </c>
      <c r="BZ8" s="41">
        <f t="shared" si="30"/>
        <v>950</v>
      </c>
      <c r="CA8" s="41">
        <f t="shared" ref="CA8:CC8" si="31">CA7</f>
        <v>950</v>
      </c>
      <c r="CB8" s="41">
        <f t="shared" si="31"/>
        <v>950</v>
      </c>
      <c r="CC8" s="41">
        <f t="shared" si="31"/>
        <v>950</v>
      </c>
      <c r="CD8" s="41">
        <f t="shared" ref="CD8:CE8" si="32">CD7</f>
        <v>950</v>
      </c>
      <c r="CE8" s="41">
        <f t="shared" si="32"/>
        <v>970</v>
      </c>
      <c r="CF8" s="41">
        <f t="shared" ref="CF8:CJ8" si="33">CF7</f>
        <v>970</v>
      </c>
      <c r="CG8" s="41">
        <f t="shared" si="33"/>
        <v>970</v>
      </c>
      <c r="CH8" s="41">
        <f t="shared" si="33"/>
        <v>970</v>
      </c>
      <c r="CI8" s="41">
        <f t="shared" si="33"/>
        <v>970</v>
      </c>
      <c r="CJ8" s="41">
        <f t="shared" si="33"/>
        <v>960</v>
      </c>
      <c r="CK8" s="41">
        <f t="shared" ref="CK8:CN8" si="34">CK7</f>
        <v>960</v>
      </c>
      <c r="CL8" s="41">
        <f t="shared" si="34"/>
        <v>960</v>
      </c>
      <c r="CM8" s="41">
        <f t="shared" si="34"/>
        <v>960</v>
      </c>
      <c r="CN8" s="41">
        <f t="shared" si="34"/>
        <v>960</v>
      </c>
      <c r="CO8" s="41">
        <f t="shared" ref="CO8:CP8" si="35">CO7</f>
        <v>960</v>
      </c>
      <c r="CP8" s="41">
        <f t="shared" si="35"/>
        <v>970</v>
      </c>
      <c r="CQ8" s="41">
        <f t="shared" ref="CQ8:CR8" si="36">CQ7</f>
        <v>970</v>
      </c>
      <c r="CR8" s="41">
        <f t="shared" si="36"/>
        <v>980</v>
      </c>
      <c r="CS8" s="41">
        <f t="shared" ref="CS8:CU8" si="37">CS7</f>
        <v>970</v>
      </c>
      <c r="CT8" s="41">
        <f t="shared" si="37"/>
        <v>1000</v>
      </c>
      <c r="CU8" s="41">
        <f t="shared" si="37"/>
        <v>990</v>
      </c>
      <c r="CV8" s="41">
        <f t="shared" ref="CV8:CW8" si="38">CV7</f>
        <v>980</v>
      </c>
      <c r="CW8" s="41">
        <f t="shared" si="38"/>
        <v>980</v>
      </c>
      <c r="CX8" s="41">
        <f t="shared" ref="CX8:CZ8" si="39">CX7</f>
        <v>980</v>
      </c>
      <c r="CY8" s="41">
        <f t="shared" si="39"/>
        <v>980</v>
      </c>
      <c r="CZ8" s="41">
        <f t="shared" si="39"/>
        <v>980</v>
      </c>
      <c r="DA8" s="41">
        <f t="shared" ref="DA8:DD8" si="40">DA7</f>
        <v>980</v>
      </c>
      <c r="DB8" s="41">
        <f t="shared" si="40"/>
        <v>970</v>
      </c>
      <c r="DC8" s="41">
        <f t="shared" si="40"/>
        <v>960</v>
      </c>
      <c r="DD8" s="41">
        <f t="shared" si="40"/>
        <v>950</v>
      </c>
      <c r="DE8" s="41">
        <f t="shared" ref="DE8:DI8" si="41">DE7</f>
        <v>950</v>
      </c>
      <c r="DF8" s="41">
        <f t="shared" si="41"/>
        <v>930</v>
      </c>
      <c r="DG8" s="41">
        <f t="shared" si="41"/>
        <v>930</v>
      </c>
      <c r="DH8" s="41">
        <f t="shared" si="41"/>
        <v>930</v>
      </c>
      <c r="DI8" s="41">
        <f t="shared" si="41"/>
        <v>920</v>
      </c>
      <c r="DJ8" s="41">
        <f t="shared" ref="DJ8:DM8" si="42">DJ7</f>
        <v>920</v>
      </c>
      <c r="DK8" s="41">
        <f t="shared" si="42"/>
        <v>910</v>
      </c>
      <c r="DL8" s="41">
        <f t="shared" si="42"/>
        <v>930</v>
      </c>
      <c r="DM8" s="41">
        <f t="shared" si="42"/>
        <v>930</v>
      </c>
      <c r="DN8" s="41">
        <f t="shared" ref="DN8:DR8" si="43">DN7</f>
        <v>930</v>
      </c>
      <c r="DO8" s="41">
        <f t="shared" si="43"/>
        <v>930</v>
      </c>
      <c r="DP8" s="41">
        <f t="shared" si="43"/>
        <v>930</v>
      </c>
      <c r="DQ8" s="41">
        <f t="shared" si="43"/>
        <v>900</v>
      </c>
      <c r="DR8" s="41">
        <f t="shared" si="43"/>
        <v>900</v>
      </c>
      <c r="DS8" s="41">
        <f t="shared" ref="DS8:DV8" si="44">DS7</f>
        <v>900</v>
      </c>
      <c r="DT8" s="41">
        <f t="shared" si="44"/>
        <v>900</v>
      </c>
      <c r="DU8" s="41">
        <f t="shared" si="44"/>
        <v>890</v>
      </c>
      <c r="DV8" s="41">
        <f t="shared" si="44"/>
        <v>890</v>
      </c>
      <c r="DW8" s="41">
        <f t="shared" ref="DW8:DZ8" si="45">DW7</f>
        <v>890</v>
      </c>
      <c r="DX8" s="41">
        <f t="shared" si="45"/>
        <v>870</v>
      </c>
      <c r="DY8" s="41">
        <f t="shared" si="45"/>
        <v>870</v>
      </c>
      <c r="DZ8" s="41">
        <f t="shared" si="45"/>
        <v>850</v>
      </c>
      <c r="EA8" s="41">
        <f t="shared" ref="EA8:EE8" si="46">EA7</f>
        <v>850</v>
      </c>
      <c r="EB8" s="41">
        <f t="shared" si="46"/>
        <v>850</v>
      </c>
      <c r="EC8" s="41">
        <f t="shared" si="46"/>
        <v>840</v>
      </c>
      <c r="ED8" s="41">
        <f t="shared" si="46"/>
        <v>840</v>
      </c>
      <c r="EE8" s="41">
        <f t="shared" si="46"/>
        <v>830</v>
      </c>
      <c r="EF8" s="41">
        <f t="shared" ref="EF8:EI8" si="47">EF7</f>
        <v>830</v>
      </c>
      <c r="EG8" s="41">
        <f t="shared" si="47"/>
        <v>830</v>
      </c>
      <c r="EH8" s="41">
        <f t="shared" si="47"/>
        <v>830</v>
      </c>
      <c r="EI8" s="41">
        <f t="shared" si="47"/>
        <v>820</v>
      </c>
      <c r="EJ8" s="41">
        <f t="shared" ref="EJ8:EM8" si="48">EJ7</f>
        <v>820</v>
      </c>
      <c r="EK8" s="41">
        <f t="shared" si="48"/>
        <v>820</v>
      </c>
      <c r="EL8" s="41">
        <f t="shared" si="48"/>
        <v>820</v>
      </c>
      <c r="EM8" s="41">
        <f t="shared" si="48"/>
        <v>820</v>
      </c>
      <c r="EN8" s="41">
        <f t="shared" ref="EN8:ER8" si="49">EN7</f>
        <v>0</v>
      </c>
      <c r="EO8" s="41">
        <f t="shared" si="49"/>
        <v>0</v>
      </c>
      <c r="EP8" s="41">
        <f t="shared" si="49"/>
        <v>0</v>
      </c>
      <c r="EQ8" s="41">
        <f t="shared" si="49"/>
        <v>0</v>
      </c>
      <c r="ER8" s="41">
        <f t="shared" si="49"/>
        <v>0</v>
      </c>
    </row>
    <row r="9" spans="1:148" ht="14">
      <c r="F9" s="117"/>
      <c r="H9" s="117" t="s">
        <v>83</v>
      </c>
      <c r="I9" s="41">
        <f t="shared" ref="I9:N9" si="50">+I6-I8</f>
        <v>-116</v>
      </c>
      <c r="J9" s="41">
        <f t="shared" si="50"/>
        <v>-152.5</v>
      </c>
      <c r="K9" s="41">
        <f t="shared" si="50"/>
        <v>-146.66666666666663</v>
      </c>
      <c r="L9" s="41">
        <f t="shared" si="50"/>
        <v>-110</v>
      </c>
      <c r="M9" s="41">
        <f t="shared" si="50"/>
        <v>-92.5</v>
      </c>
      <c r="N9" s="41">
        <f t="shared" si="50"/>
        <v>-102</v>
      </c>
      <c r="O9" s="41">
        <f t="shared" ref="O9:P9" si="51">+O6-O8</f>
        <v>-125</v>
      </c>
      <c r="P9" s="41">
        <f t="shared" si="51"/>
        <v>-120</v>
      </c>
      <c r="Q9" s="41">
        <f t="shared" ref="Q9:R9" si="52">+Q6-Q8</f>
        <v>-70</v>
      </c>
      <c r="R9" s="41">
        <f t="shared" si="52"/>
        <v>-95</v>
      </c>
      <c r="S9" s="41">
        <f t="shared" ref="S9:T9" si="53">+S6-S8</f>
        <v>-100</v>
      </c>
      <c r="T9" s="41">
        <f t="shared" si="53"/>
        <v>-113</v>
      </c>
      <c r="U9" s="41">
        <f t="shared" ref="U9:V9" si="54">+U6-U8</f>
        <v>-105</v>
      </c>
      <c r="V9" s="41">
        <f t="shared" si="54"/>
        <v>-115</v>
      </c>
      <c r="W9" s="41">
        <f t="shared" ref="W9:X9" si="55">+W6-W8</f>
        <v>-205</v>
      </c>
      <c r="X9" s="41">
        <f t="shared" si="55"/>
        <v>-190</v>
      </c>
      <c r="Y9" s="41">
        <f t="shared" ref="Y9:Z9" si="56">+Y6-Y8</f>
        <v>-180</v>
      </c>
      <c r="Z9" s="41">
        <f t="shared" si="56"/>
        <v>-167</v>
      </c>
      <c r="AA9" s="41">
        <f t="shared" ref="AA9:AB9" si="57">+AA6-AA8</f>
        <v>-157.5</v>
      </c>
      <c r="AB9" s="41">
        <f t="shared" si="57"/>
        <v>-238</v>
      </c>
      <c r="AC9" s="41">
        <f t="shared" ref="AC9:AD9" si="58">+AC6-AC8</f>
        <v>-235</v>
      </c>
      <c r="AD9" s="41">
        <f t="shared" si="58"/>
        <v>-210</v>
      </c>
      <c r="AE9" s="41">
        <f t="shared" ref="AE9:AF9" si="59">+AE6-AE8</f>
        <v>-192</v>
      </c>
      <c r="AF9" s="41">
        <f t="shared" si="59"/>
        <v>-177.5</v>
      </c>
      <c r="AG9" s="41">
        <f t="shared" ref="AG9:AH9" si="60">+AG6-AG8</f>
        <v>-170</v>
      </c>
      <c r="AH9" s="41">
        <f t="shared" si="60"/>
        <v>-170</v>
      </c>
      <c r="AK9" s="117" t="s">
        <v>83</v>
      </c>
      <c r="AL9" s="41">
        <f t="shared" ref="AL9:AQ9" si="61">+AL6-AL8</f>
        <v>-110</v>
      </c>
      <c r="AM9" s="41">
        <f t="shared" si="61"/>
        <v>-110</v>
      </c>
      <c r="AN9" s="41">
        <f t="shared" si="61"/>
        <v>-120</v>
      </c>
      <c r="AO9" s="41">
        <f t="shared" si="61"/>
        <v>-120</v>
      </c>
      <c r="AP9" s="41">
        <f t="shared" si="61"/>
        <v>-120</v>
      </c>
      <c r="AQ9" s="41">
        <f t="shared" si="61"/>
        <v>-120</v>
      </c>
      <c r="AR9" s="41">
        <f t="shared" ref="AR9:AS9" si="62">+AR6-AR8</f>
        <v>-160</v>
      </c>
      <c r="AS9" s="41">
        <f t="shared" si="62"/>
        <v>-160</v>
      </c>
      <c r="AT9" s="41">
        <f t="shared" ref="AT9:AU9" si="63">+AT6-AT8</f>
        <v>-170</v>
      </c>
      <c r="AU9" s="41">
        <f t="shared" si="63"/>
        <v>-160</v>
      </c>
      <c r="AV9" s="41">
        <f t="shared" ref="AV9:AW9" si="64">+AV6-AV8</f>
        <v>-140</v>
      </c>
      <c r="AW9" s="41">
        <f t="shared" si="64"/>
        <v>-140</v>
      </c>
      <c r="AX9" s="41">
        <f t="shared" ref="AX9:AY9" si="65">+AX6-AX8</f>
        <v>-100</v>
      </c>
      <c r="AY9" s="41">
        <f t="shared" si="65"/>
        <v>-100</v>
      </c>
      <c r="AZ9" s="41">
        <f t="shared" ref="AZ9:BA9" si="66">+AZ6-AZ8</f>
        <v>-120</v>
      </c>
      <c r="BA9" s="41">
        <f t="shared" si="66"/>
        <v>-120</v>
      </c>
      <c r="BB9" s="41">
        <f t="shared" ref="BB9:BC9" si="67">+BB6-BB8</f>
        <v>-100</v>
      </c>
      <c r="BC9" s="41">
        <f t="shared" si="67"/>
        <v>-90</v>
      </c>
      <c r="BD9" s="41">
        <f t="shared" ref="BD9:BE9" si="68">+BD6-BD8</f>
        <v>-90</v>
      </c>
      <c r="BE9" s="41">
        <f t="shared" si="68"/>
        <v>-90</v>
      </c>
      <c r="BF9" s="41">
        <f t="shared" ref="BF9:BG9" si="69">+BF6-BF8</f>
        <v>-90</v>
      </c>
      <c r="BG9" s="41">
        <f t="shared" si="69"/>
        <v>-100</v>
      </c>
      <c r="BH9" s="41">
        <f t="shared" ref="BH9:BI9" si="70">+BH6-BH8</f>
        <v>-100</v>
      </c>
      <c r="BI9" s="41">
        <f t="shared" si="70"/>
        <v>-100</v>
      </c>
      <c r="BJ9" s="41">
        <f t="shared" ref="BJ9:BK9" si="71">+BJ6-BJ8</f>
        <v>-120</v>
      </c>
      <c r="BK9" s="41">
        <f t="shared" si="71"/>
        <v>-120</v>
      </c>
      <c r="BL9" s="41">
        <f t="shared" ref="BL9:BM9" si="72">+BL6-BL8</f>
        <v>-120</v>
      </c>
      <c r="BM9" s="41">
        <f t="shared" si="72"/>
        <v>-130</v>
      </c>
      <c r="BN9" s="41">
        <f t="shared" ref="BN9:BO9" si="73">+BN6-BN8</f>
        <v>-130</v>
      </c>
      <c r="BO9" s="41">
        <f t="shared" si="73"/>
        <v>-130</v>
      </c>
      <c r="BP9" s="41">
        <f t="shared" ref="BP9:BQ9" si="74">+BP6-BP8</f>
        <v>-130</v>
      </c>
      <c r="BQ9" s="41">
        <f t="shared" si="74"/>
        <v>-130</v>
      </c>
      <c r="BR9" s="41">
        <f t="shared" ref="BR9:BS9" si="75">+BR6-BR8</f>
        <v>-90</v>
      </c>
      <c r="BS9" s="41">
        <f t="shared" si="75"/>
        <v>-80</v>
      </c>
      <c r="BT9" s="41">
        <f t="shared" ref="BT9:BU9" si="76">+BT6-BT8</f>
        <v>-80</v>
      </c>
      <c r="BU9" s="41">
        <f t="shared" si="76"/>
        <v>-70</v>
      </c>
      <c r="BV9" s="41">
        <f t="shared" ref="BV9:BX9" si="77">+BV6-BV8</f>
        <v>-60</v>
      </c>
      <c r="BW9" s="41">
        <f t="shared" si="77"/>
        <v>-60</v>
      </c>
      <c r="BX9" s="41">
        <f t="shared" si="77"/>
        <v>-100</v>
      </c>
      <c r="BY9" s="41">
        <f t="shared" ref="BY9:BZ9" si="78">+BY6-BY8</f>
        <v>-100</v>
      </c>
      <c r="BZ9" s="41">
        <f t="shared" si="78"/>
        <v>-90</v>
      </c>
      <c r="CA9" s="41">
        <f t="shared" ref="CA9:CC9" si="79">+CA6-CA8</f>
        <v>-90</v>
      </c>
      <c r="CB9" s="41">
        <f t="shared" si="79"/>
        <v>-95</v>
      </c>
      <c r="CC9" s="41">
        <f t="shared" si="79"/>
        <v>-95</v>
      </c>
      <c r="CD9" s="41">
        <f t="shared" ref="CD9:CE9" si="80">+CD6-CD8</f>
        <v>-95</v>
      </c>
      <c r="CE9" s="41">
        <f t="shared" si="80"/>
        <v>-115</v>
      </c>
      <c r="CF9" s="41">
        <f t="shared" ref="CF9:CJ9" si="81">+CF6-CF8</f>
        <v>-115</v>
      </c>
      <c r="CG9" s="41">
        <f t="shared" si="81"/>
        <v>-115</v>
      </c>
      <c r="CH9" s="41">
        <f t="shared" si="81"/>
        <v>-115</v>
      </c>
      <c r="CI9" s="41">
        <f t="shared" si="81"/>
        <v>-115</v>
      </c>
      <c r="CJ9" s="41">
        <f t="shared" si="81"/>
        <v>-105</v>
      </c>
      <c r="CK9" s="41">
        <f t="shared" ref="CK9:CN9" si="82">+CK6-CK8</f>
        <v>-105</v>
      </c>
      <c r="CL9" s="41">
        <f t="shared" si="82"/>
        <v>-105</v>
      </c>
      <c r="CM9" s="41">
        <f t="shared" si="82"/>
        <v>-105</v>
      </c>
      <c r="CN9" s="41">
        <f t="shared" si="82"/>
        <v>-105</v>
      </c>
      <c r="CO9" s="41">
        <f t="shared" ref="CO9:CP9" si="83">+CO6-CO8</f>
        <v>-105</v>
      </c>
      <c r="CP9" s="41">
        <f t="shared" si="83"/>
        <v>-115</v>
      </c>
      <c r="CQ9" s="41">
        <f t="shared" ref="CQ9:CR9" si="84">+CQ6-CQ8</f>
        <v>-115</v>
      </c>
      <c r="CR9" s="41">
        <f t="shared" si="84"/>
        <v>-125</v>
      </c>
      <c r="CS9" s="41">
        <f t="shared" ref="CS9:CU9" si="85">+CS6-CS8</f>
        <v>-190</v>
      </c>
      <c r="CT9" s="41">
        <f t="shared" si="85"/>
        <v>-220</v>
      </c>
      <c r="CU9" s="41">
        <f t="shared" si="85"/>
        <v>-210</v>
      </c>
      <c r="CV9" s="41">
        <f t="shared" ref="CV9:CW9" si="86">+CV6-CV8</f>
        <v>-200</v>
      </c>
      <c r="CW9" s="41">
        <f t="shared" si="86"/>
        <v>-190</v>
      </c>
      <c r="CX9" s="41">
        <f t="shared" ref="CX9:CZ9" si="87">+CX6-CX8</f>
        <v>-190</v>
      </c>
      <c r="CY9" s="41">
        <f t="shared" si="87"/>
        <v>-190</v>
      </c>
      <c r="CZ9" s="41">
        <f t="shared" si="87"/>
        <v>-190</v>
      </c>
      <c r="DA9" s="41">
        <f t="shared" ref="DA9:DD9" si="88">+DA6-DA8</f>
        <v>-195</v>
      </c>
      <c r="DB9" s="41">
        <f t="shared" si="88"/>
        <v>-185</v>
      </c>
      <c r="DC9" s="41">
        <f t="shared" si="88"/>
        <v>-175</v>
      </c>
      <c r="DD9" s="41">
        <f t="shared" si="88"/>
        <v>-165</v>
      </c>
      <c r="DE9" s="41">
        <f t="shared" ref="DE9:DI9" si="89">+DE6-DE8</f>
        <v>-185</v>
      </c>
      <c r="DF9" s="41">
        <f t="shared" si="89"/>
        <v>-165</v>
      </c>
      <c r="DG9" s="41">
        <f t="shared" si="89"/>
        <v>-165</v>
      </c>
      <c r="DH9" s="41">
        <f t="shared" si="89"/>
        <v>-165</v>
      </c>
      <c r="DI9" s="41">
        <f t="shared" si="89"/>
        <v>-155</v>
      </c>
      <c r="DJ9" s="41">
        <f t="shared" ref="DJ9:DM9" si="90">+DJ6-DJ8</f>
        <v>-155</v>
      </c>
      <c r="DK9" s="41">
        <f t="shared" si="90"/>
        <v>-145</v>
      </c>
      <c r="DL9" s="41">
        <f t="shared" si="90"/>
        <v>-165</v>
      </c>
      <c r="DM9" s="41">
        <f t="shared" si="90"/>
        <v>-165</v>
      </c>
      <c r="DN9" s="41">
        <f t="shared" ref="DN9:DR9" si="91">+DN6-DN8</f>
        <v>-250</v>
      </c>
      <c r="DO9" s="41">
        <f t="shared" si="91"/>
        <v>-250</v>
      </c>
      <c r="DP9" s="41">
        <f t="shared" si="91"/>
        <v>-250</v>
      </c>
      <c r="DQ9" s="41">
        <f t="shared" si="91"/>
        <v>-220</v>
      </c>
      <c r="DR9" s="41">
        <f t="shared" si="91"/>
        <v>-220</v>
      </c>
      <c r="DS9" s="41">
        <f t="shared" ref="DS9:DV9" si="92">+DS6-DS8</f>
        <v>-240</v>
      </c>
      <c r="DT9" s="41">
        <f t="shared" si="92"/>
        <v>-240</v>
      </c>
      <c r="DU9" s="41">
        <f t="shared" si="92"/>
        <v>-230</v>
      </c>
      <c r="DV9" s="41">
        <f t="shared" si="92"/>
        <v>-230</v>
      </c>
      <c r="DW9" s="41">
        <f t="shared" ref="DW9:DZ9" si="93">+DW6-DW8</f>
        <v>-230</v>
      </c>
      <c r="DX9" s="41">
        <f t="shared" si="93"/>
        <v>-210</v>
      </c>
      <c r="DY9" s="41">
        <f t="shared" si="93"/>
        <v>-210</v>
      </c>
      <c r="DZ9" s="41">
        <f t="shared" si="93"/>
        <v>-190</v>
      </c>
      <c r="EA9" s="41">
        <f t="shared" ref="EA9:EE9" si="94">+EA6-EA8</f>
        <v>-200</v>
      </c>
      <c r="EB9" s="41">
        <f t="shared" si="94"/>
        <v>-200</v>
      </c>
      <c r="EC9" s="41">
        <f t="shared" si="94"/>
        <v>-190</v>
      </c>
      <c r="ED9" s="41">
        <f t="shared" si="94"/>
        <v>-190</v>
      </c>
      <c r="EE9" s="41">
        <f t="shared" si="94"/>
        <v>-180</v>
      </c>
      <c r="EF9" s="41">
        <f t="shared" ref="EF9:EI9" si="95">+EF6-EF8</f>
        <v>-180</v>
      </c>
      <c r="EG9" s="41">
        <f t="shared" si="95"/>
        <v>-180</v>
      </c>
      <c r="EH9" s="41">
        <f t="shared" si="95"/>
        <v>-180</v>
      </c>
      <c r="EI9" s="41">
        <f t="shared" si="95"/>
        <v>-170</v>
      </c>
      <c r="EJ9" s="41">
        <f t="shared" ref="EJ9:EM9" si="96">+EJ6-EJ8</f>
        <v>-170</v>
      </c>
      <c r="EK9" s="41">
        <f t="shared" si="96"/>
        <v>-170</v>
      </c>
      <c r="EL9" s="41">
        <f t="shared" si="96"/>
        <v>-170</v>
      </c>
      <c r="EM9" s="41">
        <f t="shared" si="96"/>
        <v>-170</v>
      </c>
      <c r="EN9" s="41">
        <f t="shared" ref="EN9:ER9" si="97">+EN6-EN8</f>
        <v>650</v>
      </c>
      <c r="EO9" s="41">
        <f t="shared" si="97"/>
        <v>650</v>
      </c>
      <c r="EP9" s="41">
        <f t="shared" si="97"/>
        <v>650</v>
      </c>
      <c r="EQ9" s="41">
        <f t="shared" si="97"/>
        <v>650</v>
      </c>
      <c r="ER9" s="41">
        <f t="shared" si="97"/>
        <v>650</v>
      </c>
    </row>
    <row r="10" spans="1:148">
      <c r="H10" s="1" t="s">
        <v>81</v>
      </c>
      <c r="I10" s="51">
        <f t="shared" ref="I10:N10" si="98">+I9/I8</f>
        <v>-0.12526997840172785</v>
      </c>
      <c r="J10" s="51">
        <f t="shared" si="98"/>
        <v>-0.15844155844155844</v>
      </c>
      <c r="K10" s="51">
        <f t="shared" si="98"/>
        <v>-0.14864864864864863</v>
      </c>
      <c r="L10" s="51">
        <f t="shared" si="98"/>
        <v>-0.1111111111111111</v>
      </c>
      <c r="M10" s="51">
        <f t="shared" si="98"/>
        <v>-9.3198992443324941E-2</v>
      </c>
      <c r="N10" s="51">
        <f t="shared" si="98"/>
        <v>-0.10179640718562874</v>
      </c>
      <c r="O10" s="51">
        <f t="shared" ref="O10:P10" si="99">+O9/O8</f>
        <v>-0.12195121951219512</v>
      </c>
      <c r="P10" s="51">
        <f t="shared" si="99"/>
        <v>-0.11764705882352941</v>
      </c>
      <c r="Q10" s="51">
        <f t="shared" ref="Q10:R10" si="100">+Q9/Q8</f>
        <v>-7.2164948453608241E-2</v>
      </c>
      <c r="R10" s="51">
        <f t="shared" si="100"/>
        <v>-9.947643979057591E-2</v>
      </c>
      <c r="S10" s="51">
        <f t="shared" ref="S10:T10" si="101">+S9/S8</f>
        <v>-0.10471204188481675</v>
      </c>
      <c r="T10" s="51">
        <f t="shared" si="101"/>
        <v>-0.11673553719008264</v>
      </c>
      <c r="U10" s="51">
        <f t="shared" ref="U10:V10" si="102">+U9/U8</f>
        <v>-0.109375</v>
      </c>
      <c r="V10" s="51">
        <f t="shared" si="102"/>
        <v>-0.11855670103092783</v>
      </c>
      <c r="W10" s="51">
        <f t="shared" ref="W10:X10" si="103">+W9/W8</f>
        <v>-0.20812182741116753</v>
      </c>
      <c r="X10" s="51">
        <f t="shared" si="103"/>
        <v>-0.19387755102040816</v>
      </c>
      <c r="Y10" s="51">
        <f t="shared" ref="Y10:Z10" si="104">+Y9/Y8</f>
        <v>-0.18652849740932642</v>
      </c>
      <c r="Z10" s="51">
        <f t="shared" si="104"/>
        <v>-0.17918454935622319</v>
      </c>
      <c r="AA10" s="51">
        <f t="shared" ref="AA10:AB10" si="105">+AA9/AA8</f>
        <v>-0.17073170731707318</v>
      </c>
      <c r="AB10" s="51">
        <f t="shared" si="105"/>
        <v>-0.25925925925925924</v>
      </c>
      <c r="AC10" s="51">
        <f t="shared" ref="AC10:AD10" si="106">+AC9/AC8</f>
        <v>-0.26256983240223464</v>
      </c>
      <c r="AD10" s="51">
        <f t="shared" si="106"/>
        <v>-0.2413793103448276</v>
      </c>
      <c r="AE10" s="51">
        <f t="shared" ref="AE10:AF10" si="107">+AE9/AE8</f>
        <v>-0.22802850356294538</v>
      </c>
      <c r="AF10" s="51">
        <f t="shared" si="107"/>
        <v>-0.21450151057401812</v>
      </c>
      <c r="AG10" s="51">
        <f t="shared" ref="AG10:AH10" si="108">+AG9/AG8</f>
        <v>-0.2073170731707317</v>
      </c>
      <c r="AH10" s="51">
        <f t="shared" si="108"/>
        <v>-0.2073170731707317</v>
      </c>
      <c r="AK10" s="1" t="s">
        <v>81</v>
      </c>
      <c r="AL10" s="51">
        <f t="shared" ref="AL10:AO10" si="109">+AL9/AL8</f>
        <v>-0.11956521739130435</v>
      </c>
      <c r="AM10" s="51">
        <f t="shared" si="109"/>
        <v>-0.11956521739130435</v>
      </c>
      <c r="AN10" s="51">
        <f t="shared" si="109"/>
        <v>-0.12903225806451613</v>
      </c>
      <c r="AO10" s="51">
        <f t="shared" si="109"/>
        <v>-0.12903225806451613</v>
      </c>
      <c r="AP10" s="51">
        <f t="shared" ref="AP10:AQ10" si="110">+AP9/AP8</f>
        <v>-0.12903225806451613</v>
      </c>
      <c r="AQ10" s="51">
        <f t="shared" si="110"/>
        <v>-0.12903225806451613</v>
      </c>
      <c r="AR10" s="51">
        <f t="shared" ref="AR10:AS10" si="111">+AR9/AR8</f>
        <v>-0.16494845360824742</v>
      </c>
      <c r="AS10" s="51">
        <f t="shared" si="111"/>
        <v>-0.16494845360824742</v>
      </c>
      <c r="AT10" s="51">
        <f t="shared" ref="AT10:AU10" si="112">+AT9/AT8</f>
        <v>-0.17346938775510204</v>
      </c>
      <c r="AU10" s="51">
        <f t="shared" si="112"/>
        <v>-0.16</v>
      </c>
      <c r="AV10" s="51">
        <f t="shared" ref="AV10:AW10" si="113">+AV9/AV8</f>
        <v>-0.14285714285714285</v>
      </c>
      <c r="AW10" s="51">
        <f t="shared" si="113"/>
        <v>-0.14285714285714285</v>
      </c>
      <c r="AX10" s="51">
        <f t="shared" ref="AX10:AY10" si="114">+AX9/AX8</f>
        <v>-0.10204081632653061</v>
      </c>
      <c r="AY10" s="51">
        <f t="shared" si="114"/>
        <v>-0.10204081632653061</v>
      </c>
      <c r="AZ10" s="51">
        <f t="shared" ref="AZ10:BA10" si="115">+AZ9/AZ8</f>
        <v>-0.12</v>
      </c>
      <c r="BA10" s="51">
        <f t="shared" si="115"/>
        <v>-0.12</v>
      </c>
      <c r="BB10" s="51">
        <f t="shared" ref="BB10:BC10" si="116">+BB9/BB8</f>
        <v>-0.1</v>
      </c>
      <c r="BC10" s="51">
        <f t="shared" si="116"/>
        <v>-9.0909090909090912E-2</v>
      </c>
      <c r="BD10" s="51">
        <f t="shared" ref="BD10:BE10" si="117">+BD9/BD8</f>
        <v>-9.0909090909090912E-2</v>
      </c>
      <c r="BE10" s="51">
        <f t="shared" si="117"/>
        <v>-9.0909090909090912E-2</v>
      </c>
      <c r="BF10" s="51">
        <f t="shared" ref="BF10:BG10" si="118">+BF9/BF8</f>
        <v>-9.0909090909090912E-2</v>
      </c>
      <c r="BG10" s="51">
        <f t="shared" si="118"/>
        <v>-0.1</v>
      </c>
      <c r="BH10" s="51">
        <f t="shared" ref="BH10:BI10" si="119">+BH9/BH8</f>
        <v>-0.1</v>
      </c>
      <c r="BI10" s="51">
        <f t="shared" si="119"/>
        <v>-0.1</v>
      </c>
      <c r="BJ10" s="51">
        <f t="shared" ref="BJ10:BK10" si="120">+BJ9/BJ8</f>
        <v>-0.11764705882352941</v>
      </c>
      <c r="BK10" s="51">
        <f t="shared" si="120"/>
        <v>-0.11764705882352941</v>
      </c>
      <c r="BL10" s="51">
        <f t="shared" ref="BL10:BM10" si="121">+BL9/BL8</f>
        <v>-0.11764705882352941</v>
      </c>
      <c r="BM10" s="51">
        <f t="shared" si="121"/>
        <v>-0.12621359223300971</v>
      </c>
      <c r="BN10" s="51">
        <f t="shared" ref="BN10:BO10" si="122">+BN9/BN8</f>
        <v>-0.12621359223300971</v>
      </c>
      <c r="BO10" s="51">
        <f t="shared" si="122"/>
        <v>-0.12621359223300971</v>
      </c>
      <c r="BP10" s="51">
        <f t="shared" ref="BP10:BQ10" si="123">+BP9/BP8</f>
        <v>-0.12621359223300971</v>
      </c>
      <c r="BQ10" s="51">
        <f t="shared" si="123"/>
        <v>-0.12621359223300971</v>
      </c>
      <c r="BR10" s="51">
        <f t="shared" ref="BR10:BS10" si="124">+BR9/BR8</f>
        <v>-9.0909090909090912E-2</v>
      </c>
      <c r="BS10" s="51">
        <f t="shared" si="124"/>
        <v>-8.1632653061224483E-2</v>
      </c>
      <c r="BT10" s="51">
        <f t="shared" ref="BT10:BU10" si="125">+BT9/BT8</f>
        <v>-8.1632653061224483E-2</v>
      </c>
      <c r="BU10" s="51">
        <f t="shared" si="125"/>
        <v>-7.2164948453608241E-2</v>
      </c>
      <c r="BV10" s="51">
        <f t="shared" ref="BV10:BX10" si="126">+BV9/BV8</f>
        <v>-6.25E-2</v>
      </c>
      <c r="BW10" s="51">
        <f t="shared" si="126"/>
        <v>-6.25E-2</v>
      </c>
      <c r="BX10" s="51">
        <f t="shared" si="126"/>
        <v>-0.10416666666666667</v>
      </c>
      <c r="BY10" s="51">
        <f t="shared" ref="BY10:BZ10" si="127">+BY9/BY8</f>
        <v>-0.10416666666666667</v>
      </c>
      <c r="BZ10" s="51">
        <f t="shared" si="127"/>
        <v>-9.4736842105263161E-2</v>
      </c>
      <c r="CA10" s="51">
        <f t="shared" ref="CA10:CC10" si="128">+CA9/CA8</f>
        <v>-9.4736842105263161E-2</v>
      </c>
      <c r="CB10" s="51">
        <f t="shared" si="128"/>
        <v>-0.1</v>
      </c>
      <c r="CC10" s="51">
        <f t="shared" si="128"/>
        <v>-0.1</v>
      </c>
      <c r="CD10" s="51">
        <f t="shared" ref="CD10:CE10" si="129">+CD9/CD8</f>
        <v>-0.1</v>
      </c>
      <c r="CE10" s="51">
        <f t="shared" si="129"/>
        <v>-0.11855670103092783</v>
      </c>
      <c r="CF10" s="51">
        <f t="shared" ref="CF10:CJ10" si="130">+CF9/CF8</f>
        <v>-0.11855670103092783</v>
      </c>
      <c r="CG10" s="51">
        <f t="shared" si="130"/>
        <v>-0.11855670103092783</v>
      </c>
      <c r="CH10" s="51">
        <f t="shared" si="130"/>
        <v>-0.11855670103092783</v>
      </c>
      <c r="CI10" s="51">
        <f t="shared" si="130"/>
        <v>-0.11855670103092783</v>
      </c>
      <c r="CJ10" s="51">
        <f t="shared" si="130"/>
        <v>-0.109375</v>
      </c>
      <c r="CK10" s="51">
        <f t="shared" ref="CK10:CN10" si="131">+CK9/CK8</f>
        <v>-0.109375</v>
      </c>
      <c r="CL10" s="51">
        <f t="shared" si="131"/>
        <v>-0.109375</v>
      </c>
      <c r="CM10" s="51">
        <f t="shared" si="131"/>
        <v>-0.109375</v>
      </c>
      <c r="CN10" s="51">
        <f t="shared" si="131"/>
        <v>-0.109375</v>
      </c>
      <c r="CO10" s="51">
        <f t="shared" ref="CO10:CP10" si="132">+CO9/CO8</f>
        <v>-0.109375</v>
      </c>
      <c r="CP10" s="51">
        <f t="shared" si="132"/>
        <v>-0.11855670103092783</v>
      </c>
      <c r="CQ10" s="51">
        <f t="shared" ref="CQ10:CR10" si="133">+CQ9/CQ8</f>
        <v>-0.11855670103092783</v>
      </c>
      <c r="CR10" s="51">
        <f t="shared" si="133"/>
        <v>-0.12755102040816327</v>
      </c>
      <c r="CS10" s="51">
        <f t="shared" ref="CS10:CU10" si="134">+CS9/CS8</f>
        <v>-0.19587628865979381</v>
      </c>
      <c r="CT10" s="51">
        <f t="shared" si="134"/>
        <v>-0.22</v>
      </c>
      <c r="CU10" s="51">
        <f t="shared" si="134"/>
        <v>-0.21212121212121213</v>
      </c>
      <c r="CV10" s="51">
        <f t="shared" ref="CV10:CW10" si="135">+CV9/CV8</f>
        <v>-0.20408163265306123</v>
      </c>
      <c r="CW10" s="51">
        <f t="shared" si="135"/>
        <v>-0.19387755102040816</v>
      </c>
      <c r="CX10" s="51">
        <f t="shared" ref="CX10:CZ10" si="136">+CX9/CX8</f>
        <v>-0.19387755102040816</v>
      </c>
      <c r="CY10" s="51">
        <f t="shared" si="136"/>
        <v>-0.19387755102040816</v>
      </c>
      <c r="CZ10" s="51">
        <f t="shared" si="136"/>
        <v>-0.19387755102040816</v>
      </c>
      <c r="DA10" s="51">
        <f t="shared" ref="DA10:DD10" si="137">+DA9/DA8</f>
        <v>-0.19897959183673469</v>
      </c>
      <c r="DB10" s="51">
        <f t="shared" si="137"/>
        <v>-0.19072164948453607</v>
      </c>
      <c r="DC10" s="51">
        <f t="shared" si="137"/>
        <v>-0.18229166666666666</v>
      </c>
      <c r="DD10" s="51">
        <f t="shared" si="137"/>
        <v>-0.1736842105263158</v>
      </c>
      <c r="DE10" s="51">
        <f t="shared" ref="DE10:DI10" si="138">+DE9/DE8</f>
        <v>-0.19473684210526315</v>
      </c>
      <c r="DF10" s="51">
        <f t="shared" si="138"/>
        <v>-0.17741935483870969</v>
      </c>
      <c r="DG10" s="51">
        <f t="shared" si="138"/>
        <v>-0.17741935483870969</v>
      </c>
      <c r="DH10" s="51">
        <f t="shared" si="138"/>
        <v>-0.17741935483870969</v>
      </c>
      <c r="DI10" s="51">
        <f t="shared" si="138"/>
        <v>-0.16847826086956522</v>
      </c>
      <c r="DJ10" s="51">
        <f t="shared" ref="DJ10:DM10" si="139">+DJ9/DJ8</f>
        <v>-0.16847826086956522</v>
      </c>
      <c r="DK10" s="51">
        <f t="shared" si="139"/>
        <v>-0.15934065934065933</v>
      </c>
      <c r="DL10" s="51">
        <f t="shared" si="139"/>
        <v>-0.17741935483870969</v>
      </c>
      <c r="DM10" s="51">
        <f t="shared" si="139"/>
        <v>-0.17741935483870969</v>
      </c>
      <c r="DN10" s="51">
        <f t="shared" ref="DN10:DR10" si="140">+DN9/DN8</f>
        <v>-0.26881720430107525</v>
      </c>
      <c r="DO10" s="51">
        <f t="shared" si="140"/>
        <v>-0.26881720430107525</v>
      </c>
      <c r="DP10" s="51">
        <f t="shared" si="140"/>
        <v>-0.26881720430107525</v>
      </c>
      <c r="DQ10" s="51">
        <f t="shared" si="140"/>
        <v>-0.24444444444444444</v>
      </c>
      <c r="DR10" s="51">
        <f t="shared" si="140"/>
        <v>-0.24444444444444444</v>
      </c>
      <c r="DS10" s="51">
        <f t="shared" ref="DS10:DV10" si="141">+DS9/DS8</f>
        <v>-0.26666666666666666</v>
      </c>
      <c r="DT10" s="51">
        <f t="shared" si="141"/>
        <v>-0.26666666666666666</v>
      </c>
      <c r="DU10" s="51">
        <f t="shared" si="141"/>
        <v>-0.25842696629213485</v>
      </c>
      <c r="DV10" s="51">
        <f t="shared" si="141"/>
        <v>-0.25842696629213485</v>
      </c>
      <c r="DW10" s="51">
        <f t="shared" ref="DW10:DZ10" si="142">+DW9/DW8</f>
        <v>-0.25842696629213485</v>
      </c>
      <c r="DX10" s="51">
        <f t="shared" si="142"/>
        <v>-0.2413793103448276</v>
      </c>
      <c r="DY10" s="51">
        <f t="shared" si="142"/>
        <v>-0.2413793103448276</v>
      </c>
      <c r="DZ10" s="51">
        <f t="shared" si="142"/>
        <v>-0.22352941176470589</v>
      </c>
      <c r="EA10" s="51">
        <f t="shared" ref="EA10:EE10" si="143">+EA9/EA8</f>
        <v>-0.23529411764705882</v>
      </c>
      <c r="EB10" s="51">
        <f t="shared" si="143"/>
        <v>-0.23529411764705882</v>
      </c>
      <c r="EC10" s="51">
        <f t="shared" si="143"/>
        <v>-0.22619047619047619</v>
      </c>
      <c r="ED10" s="51">
        <f t="shared" si="143"/>
        <v>-0.22619047619047619</v>
      </c>
      <c r="EE10" s="51">
        <f t="shared" si="143"/>
        <v>-0.21686746987951808</v>
      </c>
      <c r="EF10" s="51">
        <f t="shared" ref="EF10:EI10" si="144">+EF9/EF8</f>
        <v>-0.21686746987951808</v>
      </c>
      <c r="EG10" s="51">
        <f t="shared" si="144"/>
        <v>-0.21686746987951808</v>
      </c>
      <c r="EH10" s="51">
        <f t="shared" si="144"/>
        <v>-0.21686746987951808</v>
      </c>
      <c r="EI10" s="51">
        <f t="shared" si="144"/>
        <v>-0.2073170731707317</v>
      </c>
      <c r="EJ10" s="51">
        <f t="shared" ref="EJ10:EM10" si="145">+EJ9/EJ8</f>
        <v>-0.2073170731707317</v>
      </c>
      <c r="EK10" s="51">
        <f t="shared" si="145"/>
        <v>-0.2073170731707317</v>
      </c>
      <c r="EL10" s="51">
        <f t="shared" si="145"/>
        <v>-0.2073170731707317</v>
      </c>
      <c r="EM10" s="51">
        <f t="shared" si="145"/>
        <v>-0.2073170731707317</v>
      </c>
      <c r="EN10" s="51" t="e">
        <f t="shared" ref="EN10:ER10" si="146">+EN9/EN8</f>
        <v>#DIV/0!</v>
      </c>
      <c r="EO10" s="51" t="e">
        <f t="shared" si="146"/>
        <v>#DIV/0!</v>
      </c>
      <c r="EP10" s="51" t="e">
        <f t="shared" si="146"/>
        <v>#DIV/0!</v>
      </c>
      <c r="EQ10" s="51" t="e">
        <f t="shared" si="146"/>
        <v>#DIV/0!</v>
      </c>
      <c r="ER10" s="51" t="e">
        <f t="shared" si="146"/>
        <v>#DIV/0!</v>
      </c>
    </row>
    <row r="11" spans="1:148" ht="15.5">
      <c r="F11" s="62"/>
      <c r="H11" s="163" t="s">
        <v>87</v>
      </c>
      <c r="I11" s="1">
        <v>772</v>
      </c>
      <c r="J11" s="1">
        <v>772</v>
      </c>
      <c r="K11" s="1">
        <v>772</v>
      </c>
      <c r="L11" s="1">
        <v>772</v>
      </c>
      <c r="M11" s="1">
        <v>772</v>
      </c>
      <c r="N11" s="1">
        <v>772</v>
      </c>
      <c r="O11" s="1">
        <v>772</v>
      </c>
      <c r="P11" s="1">
        <v>738</v>
      </c>
      <c r="Q11" s="173">
        <v>780.1665026220935</v>
      </c>
      <c r="R11" s="173">
        <v>790.84736542275789</v>
      </c>
      <c r="S11" s="173">
        <v>794.61882076959819</v>
      </c>
      <c r="T11" s="173">
        <v>794.61882076959819</v>
      </c>
      <c r="U11" s="173">
        <v>772.61324687952413</v>
      </c>
      <c r="V11" s="173">
        <v>790.71342693105714</v>
      </c>
      <c r="W11" s="173">
        <v>780.14594515953695</v>
      </c>
      <c r="X11" s="173">
        <v>780.14594515953695</v>
      </c>
      <c r="Y11" s="173">
        <v>767.45783789288964</v>
      </c>
      <c r="Z11" s="173">
        <v>720.25560128568611</v>
      </c>
      <c r="AA11" s="173">
        <v>754.85044113798847</v>
      </c>
      <c r="AB11" s="173">
        <v>757.17190222429883</v>
      </c>
      <c r="AC11" s="173">
        <v>757.17190222429883</v>
      </c>
      <c r="AD11" s="173">
        <v>757.17190222429883</v>
      </c>
      <c r="AE11" s="173">
        <v>760.07393351542305</v>
      </c>
      <c r="AF11" s="173">
        <v>760.79553063281901</v>
      </c>
      <c r="AG11" s="173">
        <v>765.98333885599538</v>
      </c>
      <c r="AH11" s="173">
        <v>765.98333885599538</v>
      </c>
      <c r="AK11" s="163" t="s">
        <v>87</v>
      </c>
      <c r="AL11" s="1">
        <v>772</v>
      </c>
      <c r="AM11" s="1">
        <v>772</v>
      </c>
      <c r="AN11" s="1">
        <v>772</v>
      </c>
      <c r="AO11" s="1">
        <v>772</v>
      </c>
      <c r="AP11" s="1">
        <v>772</v>
      </c>
      <c r="AQ11" s="1">
        <v>772</v>
      </c>
      <c r="AR11" s="1">
        <v>772</v>
      </c>
      <c r="AS11" s="1">
        <v>772</v>
      </c>
      <c r="AT11" s="1">
        <v>772</v>
      </c>
      <c r="AU11" s="1">
        <v>772</v>
      </c>
      <c r="AV11" s="1">
        <v>772</v>
      </c>
      <c r="AW11" s="1">
        <v>772</v>
      </c>
      <c r="AX11" s="1">
        <v>772</v>
      </c>
      <c r="AY11" s="1">
        <v>772</v>
      </c>
      <c r="AZ11" s="1">
        <v>772</v>
      </c>
      <c r="BA11" s="1">
        <v>772</v>
      </c>
      <c r="BB11" s="1">
        <v>772</v>
      </c>
      <c r="BC11" s="1">
        <v>772</v>
      </c>
      <c r="BD11" s="1">
        <v>772</v>
      </c>
      <c r="BE11" s="1">
        <v>772</v>
      </c>
      <c r="BF11" s="1">
        <v>772</v>
      </c>
      <c r="BG11" s="1">
        <v>772</v>
      </c>
      <c r="BH11" s="1">
        <v>772</v>
      </c>
      <c r="BI11" s="1">
        <v>772</v>
      </c>
      <c r="BJ11" s="1">
        <v>772</v>
      </c>
      <c r="BK11" s="1">
        <v>772</v>
      </c>
      <c r="BL11" s="1">
        <v>772</v>
      </c>
      <c r="BM11" s="1">
        <v>772</v>
      </c>
      <c r="BN11" s="1">
        <v>772</v>
      </c>
      <c r="BO11" s="1">
        <v>738</v>
      </c>
      <c r="BP11" s="1">
        <v>738</v>
      </c>
      <c r="BQ11" s="1">
        <v>738</v>
      </c>
      <c r="BR11" s="1">
        <v>738</v>
      </c>
      <c r="BS11" s="173">
        <v>780.1665026220935</v>
      </c>
      <c r="BT11" s="173">
        <v>780.1665026220935</v>
      </c>
      <c r="BU11" s="173">
        <v>780.1665026220935</v>
      </c>
      <c r="BV11" s="173">
        <v>780.1665026220935</v>
      </c>
      <c r="BW11" s="173">
        <v>780.1665026220935</v>
      </c>
      <c r="BX11" s="173">
        <v>791</v>
      </c>
      <c r="BY11" s="173">
        <v>791</v>
      </c>
      <c r="BZ11" s="173">
        <v>791</v>
      </c>
      <c r="CA11" s="173">
        <v>791</v>
      </c>
      <c r="CB11" s="173">
        <v>794.61882076959819</v>
      </c>
      <c r="CC11" s="173">
        <v>794.61882076959819</v>
      </c>
      <c r="CD11" s="173">
        <v>794.61882076959819</v>
      </c>
      <c r="CE11" s="173">
        <v>794.61882076959819</v>
      </c>
      <c r="CF11" s="173">
        <v>794.61882076959819</v>
      </c>
      <c r="CG11" s="173">
        <v>794.61882076959819</v>
      </c>
      <c r="CH11" s="173">
        <v>794.61882076959819</v>
      </c>
      <c r="CI11" s="173">
        <v>794.61882076959819</v>
      </c>
      <c r="CJ11" s="173">
        <v>794.61882076959819</v>
      </c>
      <c r="CK11" s="173">
        <v>772.61324687952413</v>
      </c>
      <c r="CL11" s="173">
        <v>772.61324687952413</v>
      </c>
      <c r="CM11" s="173">
        <v>772.61324687952413</v>
      </c>
      <c r="CN11" s="173">
        <v>772.61324687952413</v>
      </c>
      <c r="CO11" s="173">
        <v>790.71342693105714</v>
      </c>
      <c r="CP11" s="173">
        <v>790.71342693105714</v>
      </c>
      <c r="CQ11" s="173">
        <v>790.71342693105714</v>
      </c>
      <c r="CR11" s="173">
        <v>790.71342693105714</v>
      </c>
      <c r="CS11" s="173">
        <v>780.14594515953695</v>
      </c>
      <c r="CT11" s="173">
        <v>780.14594515953695</v>
      </c>
      <c r="CU11" s="173">
        <v>780.14594515953695</v>
      </c>
      <c r="CV11" s="173">
        <v>780.14594515953695</v>
      </c>
      <c r="CW11" s="173">
        <v>780.14594515953695</v>
      </c>
      <c r="CX11" s="173">
        <v>780.14594515953695</v>
      </c>
      <c r="CY11" s="173">
        <v>780.14594515953695</v>
      </c>
      <c r="CZ11" s="173">
        <v>780.14594515953695</v>
      </c>
      <c r="DA11" s="173">
        <v>767.45783789288964</v>
      </c>
      <c r="DB11" s="173">
        <v>767.45783789288964</v>
      </c>
      <c r="DC11" s="173">
        <v>767.45783789288964</v>
      </c>
      <c r="DD11" s="173">
        <v>767.45783789288964</v>
      </c>
      <c r="DE11" s="173">
        <v>720.25560128568611</v>
      </c>
      <c r="DF11" s="173">
        <v>720.25560128568611</v>
      </c>
      <c r="DG11" s="173">
        <v>720.25560128568611</v>
      </c>
      <c r="DH11" s="173">
        <v>720.25560128568611</v>
      </c>
      <c r="DI11" s="173">
        <v>720.25560128568611</v>
      </c>
      <c r="DJ11" s="173">
        <v>754.85044113798847</v>
      </c>
      <c r="DK11" s="173">
        <v>754.85044113798847</v>
      </c>
      <c r="DL11" s="173">
        <v>754.85044113798847</v>
      </c>
      <c r="DM11" s="173">
        <v>754.85044113798847</v>
      </c>
      <c r="DN11" s="173">
        <v>757.17190222429883</v>
      </c>
      <c r="DO11" s="173">
        <v>757.17190222429883</v>
      </c>
      <c r="DP11" s="173">
        <v>757.17190222429883</v>
      </c>
      <c r="DQ11" s="173">
        <v>757.17190222429883</v>
      </c>
      <c r="DR11" s="173">
        <v>757.17190222429883</v>
      </c>
      <c r="DS11" s="173">
        <v>757.17190222429883</v>
      </c>
      <c r="DT11" s="173">
        <v>757.17190222429883</v>
      </c>
      <c r="DU11" s="173">
        <v>757.17190222429883</v>
      </c>
      <c r="DV11" s="173">
        <v>757.17190222429883</v>
      </c>
      <c r="DW11" s="173">
        <v>757.17190222429883</v>
      </c>
      <c r="DX11" s="173">
        <v>757.17190222429883</v>
      </c>
      <c r="DY11" s="173">
        <v>757.17190222429883</v>
      </c>
      <c r="DZ11" s="173">
        <v>757.17190222429883</v>
      </c>
      <c r="EA11" s="173">
        <v>760.07393351542305</v>
      </c>
      <c r="EB11" s="173">
        <v>760.07393351542305</v>
      </c>
      <c r="EC11" s="173">
        <v>760.07393351542305</v>
      </c>
      <c r="ED11" s="173">
        <v>760.07393351542305</v>
      </c>
      <c r="EE11" s="173">
        <v>760.07393351542305</v>
      </c>
      <c r="EF11" s="173">
        <v>760.79553063281901</v>
      </c>
      <c r="EG11" s="173">
        <v>760.79553063281901</v>
      </c>
      <c r="EH11" s="173">
        <v>760.79553063281901</v>
      </c>
      <c r="EI11" s="173">
        <v>760.79553063281901</v>
      </c>
      <c r="EJ11" s="173">
        <v>765.98333885599538</v>
      </c>
      <c r="EK11" s="173">
        <v>765.98333885599538</v>
      </c>
      <c r="EL11" s="173">
        <v>765.98333885599538</v>
      </c>
      <c r="EM11" s="173">
        <v>765.98333885599538</v>
      </c>
      <c r="EN11" s="173">
        <v>765.98333885599538</v>
      </c>
      <c r="EO11" s="173">
        <v>765.98333885599538</v>
      </c>
      <c r="EP11" s="173">
        <v>765.98333885599538</v>
      </c>
      <c r="EQ11" s="173">
        <v>765.98333885599538</v>
      </c>
      <c r="ER11" s="173">
        <v>765.98333885599538</v>
      </c>
    </row>
    <row r="13" spans="1:148">
      <c r="Y13" s="173"/>
      <c r="Z13" s="173"/>
      <c r="AA13" s="173"/>
      <c r="AB13" s="173"/>
      <c r="AC13" s="173"/>
      <c r="AD13" s="173"/>
      <c r="AE13" s="173"/>
      <c r="AF13" s="173"/>
      <c r="AG13" s="173"/>
      <c r="AH13" s="173"/>
    </row>
    <row r="23" spans="6:8">
      <c r="F23" s="32"/>
      <c r="G23" s="32"/>
      <c r="H23" s="32"/>
    </row>
    <row r="24" spans="6:8">
      <c r="F24" s="32"/>
      <c r="G24" s="32"/>
      <c r="H24" s="32"/>
    </row>
    <row r="25" spans="6:8">
      <c r="F25" s="32"/>
      <c r="G25" s="32"/>
      <c r="H25" s="32"/>
    </row>
    <row r="26" spans="6:8">
      <c r="F26" s="32"/>
      <c r="G26" s="32"/>
      <c r="H26" s="32"/>
    </row>
    <row r="27" spans="6:8">
      <c r="F27" s="31"/>
      <c r="G27" s="32"/>
      <c r="H27" s="31"/>
    </row>
  </sheetData>
  <phoneticPr fontId="20" type="noConversion"/>
  <pageMargins left="0.70866141732283472" right="0.70866141732283472" top="0.74803149606299213" bottom="0.74803149606299213" header="0.31496062992125984" footer="0.31496062992125984"/>
  <pageSetup orientation="landscape" horizontalDpi="200" verticalDpi="20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F0D43D-FB73-4E3E-B4BD-852FDB28AD1B}">
  <sheetPr>
    <tabColor rgb="FF7030A0"/>
  </sheetPr>
  <dimension ref="V71:V72"/>
  <sheetViews>
    <sheetView topLeftCell="A10" zoomScale="80" zoomScaleNormal="80" workbookViewId="0"/>
  </sheetViews>
  <sheetFormatPr defaultColWidth="8.81640625" defaultRowHeight="14.5"/>
  <cols>
    <col min="1" max="16384" width="8.81640625" style="122"/>
  </cols>
  <sheetData>
    <row r="71" spans="22:22">
      <c r="V71" s="124"/>
    </row>
    <row r="72" spans="22:22">
      <c r="V72" s="123"/>
    </row>
  </sheetData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908648-1D5A-4923-830F-4A3A9E3DCE5C}">
  <sheetPr>
    <tabColor rgb="FF7030A0"/>
  </sheetPr>
  <dimension ref="V71:V72"/>
  <sheetViews>
    <sheetView topLeftCell="A10" zoomScale="80" zoomScaleNormal="80" workbookViewId="0">
      <selection activeCell="U33" sqref="U33"/>
    </sheetView>
  </sheetViews>
  <sheetFormatPr defaultColWidth="8.81640625" defaultRowHeight="14.5"/>
  <cols>
    <col min="1" max="16384" width="8.81640625" style="122"/>
  </cols>
  <sheetData>
    <row r="71" spans="22:22">
      <c r="V71" s="124"/>
    </row>
    <row r="72" spans="22:22">
      <c r="V72" s="123"/>
    </row>
  </sheetData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735E48-658C-44C0-BD34-306C82827A5D}">
  <dimension ref="A1:EM27"/>
  <sheetViews>
    <sheetView showGridLines="0" topLeftCell="A3" zoomScale="90" zoomScaleNormal="90" workbookViewId="0">
      <pane xSplit="2" ySplit="3" topLeftCell="D6" activePane="bottomRight" state="frozen"/>
      <selection activeCell="AH16" sqref="AH16"/>
      <selection pane="topRight" activeCell="AH16" sqref="AH16"/>
      <selection pane="bottomLeft" activeCell="AH16" sqref="AH16"/>
      <selection pane="bottomRight" activeCell="EK21" sqref="EK21"/>
    </sheetView>
  </sheetViews>
  <sheetFormatPr defaultColWidth="9.81640625" defaultRowHeight="13"/>
  <cols>
    <col min="1" max="1" width="9.81640625" style="1"/>
    <col min="2" max="2" width="23.453125" style="1" hidden="1" customWidth="1"/>
    <col min="3" max="3" width="0" style="1" hidden="1" customWidth="1"/>
    <col min="4" max="4" width="15.81640625" style="1" customWidth="1"/>
    <col min="5" max="5" width="0" style="1" hidden="1" customWidth="1"/>
    <col min="6" max="30" width="8" style="1" customWidth="1"/>
    <col min="31" max="31" width="5.1796875" style="1" customWidth="1"/>
    <col min="32" max="32" width="13.81640625" style="1" customWidth="1"/>
    <col min="33" max="37" width="0" style="1" hidden="1" customWidth="1"/>
    <col min="38" max="87" width="8.453125" style="1" hidden="1" customWidth="1"/>
    <col min="88" max="119" width="8.453125" style="1" customWidth="1"/>
    <col min="120" max="143" width="7.81640625" style="1" customWidth="1"/>
    <col min="144" max="16384" width="9.81640625" style="1"/>
  </cols>
  <sheetData>
    <row r="1" spans="1:143" hidden="1"/>
    <row r="2" spans="1:143" hidden="1"/>
    <row r="3" spans="1:143" ht="19.399999999999999" customHeight="1">
      <c r="A3" s="15" t="s">
        <v>120</v>
      </c>
      <c r="B3" s="15"/>
      <c r="D3" s="15"/>
      <c r="AL3" s="170">
        <v>2024</v>
      </c>
      <c r="CJ3" s="170">
        <v>2025</v>
      </c>
    </row>
    <row r="4" spans="1:143" s="61" customFormat="1" ht="17.5">
      <c r="A4" s="72"/>
      <c r="B4" s="73" t="s">
        <v>3</v>
      </c>
      <c r="C4" s="73"/>
      <c r="D4" s="73"/>
      <c r="E4" s="74">
        <v>24000</v>
      </c>
      <c r="F4" s="74"/>
      <c r="G4" s="74"/>
      <c r="H4" s="74"/>
      <c r="I4" s="74"/>
      <c r="J4" s="74"/>
      <c r="K4" s="74"/>
      <c r="L4" s="74"/>
      <c r="M4" s="74"/>
      <c r="N4" s="74"/>
      <c r="O4" s="74"/>
      <c r="P4" s="74"/>
      <c r="Q4" s="74"/>
      <c r="R4" s="74"/>
      <c r="S4" s="74"/>
      <c r="T4" s="74"/>
      <c r="U4" s="74"/>
      <c r="V4" s="74"/>
      <c r="W4" s="74"/>
      <c r="X4" s="74"/>
      <c r="Y4" s="74"/>
      <c r="Z4" s="74"/>
      <c r="AA4" s="74"/>
      <c r="AB4" s="74"/>
      <c r="AC4" s="74"/>
      <c r="AD4" s="74"/>
      <c r="AG4" s="74">
        <v>24000</v>
      </c>
      <c r="AH4" s="74">
        <v>24000</v>
      </c>
      <c r="AI4" s="74">
        <v>24000</v>
      </c>
      <c r="AJ4" s="74">
        <v>24000</v>
      </c>
      <c r="AK4" s="74">
        <v>24000</v>
      </c>
      <c r="AL4" s="74">
        <v>24000</v>
      </c>
      <c r="AM4" s="74">
        <v>24000</v>
      </c>
      <c r="AN4" s="74"/>
      <c r="AO4" s="74"/>
      <c r="AP4" s="74"/>
      <c r="AQ4" s="74"/>
      <c r="AR4" s="74"/>
      <c r="AS4" s="74"/>
      <c r="AT4" s="74"/>
      <c r="AU4" s="74"/>
      <c r="EI4" s="178">
        <v>2026</v>
      </c>
    </row>
    <row r="5" spans="1:143" s="32" customFormat="1" ht="19.5" customHeight="1">
      <c r="A5" s="34" t="s">
        <v>5</v>
      </c>
      <c r="B5" s="33" t="s">
        <v>2</v>
      </c>
      <c r="C5" s="33" t="s">
        <v>7</v>
      </c>
      <c r="D5" s="33" t="s">
        <v>2</v>
      </c>
      <c r="E5" s="86" t="s">
        <v>119</v>
      </c>
      <c r="F5" s="86" t="s">
        <v>122</v>
      </c>
      <c r="G5" s="86">
        <v>2</v>
      </c>
      <c r="H5" s="86">
        <v>3</v>
      </c>
      <c r="I5" s="86">
        <v>4</v>
      </c>
      <c r="J5" s="86">
        <v>5</v>
      </c>
      <c r="K5" s="86">
        <v>6</v>
      </c>
      <c r="L5" s="86">
        <v>7</v>
      </c>
      <c r="M5" s="86">
        <v>8</v>
      </c>
      <c r="N5" s="86">
        <v>9</v>
      </c>
      <c r="O5" s="86">
        <v>10</v>
      </c>
      <c r="P5" s="86">
        <v>11</v>
      </c>
      <c r="Q5" s="86">
        <v>12</v>
      </c>
      <c r="R5" s="86" t="s">
        <v>174</v>
      </c>
      <c r="S5" s="86">
        <v>2</v>
      </c>
      <c r="T5" s="86">
        <v>3</v>
      </c>
      <c r="U5" s="86">
        <v>4</v>
      </c>
      <c r="V5" s="86">
        <v>5</v>
      </c>
      <c r="W5" s="86">
        <v>6</v>
      </c>
      <c r="X5" s="86">
        <v>7</v>
      </c>
      <c r="Y5" s="86">
        <v>8</v>
      </c>
      <c r="Z5" s="86">
        <v>9</v>
      </c>
      <c r="AA5" s="86">
        <v>10</v>
      </c>
      <c r="AB5" s="86">
        <v>11</v>
      </c>
      <c r="AC5" s="86">
        <v>12</v>
      </c>
      <c r="AD5" s="86" t="s">
        <v>198</v>
      </c>
      <c r="AF5" s="33" t="s">
        <v>2</v>
      </c>
      <c r="AG5" s="101">
        <v>48</v>
      </c>
      <c r="AH5" s="101">
        <v>49</v>
      </c>
      <c r="AI5" s="101">
        <v>50</v>
      </c>
      <c r="AJ5" s="101">
        <v>51</v>
      </c>
      <c r="AK5" s="101">
        <v>52</v>
      </c>
      <c r="AL5" s="90" t="s">
        <v>121</v>
      </c>
      <c r="AM5" s="90" t="s">
        <v>123</v>
      </c>
      <c r="AN5" s="90" t="s">
        <v>124</v>
      </c>
      <c r="AO5" s="90" t="s">
        <v>125</v>
      </c>
      <c r="AP5" s="90" t="s">
        <v>126</v>
      </c>
      <c r="AQ5" s="90" t="s">
        <v>142</v>
      </c>
      <c r="AR5" s="90" t="s">
        <v>143</v>
      </c>
      <c r="AS5" s="90" t="s">
        <v>144</v>
      </c>
      <c r="AT5" s="90" t="s">
        <v>145</v>
      </c>
      <c r="AU5" s="90" t="s">
        <v>146</v>
      </c>
      <c r="AV5" s="90" t="s">
        <v>147</v>
      </c>
      <c r="AW5" s="90" t="s">
        <v>148</v>
      </c>
      <c r="AX5" s="90" t="s">
        <v>149</v>
      </c>
      <c r="AY5" s="90" t="s">
        <v>150</v>
      </c>
      <c r="AZ5" s="90" t="s">
        <v>151</v>
      </c>
      <c r="BA5" s="90" t="s">
        <v>152</v>
      </c>
      <c r="BB5" s="90" t="s">
        <v>153</v>
      </c>
      <c r="BC5" s="90" t="s">
        <v>154</v>
      </c>
      <c r="BD5" s="90" t="s">
        <v>155</v>
      </c>
      <c r="BE5" s="90" t="s">
        <v>162</v>
      </c>
      <c r="BF5" s="90" t="s">
        <v>163</v>
      </c>
      <c r="BG5" s="90" t="s">
        <v>164</v>
      </c>
      <c r="BH5" s="90" t="s">
        <v>165</v>
      </c>
      <c r="BI5" s="90" t="s">
        <v>166</v>
      </c>
      <c r="BJ5" s="90" t="s">
        <v>167</v>
      </c>
      <c r="BK5" s="90" t="s">
        <v>168</v>
      </c>
      <c r="BL5" s="90" t="s">
        <v>169</v>
      </c>
      <c r="BM5" s="90" t="s">
        <v>170</v>
      </c>
      <c r="BN5" s="90" t="s">
        <v>171</v>
      </c>
      <c r="BO5" s="90" t="s">
        <v>172</v>
      </c>
      <c r="BP5" s="90" t="s">
        <v>173</v>
      </c>
      <c r="BQ5" s="90">
        <v>34</v>
      </c>
      <c r="BR5" s="90">
        <v>35</v>
      </c>
      <c r="BS5" s="90">
        <v>36</v>
      </c>
      <c r="BT5" s="90">
        <v>37</v>
      </c>
      <c r="BU5" s="90">
        <v>38</v>
      </c>
      <c r="BV5" s="90">
        <v>39</v>
      </c>
      <c r="BW5" s="90">
        <v>40</v>
      </c>
      <c r="BX5" s="90">
        <v>41</v>
      </c>
      <c r="BY5" s="90">
        <v>42</v>
      </c>
      <c r="BZ5" s="90">
        <v>43</v>
      </c>
      <c r="CA5" s="90">
        <v>44</v>
      </c>
      <c r="CB5" s="90">
        <v>45</v>
      </c>
      <c r="CC5" s="90">
        <v>46</v>
      </c>
      <c r="CD5" s="90">
        <v>47</v>
      </c>
      <c r="CE5" s="90">
        <v>48</v>
      </c>
      <c r="CF5" s="90">
        <v>49</v>
      </c>
      <c r="CG5" s="90">
        <v>50</v>
      </c>
      <c r="CH5" s="90">
        <v>51</v>
      </c>
      <c r="CI5" s="90">
        <v>52</v>
      </c>
      <c r="CJ5" s="90" t="s">
        <v>121</v>
      </c>
      <c r="CK5" s="90" t="s">
        <v>123</v>
      </c>
      <c r="CL5" s="90" t="s">
        <v>124</v>
      </c>
      <c r="CM5" s="90" t="s">
        <v>125</v>
      </c>
      <c r="CN5" s="90" t="s">
        <v>175</v>
      </c>
      <c r="CO5" s="90" t="s">
        <v>177</v>
      </c>
      <c r="CP5" s="90" t="s">
        <v>142</v>
      </c>
      <c r="CQ5" s="90" t="s">
        <v>143</v>
      </c>
      <c r="CR5" s="90" t="s">
        <v>144</v>
      </c>
      <c r="CS5" s="90" t="s">
        <v>145</v>
      </c>
      <c r="CT5" s="90" t="s">
        <v>146</v>
      </c>
      <c r="CU5" s="90" t="s">
        <v>147</v>
      </c>
      <c r="CV5" s="90" t="s">
        <v>148</v>
      </c>
      <c r="CW5" s="90" t="s">
        <v>149</v>
      </c>
      <c r="CX5" s="90" t="s">
        <v>150</v>
      </c>
      <c r="CY5" s="90" t="s">
        <v>151</v>
      </c>
      <c r="CZ5" s="90" t="s">
        <v>152</v>
      </c>
      <c r="DA5" s="90" t="s">
        <v>153</v>
      </c>
      <c r="DB5" s="90" t="s">
        <v>154</v>
      </c>
      <c r="DC5" s="90" t="s">
        <v>155</v>
      </c>
      <c r="DD5" s="90" t="s">
        <v>162</v>
      </c>
      <c r="DE5" s="90" t="s">
        <v>163</v>
      </c>
      <c r="DF5" s="90" t="s">
        <v>164</v>
      </c>
      <c r="DG5" s="90" t="s">
        <v>165</v>
      </c>
      <c r="DH5" s="90" t="s">
        <v>166</v>
      </c>
      <c r="DI5" s="90" t="s">
        <v>167</v>
      </c>
      <c r="DJ5" s="90" t="s">
        <v>168</v>
      </c>
      <c r="DK5" s="90" t="s">
        <v>169</v>
      </c>
      <c r="DL5" s="90" t="s">
        <v>170</v>
      </c>
      <c r="DM5" s="90" t="s">
        <v>171</v>
      </c>
      <c r="DN5" s="90" t="s">
        <v>172</v>
      </c>
      <c r="DO5" s="90" t="s">
        <v>173</v>
      </c>
      <c r="DP5" s="90" t="s">
        <v>179</v>
      </c>
      <c r="DQ5" s="90" t="s">
        <v>180</v>
      </c>
      <c r="DR5" s="90">
        <v>36</v>
      </c>
      <c r="DS5" s="90">
        <v>37</v>
      </c>
      <c r="DT5" s="90">
        <v>38</v>
      </c>
      <c r="DU5" s="90">
        <v>39</v>
      </c>
      <c r="DV5" s="90">
        <v>40</v>
      </c>
      <c r="DW5" s="90">
        <v>41</v>
      </c>
      <c r="DX5" s="90">
        <v>42</v>
      </c>
      <c r="DY5" s="90">
        <v>43</v>
      </c>
      <c r="DZ5" s="90">
        <v>44</v>
      </c>
      <c r="EA5" s="90">
        <v>45</v>
      </c>
      <c r="EB5" s="90">
        <v>46</v>
      </c>
      <c r="EC5" s="90">
        <v>47</v>
      </c>
      <c r="ED5" s="90">
        <v>48</v>
      </c>
      <c r="EE5" s="90">
        <v>49</v>
      </c>
      <c r="EF5" s="90">
        <v>50</v>
      </c>
      <c r="EG5" s="90">
        <v>51</v>
      </c>
      <c r="EH5" s="90">
        <v>52</v>
      </c>
      <c r="EI5" s="90" t="s">
        <v>121</v>
      </c>
      <c r="EJ5" s="90">
        <v>52</v>
      </c>
      <c r="EK5" s="90">
        <v>52</v>
      </c>
      <c r="EL5" s="90">
        <v>52</v>
      </c>
      <c r="EM5" s="90">
        <v>52</v>
      </c>
    </row>
    <row r="6" spans="1:143" ht="14">
      <c r="A6" s="9"/>
      <c r="B6" s="11" t="s">
        <v>29</v>
      </c>
      <c r="C6" s="9" t="s">
        <v>24</v>
      </c>
      <c r="D6" s="11" t="s">
        <v>137</v>
      </c>
      <c r="E6" s="50">
        <v>810</v>
      </c>
      <c r="F6" s="50">
        <v>810</v>
      </c>
      <c r="G6" s="50">
        <v>880</v>
      </c>
      <c r="H6" s="50">
        <v>900</v>
      </c>
      <c r="I6" s="50">
        <v>900</v>
      </c>
      <c r="J6" s="50">
        <v>870</v>
      </c>
      <c r="K6" s="50">
        <v>870</v>
      </c>
      <c r="L6" s="50">
        <v>870</v>
      </c>
      <c r="M6" s="50">
        <v>870</v>
      </c>
      <c r="N6" s="50">
        <v>850</v>
      </c>
      <c r="O6" s="50">
        <v>840</v>
      </c>
      <c r="P6" s="50">
        <v>825</v>
      </c>
      <c r="Q6" s="50">
        <f>+SUM(CF6:CI6)/COUNT(CF6:CI6)</f>
        <v>825</v>
      </c>
      <c r="R6" s="50">
        <f>+SUM(CJ6:CM6)/COUNT(CJ6:CM6)</f>
        <v>825</v>
      </c>
      <c r="S6" s="50">
        <f>+SUM(CN6:CQ6)/COUNT(CN6:CQ6)</f>
        <v>750</v>
      </c>
      <c r="T6" s="50">
        <f>+SUM(CR6:CU6)/COUNT(CR6:CU6)</f>
        <v>750</v>
      </c>
      <c r="U6" s="50">
        <v>750</v>
      </c>
      <c r="V6" s="50">
        <f>750-30</f>
        <v>720</v>
      </c>
      <c r="W6" s="50">
        <f>750-30</f>
        <v>720</v>
      </c>
      <c r="X6" s="50">
        <f>750-30</f>
        <v>720</v>
      </c>
      <c r="Y6" s="50">
        <f>750-30-20</f>
        <v>700</v>
      </c>
      <c r="Z6" s="50">
        <f>750-30-20</f>
        <v>700</v>
      </c>
      <c r="AA6" s="50">
        <f>750-30-20</f>
        <v>700</v>
      </c>
      <c r="AB6" s="50">
        <v>690</v>
      </c>
      <c r="AC6" s="50">
        <v>665</v>
      </c>
      <c r="AD6" s="50">
        <v>665</v>
      </c>
      <c r="AF6" s="11" t="s">
        <v>137</v>
      </c>
      <c r="AG6" s="50">
        <v>810</v>
      </c>
      <c r="AH6" s="50">
        <v>810</v>
      </c>
      <c r="AI6" s="50">
        <v>810</v>
      </c>
      <c r="AJ6" s="50">
        <v>810</v>
      </c>
      <c r="AK6" s="50">
        <v>810</v>
      </c>
      <c r="AL6" s="50">
        <v>810</v>
      </c>
      <c r="AM6" s="50">
        <v>810</v>
      </c>
      <c r="AN6" s="50">
        <v>810</v>
      </c>
      <c r="AO6" s="50">
        <v>810</v>
      </c>
      <c r="AP6" s="50">
        <v>880</v>
      </c>
      <c r="AQ6" s="50">
        <v>880</v>
      </c>
      <c r="AR6" s="50">
        <v>880</v>
      </c>
      <c r="AS6" s="50">
        <v>900</v>
      </c>
      <c r="AT6" s="50">
        <v>900</v>
      </c>
      <c r="AU6" s="50">
        <v>900</v>
      </c>
      <c r="AV6" s="50">
        <v>900</v>
      </c>
      <c r="AW6" s="50">
        <v>900</v>
      </c>
      <c r="AX6" s="50">
        <v>900</v>
      </c>
      <c r="AY6" s="50">
        <v>900</v>
      </c>
      <c r="AZ6" s="50">
        <v>900</v>
      </c>
      <c r="BA6" s="50">
        <v>870</v>
      </c>
      <c r="BB6" s="50">
        <v>870</v>
      </c>
      <c r="BC6" s="50">
        <v>870</v>
      </c>
      <c r="BD6" s="50">
        <v>870</v>
      </c>
      <c r="BE6" s="50">
        <v>870</v>
      </c>
      <c r="BF6" s="50">
        <v>870</v>
      </c>
      <c r="BG6" s="50">
        <v>870</v>
      </c>
      <c r="BH6" s="50">
        <v>870</v>
      </c>
      <c r="BI6" s="50">
        <v>870</v>
      </c>
      <c r="BJ6" s="50">
        <v>870</v>
      </c>
      <c r="BK6" s="50">
        <v>870</v>
      </c>
      <c r="BL6" s="50">
        <v>870</v>
      </c>
      <c r="BM6" s="50">
        <v>870</v>
      </c>
      <c r="BN6" s="50">
        <v>870</v>
      </c>
      <c r="BO6" s="50">
        <v>870</v>
      </c>
      <c r="BP6" s="50">
        <v>870</v>
      </c>
      <c r="BQ6" s="50">
        <v>870</v>
      </c>
      <c r="BR6" s="50">
        <v>870</v>
      </c>
      <c r="BS6" s="50">
        <v>850</v>
      </c>
      <c r="BT6" s="50">
        <v>850</v>
      </c>
      <c r="BU6" s="50">
        <v>850</v>
      </c>
      <c r="BV6" s="50">
        <v>850</v>
      </c>
      <c r="BW6" s="50">
        <v>840</v>
      </c>
      <c r="BX6" s="50">
        <v>840</v>
      </c>
      <c r="BY6" s="50">
        <v>840</v>
      </c>
      <c r="BZ6" s="50">
        <v>840</v>
      </c>
      <c r="CA6" s="50">
        <v>825</v>
      </c>
      <c r="CB6" s="50">
        <v>825</v>
      </c>
      <c r="CC6" s="50">
        <v>825</v>
      </c>
      <c r="CD6" s="50">
        <v>825</v>
      </c>
      <c r="CE6" s="50">
        <v>825</v>
      </c>
      <c r="CF6" s="50">
        <v>825</v>
      </c>
      <c r="CG6" s="50">
        <v>825</v>
      </c>
      <c r="CH6" s="50">
        <v>825</v>
      </c>
      <c r="CI6" s="50">
        <v>825</v>
      </c>
      <c r="CJ6" s="50">
        <v>825</v>
      </c>
      <c r="CK6" s="50">
        <v>825</v>
      </c>
      <c r="CL6" s="50">
        <v>825</v>
      </c>
      <c r="CM6" s="50">
        <v>825</v>
      </c>
      <c r="CN6" s="50">
        <v>750</v>
      </c>
      <c r="CO6" s="50">
        <v>750</v>
      </c>
      <c r="CP6" s="50">
        <v>750</v>
      </c>
      <c r="CQ6" s="50">
        <v>750</v>
      </c>
      <c r="CR6" s="50">
        <v>750</v>
      </c>
      <c r="CS6" s="50">
        <v>750</v>
      </c>
      <c r="CT6" s="50">
        <v>750</v>
      </c>
      <c r="CU6" s="50">
        <v>750</v>
      </c>
      <c r="CV6" s="50">
        <v>750</v>
      </c>
      <c r="CW6" s="50">
        <v>750</v>
      </c>
      <c r="CX6" s="50">
        <v>750</v>
      </c>
      <c r="CY6" s="50">
        <v>750</v>
      </c>
      <c r="CZ6" s="50">
        <v>720</v>
      </c>
      <c r="DA6" s="50">
        <v>720</v>
      </c>
      <c r="DB6" s="50">
        <v>720</v>
      </c>
      <c r="DC6" s="50">
        <v>720</v>
      </c>
      <c r="DD6" s="50">
        <v>720</v>
      </c>
      <c r="DE6" s="50">
        <v>720</v>
      </c>
      <c r="DF6" s="50">
        <v>720</v>
      </c>
      <c r="DG6" s="50">
        <v>720</v>
      </c>
      <c r="DH6" s="50">
        <v>720</v>
      </c>
      <c r="DI6" s="50">
        <v>720</v>
      </c>
      <c r="DJ6" s="50">
        <v>720</v>
      </c>
      <c r="DK6" s="50">
        <v>720</v>
      </c>
      <c r="DL6" s="50">
        <v>720</v>
      </c>
      <c r="DM6" s="50">
        <v>720</v>
      </c>
      <c r="DN6" s="50">
        <v>700</v>
      </c>
      <c r="DO6" s="50">
        <v>700</v>
      </c>
      <c r="DP6" s="50">
        <v>700</v>
      </c>
      <c r="DQ6" s="50">
        <v>700</v>
      </c>
      <c r="DR6" s="50">
        <v>700</v>
      </c>
      <c r="DS6" s="50">
        <v>700</v>
      </c>
      <c r="DT6" s="50">
        <v>700</v>
      </c>
      <c r="DU6" s="50">
        <v>700</v>
      </c>
      <c r="DV6" s="50">
        <v>700</v>
      </c>
      <c r="DW6" s="50">
        <v>700</v>
      </c>
      <c r="DX6" s="50">
        <v>700</v>
      </c>
      <c r="DY6" s="50">
        <v>700</v>
      </c>
      <c r="DZ6" s="50">
        <v>700</v>
      </c>
      <c r="EA6" s="50">
        <v>690</v>
      </c>
      <c r="EB6" s="50">
        <v>690</v>
      </c>
      <c r="EC6" s="50">
        <v>690</v>
      </c>
      <c r="ED6" s="50">
        <v>690</v>
      </c>
      <c r="EE6" s="50">
        <v>665</v>
      </c>
      <c r="EF6" s="50">
        <v>665</v>
      </c>
      <c r="EG6" s="50">
        <v>665</v>
      </c>
      <c r="EH6" s="50">
        <v>665</v>
      </c>
      <c r="EI6" s="50">
        <v>665</v>
      </c>
      <c r="EJ6" s="50">
        <v>665</v>
      </c>
      <c r="EK6" s="50">
        <v>665</v>
      </c>
      <c r="EL6" s="50">
        <v>665</v>
      </c>
      <c r="EM6" s="50">
        <v>665</v>
      </c>
    </row>
    <row r="7" spans="1:143" ht="14">
      <c r="A7" s="54" t="s">
        <v>41</v>
      </c>
      <c r="B7" s="59" t="s">
        <v>94</v>
      </c>
      <c r="C7" s="54" t="s">
        <v>24</v>
      </c>
      <c r="D7" s="111" t="s">
        <v>130</v>
      </c>
      <c r="E7" s="129">
        <f>+SUM(AG7:AK7)/COUNT(AG7:AK7)</f>
        <v>900</v>
      </c>
      <c r="F7" s="129">
        <f>+SUM(AL7:AO7)/COUNT(AL7:AO7)</f>
        <v>947.5</v>
      </c>
      <c r="G7" s="129">
        <f>+SUM(AP7:AR7)/COUNT(AP7:AR7)</f>
        <v>1010</v>
      </c>
      <c r="H7" s="129">
        <f>+SUM(AS7:AV7)/COUNT(AS7:AV7)</f>
        <v>995</v>
      </c>
      <c r="I7" s="129">
        <f>+SUM(AW7:AZ7)/COUNT(AW7:AZ7)</f>
        <v>975</v>
      </c>
      <c r="J7" s="129">
        <f>+SUM(BA7:BE7)/COUNT(BA7:BE7)</f>
        <v>956</v>
      </c>
      <c r="K7" s="129">
        <f>+SUM(BF7:BI7)/COUNT(BF7:BI7)</f>
        <v>980</v>
      </c>
      <c r="L7" s="129">
        <f>+SUM(BJ7:BM7)/COUNT(BJ7:BM7)</f>
        <v>975</v>
      </c>
      <c r="M7" s="129">
        <f>+SUM(BN7:BR7)/COUNT(BN7:BR7)</f>
        <v>946</v>
      </c>
      <c r="N7" s="129">
        <f>+SUM(BS7:BV7)/COUNT(BS7:BV7)</f>
        <v>932.5</v>
      </c>
      <c r="O7" s="129">
        <f>+SUM(BW7:BZ7)/COUNT(BW7:BZ7)</f>
        <v>925</v>
      </c>
      <c r="P7" s="129">
        <f>+SUM(CA7:CE7)/COUNT(CA7:CE7)</f>
        <v>940</v>
      </c>
      <c r="Q7" s="129">
        <f>+SUM(CF7:CI7)/COUNT(CF7:CI7)</f>
        <v>940</v>
      </c>
      <c r="R7" s="129">
        <f>+SUM(CJ7:CM7)/COUNT(CJ7:CM7)</f>
        <v>940</v>
      </c>
      <c r="S7" s="129">
        <f>+SUM(CN7:CQ7)/COUNT(CN7:CQ7)</f>
        <v>945</v>
      </c>
      <c r="T7" s="129">
        <f>+SUM(CR7:CU7)/COUNT(CR7:CU7)</f>
        <v>940</v>
      </c>
      <c r="U7" s="129">
        <f>+SUM(CV7:CY7)/COUNT(CV7:CY7)</f>
        <v>905</v>
      </c>
      <c r="V7" s="129">
        <f>+SUM(CZ7:DD7)/COUNT(CZ7:DD7)</f>
        <v>908</v>
      </c>
      <c r="W7" s="129">
        <f>+SUM(DE7:DH7)/COUNT(DE7:DH7)</f>
        <v>915</v>
      </c>
      <c r="X7" s="129">
        <f>+SUM(DI7:DM7)/COUNT(DI7:DM7)</f>
        <v>930</v>
      </c>
      <c r="Y7" s="129">
        <f>+SUM(DN7:DQ7)/COUNT(DN7:DQ7)</f>
        <v>930</v>
      </c>
      <c r="Z7" s="129">
        <f>+SUM(DR7:DU7)/COUNT(DR7:DU7)</f>
        <v>915</v>
      </c>
      <c r="AA7" s="129">
        <f>+SUM(DV7:DZ7)/COUNT(DV7:DZ7)</f>
        <v>870</v>
      </c>
      <c r="AB7" s="129">
        <f>+SUM(EA7:ED7)/COUNT(EA7:ED7)</f>
        <v>840</v>
      </c>
      <c r="AC7" s="129">
        <f>+SUM(EE7:EH7)/COUNT(EE7:EH7)</f>
        <v>830</v>
      </c>
      <c r="AD7" s="129">
        <v>830</v>
      </c>
      <c r="AE7" s="51"/>
      <c r="AF7" s="111" t="s">
        <v>130</v>
      </c>
      <c r="AG7" s="118">
        <v>900</v>
      </c>
      <c r="AH7" s="118">
        <v>900</v>
      </c>
      <c r="AI7" s="118">
        <v>900</v>
      </c>
      <c r="AJ7" s="118">
        <v>900</v>
      </c>
      <c r="AK7" s="118">
        <v>900</v>
      </c>
      <c r="AL7" s="118">
        <v>900</v>
      </c>
      <c r="AM7" s="118">
        <v>930</v>
      </c>
      <c r="AN7" s="118">
        <v>930</v>
      </c>
      <c r="AO7" s="118">
        <v>1030</v>
      </c>
      <c r="AP7" s="118">
        <v>1030</v>
      </c>
      <c r="AQ7" s="118">
        <v>1000</v>
      </c>
      <c r="AR7" s="118">
        <v>1000</v>
      </c>
      <c r="AS7" s="118">
        <v>1000</v>
      </c>
      <c r="AT7" s="118">
        <v>1000</v>
      </c>
      <c r="AU7" s="118">
        <v>1000</v>
      </c>
      <c r="AV7" s="118">
        <v>980</v>
      </c>
      <c r="AW7" s="118">
        <v>980</v>
      </c>
      <c r="AX7" s="118">
        <v>980</v>
      </c>
      <c r="AY7" s="118">
        <v>980</v>
      </c>
      <c r="AZ7" s="118">
        <v>960</v>
      </c>
      <c r="BA7" s="118">
        <v>950</v>
      </c>
      <c r="BB7" s="118">
        <v>950</v>
      </c>
      <c r="BC7" s="118">
        <v>950</v>
      </c>
      <c r="BD7" s="118">
        <v>950</v>
      </c>
      <c r="BE7" s="118">
        <v>980</v>
      </c>
      <c r="BF7" s="118">
        <v>980</v>
      </c>
      <c r="BG7" s="118">
        <v>980</v>
      </c>
      <c r="BH7" s="118">
        <v>980</v>
      </c>
      <c r="BI7" s="118">
        <v>980</v>
      </c>
      <c r="BJ7" s="118">
        <v>980</v>
      </c>
      <c r="BK7" s="118">
        <v>980</v>
      </c>
      <c r="BL7" s="118">
        <v>980</v>
      </c>
      <c r="BM7" s="118">
        <v>960</v>
      </c>
      <c r="BN7" s="118">
        <v>950</v>
      </c>
      <c r="BO7" s="118">
        <v>950</v>
      </c>
      <c r="BP7" s="118">
        <v>950</v>
      </c>
      <c r="BQ7" s="118">
        <v>940</v>
      </c>
      <c r="BR7" s="118">
        <v>940</v>
      </c>
      <c r="BS7" s="118">
        <v>940</v>
      </c>
      <c r="BT7" s="118">
        <v>930</v>
      </c>
      <c r="BU7" s="118">
        <v>930</v>
      </c>
      <c r="BV7" s="118">
        <v>930</v>
      </c>
      <c r="BW7" s="118">
        <v>920</v>
      </c>
      <c r="BX7" s="118">
        <v>920</v>
      </c>
      <c r="BY7" s="118">
        <v>920</v>
      </c>
      <c r="BZ7" s="118">
        <v>940</v>
      </c>
      <c r="CA7" s="118">
        <v>940</v>
      </c>
      <c r="CB7" s="118">
        <v>940</v>
      </c>
      <c r="CC7" s="118">
        <v>940</v>
      </c>
      <c r="CD7" s="118">
        <v>940</v>
      </c>
      <c r="CE7" s="118">
        <v>940</v>
      </c>
      <c r="CF7" s="118">
        <v>940</v>
      </c>
      <c r="CG7" s="118">
        <v>940</v>
      </c>
      <c r="CH7" s="118">
        <v>940</v>
      </c>
      <c r="CI7" s="118">
        <v>940</v>
      </c>
      <c r="CJ7" s="118">
        <v>940</v>
      </c>
      <c r="CK7" s="118">
        <v>940</v>
      </c>
      <c r="CL7" s="118">
        <v>940</v>
      </c>
      <c r="CM7" s="118">
        <v>940</v>
      </c>
      <c r="CN7" s="118">
        <v>940</v>
      </c>
      <c r="CO7" s="118">
        <v>940</v>
      </c>
      <c r="CP7" s="118">
        <v>950</v>
      </c>
      <c r="CQ7" s="118">
        <v>950</v>
      </c>
      <c r="CR7" s="118">
        <v>950</v>
      </c>
      <c r="CS7" s="118">
        <v>950</v>
      </c>
      <c r="CT7" s="118">
        <v>950</v>
      </c>
      <c r="CU7" s="118">
        <v>910</v>
      </c>
      <c r="CV7" s="118">
        <v>910</v>
      </c>
      <c r="CW7" s="118">
        <v>900</v>
      </c>
      <c r="CX7" s="118">
        <v>900</v>
      </c>
      <c r="CY7" s="118">
        <v>910</v>
      </c>
      <c r="CZ7" s="118">
        <v>910</v>
      </c>
      <c r="DA7" s="118">
        <v>910</v>
      </c>
      <c r="DB7" s="118">
        <v>910</v>
      </c>
      <c r="DC7" s="118">
        <v>910</v>
      </c>
      <c r="DD7" s="118">
        <v>900</v>
      </c>
      <c r="DE7" s="118">
        <v>900</v>
      </c>
      <c r="DF7" s="118">
        <v>900</v>
      </c>
      <c r="DG7" s="118">
        <v>930</v>
      </c>
      <c r="DH7" s="118">
        <v>930</v>
      </c>
      <c r="DI7" s="118">
        <v>930</v>
      </c>
      <c r="DJ7" s="118">
        <v>930</v>
      </c>
      <c r="DK7" s="118">
        <v>930</v>
      </c>
      <c r="DL7" s="118">
        <v>930</v>
      </c>
      <c r="DM7" s="118">
        <v>930</v>
      </c>
      <c r="DN7" s="118">
        <v>930</v>
      </c>
      <c r="DO7" s="118">
        <v>930</v>
      </c>
      <c r="DP7" s="118">
        <v>930</v>
      </c>
      <c r="DQ7" s="118">
        <v>930</v>
      </c>
      <c r="DR7" s="118">
        <v>930</v>
      </c>
      <c r="DS7" s="118">
        <v>930</v>
      </c>
      <c r="DT7" s="118">
        <v>930</v>
      </c>
      <c r="DU7" s="118">
        <v>870</v>
      </c>
      <c r="DV7" s="118">
        <v>870</v>
      </c>
      <c r="DW7" s="118">
        <v>870</v>
      </c>
      <c r="DX7" s="118">
        <v>870</v>
      </c>
      <c r="DY7" s="118">
        <v>870</v>
      </c>
      <c r="DZ7" s="118">
        <v>870</v>
      </c>
      <c r="EA7" s="118">
        <v>870</v>
      </c>
      <c r="EB7" s="118">
        <v>830</v>
      </c>
      <c r="EC7" s="118">
        <v>830</v>
      </c>
      <c r="ED7" s="118">
        <v>830</v>
      </c>
      <c r="EE7" s="118">
        <v>830</v>
      </c>
      <c r="EF7" s="118">
        <v>830</v>
      </c>
      <c r="EG7" s="118">
        <v>830</v>
      </c>
      <c r="EH7" s="118">
        <v>830</v>
      </c>
      <c r="EI7" s="118"/>
      <c r="EJ7" s="118"/>
      <c r="EK7" s="118"/>
      <c r="EL7" s="118"/>
      <c r="EM7" s="118"/>
    </row>
    <row r="8" spans="1:143" ht="14">
      <c r="B8" s="117"/>
      <c r="D8" s="117" t="s">
        <v>82</v>
      </c>
      <c r="E8" s="131">
        <f t="shared" ref="E8:J8" si="0">E7</f>
        <v>900</v>
      </c>
      <c r="F8" s="131">
        <f t="shared" si="0"/>
        <v>947.5</v>
      </c>
      <c r="G8" s="131">
        <f t="shared" si="0"/>
        <v>1010</v>
      </c>
      <c r="H8" s="131">
        <f t="shared" si="0"/>
        <v>995</v>
      </c>
      <c r="I8" s="131">
        <f t="shared" si="0"/>
        <v>975</v>
      </c>
      <c r="J8" s="131">
        <f t="shared" si="0"/>
        <v>956</v>
      </c>
      <c r="K8" s="131">
        <f t="shared" ref="K8:L8" si="1">K7</f>
        <v>980</v>
      </c>
      <c r="L8" s="131">
        <f t="shared" si="1"/>
        <v>975</v>
      </c>
      <c r="M8" s="131">
        <f t="shared" ref="M8:N8" si="2">M7</f>
        <v>946</v>
      </c>
      <c r="N8" s="131">
        <f t="shared" si="2"/>
        <v>932.5</v>
      </c>
      <c r="O8" s="131">
        <f t="shared" ref="O8:P8" si="3">O7</f>
        <v>925</v>
      </c>
      <c r="P8" s="131">
        <f t="shared" si="3"/>
        <v>940</v>
      </c>
      <c r="Q8" s="131">
        <f t="shared" ref="Q8:R8" si="4">Q7</f>
        <v>940</v>
      </c>
      <c r="R8" s="131">
        <f t="shared" si="4"/>
        <v>940</v>
      </c>
      <c r="S8" s="131">
        <f t="shared" ref="S8:T8" si="5">S7</f>
        <v>945</v>
      </c>
      <c r="T8" s="131">
        <f t="shared" si="5"/>
        <v>940</v>
      </c>
      <c r="U8" s="131">
        <f t="shared" ref="U8:Z8" si="6">U7</f>
        <v>905</v>
      </c>
      <c r="V8" s="131">
        <f t="shared" si="6"/>
        <v>908</v>
      </c>
      <c r="W8" s="131">
        <f t="shared" si="6"/>
        <v>915</v>
      </c>
      <c r="X8" s="131">
        <f t="shared" si="6"/>
        <v>930</v>
      </c>
      <c r="Y8" s="131">
        <f t="shared" si="6"/>
        <v>930</v>
      </c>
      <c r="Z8" s="131">
        <f t="shared" si="6"/>
        <v>915</v>
      </c>
      <c r="AA8" s="131">
        <f t="shared" ref="AA8:AB8" si="7">AA7</f>
        <v>870</v>
      </c>
      <c r="AB8" s="131">
        <f t="shared" si="7"/>
        <v>840</v>
      </c>
      <c r="AC8" s="131">
        <f t="shared" ref="AC8:AD8" si="8">AC7</f>
        <v>830</v>
      </c>
      <c r="AD8" s="131">
        <f t="shared" si="8"/>
        <v>830</v>
      </c>
      <c r="AF8" s="117" t="s">
        <v>82</v>
      </c>
      <c r="AG8" s="41">
        <f t="shared" ref="AG8:AJ8" si="9">AG7</f>
        <v>900</v>
      </c>
      <c r="AH8" s="41">
        <f t="shared" si="9"/>
        <v>900</v>
      </c>
      <c r="AI8" s="41">
        <f t="shared" si="9"/>
        <v>900</v>
      </c>
      <c r="AJ8" s="41">
        <f t="shared" si="9"/>
        <v>900</v>
      </c>
      <c r="AK8" s="41">
        <f t="shared" ref="AK8:AL8" si="10">AK7</f>
        <v>900</v>
      </c>
      <c r="AL8" s="41">
        <f t="shared" si="10"/>
        <v>900</v>
      </c>
      <c r="AM8" s="41">
        <f t="shared" ref="AM8:AN8" si="11">AM7</f>
        <v>930</v>
      </c>
      <c r="AN8" s="41">
        <f t="shared" si="11"/>
        <v>930</v>
      </c>
      <c r="AO8" s="41">
        <f t="shared" ref="AO8:AP8" si="12">AO7</f>
        <v>1030</v>
      </c>
      <c r="AP8" s="41">
        <f t="shared" si="12"/>
        <v>1030</v>
      </c>
      <c r="AQ8" s="41">
        <f t="shared" ref="AQ8:AR8" si="13">AQ7</f>
        <v>1000</v>
      </c>
      <c r="AR8" s="41">
        <f t="shared" si="13"/>
        <v>1000</v>
      </c>
      <c r="AS8" s="41">
        <f t="shared" ref="AS8:AT8" si="14">AS7</f>
        <v>1000</v>
      </c>
      <c r="AT8" s="41">
        <f t="shared" si="14"/>
        <v>1000</v>
      </c>
      <c r="AU8" s="41">
        <f t="shared" ref="AU8:AV8" si="15">AU7</f>
        <v>1000</v>
      </c>
      <c r="AV8" s="41">
        <f t="shared" si="15"/>
        <v>980</v>
      </c>
      <c r="AW8" s="41">
        <f t="shared" ref="AW8:AX8" si="16">AW7</f>
        <v>980</v>
      </c>
      <c r="AX8" s="41">
        <f t="shared" si="16"/>
        <v>980</v>
      </c>
      <c r="AY8" s="41">
        <f t="shared" ref="AY8:AZ8" si="17">AY7</f>
        <v>980</v>
      </c>
      <c r="AZ8" s="41">
        <f t="shared" si="17"/>
        <v>960</v>
      </c>
      <c r="BA8" s="41">
        <f t="shared" ref="BA8:BB8" si="18">BA7</f>
        <v>950</v>
      </c>
      <c r="BB8" s="41">
        <f t="shared" si="18"/>
        <v>950</v>
      </c>
      <c r="BC8" s="41">
        <f t="shared" ref="BC8:BD8" si="19">BC7</f>
        <v>950</v>
      </c>
      <c r="BD8" s="41">
        <f t="shared" si="19"/>
        <v>950</v>
      </c>
      <c r="BE8" s="41">
        <f t="shared" ref="BE8:BF8" si="20">BE7</f>
        <v>980</v>
      </c>
      <c r="BF8" s="41">
        <f t="shared" si="20"/>
        <v>980</v>
      </c>
      <c r="BG8" s="41">
        <f t="shared" ref="BG8:BH8" si="21">BG7</f>
        <v>980</v>
      </c>
      <c r="BH8" s="41">
        <f t="shared" si="21"/>
        <v>980</v>
      </c>
      <c r="BI8" s="41">
        <f t="shared" ref="BI8:BJ8" si="22">BI7</f>
        <v>980</v>
      </c>
      <c r="BJ8" s="41">
        <f t="shared" si="22"/>
        <v>980</v>
      </c>
      <c r="BK8" s="41">
        <f t="shared" ref="BK8:BL8" si="23">BK7</f>
        <v>980</v>
      </c>
      <c r="BL8" s="41">
        <f t="shared" si="23"/>
        <v>980</v>
      </c>
      <c r="BM8" s="41">
        <f t="shared" ref="BM8:BN8" si="24">BM7</f>
        <v>960</v>
      </c>
      <c r="BN8" s="41">
        <f t="shared" si="24"/>
        <v>950</v>
      </c>
      <c r="BO8" s="41">
        <f t="shared" ref="BO8:BP8" si="25">BO7</f>
        <v>950</v>
      </c>
      <c r="BP8" s="41">
        <f t="shared" si="25"/>
        <v>950</v>
      </c>
      <c r="BQ8" s="41">
        <f t="shared" ref="BQ8:BR8" si="26">BQ7</f>
        <v>940</v>
      </c>
      <c r="BR8" s="41">
        <f t="shared" si="26"/>
        <v>940</v>
      </c>
      <c r="BS8" s="41">
        <f t="shared" ref="BS8:BT8" si="27">BS7</f>
        <v>940</v>
      </c>
      <c r="BT8" s="41">
        <f t="shared" si="27"/>
        <v>930</v>
      </c>
      <c r="BU8" s="41">
        <f t="shared" ref="BU8:BV8" si="28">BU7</f>
        <v>930</v>
      </c>
      <c r="BV8" s="41">
        <f t="shared" si="28"/>
        <v>930</v>
      </c>
      <c r="BW8" s="41">
        <f t="shared" ref="BW8:BX8" si="29">BW7</f>
        <v>920</v>
      </c>
      <c r="BX8" s="41">
        <f t="shared" si="29"/>
        <v>920</v>
      </c>
      <c r="BY8" s="41">
        <f t="shared" ref="BY8:BZ8" si="30">BY7</f>
        <v>920</v>
      </c>
      <c r="BZ8" s="41">
        <f t="shared" si="30"/>
        <v>940</v>
      </c>
      <c r="CA8" s="41">
        <f t="shared" ref="CA8:CC8" si="31">CA7</f>
        <v>940</v>
      </c>
      <c r="CB8" s="41">
        <f t="shared" si="31"/>
        <v>940</v>
      </c>
      <c r="CC8" s="41">
        <f t="shared" si="31"/>
        <v>940</v>
      </c>
      <c r="CD8" s="41">
        <f t="shared" ref="CD8:CE8" si="32">CD7</f>
        <v>940</v>
      </c>
      <c r="CE8" s="41">
        <f t="shared" si="32"/>
        <v>940</v>
      </c>
      <c r="CF8" s="41">
        <f t="shared" ref="CF8:CI8" si="33">CF7</f>
        <v>940</v>
      </c>
      <c r="CG8" s="41">
        <f t="shared" si="33"/>
        <v>940</v>
      </c>
      <c r="CH8" s="41">
        <f t="shared" si="33"/>
        <v>940</v>
      </c>
      <c r="CI8" s="41">
        <f t="shared" si="33"/>
        <v>940</v>
      </c>
      <c r="CJ8" s="41">
        <f t="shared" ref="CJ8:CL8" si="34">CJ7</f>
        <v>940</v>
      </c>
      <c r="CK8" s="41">
        <f t="shared" si="34"/>
        <v>940</v>
      </c>
      <c r="CL8" s="41">
        <f t="shared" si="34"/>
        <v>940</v>
      </c>
      <c r="CM8" s="41">
        <f t="shared" ref="CM8:CN8" si="35">CM7</f>
        <v>940</v>
      </c>
      <c r="CN8" s="41">
        <f t="shared" si="35"/>
        <v>940</v>
      </c>
      <c r="CO8" s="41">
        <f t="shared" ref="CO8:CP8" si="36">CO7</f>
        <v>940</v>
      </c>
      <c r="CP8" s="41">
        <f t="shared" si="36"/>
        <v>950</v>
      </c>
      <c r="CQ8" s="41">
        <f t="shared" ref="CQ8:CR8" si="37">CQ7</f>
        <v>950</v>
      </c>
      <c r="CR8" s="41">
        <f t="shared" si="37"/>
        <v>950</v>
      </c>
      <c r="CS8" s="41">
        <f t="shared" ref="CS8:CU8" si="38">CS7</f>
        <v>950</v>
      </c>
      <c r="CT8" s="41">
        <f t="shared" si="38"/>
        <v>950</v>
      </c>
      <c r="CU8" s="41">
        <f t="shared" si="38"/>
        <v>910</v>
      </c>
      <c r="CV8" s="41">
        <f t="shared" ref="CV8:CY8" si="39">CV7</f>
        <v>910</v>
      </c>
      <c r="CW8" s="41">
        <f t="shared" si="39"/>
        <v>900</v>
      </c>
      <c r="CX8" s="41">
        <f t="shared" si="39"/>
        <v>900</v>
      </c>
      <c r="CY8" s="41">
        <f t="shared" si="39"/>
        <v>910</v>
      </c>
      <c r="CZ8" s="41">
        <f t="shared" ref="CZ8:DD8" si="40">CZ7</f>
        <v>910</v>
      </c>
      <c r="DA8" s="41">
        <f t="shared" si="40"/>
        <v>910</v>
      </c>
      <c r="DB8" s="41">
        <f t="shared" si="40"/>
        <v>910</v>
      </c>
      <c r="DC8" s="41">
        <f t="shared" si="40"/>
        <v>910</v>
      </c>
      <c r="DD8" s="41">
        <f t="shared" si="40"/>
        <v>900</v>
      </c>
      <c r="DE8" s="41">
        <f t="shared" ref="DE8:DH8" si="41">DE7</f>
        <v>900</v>
      </c>
      <c r="DF8" s="41">
        <f t="shared" si="41"/>
        <v>900</v>
      </c>
      <c r="DG8" s="41">
        <f t="shared" si="41"/>
        <v>930</v>
      </c>
      <c r="DH8" s="41">
        <f t="shared" si="41"/>
        <v>930</v>
      </c>
      <c r="DI8" s="41">
        <f t="shared" ref="DI8:DM8" si="42">DI7</f>
        <v>930</v>
      </c>
      <c r="DJ8" s="41">
        <f t="shared" si="42"/>
        <v>930</v>
      </c>
      <c r="DK8" s="41">
        <f t="shared" si="42"/>
        <v>930</v>
      </c>
      <c r="DL8" s="41">
        <f t="shared" si="42"/>
        <v>930</v>
      </c>
      <c r="DM8" s="41">
        <f t="shared" si="42"/>
        <v>930</v>
      </c>
      <c r="DN8" s="41">
        <f t="shared" ref="DN8:DQ8" si="43">DN7</f>
        <v>930</v>
      </c>
      <c r="DO8" s="41">
        <f t="shared" si="43"/>
        <v>930</v>
      </c>
      <c r="DP8" s="41">
        <f t="shared" si="43"/>
        <v>930</v>
      </c>
      <c r="DQ8" s="41">
        <f t="shared" si="43"/>
        <v>930</v>
      </c>
      <c r="DR8" s="41">
        <f t="shared" ref="DR8:DU8" si="44">DR7</f>
        <v>930</v>
      </c>
      <c r="DS8" s="41">
        <f t="shared" si="44"/>
        <v>930</v>
      </c>
      <c r="DT8" s="41">
        <f t="shared" si="44"/>
        <v>930</v>
      </c>
      <c r="DU8" s="41">
        <f t="shared" si="44"/>
        <v>870</v>
      </c>
      <c r="DV8" s="41">
        <f t="shared" ref="DV8:DZ8" si="45">DV7</f>
        <v>870</v>
      </c>
      <c r="DW8" s="41">
        <f t="shared" si="45"/>
        <v>870</v>
      </c>
      <c r="DX8" s="41">
        <f t="shared" si="45"/>
        <v>870</v>
      </c>
      <c r="DY8" s="41">
        <f t="shared" si="45"/>
        <v>870</v>
      </c>
      <c r="DZ8" s="41">
        <f t="shared" si="45"/>
        <v>870</v>
      </c>
      <c r="EA8" s="41">
        <f t="shared" ref="EA8:ED8" si="46">EA7</f>
        <v>870</v>
      </c>
      <c r="EB8" s="41">
        <f t="shared" si="46"/>
        <v>830</v>
      </c>
      <c r="EC8" s="41">
        <f t="shared" si="46"/>
        <v>830</v>
      </c>
      <c r="ED8" s="41">
        <f t="shared" si="46"/>
        <v>830</v>
      </c>
      <c r="EE8" s="41">
        <f t="shared" ref="EE8:EH8" si="47">EE7</f>
        <v>830</v>
      </c>
      <c r="EF8" s="41">
        <f t="shared" si="47"/>
        <v>830</v>
      </c>
      <c r="EG8" s="41">
        <f t="shared" si="47"/>
        <v>830</v>
      </c>
      <c r="EH8" s="41">
        <f t="shared" si="47"/>
        <v>830</v>
      </c>
      <c r="EI8" s="41">
        <f t="shared" ref="EI8:EM8" si="48">EI7</f>
        <v>0</v>
      </c>
      <c r="EJ8" s="41">
        <f t="shared" si="48"/>
        <v>0</v>
      </c>
      <c r="EK8" s="41">
        <f t="shared" si="48"/>
        <v>0</v>
      </c>
      <c r="EL8" s="41">
        <f t="shared" si="48"/>
        <v>0</v>
      </c>
      <c r="EM8" s="41">
        <f t="shared" si="48"/>
        <v>0</v>
      </c>
    </row>
    <row r="9" spans="1:143" ht="14">
      <c r="B9" s="117"/>
      <c r="D9" s="117" t="s">
        <v>83</v>
      </c>
      <c r="E9" s="41">
        <f t="shared" ref="E9:J9" si="49">+E6-E8</f>
        <v>-90</v>
      </c>
      <c r="F9" s="41">
        <f t="shared" si="49"/>
        <v>-137.5</v>
      </c>
      <c r="G9" s="41">
        <f t="shared" si="49"/>
        <v>-130</v>
      </c>
      <c r="H9" s="41">
        <f t="shared" si="49"/>
        <v>-95</v>
      </c>
      <c r="I9" s="41">
        <f t="shared" si="49"/>
        <v>-75</v>
      </c>
      <c r="J9" s="41">
        <f t="shared" si="49"/>
        <v>-86</v>
      </c>
      <c r="K9" s="41">
        <f t="shared" ref="K9:L9" si="50">+K6-K8</f>
        <v>-110</v>
      </c>
      <c r="L9" s="41">
        <f t="shared" si="50"/>
        <v>-105</v>
      </c>
      <c r="M9" s="41">
        <f t="shared" ref="M9:N9" si="51">+M6-M8</f>
        <v>-76</v>
      </c>
      <c r="N9" s="41">
        <f t="shared" si="51"/>
        <v>-82.5</v>
      </c>
      <c r="O9" s="41">
        <f t="shared" ref="O9:P9" si="52">+O6-O8</f>
        <v>-85</v>
      </c>
      <c r="P9" s="41">
        <f t="shared" si="52"/>
        <v>-115</v>
      </c>
      <c r="Q9" s="41">
        <f t="shared" ref="Q9:R9" si="53">+Q6-Q8</f>
        <v>-115</v>
      </c>
      <c r="R9" s="41">
        <f t="shared" si="53"/>
        <v>-115</v>
      </c>
      <c r="S9" s="41">
        <f t="shared" ref="S9:T9" si="54">+S6-S8</f>
        <v>-195</v>
      </c>
      <c r="T9" s="41">
        <f t="shared" si="54"/>
        <v>-190</v>
      </c>
      <c r="U9" s="41">
        <f t="shared" ref="U9:V9" si="55">+U6-U8</f>
        <v>-155</v>
      </c>
      <c r="V9" s="41">
        <f t="shared" si="55"/>
        <v>-188</v>
      </c>
      <c r="W9" s="41">
        <f t="shared" ref="W9:X9" si="56">+W6-W8</f>
        <v>-195</v>
      </c>
      <c r="X9" s="41">
        <f t="shared" si="56"/>
        <v>-210</v>
      </c>
      <c r="Y9" s="41">
        <f t="shared" ref="Y9:Z9" si="57">+Y6-Y8</f>
        <v>-230</v>
      </c>
      <c r="Z9" s="41">
        <f t="shared" si="57"/>
        <v>-215</v>
      </c>
      <c r="AA9" s="41">
        <f t="shared" ref="AA9:AB9" si="58">+AA6-AA8</f>
        <v>-170</v>
      </c>
      <c r="AB9" s="41">
        <f t="shared" si="58"/>
        <v>-150</v>
      </c>
      <c r="AC9" s="41">
        <f t="shared" ref="AC9:AD9" si="59">+AC6-AC8</f>
        <v>-165</v>
      </c>
      <c r="AD9" s="41">
        <f t="shared" si="59"/>
        <v>-165</v>
      </c>
      <c r="AF9" s="117" t="s">
        <v>83</v>
      </c>
      <c r="AG9" s="41">
        <f t="shared" ref="AG9:AL9" si="60">+AG6-AG8</f>
        <v>-90</v>
      </c>
      <c r="AH9" s="41">
        <f t="shared" si="60"/>
        <v>-90</v>
      </c>
      <c r="AI9" s="41">
        <f t="shared" si="60"/>
        <v>-90</v>
      </c>
      <c r="AJ9" s="41">
        <f t="shared" si="60"/>
        <v>-90</v>
      </c>
      <c r="AK9" s="41">
        <f t="shared" si="60"/>
        <v>-90</v>
      </c>
      <c r="AL9" s="41">
        <f t="shared" si="60"/>
        <v>-90</v>
      </c>
      <c r="AM9" s="41">
        <f t="shared" ref="AM9:AN9" si="61">+AM6-AM8</f>
        <v>-120</v>
      </c>
      <c r="AN9" s="41">
        <f t="shared" si="61"/>
        <v>-120</v>
      </c>
      <c r="AO9" s="41">
        <f t="shared" ref="AO9:AP9" si="62">+AO6-AO8</f>
        <v>-220</v>
      </c>
      <c r="AP9" s="41">
        <f t="shared" si="62"/>
        <v>-150</v>
      </c>
      <c r="AQ9" s="41">
        <f t="shared" ref="AQ9:AR9" si="63">+AQ6-AQ8</f>
        <v>-120</v>
      </c>
      <c r="AR9" s="41">
        <f t="shared" si="63"/>
        <v>-120</v>
      </c>
      <c r="AS9" s="41">
        <f t="shared" ref="AS9:AT9" si="64">+AS6-AS8</f>
        <v>-100</v>
      </c>
      <c r="AT9" s="41">
        <f t="shared" si="64"/>
        <v>-100</v>
      </c>
      <c r="AU9" s="41">
        <f t="shared" ref="AU9:AV9" si="65">+AU6-AU8</f>
        <v>-100</v>
      </c>
      <c r="AV9" s="41">
        <f t="shared" si="65"/>
        <v>-80</v>
      </c>
      <c r="AW9" s="41">
        <f t="shared" ref="AW9:AX9" si="66">+AW6-AW8</f>
        <v>-80</v>
      </c>
      <c r="AX9" s="41">
        <f t="shared" si="66"/>
        <v>-80</v>
      </c>
      <c r="AY9" s="41">
        <f t="shared" ref="AY9:AZ9" si="67">+AY6-AY8</f>
        <v>-80</v>
      </c>
      <c r="AZ9" s="41">
        <f t="shared" si="67"/>
        <v>-60</v>
      </c>
      <c r="BA9" s="41">
        <f t="shared" ref="BA9:BB9" si="68">+BA6-BA8</f>
        <v>-80</v>
      </c>
      <c r="BB9" s="41">
        <f t="shared" si="68"/>
        <v>-80</v>
      </c>
      <c r="BC9" s="41">
        <f t="shared" ref="BC9:BD9" si="69">+BC6-BC8</f>
        <v>-80</v>
      </c>
      <c r="BD9" s="41">
        <f t="shared" si="69"/>
        <v>-80</v>
      </c>
      <c r="BE9" s="41">
        <f t="shared" ref="BE9:BF9" si="70">+BE6-BE8</f>
        <v>-110</v>
      </c>
      <c r="BF9" s="41">
        <f t="shared" si="70"/>
        <v>-110</v>
      </c>
      <c r="BG9" s="41">
        <f t="shared" ref="BG9:BH9" si="71">+BG6-BG8</f>
        <v>-110</v>
      </c>
      <c r="BH9" s="41">
        <f t="shared" si="71"/>
        <v>-110</v>
      </c>
      <c r="BI9" s="41">
        <f t="shared" ref="BI9:BJ9" si="72">+BI6-BI8</f>
        <v>-110</v>
      </c>
      <c r="BJ9" s="41">
        <f t="shared" si="72"/>
        <v>-110</v>
      </c>
      <c r="BK9" s="41">
        <f t="shared" ref="BK9:BL9" si="73">+BK6-BK8</f>
        <v>-110</v>
      </c>
      <c r="BL9" s="41">
        <f t="shared" si="73"/>
        <v>-110</v>
      </c>
      <c r="BM9" s="41">
        <f t="shared" ref="BM9:BN9" si="74">+BM6-BM8</f>
        <v>-90</v>
      </c>
      <c r="BN9" s="41">
        <f t="shared" si="74"/>
        <v>-80</v>
      </c>
      <c r="BO9" s="41">
        <f t="shared" ref="BO9:BP9" si="75">+BO6-BO8</f>
        <v>-80</v>
      </c>
      <c r="BP9" s="41">
        <f t="shared" si="75"/>
        <v>-80</v>
      </c>
      <c r="BQ9" s="41">
        <f t="shared" ref="BQ9:BR9" si="76">+BQ6-BQ8</f>
        <v>-70</v>
      </c>
      <c r="BR9" s="41">
        <f t="shared" si="76"/>
        <v>-70</v>
      </c>
      <c r="BS9" s="41">
        <f t="shared" ref="BS9:BT9" si="77">+BS6-BS8</f>
        <v>-90</v>
      </c>
      <c r="BT9" s="41">
        <f t="shared" si="77"/>
        <v>-80</v>
      </c>
      <c r="BU9" s="41">
        <f t="shared" ref="BU9:BV9" si="78">+BU6-BU8</f>
        <v>-80</v>
      </c>
      <c r="BV9" s="41">
        <f t="shared" si="78"/>
        <v>-80</v>
      </c>
      <c r="BW9" s="41">
        <f t="shared" ref="BW9:BX9" si="79">+BW6-BW8</f>
        <v>-80</v>
      </c>
      <c r="BX9" s="41">
        <f t="shared" si="79"/>
        <v>-80</v>
      </c>
      <c r="BY9" s="41">
        <f t="shared" ref="BY9:BZ9" si="80">+BY6-BY8</f>
        <v>-80</v>
      </c>
      <c r="BZ9" s="41">
        <f t="shared" si="80"/>
        <v>-100</v>
      </c>
      <c r="CA9" s="41">
        <f t="shared" ref="CA9:CC9" si="81">+CA6-CA8</f>
        <v>-115</v>
      </c>
      <c r="CB9" s="41">
        <f t="shared" si="81"/>
        <v>-115</v>
      </c>
      <c r="CC9" s="41">
        <f t="shared" si="81"/>
        <v>-115</v>
      </c>
      <c r="CD9" s="41">
        <f t="shared" ref="CD9:CE9" si="82">+CD6-CD8</f>
        <v>-115</v>
      </c>
      <c r="CE9" s="41">
        <f t="shared" si="82"/>
        <v>-115</v>
      </c>
      <c r="CF9" s="41">
        <f t="shared" ref="CF9:CI9" si="83">+CF6-CF8</f>
        <v>-115</v>
      </c>
      <c r="CG9" s="41">
        <f t="shared" si="83"/>
        <v>-115</v>
      </c>
      <c r="CH9" s="41">
        <f t="shared" si="83"/>
        <v>-115</v>
      </c>
      <c r="CI9" s="41">
        <f t="shared" si="83"/>
        <v>-115</v>
      </c>
      <c r="CJ9" s="41">
        <f t="shared" ref="CJ9:CL9" si="84">+CJ6-CJ8</f>
        <v>-115</v>
      </c>
      <c r="CK9" s="41">
        <f t="shared" si="84"/>
        <v>-115</v>
      </c>
      <c r="CL9" s="41">
        <f t="shared" si="84"/>
        <v>-115</v>
      </c>
      <c r="CM9" s="41">
        <f t="shared" ref="CM9:CN9" si="85">+CM6-CM8</f>
        <v>-115</v>
      </c>
      <c r="CN9" s="41">
        <f t="shared" si="85"/>
        <v>-190</v>
      </c>
      <c r="CO9" s="41">
        <f t="shared" ref="CO9:CP9" si="86">+CO6-CO8</f>
        <v>-190</v>
      </c>
      <c r="CP9" s="41">
        <f t="shared" si="86"/>
        <v>-200</v>
      </c>
      <c r="CQ9" s="41">
        <f t="shared" ref="CQ9:CR9" si="87">+CQ6-CQ8</f>
        <v>-200</v>
      </c>
      <c r="CR9" s="41">
        <f t="shared" si="87"/>
        <v>-200</v>
      </c>
      <c r="CS9" s="41">
        <f t="shared" ref="CS9:CU9" si="88">+CS6-CS8</f>
        <v>-200</v>
      </c>
      <c r="CT9" s="41">
        <f t="shared" si="88"/>
        <v>-200</v>
      </c>
      <c r="CU9" s="41">
        <f t="shared" si="88"/>
        <v>-160</v>
      </c>
      <c r="CV9" s="41">
        <f t="shared" ref="CV9:CY9" si="89">+CV6-CV8</f>
        <v>-160</v>
      </c>
      <c r="CW9" s="41">
        <f t="shared" si="89"/>
        <v>-150</v>
      </c>
      <c r="CX9" s="41">
        <f t="shared" si="89"/>
        <v>-150</v>
      </c>
      <c r="CY9" s="41">
        <f t="shared" si="89"/>
        <v>-160</v>
      </c>
      <c r="CZ9" s="41">
        <f t="shared" ref="CZ9:DD9" si="90">+CZ6-CZ8</f>
        <v>-190</v>
      </c>
      <c r="DA9" s="41">
        <f t="shared" si="90"/>
        <v>-190</v>
      </c>
      <c r="DB9" s="41">
        <f t="shared" si="90"/>
        <v>-190</v>
      </c>
      <c r="DC9" s="41">
        <f t="shared" si="90"/>
        <v>-190</v>
      </c>
      <c r="DD9" s="41">
        <f t="shared" si="90"/>
        <v>-180</v>
      </c>
      <c r="DE9" s="41">
        <f t="shared" ref="DE9:DH9" si="91">+DE6-DE8</f>
        <v>-180</v>
      </c>
      <c r="DF9" s="41">
        <f t="shared" si="91"/>
        <v>-180</v>
      </c>
      <c r="DG9" s="41">
        <f t="shared" si="91"/>
        <v>-210</v>
      </c>
      <c r="DH9" s="41">
        <f t="shared" si="91"/>
        <v>-210</v>
      </c>
      <c r="DI9" s="41">
        <f t="shared" ref="DI9:DM9" si="92">+DI6-DI8</f>
        <v>-210</v>
      </c>
      <c r="DJ9" s="41">
        <f t="shared" si="92"/>
        <v>-210</v>
      </c>
      <c r="DK9" s="41">
        <f t="shared" si="92"/>
        <v>-210</v>
      </c>
      <c r="DL9" s="41">
        <f t="shared" si="92"/>
        <v>-210</v>
      </c>
      <c r="DM9" s="41">
        <f t="shared" si="92"/>
        <v>-210</v>
      </c>
      <c r="DN9" s="41">
        <f t="shared" ref="DN9:DQ9" si="93">+DN6-DN8</f>
        <v>-230</v>
      </c>
      <c r="DO9" s="41">
        <f t="shared" si="93"/>
        <v>-230</v>
      </c>
      <c r="DP9" s="41">
        <f t="shared" si="93"/>
        <v>-230</v>
      </c>
      <c r="DQ9" s="41">
        <f t="shared" si="93"/>
        <v>-230</v>
      </c>
      <c r="DR9" s="41">
        <f t="shared" ref="DR9:DU9" si="94">+DR6-DR8</f>
        <v>-230</v>
      </c>
      <c r="DS9" s="41">
        <f t="shared" si="94"/>
        <v>-230</v>
      </c>
      <c r="DT9" s="41">
        <f t="shared" si="94"/>
        <v>-230</v>
      </c>
      <c r="DU9" s="41">
        <f t="shared" si="94"/>
        <v>-170</v>
      </c>
      <c r="DV9" s="41">
        <f t="shared" ref="DV9:DZ9" si="95">+DV6-DV8</f>
        <v>-170</v>
      </c>
      <c r="DW9" s="41">
        <f t="shared" si="95"/>
        <v>-170</v>
      </c>
      <c r="DX9" s="41">
        <f t="shared" si="95"/>
        <v>-170</v>
      </c>
      <c r="DY9" s="41">
        <f t="shared" si="95"/>
        <v>-170</v>
      </c>
      <c r="DZ9" s="41">
        <f t="shared" si="95"/>
        <v>-170</v>
      </c>
      <c r="EA9" s="41">
        <f t="shared" ref="EA9:ED9" si="96">+EA6-EA8</f>
        <v>-180</v>
      </c>
      <c r="EB9" s="41">
        <f t="shared" si="96"/>
        <v>-140</v>
      </c>
      <c r="EC9" s="41">
        <f t="shared" si="96"/>
        <v>-140</v>
      </c>
      <c r="ED9" s="41">
        <f t="shared" si="96"/>
        <v>-140</v>
      </c>
      <c r="EE9" s="41">
        <f t="shared" ref="EE9:EH9" si="97">+EE6-EE8</f>
        <v>-165</v>
      </c>
      <c r="EF9" s="41">
        <f t="shared" si="97"/>
        <v>-165</v>
      </c>
      <c r="EG9" s="41">
        <f t="shared" si="97"/>
        <v>-165</v>
      </c>
      <c r="EH9" s="41">
        <f t="shared" si="97"/>
        <v>-165</v>
      </c>
      <c r="EI9" s="41">
        <f t="shared" ref="EI9:EM9" si="98">+EI6-EI8</f>
        <v>665</v>
      </c>
      <c r="EJ9" s="41">
        <f t="shared" si="98"/>
        <v>665</v>
      </c>
      <c r="EK9" s="41">
        <f t="shared" si="98"/>
        <v>665</v>
      </c>
      <c r="EL9" s="41">
        <f t="shared" si="98"/>
        <v>665</v>
      </c>
      <c r="EM9" s="41">
        <f t="shared" si="98"/>
        <v>665</v>
      </c>
    </row>
    <row r="10" spans="1:143">
      <c r="D10" s="1" t="s">
        <v>81</v>
      </c>
      <c r="E10" s="51">
        <f t="shared" ref="E10:J10" si="99">+E9/E8</f>
        <v>-0.1</v>
      </c>
      <c r="F10" s="51">
        <f t="shared" si="99"/>
        <v>-0.14511873350923482</v>
      </c>
      <c r="G10" s="51">
        <f t="shared" si="99"/>
        <v>-0.12871287128712872</v>
      </c>
      <c r="H10" s="51">
        <f t="shared" si="99"/>
        <v>-9.5477386934673364E-2</v>
      </c>
      <c r="I10" s="51">
        <f t="shared" si="99"/>
        <v>-7.6923076923076927E-2</v>
      </c>
      <c r="J10" s="51">
        <f t="shared" si="99"/>
        <v>-8.9958158995815898E-2</v>
      </c>
      <c r="K10" s="51">
        <f t="shared" ref="K10:L10" si="100">+K9/K8</f>
        <v>-0.11224489795918367</v>
      </c>
      <c r="L10" s="51">
        <f t="shared" si="100"/>
        <v>-0.1076923076923077</v>
      </c>
      <c r="M10" s="51">
        <f t="shared" ref="M10:N10" si="101">+M9/M8</f>
        <v>-8.0338266384778007E-2</v>
      </c>
      <c r="N10" s="51">
        <f t="shared" si="101"/>
        <v>-8.8471849865951746E-2</v>
      </c>
      <c r="O10" s="51">
        <f t="shared" ref="O10:P10" si="102">+O9/O8</f>
        <v>-9.1891891891891897E-2</v>
      </c>
      <c r="P10" s="51">
        <f t="shared" si="102"/>
        <v>-0.12234042553191489</v>
      </c>
      <c r="Q10" s="51">
        <f t="shared" ref="Q10:R10" si="103">+Q9/Q8</f>
        <v>-0.12234042553191489</v>
      </c>
      <c r="R10" s="51">
        <f t="shared" si="103"/>
        <v>-0.12234042553191489</v>
      </c>
      <c r="S10" s="51">
        <f t="shared" ref="S10:T10" si="104">+S9/S8</f>
        <v>-0.20634920634920634</v>
      </c>
      <c r="T10" s="51">
        <f t="shared" si="104"/>
        <v>-0.20212765957446807</v>
      </c>
      <c r="U10" s="51">
        <f t="shared" ref="U10:V10" si="105">+U9/U8</f>
        <v>-0.17127071823204421</v>
      </c>
      <c r="V10" s="51">
        <f t="shared" si="105"/>
        <v>-0.20704845814977973</v>
      </c>
      <c r="W10" s="51">
        <f t="shared" ref="W10:X10" si="106">+W9/W8</f>
        <v>-0.21311475409836064</v>
      </c>
      <c r="X10" s="51">
        <f t="shared" si="106"/>
        <v>-0.22580645161290322</v>
      </c>
      <c r="Y10" s="51">
        <f t="shared" ref="Y10:Z10" si="107">+Y9/Y8</f>
        <v>-0.24731182795698925</v>
      </c>
      <c r="Z10" s="51">
        <f t="shared" si="107"/>
        <v>-0.23497267759562843</v>
      </c>
      <c r="AA10" s="51">
        <f t="shared" ref="AA10:AB10" si="108">+AA9/AA8</f>
        <v>-0.19540229885057472</v>
      </c>
      <c r="AB10" s="51">
        <f t="shared" si="108"/>
        <v>-0.17857142857142858</v>
      </c>
      <c r="AC10" s="51">
        <f t="shared" ref="AC10:AD10" si="109">+AC9/AC8</f>
        <v>-0.19879518072289157</v>
      </c>
      <c r="AD10" s="51">
        <f t="shared" si="109"/>
        <v>-0.19879518072289157</v>
      </c>
      <c r="AF10" s="1" t="s">
        <v>81</v>
      </c>
      <c r="AG10" s="51">
        <f t="shared" ref="AG10:AJ10" si="110">+AG9/AG8</f>
        <v>-0.1</v>
      </c>
      <c r="AH10" s="51">
        <f t="shared" si="110"/>
        <v>-0.1</v>
      </c>
      <c r="AI10" s="51">
        <f t="shared" si="110"/>
        <v>-0.1</v>
      </c>
      <c r="AJ10" s="51">
        <f t="shared" si="110"/>
        <v>-0.1</v>
      </c>
      <c r="AK10" s="51">
        <f t="shared" ref="AK10:AL10" si="111">+AK9/AK8</f>
        <v>-0.1</v>
      </c>
      <c r="AL10" s="51">
        <f t="shared" si="111"/>
        <v>-0.1</v>
      </c>
      <c r="AM10" s="51">
        <f t="shared" ref="AM10:AN10" si="112">+AM9/AM8</f>
        <v>-0.12903225806451613</v>
      </c>
      <c r="AN10" s="51">
        <f t="shared" si="112"/>
        <v>-0.12903225806451613</v>
      </c>
      <c r="AO10" s="51">
        <f t="shared" ref="AO10:AP10" si="113">+AO9/AO8</f>
        <v>-0.21359223300970873</v>
      </c>
      <c r="AP10" s="51">
        <f t="shared" si="113"/>
        <v>-0.14563106796116504</v>
      </c>
      <c r="AQ10" s="51">
        <f t="shared" ref="AQ10:AR10" si="114">+AQ9/AQ8</f>
        <v>-0.12</v>
      </c>
      <c r="AR10" s="51">
        <f t="shared" si="114"/>
        <v>-0.12</v>
      </c>
      <c r="AS10" s="51">
        <f t="shared" ref="AS10:AT10" si="115">+AS9/AS8</f>
        <v>-0.1</v>
      </c>
      <c r="AT10" s="51">
        <f t="shared" si="115"/>
        <v>-0.1</v>
      </c>
      <c r="AU10" s="51">
        <f t="shared" ref="AU10:AV10" si="116">+AU9/AU8</f>
        <v>-0.1</v>
      </c>
      <c r="AV10" s="51">
        <f t="shared" si="116"/>
        <v>-8.1632653061224483E-2</v>
      </c>
      <c r="AW10" s="51">
        <f t="shared" ref="AW10:AX10" si="117">+AW9/AW8</f>
        <v>-8.1632653061224483E-2</v>
      </c>
      <c r="AX10" s="51">
        <f t="shared" si="117"/>
        <v>-8.1632653061224483E-2</v>
      </c>
      <c r="AY10" s="51">
        <f t="shared" ref="AY10:AZ10" si="118">+AY9/AY8</f>
        <v>-8.1632653061224483E-2</v>
      </c>
      <c r="AZ10" s="51">
        <f t="shared" si="118"/>
        <v>-6.25E-2</v>
      </c>
      <c r="BA10" s="51">
        <f t="shared" ref="BA10:BB10" si="119">+BA9/BA8</f>
        <v>-8.4210526315789472E-2</v>
      </c>
      <c r="BB10" s="51">
        <f t="shared" si="119"/>
        <v>-8.4210526315789472E-2</v>
      </c>
      <c r="BC10" s="51">
        <f t="shared" ref="BC10:BD10" si="120">+BC9/BC8</f>
        <v>-8.4210526315789472E-2</v>
      </c>
      <c r="BD10" s="51">
        <f t="shared" si="120"/>
        <v>-8.4210526315789472E-2</v>
      </c>
      <c r="BE10" s="51">
        <f t="shared" ref="BE10:BF10" si="121">+BE9/BE8</f>
        <v>-0.11224489795918367</v>
      </c>
      <c r="BF10" s="51">
        <f t="shared" si="121"/>
        <v>-0.11224489795918367</v>
      </c>
      <c r="BG10" s="51">
        <f t="shared" ref="BG10:BH10" si="122">+BG9/BG8</f>
        <v>-0.11224489795918367</v>
      </c>
      <c r="BH10" s="51">
        <f t="shared" si="122"/>
        <v>-0.11224489795918367</v>
      </c>
      <c r="BI10" s="51">
        <f t="shared" ref="BI10:BJ10" si="123">+BI9/BI8</f>
        <v>-0.11224489795918367</v>
      </c>
      <c r="BJ10" s="51">
        <f t="shared" si="123"/>
        <v>-0.11224489795918367</v>
      </c>
      <c r="BK10" s="51">
        <f t="shared" ref="BK10:BL10" si="124">+BK9/BK8</f>
        <v>-0.11224489795918367</v>
      </c>
      <c r="BL10" s="51">
        <f t="shared" si="124"/>
        <v>-0.11224489795918367</v>
      </c>
      <c r="BM10" s="51">
        <f t="shared" ref="BM10:BN10" si="125">+BM9/BM8</f>
        <v>-9.375E-2</v>
      </c>
      <c r="BN10" s="51">
        <f t="shared" si="125"/>
        <v>-8.4210526315789472E-2</v>
      </c>
      <c r="BO10" s="51">
        <f t="shared" ref="BO10:BP10" si="126">+BO9/BO8</f>
        <v>-8.4210526315789472E-2</v>
      </c>
      <c r="BP10" s="51">
        <f t="shared" si="126"/>
        <v>-8.4210526315789472E-2</v>
      </c>
      <c r="BQ10" s="51">
        <f t="shared" ref="BQ10:BR10" si="127">+BQ9/BQ8</f>
        <v>-7.4468085106382975E-2</v>
      </c>
      <c r="BR10" s="51">
        <f t="shared" si="127"/>
        <v>-7.4468085106382975E-2</v>
      </c>
      <c r="BS10" s="51">
        <f t="shared" ref="BS10:BT10" si="128">+BS9/BS8</f>
        <v>-9.5744680851063829E-2</v>
      </c>
      <c r="BT10" s="51">
        <f t="shared" si="128"/>
        <v>-8.6021505376344093E-2</v>
      </c>
      <c r="BU10" s="51">
        <f t="shared" ref="BU10:BV10" si="129">+BU9/BU8</f>
        <v>-8.6021505376344093E-2</v>
      </c>
      <c r="BV10" s="51">
        <f t="shared" si="129"/>
        <v>-8.6021505376344093E-2</v>
      </c>
      <c r="BW10" s="51">
        <f t="shared" ref="BW10:BX10" si="130">+BW9/BW8</f>
        <v>-8.6956521739130432E-2</v>
      </c>
      <c r="BX10" s="51">
        <f t="shared" si="130"/>
        <v>-8.6956521739130432E-2</v>
      </c>
      <c r="BY10" s="51">
        <f t="shared" ref="BY10:BZ10" si="131">+BY9/BY8</f>
        <v>-8.6956521739130432E-2</v>
      </c>
      <c r="BZ10" s="51">
        <f t="shared" si="131"/>
        <v>-0.10638297872340426</v>
      </c>
      <c r="CA10" s="51">
        <f t="shared" ref="CA10:CC10" si="132">+CA9/CA8</f>
        <v>-0.12234042553191489</v>
      </c>
      <c r="CB10" s="51">
        <f t="shared" si="132"/>
        <v>-0.12234042553191489</v>
      </c>
      <c r="CC10" s="51">
        <f t="shared" si="132"/>
        <v>-0.12234042553191489</v>
      </c>
      <c r="CD10" s="51">
        <f t="shared" ref="CD10:CE10" si="133">+CD9/CD8</f>
        <v>-0.12234042553191489</v>
      </c>
      <c r="CE10" s="51">
        <f t="shared" si="133"/>
        <v>-0.12234042553191489</v>
      </c>
      <c r="CF10" s="51">
        <f t="shared" ref="CF10:CI10" si="134">+CF9/CF8</f>
        <v>-0.12234042553191489</v>
      </c>
      <c r="CG10" s="51">
        <f t="shared" si="134"/>
        <v>-0.12234042553191489</v>
      </c>
      <c r="CH10" s="51">
        <f t="shared" si="134"/>
        <v>-0.12234042553191489</v>
      </c>
      <c r="CI10" s="51">
        <f t="shared" si="134"/>
        <v>-0.12234042553191489</v>
      </c>
      <c r="CJ10" s="51">
        <f t="shared" ref="CJ10:CL10" si="135">+CJ9/CJ8</f>
        <v>-0.12234042553191489</v>
      </c>
      <c r="CK10" s="51">
        <f t="shared" si="135"/>
        <v>-0.12234042553191489</v>
      </c>
      <c r="CL10" s="51">
        <f t="shared" si="135"/>
        <v>-0.12234042553191489</v>
      </c>
      <c r="CM10" s="51">
        <f t="shared" ref="CM10:CN10" si="136">+CM9/CM8</f>
        <v>-0.12234042553191489</v>
      </c>
      <c r="CN10" s="51">
        <f t="shared" si="136"/>
        <v>-0.20212765957446807</v>
      </c>
      <c r="CO10" s="51">
        <f t="shared" ref="CO10:CP10" si="137">+CO9/CO8</f>
        <v>-0.20212765957446807</v>
      </c>
      <c r="CP10" s="51">
        <f t="shared" si="137"/>
        <v>-0.21052631578947367</v>
      </c>
      <c r="CQ10" s="51">
        <f t="shared" ref="CQ10:CR10" si="138">+CQ9/CQ8</f>
        <v>-0.21052631578947367</v>
      </c>
      <c r="CR10" s="51">
        <f t="shared" si="138"/>
        <v>-0.21052631578947367</v>
      </c>
      <c r="CS10" s="51">
        <f t="shared" ref="CS10:CU10" si="139">+CS9/CS8</f>
        <v>-0.21052631578947367</v>
      </c>
      <c r="CT10" s="51">
        <f t="shared" si="139"/>
        <v>-0.21052631578947367</v>
      </c>
      <c r="CU10" s="51">
        <f t="shared" si="139"/>
        <v>-0.17582417582417584</v>
      </c>
      <c r="CV10" s="51">
        <f t="shared" ref="CV10:CY10" si="140">+CV9/CV8</f>
        <v>-0.17582417582417584</v>
      </c>
      <c r="CW10" s="51">
        <f t="shared" si="140"/>
        <v>-0.16666666666666666</v>
      </c>
      <c r="CX10" s="51">
        <f t="shared" si="140"/>
        <v>-0.16666666666666666</v>
      </c>
      <c r="CY10" s="51">
        <f t="shared" si="140"/>
        <v>-0.17582417582417584</v>
      </c>
      <c r="CZ10" s="51">
        <f t="shared" ref="CZ10:DD10" si="141">+CZ9/CZ8</f>
        <v>-0.2087912087912088</v>
      </c>
      <c r="DA10" s="51">
        <f t="shared" si="141"/>
        <v>-0.2087912087912088</v>
      </c>
      <c r="DB10" s="51">
        <f t="shared" si="141"/>
        <v>-0.2087912087912088</v>
      </c>
      <c r="DC10" s="51">
        <f t="shared" si="141"/>
        <v>-0.2087912087912088</v>
      </c>
      <c r="DD10" s="51">
        <f t="shared" si="141"/>
        <v>-0.2</v>
      </c>
      <c r="DE10" s="51">
        <f t="shared" ref="DE10:DH10" si="142">+DE9/DE8</f>
        <v>-0.2</v>
      </c>
      <c r="DF10" s="51">
        <f t="shared" si="142"/>
        <v>-0.2</v>
      </c>
      <c r="DG10" s="51">
        <f t="shared" si="142"/>
        <v>-0.22580645161290322</v>
      </c>
      <c r="DH10" s="51">
        <f t="shared" si="142"/>
        <v>-0.22580645161290322</v>
      </c>
      <c r="DI10" s="51">
        <f t="shared" ref="DI10:DM10" si="143">+DI9/DI8</f>
        <v>-0.22580645161290322</v>
      </c>
      <c r="DJ10" s="51">
        <f t="shared" si="143"/>
        <v>-0.22580645161290322</v>
      </c>
      <c r="DK10" s="51">
        <f t="shared" si="143"/>
        <v>-0.22580645161290322</v>
      </c>
      <c r="DL10" s="51">
        <f t="shared" si="143"/>
        <v>-0.22580645161290322</v>
      </c>
      <c r="DM10" s="51">
        <f t="shared" si="143"/>
        <v>-0.22580645161290322</v>
      </c>
      <c r="DN10" s="51">
        <f t="shared" ref="DN10:DQ10" si="144">+DN9/DN8</f>
        <v>-0.24731182795698925</v>
      </c>
      <c r="DO10" s="51">
        <f t="shared" si="144"/>
        <v>-0.24731182795698925</v>
      </c>
      <c r="DP10" s="51">
        <f t="shared" si="144"/>
        <v>-0.24731182795698925</v>
      </c>
      <c r="DQ10" s="51">
        <f t="shared" si="144"/>
        <v>-0.24731182795698925</v>
      </c>
      <c r="DR10" s="51">
        <f t="shared" ref="DR10:DU10" si="145">+DR9/DR8</f>
        <v>-0.24731182795698925</v>
      </c>
      <c r="DS10" s="51">
        <f t="shared" si="145"/>
        <v>-0.24731182795698925</v>
      </c>
      <c r="DT10" s="51">
        <f t="shared" si="145"/>
        <v>-0.24731182795698925</v>
      </c>
      <c r="DU10" s="51">
        <f t="shared" si="145"/>
        <v>-0.19540229885057472</v>
      </c>
      <c r="DV10" s="51">
        <f t="shared" ref="DV10:DZ10" si="146">+DV9/DV8</f>
        <v>-0.19540229885057472</v>
      </c>
      <c r="DW10" s="51">
        <f t="shared" si="146"/>
        <v>-0.19540229885057472</v>
      </c>
      <c r="DX10" s="51">
        <f t="shared" si="146"/>
        <v>-0.19540229885057472</v>
      </c>
      <c r="DY10" s="51">
        <f t="shared" si="146"/>
        <v>-0.19540229885057472</v>
      </c>
      <c r="DZ10" s="51">
        <f t="shared" si="146"/>
        <v>-0.19540229885057472</v>
      </c>
      <c r="EA10" s="51">
        <f t="shared" ref="EA10:ED10" si="147">+EA9/EA8</f>
        <v>-0.20689655172413793</v>
      </c>
      <c r="EB10" s="51">
        <f t="shared" si="147"/>
        <v>-0.16867469879518071</v>
      </c>
      <c r="EC10" s="51">
        <f t="shared" si="147"/>
        <v>-0.16867469879518071</v>
      </c>
      <c r="ED10" s="51">
        <f t="shared" si="147"/>
        <v>-0.16867469879518071</v>
      </c>
      <c r="EE10" s="51">
        <f t="shared" ref="EE10:EH10" si="148">+EE9/EE8</f>
        <v>-0.19879518072289157</v>
      </c>
      <c r="EF10" s="51">
        <f t="shared" si="148"/>
        <v>-0.19879518072289157</v>
      </c>
      <c r="EG10" s="51">
        <f t="shared" si="148"/>
        <v>-0.19879518072289157</v>
      </c>
      <c r="EH10" s="51">
        <f t="shared" si="148"/>
        <v>-0.19879518072289157</v>
      </c>
      <c r="EI10" s="51" t="e">
        <f t="shared" ref="EI10:EM10" si="149">+EI9/EI8</f>
        <v>#DIV/0!</v>
      </c>
      <c r="EJ10" s="51" t="e">
        <f t="shared" si="149"/>
        <v>#DIV/0!</v>
      </c>
      <c r="EK10" s="51" t="e">
        <f t="shared" si="149"/>
        <v>#DIV/0!</v>
      </c>
      <c r="EL10" s="51" t="e">
        <f t="shared" si="149"/>
        <v>#DIV/0!</v>
      </c>
      <c r="EM10" s="51" t="e">
        <f t="shared" si="149"/>
        <v>#DIV/0!</v>
      </c>
    </row>
    <row r="11" spans="1:143" ht="15.5">
      <c r="B11" s="162"/>
      <c r="D11" s="163" t="s">
        <v>87</v>
      </c>
      <c r="E11" s="1">
        <v>607</v>
      </c>
      <c r="F11" s="1">
        <v>607</v>
      </c>
      <c r="G11" s="1">
        <v>603</v>
      </c>
      <c r="H11" s="1">
        <v>603</v>
      </c>
      <c r="I11" s="1">
        <v>595</v>
      </c>
      <c r="J11" s="1">
        <v>595</v>
      </c>
      <c r="K11" s="1">
        <v>595</v>
      </c>
      <c r="L11" s="1">
        <v>656</v>
      </c>
      <c r="M11" s="1">
        <v>661</v>
      </c>
      <c r="N11" s="1">
        <v>664</v>
      </c>
      <c r="O11" s="173">
        <v>665.95976317843451</v>
      </c>
      <c r="P11" s="173">
        <v>662.45159124912914</v>
      </c>
      <c r="Q11" s="173">
        <v>666.2008844592176</v>
      </c>
      <c r="R11" s="173">
        <v>673.72306796354871</v>
      </c>
      <c r="S11" s="173">
        <v>686.58247571857055</v>
      </c>
      <c r="T11" s="173">
        <v>717.72825827070665</v>
      </c>
      <c r="U11" s="173">
        <v>706.65663489602741</v>
      </c>
      <c r="V11" s="173">
        <v>684.45465379202574</v>
      </c>
      <c r="W11" s="173">
        <v>669.97726780885682</v>
      </c>
      <c r="X11" s="173">
        <v>676.40258353637296</v>
      </c>
      <c r="Y11" s="173">
        <v>675.58305269623997</v>
      </c>
      <c r="Z11" s="173">
        <v>690.17868644421151</v>
      </c>
      <c r="AA11" s="173">
        <v>524.58051926145572</v>
      </c>
      <c r="AB11" s="173">
        <v>523.8036567901039</v>
      </c>
      <c r="AC11" s="173">
        <v>541.07580104033718</v>
      </c>
      <c r="AD11" s="173">
        <v>570.49450264840164</v>
      </c>
      <c r="AF11" s="163" t="s">
        <v>87</v>
      </c>
      <c r="AG11" s="1">
        <v>607</v>
      </c>
      <c r="AH11" s="1">
        <v>607</v>
      </c>
      <c r="AI11" s="1">
        <v>607</v>
      </c>
      <c r="AJ11" s="1">
        <v>607</v>
      </c>
      <c r="AK11" s="1">
        <v>607</v>
      </c>
      <c r="AL11" s="1">
        <v>607</v>
      </c>
      <c r="AM11" s="1">
        <v>607</v>
      </c>
      <c r="AN11" s="1">
        <v>607</v>
      </c>
      <c r="AO11" s="1">
        <v>607</v>
      </c>
      <c r="AP11" s="1">
        <v>603</v>
      </c>
      <c r="AQ11" s="1">
        <v>603</v>
      </c>
      <c r="AR11" s="1">
        <v>603</v>
      </c>
      <c r="AS11" s="1">
        <v>603</v>
      </c>
      <c r="AT11" s="1">
        <v>603</v>
      </c>
      <c r="AU11" s="1">
        <v>603</v>
      </c>
      <c r="AV11" s="1">
        <v>603</v>
      </c>
      <c r="AW11" s="3">
        <v>594.54980445043839</v>
      </c>
      <c r="AX11" s="3">
        <v>594.54980445043839</v>
      </c>
      <c r="AY11" s="3">
        <v>594.54980445043839</v>
      </c>
      <c r="AZ11" s="3">
        <v>594.54980445043839</v>
      </c>
      <c r="BA11" s="3">
        <v>595</v>
      </c>
      <c r="BB11" s="3">
        <v>595</v>
      </c>
      <c r="BC11" s="3">
        <v>595</v>
      </c>
      <c r="BD11" s="3">
        <v>595</v>
      </c>
      <c r="BE11" s="3">
        <v>595</v>
      </c>
      <c r="BF11" s="3">
        <v>595</v>
      </c>
      <c r="BG11" s="3">
        <v>595</v>
      </c>
      <c r="BH11" s="3">
        <v>595</v>
      </c>
      <c r="BI11" s="3">
        <v>595</v>
      </c>
      <c r="BJ11" s="3">
        <v>656</v>
      </c>
      <c r="BK11" s="3">
        <v>656</v>
      </c>
      <c r="BL11" s="3">
        <v>656</v>
      </c>
      <c r="BM11" s="3">
        <v>656</v>
      </c>
      <c r="BN11" s="3">
        <v>661</v>
      </c>
      <c r="BO11" s="3">
        <v>661</v>
      </c>
      <c r="BP11" s="3">
        <v>661</v>
      </c>
      <c r="BQ11" s="3">
        <v>661</v>
      </c>
      <c r="BR11" s="3">
        <v>661</v>
      </c>
      <c r="BS11" s="3">
        <v>664</v>
      </c>
      <c r="BT11" s="3">
        <v>664</v>
      </c>
      <c r="BU11" s="3">
        <v>664</v>
      </c>
      <c r="BV11" s="3">
        <v>664</v>
      </c>
      <c r="BW11" s="3">
        <v>665.95976317843451</v>
      </c>
      <c r="BX11" s="3">
        <v>665.95976317843451</v>
      </c>
      <c r="BY11" s="3">
        <v>665.95976317843451</v>
      </c>
      <c r="BZ11" s="3">
        <v>665.95976317843451</v>
      </c>
      <c r="CA11" s="173">
        <v>662.45159124912914</v>
      </c>
      <c r="CB11" s="173">
        <v>662.45159124912914</v>
      </c>
      <c r="CC11" s="173">
        <v>662.45159124912914</v>
      </c>
      <c r="CD11" s="173">
        <v>662.45159124912914</v>
      </c>
      <c r="CE11" s="173">
        <v>662.45159124912914</v>
      </c>
      <c r="CF11" s="173">
        <v>666.2008844592176</v>
      </c>
      <c r="CG11" s="173">
        <v>666.2008844592176</v>
      </c>
      <c r="CH11" s="173">
        <v>666.2008844592176</v>
      </c>
      <c r="CI11" s="173">
        <v>666.2008844592176</v>
      </c>
      <c r="CJ11" s="173">
        <v>673.72306796354871</v>
      </c>
      <c r="CK11" s="173">
        <v>673.72306796354871</v>
      </c>
      <c r="CL11" s="173">
        <v>673.72306796354871</v>
      </c>
      <c r="CM11" s="173">
        <v>673.72306796354871</v>
      </c>
      <c r="CN11" s="173">
        <v>686.58247571857055</v>
      </c>
      <c r="CO11" s="173">
        <v>686.58247571857055</v>
      </c>
      <c r="CP11" s="173">
        <v>686.58247571857055</v>
      </c>
      <c r="CQ11" s="173">
        <v>686.58247571857055</v>
      </c>
      <c r="CR11" s="173">
        <v>717.72825827070665</v>
      </c>
      <c r="CS11" s="173">
        <v>717.72825827070665</v>
      </c>
      <c r="CT11" s="173">
        <v>717.72825827070665</v>
      </c>
      <c r="CU11" s="173">
        <v>717.72825827070665</v>
      </c>
      <c r="CV11" s="173">
        <v>706.65663489602741</v>
      </c>
      <c r="CW11" s="173">
        <v>706.65663489602741</v>
      </c>
      <c r="CX11" s="173">
        <v>706.65663489602741</v>
      </c>
      <c r="CY11" s="173">
        <v>706.65663489602741</v>
      </c>
      <c r="CZ11" s="173">
        <v>684.45465379202574</v>
      </c>
      <c r="DA11" s="173">
        <v>684.45465379202574</v>
      </c>
      <c r="DB11" s="173">
        <v>684.45465379202574</v>
      </c>
      <c r="DC11" s="173">
        <v>684.45465379202574</v>
      </c>
      <c r="DD11" s="173">
        <v>684.45465379202574</v>
      </c>
      <c r="DE11" s="173">
        <v>669.97726780885682</v>
      </c>
      <c r="DF11" s="173">
        <v>669.97726780885682</v>
      </c>
      <c r="DG11" s="173">
        <v>669.97726780885682</v>
      </c>
      <c r="DH11" s="173">
        <v>669.97726780885682</v>
      </c>
      <c r="DI11" s="173">
        <v>676.40258353637296</v>
      </c>
      <c r="DJ11" s="173">
        <v>676.40258353637296</v>
      </c>
      <c r="DK11" s="173">
        <v>676.40258353637296</v>
      </c>
      <c r="DL11" s="173">
        <v>676.40258353637296</v>
      </c>
      <c r="DM11" s="173">
        <v>676.40258353637296</v>
      </c>
      <c r="DN11" s="173">
        <v>675.58305269623997</v>
      </c>
      <c r="DO11" s="173">
        <v>675.58305269623997</v>
      </c>
      <c r="DP11" s="173">
        <v>675.58305269623997</v>
      </c>
      <c r="DQ11" s="173">
        <v>675.58305269623997</v>
      </c>
      <c r="DR11" s="173">
        <v>690.17868644421151</v>
      </c>
      <c r="DS11" s="173">
        <v>690.17868644421151</v>
      </c>
      <c r="DT11" s="173">
        <v>690.17868644421151</v>
      </c>
      <c r="DU11" s="173">
        <v>690.17868644421151</v>
      </c>
      <c r="DV11" s="173">
        <v>524.58051926145572</v>
      </c>
      <c r="DW11" s="173">
        <v>524.58051926145572</v>
      </c>
      <c r="DX11" s="173">
        <v>524.58051926145572</v>
      </c>
      <c r="DY11" s="173">
        <v>524.58051926145572</v>
      </c>
      <c r="DZ11" s="173">
        <v>524.58051926145572</v>
      </c>
      <c r="EA11" s="173">
        <v>523.8036567901039</v>
      </c>
      <c r="EB11" s="173">
        <v>523.8036567901039</v>
      </c>
      <c r="EC11" s="173">
        <v>523.8036567901039</v>
      </c>
      <c r="ED11" s="173">
        <v>523.8036567901039</v>
      </c>
      <c r="EE11" s="173">
        <v>541.07580104033718</v>
      </c>
      <c r="EF11" s="173">
        <v>541.07580104033718</v>
      </c>
      <c r="EG11" s="173">
        <v>541.07580104033718</v>
      </c>
      <c r="EH11" s="173">
        <v>541.07580104033718</v>
      </c>
      <c r="EI11" s="173">
        <v>570.49450264840164</v>
      </c>
      <c r="EJ11" s="173">
        <v>570.49450264840164</v>
      </c>
      <c r="EK11" s="173">
        <v>570.49450264840164</v>
      </c>
      <c r="EL11" s="173">
        <v>570.49450264840164</v>
      </c>
      <c r="EM11" s="173">
        <v>570.49450264840164</v>
      </c>
    </row>
    <row r="23" spans="2:4">
      <c r="B23" s="32"/>
      <c r="C23" s="32"/>
      <c r="D23" s="32"/>
    </row>
    <row r="24" spans="2:4">
      <c r="B24" s="32"/>
      <c r="C24" s="32"/>
      <c r="D24" s="32"/>
    </row>
    <row r="25" spans="2:4">
      <c r="B25" s="32"/>
      <c r="C25" s="32"/>
      <c r="D25" s="32"/>
    </row>
    <row r="26" spans="2:4">
      <c r="B26" s="32"/>
      <c r="C26" s="32"/>
      <c r="D26" s="32"/>
    </row>
    <row r="27" spans="2:4">
      <c r="B27" s="31"/>
      <c r="C27" s="32"/>
      <c r="D27" s="31"/>
    </row>
  </sheetData>
  <phoneticPr fontId="20" type="noConversion"/>
  <pageMargins left="0.70866141732283472" right="0.70866141732283472" top="0.74803149606299213" bottom="0.74803149606299213" header="0.31496062992125984" footer="0.31496062992125984"/>
  <pageSetup orientation="landscape" horizontalDpi="200" verticalDpi="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AFC2769C8AE284F9DAC65BEDB330D63" ma:contentTypeVersion="4" ma:contentTypeDescription="Create a new document." ma:contentTypeScope="" ma:versionID="095d6c2ea6848ba9e164ea17708efb51">
  <xsd:schema xmlns:xsd="http://www.w3.org/2001/XMLSchema" xmlns:xs="http://www.w3.org/2001/XMLSchema" xmlns:p="http://schemas.microsoft.com/office/2006/metadata/properties" xmlns:ns2="863d5f0e-535b-4062-8420-5718c99a0d13" xmlns:ns3="33b3170c-b016-4803-b803-d23387b71821" targetNamespace="http://schemas.microsoft.com/office/2006/metadata/properties" ma:root="true" ma:fieldsID="1edd4b4c3ed772ae2c095c327f158120" ns2:_="" ns3:_="">
    <xsd:import namespace="863d5f0e-535b-4062-8420-5718c99a0d13"/>
    <xsd:import namespace="33b3170c-b016-4803-b803-d23387b7182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63d5f0e-535b-4062-8420-5718c99a0d1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b3170c-b016-4803-b803-d23387b7182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6981143-7863-4893-A891-B5FB6C8DF50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3AC1225-46F0-49FF-9BA6-7DCE45CEBD9D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103D79F7-FFDA-4565-A713-C7CA461A909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63d5f0e-535b-4062-8420-5718c99a0d13"/>
    <ds:schemaRef ds:uri="33b3170c-b016-4803-b803-d23387b7182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21</vt:i4>
      </vt:variant>
      <vt:variant>
        <vt:lpstr>Named Ranges</vt:lpstr>
      </vt:variant>
      <vt:variant>
        <vt:i4>6</vt:i4>
      </vt:variant>
    </vt:vector>
  </HeadingPairs>
  <TitlesOfParts>
    <vt:vector size="27" baseType="lpstr">
      <vt:lpstr>PET-tháng</vt:lpstr>
      <vt:lpstr>PET_tuan</vt:lpstr>
      <vt:lpstr>Ma trận PET</vt:lpstr>
      <vt:lpstr>PET Fiber_tháng</vt:lpstr>
      <vt:lpstr>PET Fiber_tuan </vt:lpstr>
      <vt:lpstr>Ma trận PET- Fiber</vt:lpstr>
      <vt:lpstr>HD thổi-tháng</vt:lpstr>
      <vt:lpstr>HD thổi_tuần</vt:lpstr>
      <vt:lpstr>Ma trận HDPE thổi</vt:lpstr>
      <vt:lpstr>HD Ép-tháng</vt:lpstr>
      <vt:lpstr>HD Ép_tuần</vt:lpstr>
      <vt:lpstr>Ma trận HDPE Ép</vt:lpstr>
      <vt:lpstr>PP-tháng</vt:lpstr>
      <vt:lpstr>PP_tuần</vt:lpstr>
      <vt:lpstr>Ma trận giá bán rPP</vt:lpstr>
      <vt:lpstr>Vảy PP_tháng</vt:lpstr>
      <vt:lpstr>Vảy PP_tuần</vt:lpstr>
      <vt:lpstr>Ma trận giá bán vảy PP</vt:lpstr>
      <vt:lpstr>Vảy HD ÉP_tháng</vt:lpstr>
      <vt:lpstr>Vảy HD ÉP_tuần</vt:lpstr>
      <vt:lpstr>Ma trận giá bán vảy HDPE ÉP</vt:lpstr>
      <vt:lpstr>'HD thổi_tuần'!Print_Area</vt:lpstr>
      <vt:lpstr>'HD thổi-tháng'!Print_Area</vt:lpstr>
      <vt:lpstr>'PET Fiber_tháng'!Print_Area</vt:lpstr>
      <vt:lpstr>'PET Fiber_tuan '!Print_Area</vt:lpstr>
      <vt:lpstr>PET_tuan!Print_Area</vt:lpstr>
      <vt:lpstr>'PET-tháng'!Print_Area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Thạch, Huỳnh Ngọc</dc:creator>
  <cp:keywords/>
  <dc:description/>
  <cp:lastModifiedBy>Cư, Lê Hoành</cp:lastModifiedBy>
  <cp:revision/>
  <cp:lastPrinted>2023-12-13T02:35:39Z</cp:lastPrinted>
  <dcterms:created xsi:type="dcterms:W3CDTF">2015-06-05T18:17:20Z</dcterms:created>
  <dcterms:modified xsi:type="dcterms:W3CDTF">2026-01-16T10:23:02Z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0x0101004AFC2769C8AE284F9DAC65BEDB330D63</vt:lpwstr>
  </property>
</Properties>
</file>