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tg-my.sharepoint.com/personal/nguyenthithanhdiem_duytanrecycling_com/Documents/KTQT/01.BÁO CÁO/NĂM 2026/T5/DIỄM/"/>
    </mc:Choice>
  </mc:AlternateContent>
  <xr:revisionPtr revIDLastSave="139" documentId="8_{57D9F96B-7AAB-4E64-BAAD-91621204BBA6}" xr6:coauthVersionLast="47" xr6:coauthVersionMax="47" xr10:uidLastSave="{E0041E46-B401-4D1A-BA55-BFCCF761C5A6}"/>
  <bookViews>
    <workbookView xWindow="-108" yWindow="-108" windowWidth="30936" windowHeight="18696" tabRatio="845" xr2:uid="{E1B11B01-C1D7-46E9-BB89-886B873A9FF2}"/>
  </bookViews>
  <sheets>
    <sheet name="18 KMP- Tháng (Tâm)" sheetId="56" r:id="rId1"/>
    <sheet name="18 KMP- Tháng (Tâm) (3)" sheetId="63" state="hidden" r:id="rId2"/>
    <sheet name="Chart - Tâm" sheetId="57" state="hidden" r:id="rId3"/>
    <sheet name="KMP- PET" sheetId="60" state="hidden" r:id="rId4"/>
    <sheet name="KMP- HDPE" sheetId="61" state="hidden" r:id="rId5"/>
    <sheet name="18 KMP- Tháng" sheetId="11" r:id="rId6"/>
    <sheet name="48 KMP -Tháng" sheetId="13" r:id="rId7"/>
    <sheet name="Thuế TNDN" sheetId="37" state="hidden" r:id="rId8"/>
  </sheets>
  <definedNames>
    <definedName name="_xlnm._FilterDatabase" localSheetId="5" hidden="1">'18 KMP- Tháng'!$B$17:$BT$17</definedName>
    <definedName name="_xlnm._FilterDatabase" localSheetId="0" hidden="1">'18 KMP- Tháng (Tâm)'!$A$8:$CN$34</definedName>
    <definedName name="_xlnm._FilterDatabase" localSheetId="1" hidden="1">'18 KMP- Tháng (Tâm) (3)'!$A$38:$BS$62</definedName>
    <definedName name="_xlnm._FilterDatabase" localSheetId="6" hidden="1">'48 KMP -Tháng'!$A$2:$BY$53</definedName>
    <definedName name="_xlnm._FilterDatabase" localSheetId="4" hidden="1">'KMP- HDPE'!$B$16:$R$16</definedName>
    <definedName name="_xlnm._FilterDatabase" localSheetId="3" hidden="1">'KMP- PET'!$B$17:$Q$17</definedName>
    <definedName name="_xlnm._FilterDatabase" localSheetId="7" hidden="1">'Thuế TNDN'!$A$2:$O$6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date_03a1694f-a721-4245-b3f2-7505eaa961fb" name="dim_date" connection="Query - dim_date"/>
          <x15:modelTable id="dim_GL_Account_6f1a08be-a94b-4b16-bd92-1846f3ed2c8b" name="dim_GL_Account" connection="Query - dim_GL_Account"/>
          <x15:modelTable id="dim_cost_center_d7f0bcc0-27cb-43c7-b991-9439c1b1a060" name="dim_cost_center" connection="Query - dim_cost_center(1)"/>
          <x15:modelTable id="Data_KSB1_TT_8c3c0a02-964d-4f89-9770-564eed7a158f" name="Data_KSB1_TT" connection="Query - Data_KSB1_TT"/>
          <x15:modelTable id="01_Formulas_KSB1_TT_d0cd7f02-b3a5-40ec-a9f2-f1a57038ff1b" name="01_Formulas_KSB1_TT" connection="Query - 01_Formulas_KSB1_TT"/>
          <x15:modelTable id="dim_KMP_9fdcde28-8321-4ec2-af6a-a61b70fa935c" name="dim_KMP" connection="Query - dim_KMP"/>
          <x15:modelTable id="dim_GL_Acc_KMP_db4890b9-9a88-4f92-a770-9cdc57c5235f" name="dim_GL_Acc_KMP" connection="Query - dim_GL_Acc_KMP"/>
          <x15:modelTable id="Data_KSB1_NS_0144e189-0780-40f4-8225-dad85508bfe6" name="Data_KSB1_NS" connection="Query - Data_KSB1_NS"/>
          <x15:modelTable id="dim_version_c973e1a5-431b-43f3-8975-5d216be1315a" name="dim_version" connection="Query - dim_version"/>
          <x15:modelTable id="02_Formulas_KSB1_NS_51c36739-bfa9-4fdf-9974-30924616e367" name="02_Formulas_KSB1_NS" connection="Query - 02_Formulas_KSB1_NS"/>
          <x15:modelTable id="03_  -_TT_vs_NS_8682b296-9c35-469f-9170-044f9cea5e49" name="03_  -_TT_vs_NS" connection="Query - 03_+/-_TT_vs_NS"/>
        </x15:modelTables>
        <x15:modelRelationships>
          <x15:modelRelationship fromTable="Data_KSB1_TT" fromColumn="Posting Date" toTable="dim_date" toColumn="Date"/>
          <x15:modelRelationship fromTable="Data_KSB1_TT" fromColumn="Cost Center" toTable="dim_cost_center" toColumn="Cost Center"/>
          <x15:modelRelationship fromTable="Data_KSB1_TT" fromColumn="GL_Acc | KMP" toTable="dim_GL_Acc_KMP" toColumn="GL_Acc | KMP"/>
          <x15:modelRelationship fromTable="Data_KSB1_TT" fromColumn="Version" toTable="dim_version" toColumn="Version"/>
          <x15:modelRelationship fromTable="dim_GL_Acc_KMP" fromColumn="G/L Account" toTable="dim_GL_Account" toColumn="G/L Account"/>
          <x15:modelRelationship fromTable="dim_GL_Acc_KMP" fromColumn="KMP" toTable="dim_KMP" toColumn="KMP"/>
          <x15:modelRelationship fromTable="Data_KSB1_NS" fromColumn="Version" toTable="dim_version" toColumn="Version"/>
          <x15:modelRelationship fromTable="Data_KSB1_NS" fromColumn="GL_Acc | KMP" toTable="dim_GL_Acc_KMP" toColumn="GL_Acc | KMP"/>
          <x15:modelRelationship fromTable="Data_KSB1_NS" fromColumn="Cost Center" toTable="dim_cost_center" toColumn="Cost Center"/>
          <x15:modelRelationship fromTable="Data_KSB1_NS" fromColumn="Posting Date" toTable="dim_date" toColumn="Date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Data_KSB1_NS" columnName="Posting Date" columnId="Posting Date">
                <x16:calculatedTimeColumn columnName="Posting Date (Month Index)" columnId="Posting Date (Month Index)" contentType="monthsindex" isSelected="1"/>
                <x16:calculatedTimeColumn columnName="Posting Date (Month)" columnId="Posting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8" i="11" l="1"/>
  <c r="AB18" i="11"/>
  <c r="AA18" i="11"/>
  <c r="Z18" i="11"/>
  <c r="Y18" i="11"/>
  <c r="X18" i="11"/>
  <c r="W18" i="11"/>
  <c r="V18" i="11"/>
  <c r="U18" i="11"/>
  <c r="T18" i="11"/>
  <c r="S18" i="11"/>
  <c r="R18" i="11"/>
  <c r="BW49" i="13" l="1"/>
  <c r="BV49" i="13"/>
  <c r="BU49" i="13"/>
  <c r="BT49" i="13"/>
  <c r="BS49" i="13"/>
  <c r="BR49" i="13"/>
  <c r="BQ49" i="13"/>
  <c r="BP49" i="13"/>
  <c r="BO49" i="13"/>
  <c r="BN49" i="13"/>
  <c r="BM49" i="13"/>
  <c r="BL49" i="13"/>
  <c r="BW48" i="13"/>
  <c r="BV48" i="13"/>
  <c r="BU48" i="13"/>
  <c r="BT48" i="13"/>
  <c r="BS48" i="13"/>
  <c r="BR48" i="13"/>
  <c r="BQ48" i="13"/>
  <c r="BP48" i="13"/>
  <c r="BO48" i="13"/>
  <c r="BN48" i="13"/>
  <c r="BM48" i="13"/>
  <c r="BL48" i="13"/>
  <c r="BW47" i="13"/>
  <c r="BV47" i="13"/>
  <c r="BU47" i="13"/>
  <c r="BT47" i="13"/>
  <c r="BS47" i="13"/>
  <c r="BR47" i="13"/>
  <c r="BQ47" i="13"/>
  <c r="BP47" i="13"/>
  <c r="BO47" i="13"/>
  <c r="BN47" i="13"/>
  <c r="BM47" i="13"/>
  <c r="BL47" i="13"/>
  <c r="BW46" i="13"/>
  <c r="BV46" i="13"/>
  <c r="BU46" i="13"/>
  <c r="BT46" i="13"/>
  <c r="BS46" i="13"/>
  <c r="BR46" i="13"/>
  <c r="BQ46" i="13"/>
  <c r="BP46" i="13"/>
  <c r="BO46" i="13"/>
  <c r="BN46" i="13"/>
  <c r="BM46" i="13"/>
  <c r="BL46" i="13"/>
  <c r="BW45" i="13"/>
  <c r="BV45" i="13"/>
  <c r="BU45" i="13"/>
  <c r="BT45" i="13"/>
  <c r="BS45" i="13"/>
  <c r="BR45" i="13"/>
  <c r="BQ45" i="13"/>
  <c r="BP45" i="13"/>
  <c r="BO45" i="13"/>
  <c r="BN45" i="13"/>
  <c r="BM45" i="13"/>
  <c r="BL45" i="13"/>
  <c r="BW44" i="13"/>
  <c r="BV44" i="13"/>
  <c r="BU44" i="13"/>
  <c r="BT44" i="13"/>
  <c r="BS44" i="13"/>
  <c r="BR44" i="13"/>
  <c r="BQ44" i="13"/>
  <c r="BP44" i="13"/>
  <c r="BO44" i="13"/>
  <c r="BN44" i="13"/>
  <c r="BM44" i="13"/>
  <c r="BL44" i="13"/>
  <c r="BW43" i="13"/>
  <c r="BV43" i="13"/>
  <c r="BU43" i="13"/>
  <c r="BT43" i="13"/>
  <c r="BS43" i="13"/>
  <c r="BR43" i="13"/>
  <c r="BQ43" i="13"/>
  <c r="BP43" i="13"/>
  <c r="BO43" i="13"/>
  <c r="BN43" i="13"/>
  <c r="BM43" i="13"/>
  <c r="BL43" i="13"/>
  <c r="BW42" i="13"/>
  <c r="BV42" i="13"/>
  <c r="BU42" i="13"/>
  <c r="BT42" i="13"/>
  <c r="BS42" i="13"/>
  <c r="BR42" i="13"/>
  <c r="BQ42" i="13"/>
  <c r="BP42" i="13"/>
  <c r="BO42" i="13"/>
  <c r="BN42" i="13"/>
  <c r="BM42" i="13"/>
  <c r="BL42" i="13"/>
  <c r="BW41" i="13"/>
  <c r="BV41" i="13"/>
  <c r="BU41" i="13"/>
  <c r="BT41" i="13"/>
  <c r="BS41" i="13"/>
  <c r="BR41" i="13"/>
  <c r="BQ41" i="13"/>
  <c r="BP41" i="13"/>
  <c r="BO41" i="13"/>
  <c r="BN41" i="13"/>
  <c r="BM41" i="13"/>
  <c r="BL41" i="13"/>
  <c r="BW40" i="13"/>
  <c r="BV40" i="13"/>
  <c r="BU40" i="13"/>
  <c r="BT40" i="13"/>
  <c r="BS40" i="13"/>
  <c r="BR40" i="13"/>
  <c r="BQ40" i="13"/>
  <c r="BP40" i="13"/>
  <c r="BO40" i="13"/>
  <c r="BN40" i="13"/>
  <c r="BM40" i="13"/>
  <c r="BL40" i="13"/>
  <c r="BW39" i="13"/>
  <c r="BV39" i="13"/>
  <c r="BU39" i="13"/>
  <c r="BT39" i="13"/>
  <c r="BS39" i="13"/>
  <c r="BR39" i="13"/>
  <c r="BQ39" i="13"/>
  <c r="BP39" i="13"/>
  <c r="BO39" i="13"/>
  <c r="BN39" i="13"/>
  <c r="BM39" i="13"/>
  <c r="BL39" i="13"/>
  <c r="BW38" i="13"/>
  <c r="BV38" i="13"/>
  <c r="BU38" i="13"/>
  <c r="BT38" i="13"/>
  <c r="BS38" i="13"/>
  <c r="BR38" i="13"/>
  <c r="BQ38" i="13"/>
  <c r="BP38" i="13"/>
  <c r="BO38" i="13"/>
  <c r="BN38" i="13"/>
  <c r="BM38" i="13"/>
  <c r="BL38" i="13"/>
  <c r="BW37" i="13"/>
  <c r="BV37" i="13"/>
  <c r="BU37" i="13"/>
  <c r="BT37" i="13"/>
  <c r="BS37" i="13"/>
  <c r="BR37" i="13"/>
  <c r="BQ37" i="13"/>
  <c r="BP37" i="13"/>
  <c r="BO37" i="13"/>
  <c r="BN37" i="13"/>
  <c r="BM37" i="13"/>
  <c r="BL37" i="13"/>
  <c r="BW36" i="13"/>
  <c r="BV36" i="13"/>
  <c r="BU36" i="13"/>
  <c r="BT36" i="13"/>
  <c r="BS36" i="13"/>
  <c r="BR36" i="13"/>
  <c r="BQ36" i="13"/>
  <c r="BP36" i="13"/>
  <c r="BO36" i="13"/>
  <c r="BN36" i="13"/>
  <c r="BM36" i="13"/>
  <c r="BL36" i="13"/>
  <c r="BW35" i="13"/>
  <c r="BV35" i="13"/>
  <c r="BU35" i="13"/>
  <c r="BT35" i="13"/>
  <c r="BS35" i="13"/>
  <c r="BR35" i="13"/>
  <c r="BQ35" i="13"/>
  <c r="BP35" i="13"/>
  <c r="BO35" i="13"/>
  <c r="BN35" i="13"/>
  <c r="BM35" i="13"/>
  <c r="BL35" i="13"/>
  <c r="BW34" i="13"/>
  <c r="BV34" i="13"/>
  <c r="BU34" i="13"/>
  <c r="BT34" i="13"/>
  <c r="BS34" i="13"/>
  <c r="BR34" i="13"/>
  <c r="BQ34" i="13"/>
  <c r="BP34" i="13"/>
  <c r="BO34" i="13"/>
  <c r="BN34" i="13"/>
  <c r="BM34" i="13"/>
  <c r="BL34" i="13"/>
  <c r="BW33" i="13"/>
  <c r="BV33" i="13"/>
  <c r="BU33" i="13"/>
  <c r="BT33" i="13"/>
  <c r="BS33" i="13"/>
  <c r="BR33" i="13"/>
  <c r="BQ33" i="13"/>
  <c r="BP33" i="13"/>
  <c r="BO33" i="13"/>
  <c r="BN33" i="13"/>
  <c r="BM33" i="13"/>
  <c r="BL33" i="13"/>
  <c r="BW32" i="13"/>
  <c r="BV32" i="13"/>
  <c r="BU32" i="13"/>
  <c r="BT32" i="13"/>
  <c r="BS32" i="13"/>
  <c r="BR32" i="13"/>
  <c r="BQ32" i="13"/>
  <c r="BP32" i="13"/>
  <c r="BO32" i="13"/>
  <c r="BN32" i="13"/>
  <c r="BM32" i="13"/>
  <c r="BL32" i="13"/>
  <c r="BW31" i="13"/>
  <c r="BV31" i="13"/>
  <c r="BU31" i="13"/>
  <c r="BT31" i="13"/>
  <c r="BS31" i="13"/>
  <c r="BR31" i="13"/>
  <c r="BQ31" i="13"/>
  <c r="BP31" i="13"/>
  <c r="BO31" i="13"/>
  <c r="BN31" i="13"/>
  <c r="BM31" i="13"/>
  <c r="BL31" i="13"/>
  <c r="BW30" i="13"/>
  <c r="BV30" i="13"/>
  <c r="BU30" i="13"/>
  <c r="BT30" i="13"/>
  <c r="BS30" i="13"/>
  <c r="BR30" i="13"/>
  <c r="BQ30" i="13"/>
  <c r="BP30" i="13"/>
  <c r="BO30" i="13"/>
  <c r="BN30" i="13"/>
  <c r="BM30" i="13"/>
  <c r="BL30" i="13"/>
  <c r="BW29" i="13"/>
  <c r="BV29" i="13"/>
  <c r="BU29" i="13"/>
  <c r="BT29" i="13"/>
  <c r="BS29" i="13"/>
  <c r="BR29" i="13"/>
  <c r="BQ29" i="13"/>
  <c r="BP29" i="13"/>
  <c r="BO29" i="13"/>
  <c r="BN29" i="13"/>
  <c r="BM29" i="13"/>
  <c r="BL29" i="13"/>
  <c r="BW28" i="13"/>
  <c r="BV28" i="13"/>
  <c r="BU28" i="13"/>
  <c r="BT28" i="13"/>
  <c r="BS28" i="13"/>
  <c r="BR28" i="13"/>
  <c r="BQ28" i="13"/>
  <c r="BP28" i="13"/>
  <c r="BO28" i="13"/>
  <c r="BN28" i="13"/>
  <c r="BM28" i="13"/>
  <c r="BL28" i="13"/>
  <c r="BW27" i="13"/>
  <c r="BV27" i="13"/>
  <c r="BU27" i="13"/>
  <c r="BT27" i="13"/>
  <c r="BS27" i="13"/>
  <c r="BR27" i="13"/>
  <c r="BQ27" i="13"/>
  <c r="BP27" i="13"/>
  <c r="BO27" i="13"/>
  <c r="BN27" i="13"/>
  <c r="BM27" i="13"/>
  <c r="BL27" i="13"/>
  <c r="BW26" i="13"/>
  <c r="BV26" i="13"/>
  <c r="BU26" i="13"/>
  <c r="BT26" i="13"/>
  <c r="BS26" i="13"/>
  <c r="BR26" i="13"/>
  <c r="BQ26" i="13"/>
  <c r="BP26" i="13"/>
  <c r="BO26" i="13"/>
  <c r="BN26" i="13"/>
  <c r="BM26" i="13"/>
  <c r="BL26" i="13"/>
  <c r="BW25" i="13"/>
  <c r="BV25" i="13"/>
  <c r="BU25" i="13"/>
  <c r="BT25" i="13"/>
  <c r="BS25" i="13"/>
  <c r="BR25" i="13"/>
  <c r="BQ25" i="13"/>
  <c r="BP25" i="13"/>
  <c r="BO25" i="13"/>
  <c r="BN25" i="13"/>
  <c r="BM25" i="13"/>
  <c r="BL25" i="13"/>
  <c r="BW24" i="13"/>
  <c r="BV24" i="13"/>
  <c r="BU24" i="13"/>
  <c r="BT24" i="13"/>
  <c r="BS24" i="13"/>
  <c r="BR24" i="13"/>
  <c r="BQ24" i="13"/>
  <c r="BP24" i="13"/>
  <c r="BO24" i="13"/>
  <c r="BN24" i="13"/>
  <c r="BM24" i="13"/>
  <c r="BL24" i="13"/>
  <c r="BW23" i="13"/>
  <c r="BV23" i="13"/>
  <c r="BU23" i="13"/>
  <c r="BT23" i="13"/>
  <c r="BS23" i="13"/>
  <c r="BR23" i="13"/>
  <c r="BQ23" i="13"/>
  <c r="BP23" i="13"/>
  <c r="BO23" i="13"/>
  <c r="BN23" i="13"/>
  <c r="BM23" i="13"/>
  <c r="BL23" i="13"/>
  <c r="BW20" i="13"/>
  <c r="BV20" i="13"/>
  <c r="BU20" i="13"/>
  <c r="BT20" i="13"/>
  <c r="BS20" i="13"/>
  <c r="BR20" i="13"/>
  <c r="BQ20" i="13"/>
  <c r="BP20" i="13"/>
  <c r="BO20" i="13"/>
  <c r="BN20" i="13"/>
  <c r="BM20" i="13"/>
  <c r="BL20" i="13"/>
  <c r="BW19" i="13"/>
  <c r="BV19" i="13"/>
  <c r="BU19" i="13"/>
  <c r="BT19" i="13"/>
  <c r="BS19" i="13"/>
  <c r="BR19" i="13"/>
  <c r="BQ19" i="13"/>
  <c r="BP19" i="13"/>
  <c r="BO19" i="13"/>
  <c r="BN19" i="13"/>
  <c r="BM19" i="13"/>
  <c r="BL19" i="13"/>
  <c r="BW18" i="13"/>
  <c r="BV18" i="13"/>
  <c r="BU18" i="13"/>
  <c r="BT18" i="13"/>
  <c r="BS18" i="13"/>
  <c r="BR18" i="13"/>
  <c r="BQ18" i="13"/>
  <c r="BP18" i="13"/>
  <c r="BO18" i="13"/>
  <c r="BN18" i="13"/>
  <c r="BM18" i="13"/>
  <c r="BL18" i="13"/>
  <c r="BW17" i="13"/>
  <c r="BV17" i="13"/>
  <c r="BU17" i="13"/>
  <c r="BT17" i="13"/>
  <c r="BS17" i="13"/>
  <c r="BR17" i="13"/>
  <c r="BQ17" i="13"/>
  <c r="BP17" i="13"/>
  <c r="BO17" i="13"/>
  <c r="BN17" i="13"/>
  <c r="BM17" i="13"/>
  <c r="BL17" i="13"/>
  <c r="BW16" i="13"/>
  <c r="BV16" i="13"/>
  <c r="BU16" i="13"/>
  <c r="BT16" i="13"/>
  <c r="BS16" i="13"/>
  <c r="BR16" i="13"/>
  <c r="BQ16" i="13"/>
  <c r="BP16" i="13"/>
  <c r="BO16" i="13"/>
  <c r="BN16" i="13"/>
  <c r="BM16" i="13"/>
  <c r="BL16" i="13"/>
  <c r="BW15" i="13"/>
  <c r="BV15" i="13"/>
  <c r="BU15" i="13"/>
  <c r="BT15" i="13"/>
  <c r="BS15" i="13"/>
  <c r="BR15" i="13"/>
  <c r="BQ15" i="13"/>
  <c r="BP15" i="13"/>
  <c r="BO15" i="13"/>
  <c r="BN15" i="13"/>
  <c r="BM15" i="13"/>
  <c r="BL15" i="13"/>
  <c r="BW14" i="13"/>
  <c r="BV14" i="13"/>
  <c r="BU14" i="13"/>
  <c r="BT14" i="13"/>
  <c r="BS14" i="13"/>
  <c r="BR14" i="13"/>
  <c r="BQ14" i="13"/>
  <c r="BP14" i="13"/>
  <c r="BO14" i="13"/>
  <c r="BN14" i="13"/>
  <c r="BM14" i="13"/>
  <c r="BL14" i="13"/>
  <c r="BW12" i="13"/>
  <c r="BV12" i="13"/>
  <c r="BU12" i="13"/>
  <c r="BT12" i="13"/>
  <c r="BS12" i="13"/>
  <c r="BR12" i="13"/>
  <c r="BQ12" i="13"/>
  <c r="BP12" i="13"/>
  <c r="BO12" i="13"/>
  <c r="BN12" i="13"/>
  <c r="BM12" i="13"/>
  <c r="BL12" i="13"/>
  <c r="BW11" i="13"/>
  <c r="BV11" i="13"/>
  <c r="BU11" i="13"/>
  <c r="BT11" i="13"/>
  <c r="BS11" i="13"/>
  <c r="BR11" i="13"/>
  <c r="BQ11" i="13"/>
  <c r="BP11" i="13"/>
  <c r="BO11" i="13"/>
  <c r="BN11" i="13"/>
  <c r="BM11" i="13"/>
  <c r="BL11" i="13"/>
  <c r="BW10" i="13"/>
  <c r="BV10" i="13"/>
  <c r="BU10" i="13"/>
  <c r="BT10" i="13"/>
  <c r="BS10" i="13"/>
  <c r="BR10" i="13"/>
  <c r="BQ10" i="13"/>
  <c r="BP10" i="13"/>
  <c r="BO10" i="13"/>
  <c r="BN10" i="13"/>
  <c r="BM10" i="13"/>
  <c r="BL10" i="13"/>
  <c r="BW9" i="13"/>
  <c r="BV9" i="13"/>
  <c r="BU9" i="13"/>
  <c r="BT9" i="13"/>
  <c r="BS9" i="13"/>
  <c r="BR9" i="13"/>
  <c r="BQ9" i="13"/>
  <c r="BP9" i="13"/>
  <c r="BO9" i="13"/>
  <c r="BN9" i="13"/>
  <c r="BM9" i="13"/>
  <c r="BL9" i="13"/>
  <c r="BW6" i="13"/>
  <c r="BV6" i="13"/>
  <c r="BU6" i="13"/>
  <c r="BT6" i="13"/>
  <c r="BS6" i="13"/>
  <c r="BR6" i="13"/>
  <c r="BQ6" i="13"/>
  <c r="BP6" i="13"/>
  <c r="BO6" i="13"/>
  <c r="BN6" i="13"/>
  <c r="BM6" i="13"/>
  <c r="BL6" i="13"/>
  <c r="BW5" i="13"/>
  <c r="BV5" i="13"/>
  <c r="BU5" i="13"/>
  <c r="BT5" i="13"/>
  <c r="BS5" i="13"/>
  <c r="BR5" i="13"/>
  <c r="BQ5" i="13"/>
  <c r="BP5" i="13"/>
  <c r="BO5" i="13"/>
  <c r="BN5" i="13"/>
  <c r="BM5" i="13"/>
  <c r="BL5" i="13"/>
  <c r="AC29" i="11" l="1"/>
  <c r="AQ29" i="11" l="1"/>
  <c r="DN54" i="13" l="1"/>
  <c r="DM54" i="13"/>
  <c r="DL54" i="13"/>
  <c r="DK54" i="13"/>
  <c r="DJ54" i="13"/>
  <c r="DI54" i="13"/>
  <c r="DH54" i="13"/>
  <c r="DG54" i="13"/>
  <c r="DF54" i="13"/>
  <c r="DE54" i="13"/>
  <c r="DD54" i="13"/>
  <c r="DC54" i="13"/>
  <c r="DB54" i="13"/>
  <c r="CZ54" i="13"/>
  <c r="CY54" i="13"/>
  <c r="CX54" i="13"/>
  <c r="CW54" i="13"/>
  <c r="CV54" i="13"/>
  <c r="CU54" i="13"/>
  <c r="CT54" i="13"/>
  <c r="CS54" i="13"/>
  <c r="CR54" i="13"/>
  <c r="CQ54" i="13"/>
  <c r="CP54" i="13"/>
  <c r="CO54" i="13"/>
  <c r="CN54" i="13"/>
  <c r="DN10" i="13"/>
  <c r="CZ10" i="13"/>
  <c r="CL10" i="13"/>
  <c r="BX10" i="13"/>
  <c r="DN48" i="13"/>
  <c r="DN47" i="13"/>
  <c r="DN46" i="13"/>
  <c r="DN44" i="13"/>
  <c r="DN43" i="13"/>
  <c r="DN42" i="13"/>
  <c r="DN40" i="13"/>
  <c r="DN39" i="13"/>
  <c r="DN38" i="13"/>
  <c r="DN36" i="13"/>
  <c r="DN35" i="13"/>
  <c r="DN34" i="13"/>
  <c r="DN31" i="13"/>
  <c r="DN30" i="13"/>
  <c r="DN28" i="13"/>
  <c r="DN27" i="13"/>
  <c r="DN26" i="13"/>
  <c r="DN24" i="13"/>
  <c r="DN23" i="13"/>
  <c r="DN21" i="13"/>
  <c r="DN19" i="13"/>
  <c r="DN18" i="13"/>
  <c r="DN17" i="13"/>
  <c r="DN15" i="13"/>
  <c r="DN14" i="13"/>
  <c r="DN13" i="13"/>
  <c r="DN9" i="13"/>
  <c r="DN8" i="13"/>
  <c r="DN7" i="13"/>
  <c r="DG50" i="13"/>
  <c r="DN6" i="13"/>
  <c r="DD50" i="13"/>
  <c r="DC50" i="13"/>
  <c r="DN5" i="13"/>
  <c r="DK50" i="13"/>
  <c r="DH50" i="13"/>
  <c r="DF50" i="13"/>
  <c r="DE50" i="13"/>
  <c r="DN49" i="13"/>
  <c r="DN37" i="13"/>
  <c r="DN33" i="13"/>
  <c r="DN32" i="13"/>
  <c r="DN20" i="13"/>
  <c r="DN16" i="13"/>
  <c r="DN11" i="13"/>
  <c r="DI50" i="13"/>
  <c r="DN4" i="13"/>
  <c r="DN52" i="13"/>
  <c r="DM50" i="13"/>
  <c r="DL50" i="13"/>
  <c r="DN45" i="13"/>
  <c r="DN41" i="13"/>
  <c r="DN29" i="13"/>
  <c r="DN25" i="13"/>
  <c r="DN12" i="13"/>
  <c r="CZ52" i="13"/>
  <c r="CY50" i="13"/>
  <c r="CX50" i="13"/>
  <c r="CW50" i="13"/>
  <c r="CV50" i="13"/>
  <c r="CU50" i="13"/>
  <c r="CT50" i="13"/>
  <c r="CS50" i="13"/>
  <c r="CR50" i="13"/>
  <c r="CQ50" i="13"/>
  <c r="CP50" i="13"/>
  <c r="CO50" i="13"/>
  <c r="CN50" i="13"/>
  <c r="CZ49" i="13"/>
  <c r="CZ48" i="13"/>
  <c r="CZ47" i="13"/>
  <c r="CZ46" i="13"/>
  <c r="CZ45" i="13"/>
  <c r="CZ44" i="13"/>
  <c r="CZ43" i="13"/>
  <c r="CZ42" i="13"/>
  <c r="CZ41" i="13"/>
  <c r="CZ40" i="13"/>
  <c r="CZ39" i="13"/>
  <c r="CZ38" i="13"/>
  <c r="CZ37" i="13"/>
  <c r="CZ36" i="13"/>
  <c r="CZ35" i="13"/>
  <c r="CZ34" i="13"/>
  <c r="CZ33" i="13"/>
  <c r="CZ32" i="13"/>
  <c r="CZ31" i="13"/>
  <c r="CZ30" i="13"/>
  <c r="CZ29" i="13"/>
  <c r="CZ28" i="13"/>
  <c r="CZ27" i="13"/>
  <c r="CZ26" i="13"/>
  <c r="CZ25" i="13"/>
  <c r="CZ24" i="13"/>
  <c r="CZ23" i="13"/>
  <c r="CZ21" i="13"/>
  <c r="CZ20" i="13"/>
  <c r="CZ19" i="13"/>
  <c r="CZ18" i="13"/>
  <c r="CZ17" i="13"/>
  <c r="CZ16" i="13"/>
  <c r="CZ15" i="13"/>
  <c r="CZ14" i="13"/>
  <c r="CZ13" i="13"/>
  <c r="CZ12" i="13"/>
  <c r="CZ11" i="13"/>
  <c r="CZ9" i="13"/>
  <c r="CZ8" i="13"/>
  <c r="CZ7" i="13"/>
  <c r="CZ6" i="13"/>
  <c r="CZ5" i="13"/>
  <c r="CZ4" i="13"/>
  <c r="CL52" i="13"/>
  <c r="CL49" i="13"/>
  <c r="CL48" i="13"/>
  <c r="CL47" i="13"/>
  <c r="CL46" i="13"/>
  <c r="CL45" i="13"/>
  <c r="CL44" i="13"/>
  <c r="CL43" i="13"/>
  <c r="CL42" i="13"/>
  <c r="CL41" i="13"/>
  <c r="CL40" i="13"/>
  <c r="CL39" i="13"/>
  <c r="CL38" i="13"/>
  <c r="CL37" i="13"/>
  <c r="CL36" i="13"/>
  <c r="CL35" i="13"/>
  <c r="CL34" i="13"/>
  <c r="CL33" i="13"/>
  <c r="CL32" i="13"/>
  <c r="CL31" i="13"/>
  <c r="CL30" i="13"/>
  <c r="CL29" i="13"/>
  <c r="CL28" i="13"/>
  <c r="CL27" i="13"/>
  <c r="CL26" i="13"/>
  <c r="CL25" i="13"/>
  <c r="CL24" i="13"/>
  <c r="CL23" i="13"/>
  <c r="CL20" i="13"/>
  <c r="CL19" i="13"/>
  <c r="CL18" i="13"/>
  <c r="CL17" i="13"/>
  <c r="CL16" i="13"/>
  <c r="CL15" i="13"/>
  <c r="CL14" i="13"/>
  <c r="CL12" i="13"/>
  <c r="CL11" i="13"/>
  <c r="CL9" i="13"/>
  <c r="CL6" i="13"/>
  <c r="CL5" i="13"/>
  <c r="DJ50" i="13" l="1"/>
  <c r="DN50" i="13"/>
  <c r="DB50" i="13"/>
  <c r="CZ50" i="13"/>
  <c r="AT31" i="56" l="1"/>
  <c r="AS31" i="56"/>
  <c r="BX9" i="13" l="1"/>
  <c r="AQ24" i="11"/>
  <c r="AQ23" i="11"/>
  <c r="AQ22" i="11"/>
  <c r="AQ21" i="11"/>
  <c r="AQ20" i="11"/>
  <c r="AQ19" i="11"/>
  <c r="AQ16" i="11"/>
  <c r="AQ15" i="11"/>
  <c r="AQ14" i="11"/>
  <c r="AQ13" i="11"/>
  <c r="AQ12" i="11"/>
  <c r="AQ11" i="11"/>
  <c r="AQ10" i="11"/>
  <c r="AQ9" i="11"/>
  <c r="AQ8" i="11"/>
  <c r="AQ7" i="11"/>
  <c r="AQ6" i="11"/>
  <c r="AU49" i="13" l="1"/>
  <c r="AU48" i="13"/>
  <c r="AU47" i="13"/>
  <c r="AU46" i="13"/>
  <c r="AU45" i="13"/>
  <c r="AU44" i="13"/>
  <c r="AU43" i="13"/>
  <c r="AU42" i="13"/>
  <c r="AU41" i="13"/>
  <c r="AU40" i="13"/>
  <c r="AU39" i="13"/>
  <c r="AU38" i="13"/>
  <c r="AU37" i="13"/>
  <c r="AU36" i="13"/>
  <c r="AU35" i="13"/>
  <c r="AU34" i="13"/>
  <c r="AU33" i="13"/>
  <c r="AU32" i="13"/>
  <c r="AU31" i="13"/>
  <c r="AU30" i="13"/>
  <c r="AU29" i="13"/>
  <c r="AU28" i="13"/>
  <c r="AU27" i="13"/>
  <c r="AU26" i="13"/>
  <c r="AU25" i="13"/>
  <c r="AU24" i="13"/>
  <c r="AU23" i="13"/>
  <c r="AU21" i="13"/>
  <c r="AU20" i="13"/>
  <c r="AU19" i="13"/>
  <c r="AU18" i="13"/>
  <c r="AU17" i="13"/>
  <c r="AU16" i="13"/>
  <c r="AU15" i="13"/>
  <c r="AU14" i="13"/>
  <c r="AU13" i="13"/>
  <c r="AU12" i="13"/>
  <c r="AU11" i="13"/>
  <c r="AU10" i="13"/>
  <c r="AU9" i="13"/>
  <c r="AU8" i="13"/>
  <c r="AU7" i="13"/>
  <c r="AU6" i="13"/>
  <c r="AU5" i="13"/>
  <c r="AU4" i="13"/>
  <c r="AS18" i="11"/>
  <c r="BF22" i="56" s="1"/>
  <c r="AS23" i="11"/>
  <c r="BF27" i="56" s="1"/>
  <c r="AS21" i="11"/>
  <c r="BF25" i="56" s="1"/>
  <c r="AS20" i="11"/>
  <c r="BF24" i="56" s="1"/>
  <c r="AS14" i="11"/>
  <c r="BF18" i="56" s="1"/>
  <c r="AS15" i="11"/>
  <c r="BF19" i="56" s="1"/>
  <c r="AS10" i="11"/>
  <c r="BF14" i="56" s="1"/>
  <c r="AS12" i="11"/>
  <c r="BF16" i="56" s="1"/>
  <c r="AS8" i="11"/>
  <c r="BF12" i="56" s="1"/>
  <c r="AS11" i="11"/>
  <c r="BF15" i="56" s="1"/>
  <c r="AS9" i="11"/>
  <c r="BF13" i="56" s="1"/>
  <c r="BR69" i="56"/>
  <c r="BQ69" i="56"/>
  <c r="BP69" i="56"/>
  <c r="BO69" i="56"/>
  <c r="BN69" i="56"/>
  <c r="BM69" i="56"/>
  <c r="BL69" i="56"/>
  <c r="BK69" i="56"/>
  <c r="BJ69" i="56"/>
  <c r="BI69" i="56"/>
  <c r="BH69" i="56"/>
  <c r="BG69" i="56"/>
  <c r="BF69" i="56"/>
  <c r="BS37" i="56"/>
  <c r="BQ34" i="56"/>
  <c r="BP34" i="56"/>
  <c r="BO34" i="56"/>
  <c r="BN34" i="56"/>
  <c r="BM34" i="56"/>
  <c r="BL34" i="56"/>
  <c r="BK34" i="56"/>
  <c r="BJ34" i="56"/>
  <c r="BI34" i="56"/>
  <c r="BH34" i="56"/>
  <c r="BG34" i="56"/>
  <c r="BF34" i="56"/>
  <c r="BQ31" i="56"/>
  <c r="BP31" i="56"/>
  <c r="BO31" i="56"/>
  <c r="BN31" i="56"/>
  <c r="BM31" i="56"/>
  <c r="BL31" i="56"/>
  <c r="BK31" i="56"/>
  <c r="BJ31" i="56"/>
  <c r="BI31" i="56"/>
  <c r="BH31" i="56"/>
  <c r="BG31" i="56"/>
  <c r="BF31" i="56"/>
  <c r="AT35" i="11"/>
  <c r="AU35" i="11"/>
  <c r="AV35" i="11"/>
  <c r="AW35" i="11"/>
  <c r="AX35" i="11"/>
  <c r="AY35" i="11"/>
  <c r="AZ35" i="11"/>
  <c r="BA35" i="11"/>
  <c r="BB35" i="11"/>
  <c r="BC35" i="11"/>
  <c r="BD35" i="11"/>
  <c r="BE35" i="11"/>
  <c r="AS35" i="11"/>
  <c r="BD31" i="11"/>
  <c r="BD32" i="11" s="1"/>
  <c r="BD18" i="11"/>
  <c r="BQ22" i="56" s="1"/>
  <c r="BD24" i="11"/>
  <c r="BQ28" i="56" s="1"/>
  <c r="BC24" i="11"/>
  <c r="BP28" i="56" s="1"/>
  <c r="BB24" i="11"/>
  <c r="BO28" i="56" s="1"/>
  <c r="BA24" i="11"/>
  <c r="BN28" i="56" s="1"/>
  <c r="AZ24" i="11"/>
  <c r="BM28" i="56" s="1"/>
  <c r="AY24" i="11"/>
  <c r="BL28" i="56" s="1"/>
  <c r="AX24" i="11"/>
  <c r="BK28" i="56" s="1"/>
  <c r="AW24" i="11"/>
  <c r="BJ28" i="56" s="1"/>
  <c r="AV24" i="11"/>
  <c r="BI28" i="56" s="1"/>
  <c r="AU24" i="11"/>
  <c r="BH28" i="56" s="1"/>
  <c r="AT24" i="11"/>
  <c r="AS24" i="11"/>
  <c r="BD23" i="11"/>
  <c r="BQ27" i="56" s="1"/>
  <c r="BC23" i="11"/>
  <c r="BP27" i="56" s="1"/>
  <c r="BB23" i="11"/>
  <c r="BO27" i="56" s="1"/>
  <c r="BA23" i="11"/>
  <c r="BN27" i="56" s="1"/>
  <c r="AZ23" i="11"/>
  <c r="BM27" i="56" s="1"/>
  <c r="AY23" i="11"/>
  <c r="BL27" i="56" s="1"/>
  <c r="AX23" i="11"/>
  <c r="BK27" i="56" s="1"/>
  <c r="AW23" i="11"/>
  <c r="BJ27" i="56" s="1"/>
  <c r="AV23" i="11"/>
  <c r="BI27" i="56" s="1"/>
  <c r="AU23" i="11"/>
  <c r="BH27" i="56" s="1"/>
  <c r="AT23" i="11"/>
  <c r="BG27" i="56" s="1"/>
  <c r="BD22" i="11"/>
  <c r="BQ26" i="56" s="1"/>
  <c r="BC22" i="11"/>
  <c r="BP26" i="56" s="1"/>
  <c r="BB22" i="11"/>
  <c r="BA22" i="11"/>
  <c r="AZ22" i="11"/>
  <c r="BM26" i="56" s="1"/>
  <c r="AY22" i="11"/>
  <c r="BL26" i="56" s="1"/>
  <c r="AX22" i="11"/>
  <c r="BK26" i="56" s="1"/>
  <c r="AW22" i="11"/>
  <c r="BJ26" i="56" s="1"/>
  <c r="AV22" i="11"/>
  <c r="BI26" i="56" s="1"/>
  <c r="AU22" i="11"/>
  <c r="BH26" i="56" s="1"/>
  <c r="AT22" i="11"/>
  <c r="BG26" i="56" s="1"/>
  <c r="AS22" i="11"/>
  <c r="BF26" i="56" s="1"/>
  <c r="BD21" i="11"/>
  <c r="BQ25" i="56" s="1"/>
  <c r="BC21" i="11"/>
  <c r="BP25" i="56" s="1"/>
  <c r="BB21" i="11"/>
  <c r="BO25" i="56" s="1"/>
  <c r="BA21" i="11"/>
  <c r="BN25" i="56" s="1"/>
  <c r="AZ21" i="11"/>
  <c r="BM25" i="56" s="1"/>
  <c r="AY21" i="11"/>
  <c r="AX21" i="11"/>
  <c r="AW21" i="11"/>
  <c r="AV21" i="11"/>
  <c r="BI25" i="56" s="1"/>
  <c r="AU21" i="11"/>
  <c r="BH25" i="56" s="1"/>
  <c r="AT21" i="11"/>
  <c r="BG25" i="56" s="1"/>
  <c r="BD20" i="11"/>
  <c r="BQ24" i="56" s="1"/>
  <c r="BC20" i="11"/>
  <c r="BP24" i="56" s="1"/>
  <c r="BB20" i="11"/>
  <c r="BO24" i="56" s="1"/>
  <c r="BA20" i="11"/>
  <c r="BN24" i="56" s="1"/>
  <c r="AZ20" i="11"/>
  <c r="BM24" i="56" s="1"/>
  <c r="AY20" i="11"/>
  <c r="AX20" i="11"/>
  <c r="BK24" i="56" s="1"/>
  <c r="AW20" i="11"/>
  <c r="BJ24" i="56" s="1"/>
  <c r="AV20" i="11"/>
  <c r="BI24" i="56" s="1"/>
  <c r="AU20" i="11"/>
  <c r="BH24" i="56" s="1"/>
  <c r="AT20" i="11"/>
  <c r="BD19" i="11"/>
  <c r="BQ23" i="56" s="1"/>
  <c r="BC19" i="11"/>
  <c r="BP23" i="56" s="1"/>
  <c r="BB19" i="11"/>
  <c r="BO23" i="56" s="1"/>
  <c r="BA19" i="11"/>
  <c r="BN23" i="56" s="1"/>
  <c r="AZ19" i="11"/>
  <c r="BM23" i="56" s="1"/>
  <c r="AY19" i="11"/>
  <c r="BL23" i="56" s="1"/>
  <c r="AX19" i="11"/>
  <c r="BK23" i="56" s="1"/>
  <c r="AW19" i="11"/>
  <c r="BJ23" i="56" s="1"/>
  <c r="AV19" i="11"/>
  <c r="BI23" i="56" s="1"/>
  <c r="AU19" i="11"/>
  <c r="BH23" i="56" s="1"/>
  <c r="AT19" i="11"/>
  <c r="BG23" i="56" s="1"/>
  <c r="AS19" i="11"/>
  <c r="BF23" i="56" s="1"/>
  <c r="BC18" i="11"/>
  <c r="BP22" i="56" s="1"/>
  <c r="BB18" i="11"/>
  <c r="BA18" i="11"/>
  <c r="AZ18" i="11"/>
  <c r="AY18" i="11"/>
  <c r="BL22" i="56" s="1"/>
  <c r="AX18" i="11"/>
  <c r="BK22" i="56" s="1"/>
  <c r="AW18" i="11"/>
  <c r="BJ22" i="56" s="1"/>
  <c r="AV18" i="11"/>
  <c r="BI22" i="56" s="1"/>
  <c r="AU18" i="11"/>
  <c r="BH22" i="56" s="1"/>
  <c r="AT18" i="11"/>
  <c r="BG22" i="56" s="1"/>
  <c r="BD16" i="11"/>
  <c r="BQ20" i="56" s="1"/>
  <c r="BC16" i="11"/>
  <c r="BP20" i="56" s="1"/>
  <c r="BB16" i="11"/>
  <c r="BO20" i="56" s="1"/>
  <c r="BA16" i="11"/>
  <c r="BN20" i="56" s="1"/>
  <c r="AZ16" i="11"/>
  <c r="BM20" i="56" s="1"/>
  <c r="AY16" i="11"/>
  <c r="BL20" i="56" s="1"/>
  <c r="AX16" i="11"/>
  <c r="AW16" i="11"/>
  <c r="AV16" i="11"/>
  <c r="AU16" i="11"/>
  <c r="AT16" i="11"/>
  <c r="BG20" i="56" s="1"/>
  <c r="AS16" i="11"/>
  <c r="BF20" i="56" s="1"/>
  <c r="BD15" i="11"/>
  <c r="BQ19" i="56" s="1"/>
  <c r="BC15" i="11"/>
  <c r="BP19" i="56" s="1"/>
  <c r="BB15" i="11"/>
  <c r="BO19" i="56" s="1"/>
  <c r="BA15" i="11"/>
  <c r="BN19" i="56" s="1"/>
  <c r="AZ15" i="11"/>
  <c r="BM19" i="56" s="1"/>
  <c r="AY15" i="11"/>
  <c r="BL19" i="56" s="1"/>
  <c r="AX15" i="11"/>
  <c r="BK19" i="56" s="1"/>
  <c r="AW15" i="11"/>
  <c r="BJ19" i="56" s="1"/>
  <c r="AV15" i="11"/>
  <c r="BI19" i="56" s="1"/>
  <c r="AU15" i="11"/>
  <c r="BH19" i="56" s="1"/>
  <c r="AT15" i="11"/>
  <c r="BD14" i="11"/>
  <c r="BC14" i="11"/>
  <c r="BB14" i="11"/>
  <c r="BO18" i="56" s="1"/>
  <c r="BA14" i="11"/>
  <c r="BN18" i="56" s="1"/>
  <c r="AZ14" i="11"/>
  <c r="BM18" i="56" s="1"/>
  <c r="AY14" i="11"/>
  <c r="BL18" i="56" s="1"/>
  <c r="AX14" i="11"/>
  <c r="BK18" i="56" s="1"/>
  <c r="AW14" i="11"/>
  <c r="BJ18" i="56" s="1"/>
  <c r="AV14" i="11"/>
  <c r="BI18" i="56" s="1"/>
  <c r="AU14" i="11"/>
  <c r="BH18" i="56" s="1"/>
  <c r="AT14" i="11"/>
  <c r="BG18" i="56" s="1"/>
  <c r="BD13" i="11"/>
  <c r="BQ17" i="56" s="1"/>
  <c r="BC13" i="11"/>
  <c r="BP17" i="56" s="1"/>
  <c r="BB13" i="11"/>
  <c r="BA13" i="11"/>
  <c r="AZ13" i="11"/>
  <c r="AY13" i="11"/>
  <c r="AX13" i="11"/>
  <c r="BK17" i="56" s="1"/>
  <c r="AW13" i="11"/>
  <c r="BJ17" i="56" s="1"/>
  <c r="AV13" i="11"/>
  <c r="BI17" i="56" s="1"/>
  <c r="AU13" i="11"/>
  <c r="BH17" i="56" s="1"/>
  <c r="AT13" i="11"/>
  <c r="BG17" i="56" s="1"/>
  <c r="AS13" i="11"/>
  <c r="BF17" i="56" s="1"/>
  <c r="BD12" i="11"/>
  <c r="BQ16" i="56" s="1"/>
  <c r="BC12" i="11"/>
  <c r="BP16" i="56" s="1"/>
  <c r="BB12" i="11"/>
  <c r="BO16" i="56" s="1"/>
  <c r="BA12" i="11"/>
  <c r="BN16" i="56" s="1"/>
  <c r="AZ12" i="11"/>
  <c r="BM16" i="56" s="1"/>
  <c r="AY12" i="11"/>
  <c r="BL16" i="56" s="1"/>
  <c r="AX12" i="11"/>
  <c r="AW12" i="11"/>
  <c r="AV12" i="11"/>
  <c r="AU12" i="11"/>
  <c r="AT12" i="11"/>
  <c r="BG16" i="56" s="1"/>
  <c r="BD11" i="11"/>
  <c r="BQ15" i="56" s="1"/>
  <c r="BC11" i="11"/>
  <c r="BP15" i="56" s="1"/>
  <c r="BB11" i="11"/>
  <c r="BO15" i="56" s="1"/>
  <c r="BA11" i="11"/>
  <c r="BN15" i="56" s="1"/>
  <c r="AZ11" i="11"/>
  <c r="BM15" i="56" s="1"/>
  <c r="AY11" i="11"/>
  <c r="BL15" i="56" s="1"/>
  <c r="AX11" i="11"/>
  <c r="BK15" i="56" s="1"/>
  <c r="AW11" i="11"/>
  <c r="BJ15" i="56" s="1"/>
  <c r="AV11" i="11"/>
  <c r="BI15" i="56" s="1"/>
  <c r="AU11" i="11"/>
  <c r="AT11" i="11"/>
  <c r="BD10" i="11"/>
  <c r="BC10" i="11"/>
  <c r="BB10" i="11"/>
  <c r="BO14" i="56" s="1"/>
  <c r="BA10" i="11"/>
  <c r="BN14" i="56" s="1"/>
  <c r="AZ10" i="11"/>
  <c r="BM14" i="56" s="1"/>
  <c r="AY10" i="11"/>
  <c r="BL14" i="56" s="1"/>
  <c r="AX10" i="11"/>
  <c r="BK14" i="56" s="1"/>
  <c r="AW10" i="11"/>
  <c r="BJ14" i="56" s="1"/>
  <c r="AV10" i="11"/>
  <c r="BI14" i="56" s="1"/>
  <c r="AU10" i="11"/>
  <c r="BH14" i="56" s="1"/>
  <c r="AT10" i="11"/>
  <c r="BG14" i="56" s="1"/>
  <c r="BD9" i="11"/>
  <c r="BQ13" i="56" s="1"/>
  <c r="BC9" i="11"/>
  <c r="BB9" i="11"/>
  <c r="BA9" i="11"/>
  <c r="AZ9" i="11"/>
  <c r="AY9" i="11"/>
  <c r="AX9" i="11"/>
  <c r="BK13" i="56" s="1"/>
  <c r="AW9" i="11"/>
  <c r="BJ13" i="56" s="1"/>
  <c r="AV9" i="11"/>
  <c r="BI13" i="56" s="1"/>
  <c r="AU9" i="11"/>
  <c r="BH13" i="56" s="1"/>
  <c r="AT9" i="11"/>
  <c r="BG13" i="56" s="1"/>
  <c r="BD8" i="11"/>
  <c r="BQ12" i="56" s="1"/>
  <c r="BC8" i="11"/>
  <c r="BP12" i="56" s="1"/>
  <c r="BB8" i="11"/>
  <c r="BO12" i="56" s="1"/>
  <c r="BA8" i="11"/>
  <c r="BN12" i="56" s="1"/>
  <c r="AZ8" i="11"/>
  <c r="BM12" i="56" s="1"/>
  <c r="AY8" i="11"/>
  <c r="AX8" i="11"/>
  <c r="AW8" i="11"/>
  <c r="AV8" i="11"/>
  <c r="AU8" i="11"/>
  <c r="AT8" i="11"/>
  <c r="BG12" i="56" s="1"/>
  <c r="BD7" i="11"/>
  <c r="BQ11" i="56" s="1"/>
  <c r="BC7" i="11"/>
  <c r="BP11" i="56" s="1"/>
  <c r="BB7" i="11"/>
  <c r="BO11" i="56" s="1"/>
  <c r="BA7" i="11"/>
  <c r="BN11" i="56" s="1"/>
  <c r="AZ7" i="11"/>
  <c r="BM11" i="56" s="1"/>
  <c r="AY7" i="11"/>
  <c r="BL11" i="56" s="1"/>
  <c r="AX7" i="11"/>
  <c r="BK11" i="56" s="1"/>
  <c r="AW7" i="11"/>
  <c r="BJ11" i="56" s="1"/>
  <c r="AV7" i="11"/>
  <c r="BI11" i="56" s="1"/>
  <c r="AU7" i="11"/>
  <c r="BH11" i="56" s="1"/>
  <c r="AT7" i="11"/>
  <c r="AS7" i="11"/>
  <c r="BD6" i="11"/>
  <c r="BC6" i="11"/>
  <c r="BP10" i="56" s="1"/>
  <c r="BB6" i="11"/>
  <c r="BO10" i="56" s="1"/>
  <c r="BA6" i="11"/>
  <c r="BN10" i="56" s="1"/>
  <c r="AZ6" i="11"/>
  <c r="BM10" i="56" s="1"/>
  <c r="AY6" i="11"/>
  <c r="BL10" i="56" s="1"/>
  <c r="AX6" i="11"/>
  <c r="BK10" i="56" s="1"/>
  <c r="AW6" i="11"/>
  <c r="BJ10" i="56" s="1"/>
  <c r="AV6" i="11"/>
  <c r="BI10" i="56" s="1"/>
  <c r="AU6" i="11"/>
  <c r="BH10" i="56" s="1"/>
  <c r="AT6" i="11"/>
  <c r="BG10" i="56" s="1"/>
  <c r="AS6" i="11"/>
  <c r="AQ31" i="11"/>
  <c r="AR26" i="11"/>
  <c r="BE23" i="11" l="1"/>
  <c r="BE6" i="11"/>
  <c r="BL13" i="56"/>
  <c r="BL17" i="56"/>
  <c r="BJ25" i="56"/>
  <c r="AV25" i="11"/>
  <c r="AV46" i="11" s="1"/>
  <c r="BI12" i="56"/>
  <c r="BM17" i="56"/>
  <c r="BG24" i="56"/>
  <c r="BK25" i="56"/>
  <c r="BO26" i="56"/>
  <c r="BE24" i="11"/>
  <c r="BF28" i="56"/>
  <c r="AU25" i="11"/>
  <c r="AU41" i="11" s="1"/>
  <c r="BH12" i="56"/>
  <c r="BH16" i="56"/>
  <c r="BH20" i="56"/>
  <c r="BN26" i="56"/>
  <c r="BQ14" i="56"/>
  <c r="BI20" i="56"/>
  <c r="BJ12" i="56"/>
  <c r="BO22" i="56"/>
  <c r="BQ10" i="56"/>
  <c r="BP14" i="56"/>
  <c r="BP18" i="56"/>
  <c r="BM22" i="56"/>
  <c r="BM13" i="56"/>
  <c r="BI16" i="56"/>
  <c r="BQ18" i="56"/>
  <c r="BN22" i="56"/>
  <c r="BE7" i="11"/>
  <c r="BF11" i="56"/>
  <c r="BN13" i="56"/>
  <c r="BJ16" i="56"/>
  <c r="BN17" i="56"/>
  <c r="BJ20" i="56"/>
  <c r="BE21" i="11"/>
  <c r="BL25" i="56"/>
  <c r="BG28" i="56"/>
  <c r="BK12" i="56"/>
  <c r="BK16" i="56"/>
  <c r="BH15" i="56"/>
  <c r="BF10" i="56"/>
  <c r="BL24" i="56"/>
  <c r="BG11" i="56"/>
  <c r="BG15" i="56"/>
  <c r="BO17" i="56"/>
  <c r="BK20" i="56"/>
  <c r="BP13" i="56"/>
  <c r="BO13" i="56"/>
  <c r="BG19" i="56"/>
  <c r="BL12" i="56"/>
  <c r="BE14" i="11"/>
  <c r="BE13" i="11"/>
  <c r="BE11" i="11"/>
  <c r="BE8" i="11"/>
  <c r="BE12" i="11"/>
  <c r="BE9" i="11"/>
  <c r="AS25" i="11"/>
  <c r="AS47" i="11" s="1"/>
  <c r="AY25" i="11"/>
  <c r="AY38" i="11" s="1"/>
  <c r="AZ25" i="11"/>
  <c r="AZ51" i="11" s="1"/>
  <c r="AT25" i="11"/>
  <c r="AT50" i="11" s="1"/>
  <c r="BA25" i="11"/>
  <c r="BA53" i="11" s="1"/>
  <c r="BB25" i="11"/>
  <c r="BB40" i="11" s="1"/>
  <c r="BE18" i="11"/>
  <c r="BD25" i="11"/>
  <c r="BD40" i="11" s="1"/>
  <c r="BE22" i="11"/>
  <c r="AX25" i="11"/>
  <c r="AX44" i="11" s="1"/>
  <c r="BE29" i="11"/>
  <c r="BC25" i="11"/>
  <c r="BC41" i="11" s="1"/>
  <c r="BE20" i="11"/>
  <c r="BE16" i="11"/>
  <c r="BE15" i="11"/>
  <c r="AW25" i="11"/>
  <c r="AW43" i="11" s="1"/>
  <c r="BE19" i="11"/>
  <c r="BE10" i="11"/>
  <c r="AV49" i="11" l="1"/>
  <c r="BB54" i="11"/>
  <c r="BB53" i="11"/>
  <c r="BA27" i="11"/>
  <c r="BC44" i="11"/>
  <c r="BA51" i="11"/>
  <c r="BA43" i="11"/>
  <c r="AU38" i="11"/>
  <c r="AU46" i="11"/>
  <c r="AU27" i="11"/>
  <c r="BB41" i="11"/>
  <c r="AU54" i="11"/>
  <c r="AS40" i="11"/>
  <c r="BB28" i="11"/>
  <c r="BA37" i="11"/>
  <c r="AV39" i="11"/>
  <c r="AX53" i="11"/>
  <c r="BB50" i="11"/>
  <c r="AU55" i="11"/>
  <c r="AU42" i="11"/>
  <c r="AS43" i="11"/>
  <c r="AU47" i="11"/>
  <c r="AU43" i="11"/>
  <c r="AX38" i="11"/>
  <c r="AU39" i="11"/>
  <c r="BA54" i="11"/>
  <c r="AX43" i="11"/>
  <c r="BB27" i="11"/>
  <c r="AW49" i="11"/>
  <c r="BB43" i="11"/>
  <c r="BA40" i="11"/>
  <c r="BC37" i="11"/>
  <c r="AX52" i="11"/>
  <c r="BA45" i="11"/>
  <c r="BA50" i="11"/>
  <c r="BC40" i="11"/>
  <c r="AW46" i="11"/>
  <c r="AX39" i="11"/>
  <c r="BC53" i="11"/>
  <c r="AX46" i="11"/>
  <c r="AX47" i="11"/>
  <c r="BB49" i="11"/>
  <c r="AX49" i="11"/>
  <c r="AU28" i="11"/>
  <c r="BA52" i="11"/>
  <c r="AZ40" i="11"/>
  <c r="AW44" i="11"/>
  <c r="AW52" i="11"/>
  <c r="BA41" i="11"/>
  <c r="BA49" i="11"/>
  <c r="BB37" i="11"/>
  <c r="BB44" i="11"/>
  <c r="AW40" i="11"/>
  <c r="AW47" i="11"/>
  <c r="AW39" i="11"/>
  <c r="AW54" i="11"/>
  <c r="BC45" i="11"/>
  <c r="AV47" i="11"/>
  <c r="BC43" i="11"/>
  <c r="AS53" i="11"/>
  <c r="BB45" i="11"/>
  <c r="BA28" i="11"/>
  <c r="AS37" i="11"/>
  <c r="BA44" i="11"/>
  <c r="BF41" i="56"/>
  <c r="AZ44" i="11"/>
  <c r="AT28" i="11"/>
  <c r="AT27" i="11"/>
  <c r="AT41" i="11"/>
  <c r="AS50" i="11"/>
  <c r="BD46" i="11"/>
  <c r="AZ49" i="11"/>
  <c r="AS38" i="11"/>
  <c r="AV27" i="11"/>
  <c r="AZ45" i="11"/>
  <c r="AW41" i="11"/>
  <c r="AW42" i="11"/>
  <c r="AW50" i="11"/>
  <c r="AW55" i="11"/>
  <c r="AW51" i="11"/>
  <c r="AW45" i="11"/>
  <c r="AW37" i="11"/>
  <c r="AS28" i="11"/>
  <c r="AT54" i="11"/>
  <c r="AT42" i="11"/>
  <c r="AV54" i="11"/>
  <c r="AS54" i="11"/>
  <c r="AV42" i="11"/>
  <c r="AV53" i="11"/>
  <c r="AT38" i="11"/>
  <c r="AZ50" i="11"/>
  <c r="AZ28" i="11"/>
  <c r="AS27" i="11"/>
  <c r="AS51" i="11"/>
  <c r="AV55" i="11"/>
  <c r="AT55" i="11"/>
  <c r="AU52" i="11"/>
  <c r="AU44" i="11"/>
  <c r="AU49" i="11"/>
  <c r="AU37" i="11"/>
  <c r="AU50" i="11"/>
  <c r="AU53" i="11"/>
  <c r="AU45" i="11"/>
  <c r="AU51" i="11"/>
  <c r="AU40" i="11"/>
  <c r="AT44" i="11"/>
  <c r="AT49" i="11"/>
  <c r="AT37" i="11"/>
  <c r="AT45" i="11"/>
  <c r="AT40" i="11"/>
  <c r="AT53" i="11"/>
  <c r="AZ53" i="11"/>
  <c r="AZ38" i="11"/>
  <c r="AZ46" i="11"/>
  <c r="AZ47" i="11"/>
  <c r="AZ55" i="11"/>
  <c r="AZ42" i="11"/>
  <c r="BD50" i="11"/>
  <c r="BD54" i="11"/>
  <c r="BD47" i="11"/>
  <c r="BD43" i="11"/>
  <c r="BD44" i="11"/>
  <c r="BD49" i="11"/>
  <c r="BD52" i="11"/>
  <c r="BD39" i="11"/>
  <c r="AY28" i="11"/>
  <c r="AY49" i="11"/>
  <c r="AY53" i="11"/>
  <c r="AY45" i="11"/>
  <c r="AY41" i="11"/>
  <c r="AY54" i="11"/>
  <c r="AY47" i="11"/>
  <c r="AY46" i="11"/>
  <c r="AY42" i="11"/>
  <c r="AY37" i="11"/>
  <c r="AY55" i="11"/>
  <c r="AY50" i="11"/>
  <c r="AT52" i="11"/>
  <c r="AZ37" i="11"/>
  <c r="BD42" i="11"/>
  <c r="BD51" i="11"/>
  <c r="BD41" i="11"/>
  <c r="AV52" i="11"/>
  <c r="AV50" i="11"/>
  <c r="AV41" i="11"/>
  <c r="AV51" i="11"/>
  <c r="AV45" i="11"/>
  <c r="AV37" i="11"/>
  <c r="AS55" i="11"/>
  <c r="AV28" i="11"/>
  <c r="AS44" i="11"/>
  <c r="AV44" i="11"/>
  <c r="AS49" i="11"/>
  <c r="AS41" i="11"/>
  <c r="AZ41" i="11"/>
  <c r="AZ54" i="11"/>
  <c r="AY44" i="11"/>
  <c r="AS39" i="11"/>
  <c r="AV40" i="11"/>
  <c r="AY51" i="11"/>
  <c r="AY40" i="11"/>
  <c r="AS42" i="11"/>
  <c r="AZ27" i="11"/>
  <c r="BD38" i="11"/>
  <c r="BD37" i="11"/>
  <c r="AS45" i="11"/>
  <c r="AV38" i="11"/>
  <c r="BC50" i="11"/>
  <c r="BC54" i="11"/>
  <c r="BC55" i="11"/>
  <c r="BC51" i="11"/>
  <c r="BC39" i="11"/>
  <c r="BC38" i="11"/>
  <c r="BC28" i="11"/>
  <c r="BC46" i="11"/>
  <c r="BC52" i="11"/>
  <c r="BC42" i="11"/>
  <c r="BC47" i="11"/>
  <c r="AW38" i="11"/>
  <c r="AT39" i="11"/>
  <c r="AS52" i="11"/>
  <c r="AS46" i="11"/>
  <c r="AY43" i="11"/>
  <c r="AZ43" i="11"/>
  <c r="AY39" i="11"/>
  <c r="BC49" i="11"/>
  <c r="AY52" i="11"/>
  <c r="BD45" i="11"/>
  <c r="AX45" i="11"/>
  <c r="AX42" i="11"/>
  <c r="AX41" i="11"/>
  <c r="AX54" i="11"/>
  <c r="AX55" i="11"/>
  <c r="AX37" i="11"/>
  <c r="AX50" i="11"/>
  <c r="AY27" i="11"/>
  <c r="BB51" i="11"/>
  <c r="BB46" i="11"/>
  <c r="BB52" i="11"/>
  <c r="BB39" i="11"/>
  <c r="BB38" i="11"/>
  <c r="BB47" i="11"/>
  <c r="BB55" i="11"/>
  <c r="BB42" i="11"/>
  <c r="AX51" i="11"/>
  <c r="BD55" i="11"/>
  <c r="AV43" i="11"/>
  <c r="AT47" i="11"/>
  <c r="BA38" i="11"/>
  <c r="BA39" i="11"/>
  <c r="BA46" i="11"/>
  <c r="BA47" i="11"/>
  <c r="BA55" i="11"/>
  <c r="BA42" i="11"/>
  <c r="BD53" i="11"/>
  <c r="AW53" i="11"/>
  <c r="AT46" i="11"/>
  <c r="AZ52" i="11"/>
  <c r="AZ39" i="11"/>
  <c r="AT43" i="11"/>
  <c r="AX40" i="11"/>
  <c r="AT51" i="11"/>
  <c r="AX27" i="11"/>
  <c r="AX28" i="11"/>
  <c r="BE25" i="11"/>
  <c r="BE44" i="11" s="1"/>
  <c r="AW28" i="11"/>
  <c r="AW27" i="11"/>
  <c r="BD28" i="11"/>
  <c r="BD27" i="11"/>
  <c r="BC27" i="11"/>
  <c r="BE40" i="11" l="1"/>
  <c r="BE28" i="11"/>
  <c r="BE39" i="11"/>
  <c r="BE43" i="11"/>
  <c r="BE46" i="11"/>
  <c r="BE52" i="11"/>
  <c r="BE47" i="11"/>
  <c r="BE42" i="11"/>
  <c r="BE49" i="11"/>
  <c r="BE50" i="11"/>
  <c r="BE51" i="11"/>
  <c r="BE45" i="11"/>
  <c r="BE37" i="11"/>
  <c r="BE54" i="11"/>
  <c r="BE55" i="11"/>
  <c r="BE41" i="11"/>
  <c r="BE38" i="11"/>
  <c r="BE53" i="11"/>
  <c r="BE27" i="11"/>
  <c r="AW61" i="13" l="1"/>
  <c r="AX61" i="13"/>
  <c r="AY61" i="13"/>
  <c r="AZ61" i="13"/>
  <c r="BA61" i="13"/>
  <c r="BB61" i="13"/>
  <c r="BC61" i="13"/>
  <c r="BD61" i="13"/>
  <c r="BE61" i="13"/>
  <c r="BF61" i="13"/>
  <c r="BG61" i="13"/>
  <c r="AV61" i="13"/>
  <c r="BG50" i="13"/>
  <c r="BG98" i="13" s="1"/>
  <c r="BF50" i="13"/>
  <c r="BF103" i="13" s="1"/>
  <c r="BE50" i="13"/>
  <c r="BE71" i="13" s="1"/>
  <c r="BD50" i="13"/>
  <c r="BD109" i="13" s="1"/>
  <c r="BC50" i="13"/>
  <c r="BC94" i="13" s="1"/>
  <c r="BB50" i="13"/>
  <c r="BB66" i="13" s="1"/>
  <c r="BA50" i="13"/>
  <c r="BA77" i="13" s="1"/>
  <c r="AZ50" i="13"/>
  <c r="AZ65" i="13" s="1"/>
  <c r="AY50" i="13"/>
  <c r="AY101" i="13" s="1"/>
  <c r="AW50" i="13"/>
  <c r="AW104" i="13" s="1"/>
  <c r="AV50" i="13"/>
  <c r="AV104" i="13" s="1"/>
  <c r="BH49" i="13"/>
  <c r="BH48" i="13"/>
  <c r="BH47" i="13"/>
  <c r="BH46" i="13"/>
  <c r="BH45" i="13"/>
  <c r="BH44" i="13"/>
  <c r="BH43" i="13"/>
  <c r="BH42" i="13"/>
  <c r="BH41" i="13"/>
  <c r="BH40" i="13"/>
  <c r="BH39" i="13"/>
  <c r="BH38" i="13"/>
  <c r="BH37" i="13"/>
  <c r="BH36" i="13"/>
  <c r="BH35" i="13"/>
  <c r="BH34" i="13"/>
  <c r="BH33" i="13"/>
  <c r="BH32" i="13"/>
  <c r="BH31" i="13"/>
  <c r="BH30" i="13"/>
  <c r="BH29" i="13"/>
  <c r="BH28" i="13"/>
  <c r="BH27" i="13"/>
  <c r="BH26" i="13"/>
  <c r="BH25" i="13"/>
  <c r="BH24" i="13"/>
  <c r="BH23" i="13"/>
  <c r="BH21" i="13"/>
  <c r="BH20" i="13"/>
  <c r="BH19" i="13"/>
  <c r="BH18" i="13"/>
  <c r="BH17" i="13"/>
  <c r="BH16" i="13"/>
  <c r="BH15" i="13"/>
  <c r="AX50" i="13"/>
  <c r="BH13" i="13"/>
  <c r="BH12" i="13"/>
  <c r="BH11" i="13"/>
  <c r="BH10" i="13"/>
  <c r="BH9" i="13"/>
  <c r="BH8" i="13"/>
  <c r="BH7" i="13"/>
  <c r="BH6" i="13"/>
  <c r="BH5" i="13"/>
  <c r="BH4" i="13"/>
  <c r="BI2" i="13"/>
  <c r="BV39" i="56"/>
  <c r="BU39" i="56"/>
  <c r="BG39" i="56"/>
  <c r="BH39" i="56"/>
  <c r="BI39" i="56"/>
  <c r="BJ39" i="56"/>
  <c r="BK39" i="56"/>
  <c r="BL39" i="56"/>
  <c r="BM39" i="56"/>
  <c r="BN39" i="56"/>
  <c r="BO39" i="56"/>
  <c r="BP39" i="56"/>
  <c r="BQ39" i="56"/>
  <c r="BR39" i="56"/>
  <c r="BF39" i="56"/>
  <c r="AT39" i="56"/>
  <c r="AU39" i="56"/>
  <c r="AV39" i="56"/>
  <c r="AW39" i="56"/>
  <c r="AX39" i="56"/>
  <c r="AY39" i="56"/>
  <c r="AZ39" i="56"/>
  <c r="BA39" i="56"/>
  <c r="BB39" i="56"/>
  <c r="BC39" i="56"/>
  <c r="BD39" i="56"/>
  <c r="BE39" i="56"/>
  <c r="AS39" i="56"/>
  <c r="BT8" i="56"/>
  <c r="AR37" i="56"/>
  <c r="AQ37" i="56"/>
  <c r="AO34" i="56"/>
  <c r="AN34" i="56"/>
  <c r="AM34" i="56"/>
  <c r="AL34" i="56"/>
  <c r="AK34" i="56"/>
  <c r="AJ34" i="56"/>
  <c r="AI34" i="56"/>
  <c r="AH34" i="56"/>
  <c r="AG34" i="56"/>
  <c r="AF34" i="56"/>
  <c r="AE34" i="56"/>
  <c r="AP31" i="56"/>
  <c r="AP62" i="56" s="1"/>
  <c r="AO31" i="56"/>
  <c r="AN31" i="56"/>
  <c r="AN62" i="56" s="1"/>
  <c r="AM31" i="56"/>
  <c r="AL31" i="56"/>
  <c r="AK31" i="56"/>
  <c r="AJ31" i="56"/>
  <c r="AI31" i="56"/>
  <c r="AH31" i="56"/>
  <c r="AH62" i="56" s="1"/>
  <c r="AG31" i="56"/>
  <c r="AG62" i="56" s="1"/>
  <c r="AF31" i="56"/>
  <c r="AE31" i="56"/>
  <c r="AE3" i="13"/>
  <c r="AC3" i="13"/>
  <c r="AB3" i="13"/>
  <c r="AA3" i="13"/>
  <c r="X3" i="13"/>
  <c r="W3" i="13"/>
  <c r="V3" i="13"/>
  <c r="U3" i="13"/>
  <c r="T3" i="13"/>
  <c r="AD3" i="13"/>
  <c r="AE62" i="56" l="1"/>
  <c r="AZ88" i="13"/>
  <c r="BF94" i="13"/>
  <c r="BD90" i="13"/>
  <c r="AV89" i="13"/>
  <c r="BD106" i="13"/>
  <c r="AY109" i="13"/>
  <c r="AY90" i="13"/>
  <c r="AZ104" i="13"/>
  <c r="AZ109" i="13"/>
  <c r="BA64" i="13"/>
  <c r="BD66" i="13"/>
  <c r="BA69" i="13"/>
  <c r="AZ64" i="13"/>
  <c r="AZ66" i="13"/>
  <c r="AV83" i="13"/>
  <c r="AZ85" i="13"/>
  <c r="AV70" i="13"/>
  <c r="AW70" i="13"/>
  <c r="AV96" i="13"/>
  <c r="AV76" i="13"/>
  <c r="AZ96" i="13"/>
  <c r="AW76" i="13"/>
  <c r="AW98" i="13"/>
  <c r="AY76" i="13"/>
  <c r="AZ98" i="13"/>
  <c r="AY70" i="13"/>
  <c r="AW96" i="13"/>
  <c r="AZ76" i="13"/>
  <c r="AZ82" i="13"/>
  <c r="AY102" i="13"/>
  <c r="AW95" i="13"/>
  <c r="AZ70" i="13"/>
  <c r="AZ71" i="13"/>
  <c r="AW102" i="13"/>
  <c r="AY64" i="13"/>
  <c r="BA82" i="13"/>
  <c r="AZ102" i="13"/>
  <c r="AV65" i="13"/>
  <c r="AW65" i="13"/>
  <c r="BA76" i="13"/>
  <c r="AW84" i="13"/>
  <c r="AW91" i="13"/>
  <c r="AY96" i="13"/>
  <c r="AY104" i="13"/>
  <c r="AV91" i="13"/>
  <c r="AV78" i="13"/>
  <c r="AV85" i="13"/>
  <c r="AV92" i="13"/>
  <c r="BC66" i="13"/>
  <c r="AV72" i="13"/>
  <c r="AW78" i="13"/>
  <c r="AW85" i="13"/>
  <c r="AW92" i="13"/>
  <c r="AV98" i="13"/>
  <c r="BA104" i="13"/>
  <c r="AV73" i="13"/>
  <c r="AW73" i="13"/>
  <c r="AW79" i="13"/>
  <c r="AW93" i="13"/>
  <c r="AY98" i="13"/>
  <c r="AY106" i="13"/>
  <c r="AY73" i="13"/>
  <c r="AY79" i="13"/>
  <c r="AV94" i="13"/>
  <c r="AV68" i="13"/>
  <c r="AV74" i="13"/>
  <c r="AZ79" i="13"/>
  <c r="AY86" i="13"/>
  <c r="AW94" i="13"/>
  <c r="BA98" i="13"/>
  <c r="AV107" i="13"/>
  <c r="AV84" i="13"/>
  <c r="AV79" i="13"/>
  <c r="AV67" i="13"/>
  <c r="AV86" i="13"/>
  <c r="AW67" i="13"/>
  <c r="AW86" i="13"/>
  <c r="AW68" i="13"/>
  <c r="AW74" i="13"/>
  <c r="AV80" i="13"/>
  <c r="AZ86" i="13"/>
  <c r="AZ94" i="13"/>
  <c r="AV99" i="13"/>
  <c r="AW107" i="13"/>
  <c r="AY68" i="13"/>
  <c r="AY74" i="13"/>
  <c r="AW80" i="13"/>
  <c r="AW87" i="13"/>
  <c r="BD94" i="13"/>
  <c r="BF100" i="13"/>
  <c r="AV108" i="13"/>
  <c r="AV105" i="13"/>
  <c r="AZ68" i="13"/>
  <c r="AZ74" i="13"/>
  <c r="AV82" i="13"/>
  <c r="AY88" i="13"/>
  <c r="BE94" i="13"/>
  <c r="BG100" i="13"/>
  <c r="AW108" i="13"/>
  <c r="AV93" i="13"/>
  <c r="AV55" i="13"/>
  <c r="AY69" i="13"/>
  <c r="AW75" i="13"/>
  <c r="AW82" i="13"/>
  <c r="AV101" i="13"/>
  <c r="AV109" i="13"/>
  <c r="AW64" i="13"/>
  <c r="AZ69" i="13"/>
  <c r="AY75" i="13"/>
  <c r="AY82" i="13"/>
  <c r="BA88" i="13"/>
  <c r="BG94" i="13"/>
  <c r="AW101" i="13"/>
  <c r="AW109" i="13"/>
  <c r="AV95" i="13"/>
  <c r="AV102" i="13"/>
  <c r="BB72" i="13"/>
  <c r="BB77" i="13"/>
  <c r="BC80" i="13"/>
  <c r="BD72" i="13"/>
  <c r="BD77" i="13"/>
  <c r="BE77" i="13"/>
  <c r="BB88" i="13"/>
  <c r="BD64" i="13"/>
  <c r="BG77" i="13"/>
  <c r="BD88" i="13"/>
  <c r="BC92" i="13"/>
  <c r="BF98" i="13"/>
  <c r="BC55" i="13"/>
  <c r="BF67" i="13"/>
  <c r="BG67" i="13"/>
  <c r="BE55" i="13"/>
  <c r="BG82" i="13"/>
  <c r="BG65" i="13"/>
  <c r="BA71" i="13"/>
  <c r="BC76" i="13"/>
  <c r="BD89" i="13"/>
  <c r="BA96" i="13"/>
  <c r="BG99" i="13"/>
  <c r="BB102" i="13"/>
  <c r="BD105" i="13"/>
  <c r="AW63" i="13"/>
  <c r="AY66" i="13"/>
  <c r="BC71" i="13"/>
  <c r="BA74" i="13"/>
  <c r="AV77" i="13"/>
  <c r="BA79" i="13"/>
  <c r="BE83" i="13"/>
  <c r="BB86" i="13"/>
  <c r="BG89" i="13"/>
  <c r="BG96" i="13"/>
  <c r="AW100" i="13"/>
  <c r="AV103" i="13"/>
  <c r="BG105" i="13"/>
  <c r="BA109" i="13"/>
  <c r="BC72" i="13"/>
  <c r="BB69" i="13"/>
  <c r="BD80" i="13"/>
  <c r="BC69" i="13"/>
  <c r="BE101" i="13"/>
  <c r="BD67" i="13"/>
  <c r="BC108" i="13"/>
  <c r="BD92" i="13"/>
  <c r="BD108" i="13"/>
  <c r="BE73" i="13"/>
  <c r="BE92" i="13"/>
  <c r="BE108" i="13"/>
  <c r="BD70" i="13"/>
  <c r="BF82" i="13"/>
  <c r="BE99" i="13"/>
  <c r="BF65" i="13"/>
  <c r="BB76" i="13"/>
  <c r="BC89" i="13"/>
  <c r="BB105" i="13"/>
  <c r="AV63" i="13"/>
  <c r="BA86" i="13"/>
  <c r="BC102" i="13"/>
  <c r="AV69" i="13"/>
  <c r="BB74" i="13"/>
  <c r="AW77" i="13"/>
  <c r="BF79" i="13"/>
  <c r="BF83" i="13"/>
  <c r="AV90" i="13"/>
  <c r="BA94" i="13"/>
  <c r="AV97" i="13"/>
  <c r="BC100" i="13"/>
  <c r="AW103" i="13"/>
  <c r="AV106" i="13"/>
  <c r="BB109" i="13"/>
  <c r="BC77" i="13"/>
  <c r="BD84" i="13"/>
  <c r="BB64" i="13"/>
  <c r="BB104" i="13"/>
  <c r="BC88" i="13"/>
  <c r="BD104" i="13"/>
  <c r="BE88" i="13"/>
  <c r="BE104" i="13"/>
  <c r="BB65" i="13"/>
  <c r="BB89" i="13"/>
  <c r="BF99" i="13"/>
  <c r="BA102" i="13"/>
  <c r="BF55" i="13"/>
  <c r="BC105" i="13"/>
  <c r="AV66" i="13"/>
  <c r="BB71" i="13"/>
  <c r="BD76" i="13"/>
  <c r="BD83" i="13"/>
  <c r="BF89" i="13"/>
  <c r="BF96" i="13"/>
  <c r="AV100" i="13"/>
  <c r="BG63" i="13"/>
  <c r="BD71" i="13"/>
  <c r="BC86" i="13"/>
  <c r="AV64" i="13"/>
  <c r="BA66" i="13"/>
  <c r="AW69" i="13"/>
  <c r="BG71" i="13"/>
  <c r="AV75" i="13"/>
  <c r="AZ77" i="13"/>
  <c r="BG79" i="13"/>
  <c r="BG83" i="13"/>
  <c r="AV87" i="13"/>
  <c r="AW90" i="13"/>
  <c r="BB94" i="13"/>
  <c r="AW97" i="13"/>
  <c r="BD100" i="13"/>
  <c r="BD103" i="13"/>
  <c r="AW106" i="13"/>
  <c r="BC109" i="13"/>
  <c r="BC75" i="13"/>
  <c r="BC84" i="13"/>
  <c r="BD75" i="13"/>
  <c r="BE75" i="13"/>
  <c r="BC64" i="13"/>
  <c r="BC67" i="13"/>
  <c r="BF77" i="13"/>
  <c r="BC104" i="13"/>
  <c r="BE67" i="13"/>
  <c r="BD73" i="13"/>
  <c r="BE85" i="13"/>
  <c r="BF104" i="13"/>
  <c r="BD55" i="13"/>
  <c r="BD97" i="13"/>
  <c r="BE100" i="13"/>
  <c r="AX99" i="13"/>
  <c r="AX83" i="13"/>
  <c r="AX66" i="13"/>
  <c r="AX94" i="13"/>
  <c r="AX77" i="13"/>
  <c r="AX105" i="13"/>
  <c r="AX89" i="13"/>
  <c r="AX72" i="13"/>
  <c r="AX55" i="13"/>
  <c r="AX100" i="13"/>
  <c r="AX84" i="13"/>
  <c r="AX67" i="13"/>
  <c r="AX97" i="13"/>
  <c r="AX80" i="13"/>
  <c r="AX64" i="13"/>
  <c r="AX95" i="13"/>
  <c r="AX78" i="13"/>
  <c r="AX69" i="13"/>
  <c r="AX103" i="13"/>
  <c r="AX91" i="13"/>
  <c r="AX71" i="13"/>
  <c r="AX101" i="13"/>
  <c r="AX87" i="13"/>
  <c r="AX65" i="13"/>
  <c r="AX63" i="13"/>
  <c r="AX102" i="13"/>
  <c r="AX88" i="13"/>
  <c r="AX106" i="13"/>
  <c r="AX104" i="13"/>
  <c r="AX92" i="13"/>
  <c r="AX68" i="13"/>
  <c r="AX75" i="13"/>
  <c r="AX79" i="13"/>
  <c r="AX107" i="13"/>
  <c r="AX96" i="13"/>
  <c r="AX93" i="13"/>
  <c r="AX82" i="13"/>
  <c r="AX74" i="13"/>
  <c r="AX76" i="13"/>
  <c r="AX109" i="13"/>
  <c r="AX98" i="13"/>
  <c r="AX86" i="13"/>
  <c r="AX70" i="13"/>
  <c r="AX108" i="13"/>
  <c r="AX90" i="13"/>
  <c r="AK62" i="56"/>
  <c r="AX73" i="13"/>
  <c r="BE84" i="13"/>
  <c r="BE87" i="13"/>
  <c r="AR31" i="56"/>
  <c r="BF107" i="13"/>
  <c r="BF91" i="13"/>
  <c r="BF74" i="13"/>
  <c r="BF102" i="13"/>
  <c r="BF86" i="13"/>
  <c r="BF69" i="13"/>
  <c r="BF97" i="13"/>
  <c r="BF80" i="13"/>
  <c r="BF64" i="13"/>
  <c r="BF108" i="13"/>
  <c r="BF92" i="13"/>
  <c r="BF75" i="13"/>
  <c r="BF109" i="13"/>
  <c r="BF106" i="13"/>
  <c r="BF93" i="13"/>
  <c r="BF90" i="13"/>
  <c r="BF76" i="13"/>
  <c r="BF73" i="13"/>
  <c r="BF101" i="13"/>
  <c r="BF85" i="13"/>
  <c r="BF105" i="13"/>
  <c r="BF63" i="13"/>
  <c r="BF95" i="13"/>
  <c r="BF78" i="13"/>
  <c r="BF72" i="13"/>
  <c r="BF70" i="13"/>
  <c r="BF68" i="13"/>
  <c r="BF66" i="13"/>
  <c r="BF88" i="13"/>
  <c r="BF87" i="13"/>
  <c r="AL62" i="56"/>
  <c r="BH14" i="13"/>
  <c r="AM62" i="56"/>
  <c r="BE96" i="13"/>
  <c r="BE79" i="13"/>
  <c r="BE63" i="13"/>
  <c r="BE107" i="13"/>
  <c r="BE91" i="13"/>
  <c r="BE74" i="13"/>
  <c r="BE102" i="13"/>
  <c r="BE86" i="13"/>
  <c r="BE69" i="13"/>
  <c r="BE97" i="13"/>
  <c r="BE80" i="13"/>
  <c r="BE64" i="13"/>
  <c r="BE98" i="13"/>
  <c r="BE82" i="13"/>
  <c r="BE65" i="13"/>
  <c r="BE106" i="13"/>
  <c r="BE93" i="13"/>
  <c r="BE90" i="13"/>
  <c r="BE109" i="13"/>
  <c r="BE103" i="13"/>
  <c r="BE89" i="13"/>
  <c r="BE76" i="13"/>
  <c r="BE72" i="13"/>
  <c r="BE68" i="13"/>
  <c r="BE105" i="13"/>
  <c r="BE95" i="13"/>
  <c r="BE78" i="13"/>
  <c r="BE70" i="13"/>
  <c r="BE66" i="13"/>
  <c r="BF84" i="13"/>
  <c r="BG102" i="13"/>
  <c r="BG86" i="13"/>
  <c r="BG69" i="13"/>
  <c r="BG97" i="13"/>
  <c r="BG80" i="13"/>
  <c r="BG64" i="13"/>
  <c r="BG92" i="13"/>
  <c r="BG75" i="13"/>
  <c r="BG108" i="13"/>
  <c r="BG103" i="13"/>
  <c r="BG87" i="13"/>
  <c r="BG70" i="13"/>
  <c r="BG109" i="13"/>
  <c r="BG106" i="13"/>
  <c r="BG93" i="13"/>
  <c r="BG90" i="13"/>
  <c r="BG76" i="13"/>
  <c r="BG73" i="13"/>
  <c r="BG101" i="13"/>
  <c r="BG85" i="13"/>
  <c r="BG68" i="13"/>
  <c r="BG104" i="13"/>
  <c r="BG88" i="13"/>
  <c r="BG95" i="13"/>
  <c r="BG91" i="13"/>
  <c r="BG78" i="13"/>
  <c r="BG107" i="13"/>
  <c r="BG72" i="13"/>
  <c r="BG74" i="13"/>
  <c r="BG66" i="13"/>
  <c r="BG84" i="13"/>
  <c r="BF71" i="13"/>
  <c r="AY93" i="13"/>
  <c r="AZ93" i="13"/>
  <c r="AY97" i="13"/>
  <c r="AZ107" i="13"/>
  <c r="BA100" i="13"/>
  <c r="BA84" i="13"/>
  <c r="BA67" i="13"/>
  <c r="BA95" i="13"/>
  <c r="BA78" i="13"/>
  <c r="BA73" i="13"/>
  <c r="BA106" i="13"/>
  <c r="BA90" i="13"/>
  <c r="BA101" i="13"/>
  <c r="BA85" i="13"/>
  <c r="BA68" i="13"/>
  <c r="BA105" i="13"/>
  <c r="BA89" i="13"/>
  <c r="BA72" i="13"/>
  <c r="BA108" i="13"/>
  <c r="BA92" i="13"/>
  <c r="BA75" i="13"/>
  <c r="BA55" i="13"/>
  <c r="BA103" i="13"/>
  <c r="BA87" i="13"/>
  <c r="BA70" i="13"/>
  <c r="AY63" i="13"/>
  <c r="AY80" i="13"/>
  <c r="AZ83" i="13"/>
  <c r="AZ91" i="13"/>
  <c r="BB95" i="13"/>
  <c r="BB78" i="13"/>
  <c r="BB106" i="13"/>
  <c r="BB90" i="13"/>
  <c r="BB73" i="13"/>
  <c r="BB101" i="13"/>
  <c r="BB85" i="13"/>
  <c r="BB68" i="13"/>
  <c r="BB96" i="13"/>
  <c r="BB79" i="13"/>
  <c r="BB63" i="13"/>
  <c r="BB108" i="13"/>
  <c r="BB100" i="13"/>
  <c r="BB92" i="13"/>
  <c r="BB84" i="13"/>
  <c r="BB75" i="13"/>
  <c r="BB67" i="13"/>
  <c r="BB55" i="13"/>
  <c r="BB103" i="13"/>
  <c r="BB87" i="13"/>
  <c r="BB70" i="13"/>
  <c r="BB98" i="13"/>
  <c r="BB82" i="13"/>
  <c r="AZ63" i="13"/>
  <c r="AZ80" i="13"/>
  <c r="BA83" i="13"/>
  <c r="BA91" i="13"/>
  <c r="BB93" i="13"/>
  <c r="BA97" i="13"/>
  <c r="BB99" i="13"/>
  <c r="AY103" i="13"/>
  <c r="BC106" i="13"/>
  <c r="BC90" i="13"/>
  <c r="BC73" i="13"/>
  <c r="BC101" i="13"/>
  <c r="BC85" i="13"/>
  <c r="BC68" i="13"/>
  <c r="BC96" i="13"/>
  <c r="BC79" i="13"/>
  <c r="BC63" i="13"/>
  <c r="BC107" i="13"/>
  <c r="BC91" i="13"/>
  <c r="BC74" i="13"/>
  <c r="BC103" i="13"/>
  <c r="BC87" i="13"/>
  <c r="BC70" i="13"/>
  <c r="BC95" i="13"/>
  <c r="BC78" i="13"/>
  <c r="BC98" i="13"/>
  <c r="BC82" i="13"/>
  <c r="BC65" i="13"/>
  <c r="BA63" i="13"/>
  <c r="BA80" i="13"/>
  <c r="BB83" i="13"/>
  <c r="AX85" i="13"/>
  <c r="AY87" i="13"/>
  <c r="BB91" i="13"/>
  <c r="BC93" i="13"/>
  <c r="BB97" i="13"/>
  <c r="BC99" i="13"/>
  <c r="AY94" i="13"/>
  <c r="AY77" i="13"/>
  <c r="AY105" i="13"/>
  <c r="AY89" i="13"/>
  <c r="AY72" i="13"/>
  <c r="AY55" i="13"/>
  <c r="AY84" i="13"/>
  <c r="AY67" i="13"/>
  <c r="AY100" i="13"/>
  <c r="AY95" i="13"/>
  <c r="AY78" i="13"/>
  <c r="AY108" i="13"/>
  <c r="AY92" i="13"/>
  <c r="AY99" i="13"/>
  <c r="AY107" i="13"/>
  <c r="AZ105" i="13"/>
  <c r="AZ89" i="13"/>
  <c r="AZ72" i="13"/>
  <c r="AZ55" i="13"/>
  <c r="AZ100" i="13"/>
  <c r="AZ84" i="13"/>
  <c r="AZ67" i="13"/>
  <c r="AZ95" i="13"/>
  <c r="AZ78" i="13"/>
  <c r="AZ106" i="13"/>
  <c r="AZ90" i="13"/>
  <c r="AZ73" i="13"/>
  <c r="AZ108" i="13"/>
  <c r="AZ92" i="13"/>
  <c r="AZ75" i="13"/>
  <c r="AZ103" i="13"/>
  <c r="AZ87" i="13"/>
  <c r="AY83" i="13"/>
  <c r="AY91" i="13"/>
  <c r="AZ99" i="13"/>
  <c r="BA93" i="13"/>
  <c r="AZ97" i="13"/>
  <c r="BA99" i="13"/>
  <c r="BA107" i="13"/>
  <c r="AY65" i="13"/>
  <c r="BB107" i="13"/>
  <c r="BD101" i="13"/>
  <c r="BD85" i="13"/>
  <c r="BD68" i="13"/>
  <c r="BD96" i="13"/>
  <c r="BD79" i="13"/>
  <c r="BD63" i="13"/>
  <c r="BD107" i="13"/>
  <c r="BD91" i="13"/>
  <c r="BD74" i="13"/>
  <c r="BD102" i="13"/>
  <c r="BD86" i="13"/>
  <c r="BD69" i="13"/>
  <c r="BD95" i="13"/>
  <c r="BD78" i="13"/>
  <c r="BD98" i="13"/>
  <c r="BD82" i="13"/>
  <c r="BD65" i="13"/>
  <c r="BA65" i="13"/>
  <c r="AY71" i="13"/>
  <c r="BB80" i="13"/>
  <c r="BC83" i="13"/>
  <c r="AY85" i="13"/>
  <c r="BD87" i="13"/>
  <c r="BD93" i="13"/>
  <c r="BC97" i="13"/>
  <c r="BD99" i="13"/>
  <c r="AZ101" i="13"/>
  <c r="AW55" i="13"/>
  <c r="AW72" i="13"/>
  <c r="AW89" i="13"/>
  <c r="AW105" i="13"/>
  <c r="AW66" i="13"/>
  <c r="AV71" i="13"/>
  <c r="AW83" i="13"/>
  <c r="AV88" i="13"/>
  <c r="AW99" i="13"/>
  <c r="AW71" i="13"/>
  <c r="AW88" i="13"/>
  <c r="AO62" i="56"/>
  <c r="AJ62" i="56"/>
  <c r="AI62" i="56"/>
  <c r="AF62" i="56"/>
  <c r="AP34" i="56" l="1"/>
  <c r="AR34" i="56" s="1"/>
  <c r="AR29" i="11"/>
  <c r="BH50" i="13"/>
  <c r="BH73" i="13" s="1"/>
  <c r="AQ32" i="11"/>
  <c r="BH109" i="13" l="1"/>
  <c r="BH93" i="13"/>
  <c r="BH76" i="13"/>
  <c r="BH107" i="13"/>
  <c r="BH77" i="13"/>
  <c r="BH74" i="13"/>
  <c r="BH84" i="13"/>
  <c r="BH100" i="13"/>
  <c r="BH94" i="13"/>
  <c r="BH63" i="13"/>
  <c r="BH69" i="13"/>
  <c r="BH78" i="13"/>
  <c r="BH102" i="13"/>
  <c r="BH91" i="13"/>
  <c r="BH67" i="13"/>
  <c r="BH89" i="13"/>
  <c r="BH79" i="13"/>
  <c r="BH103" i="13"/>
  <c r="BH108" i="13"/>
  <c r="BH105" i="13"/>
  <c r="BH70" i="13"/>
  <c r="BH85" i="13"/>
  <c r="BH101" i="13"/>
  <c r="BH64" i="13"/>
  <c r="BH72" i="13"/>
  <c r="BH88" i="13"/>
  <c r="BH66" i="13"/>
  <c r="BH104" i="13"/>
  <c r="BH82" i="13"/>
  <c r="BH65" i="13"/>
  <c r="BH86" i="13"/>
  <c r="BH80" i="13"/>
  <c r="BH96" i="13"/>
  <c r="BH68" i="13"/>
  <c r="BH99" i="13"/>
  <c r="BH71" i="13"/>
  <c r="BH87" i="13"/>
  <c r="BH95" i="13"/>
  <c r="BH106" i="13"/>
  <c r="BH92" i="13"/>
  <c r="BH97" i="13"/>
  <c r="BH83" i="13"/>
  <c r="BH90" i="13"/>
  <c r="BH98" i="13"/>
  <c r="BH75" i="13"/>
  <c r="AF39" i="13"/>
  <c r="AP8" i="11"/>
  <c r="AO12" i="56" s="1"/>
  <c r="AO43" i="56" s="1"/>
  <c r="A83" i="13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Q50" i="13"/>
  <c r="AQ98" i="13" s="1"/>
  <c r="BI10" i="13" a="1"/>
  <c r="BI10" i="13" s="1"/>
  <c r="AQ55" i="13" l="1"/>
  <c r="AQ108" i="13"/>
  <c r="AQ77" i="13"/>
  <c r="AQ87" i="13"/>
  <c r="AQ73" i="13"/>
  <c r="AQ80" i="13"/>
  <c r="AQ72" i="13"/>
  <c r="AQ64" i="13"/>
  <c r="AQ101" i="13"/>
  <c r="AQ93" i="13"/>
  <c r="AQ85" i="13"/>
  <c r="AQ69" i="13"/>
  <c r="AQ106" i="13"/>
  <c r="AQ90" i="13"/>
  <c r="AQ75" i="13"/>
  <c r="AQ67" i="13"/>
  <c r="AQ104" i="13"/>
  <c r="AQ96" i="13"/>
  <c r="AQ88" i="13"/>
  <c r="AQ82" i="13"/>
  <c r="AQ65" i="13"/>
  <c r="AQ102" i="13"/>
  <c r="AQ94" i="13"/>
  <c r="AQ86" i="13"/>
  <c r="AQ76" i="13"/>
  <c r="AQ68" i="13"/>
  <c r="AQ105" i="13"/>
  <c r="AQ97" i="13"/>
  <c r="AQ89" i="13"/>
  <c r="AQ92" i="13"/>
  <c r="AQ78" i="13"/>
  <c r="AQ70" i="13"/>
  <c r="AQ107" i="13"/>
  <c r="AQ99" i="13"/>
  <c r="AQ91" i="13"/>
  <c r="AQ83" i="13"/>
  <c r="AQ79" i="13"/>
  <c r="AQ71" i="13"/>
  <c r="AQ100" i="13"/>
  <c r="AQ84" i="13"/>
  <c r="AQ74" i="13"/>
  <c r="AQ66" i="13"/>
  <c r="AQ103" i="13"/>
  <c r="AQ95" i="13"/>
  <c r="BR37" i="56" l="1"/>
  <c r="AG49" i="13" l="1"/>
  <c r="AG47" i="13"/>
  <c r="AG46" i="13"/>
  <c r="AG45" i="13"/>
  <c r="AG44" i="13"/>
  <c r="AG43" i="13"/>
  <c r="AG40" i="13"/>
  <c r="AG39" i="13"/>
  <c r="AG38" i="13"/>
  <c r="AG37" i="13"/>
  <c r="AG36" i="13"/>
  <c r="AG34" i="13"/>
  <c r="AG33" i="13"/>
  <c r="AG32" i="13"/>
  <c r="AG31" i="13"/>
  <c r="AG29" i="13"/>
  <c r="AG28" i="13"/>
  <c r="AG25" i="13"/>
  <c r="AG23" i="13"/>
  <c r="AG21" i="13"/>
  <c r="AG20" i="13"/>
  <c r="AG19" i="13"/>
  <c r="AG18" i="13"/>
  <c r="AG17" i="13"/>
  <c r="AG16" i="13"/>
  <c r="AG15" i="13"/>
  <c r="AG14" i="13"/>
  <c r="AG13" i="13"/>
  <c r="AG11" i="13"/>
  <c r="AG9" i="13"/>
  <c r="AG8" i="13"/>
  <c r="AG6" i="13"/>
  <c r="AG5" i="13"/>
  <c r="AG4" i="13"/>
  <c r="AD50" i="13" l="1"/>
  <c r="AD109" i="13" s="1"/>
  <c r="AG27" i="13" l="1"/>
  <c r="AG30" i="13"/>
  <c r="AG35" i="13"/>
  <c r="AG24" i="13" l="1"/>
  <c r="V1" i="13" l="1"/>
  <c r="W1" i="13"/>
  <c r="X1" i="13"/>
  <c r="AA1" i="13"/>
  <c r="AB1" i="13"/>
  <c r="AC1" i="13"/>
  <c r="AD1" i="13"/>
  <c r="AE1" i="13"/>
  <c r="AL6" i="11"/>
  <c r="AK10" i="56" s="1"/>
  <c r="AM6" i="11"/>
  <c r="AL10" i="56" s="1"/>
  <c r="AN6" i="11"/>
  <c r="AM10" i="56" s="1"/>
  <c r="AO6" i="11"/>
  <c r="AN10" i="56" s="1"/>
  <c r="AP6" i="11"/>
  <c r="AL7" i="11"/>
  <c r="AK11" i="56" s="1"/>
  <c r="AK42" i="56" s="1"/>
  <c r="AM7" i="11"/>
  <c r="AN7" i="11"/>
  <c r="AM11" i="56" s="1"/>
  <c r="AM42" i="56" s="1"/>
  <c r="AO7" i="11"/>
  <c r="AN11" i="56" s="1"/>
  <c r="AN42" i="56" s="1"/>
  <c r="AP7" i="11"/>
  <c r="AL8" i="11"/>
  <c r="AK12" i="56" s="1"/>
  <c r="AK43" i="56" s="1"/>
  <c r="AM8" i="11"/>
  <c r="AN8" i="11"/>
  <c r="AM12" i="56" s="1"/>
  <c r="AM43" i="56" s="1"/>
  <c r="AO8" i="11"/>
  <c r="AN12" i="56" s="1"/>
  <c r="AN43" i="56" s="1"/>
  <c r="AP12" i="56"/>
  <c r="AP43" i="56" s="1"/>
  <c r="AL9" i="11"/>
  <c r="AM9" i="11"/>
  <c r="AN9" i="11"/>
  <c r="AM13" i="56" s="1"/>
  <c r="AM44" i="56" s="1"/>
  <c r="AO9" i="11"/>
  <c r="AN13" i="56" s="1"/>
  <c r="AN44" i="56" s="1"/>
  <c r="AP9" i="11"/>
  <c r="AL10" i="11"/>
  <c r="AM10" i="11"/>
  <c r="AN10" i="11"/>
  <c r="AM14" i="56" s="1"/>
  <c r="AM45" i="56" s="1"/>
  <c r="AO10" i="11"/>
  <c r="AN14" i="56" s="1"/>
  <c r="AN45" i="56" s="1"/>
  <c r="AP10" i="11"/>
  <c r="AL11" i="11"/>
  <c r="AK15" i="56" s="1"/>
  <c r="AK46" i="56" s="1"/>
  <c r="AM11" i="11"/>
  <c r="AN11" i="11"/>
  <c r="AM15" i="56" s="1"/>
  <c r="AM46" i="56" s="1"/>
  <c r="AO11" i="11"/>
  <c r="AN15" i="56" s="1"/>
  <c r="AN46" i="56" s="1"/>
  <c r="AP11" i="11"/>
  <c r="AL12" i="11"/>
  <c r="AM12" i="11"/>
  <c r="AN12" i="11"/>
  <c r="AM16" i="56" s="1"/>
  <c r="AM47" i="56" s="1"/>
  <c r="AO12" i="11"/>
  <c r="AN16" i="56" s="1"/>
  <c r="AN47" i="56" s="1"/>
  <c r="AP12" i="11"/>
  <c r="AL13" i="11"/>
  <c r="AM13" i="11"/>
  <c r="AN13" i="11"/>
  <c r="AM17" i="56" s="1"/>
  <c r="AM48" i="56" s="1"/>
  <c r="AO13" i="11"/>
  <c r="AN17" i="56" s="1"/>
  <c r="AN48" i="56" s="1"/>
  <c r="AP13" i="11"/>
  <c r="AL14" i="11"/>
  <c r="AK18" i="56" s="1"/>
  <c r="AK49" i="56" s="1"/>
  <c r="AM14" i="11"/>
  <c r="AN14" i="11"/>
  <c r="AM18" i="56" s="1"/>
  <c r="AM49" i="56" s="1"/>
  <c r="AO14" i="11"/>
  <c r="AN18" i="56" s="1"/>
  <c r="AN49" i="56" s="1"/>
  <c r="AP14" i="11"/>
  <c r="AL15" i="11"/>
  <c r="AK19" i="56" s="1"/>
  <c r="AK50" i="56" s="1"/>
  <c r="AM15" i="11"/>
  <c r="AN15" i="11"/>
  <c r="AM19" i="56" s="1"/>
  <c r="AM50" i="56" s="1"/>
  <c r="AO15" i="11"/>
  <c r="AN19" i="56" s="1"/>
  <c r="AN50" i="56" s="1"/>
  <c r="AP15" i="11"/>
  <c r="AL16" i="11"/>
  <c r="AK20" i="56" s="1"/>
  <c r="AK51" i="56" s="1"/>
  <c r="AM16" i="11"/>
  <c r="AN16" i="11"/>
  <c r="AM20" i="56" s="1"/>
  <c r="AM51" i="56" s="1"/>
  <c r="AO16" i="11"/>
  <c r="AN20" i="56" s="1"/>
  <c r="AN51" i="56" s="1"/>
  <c r="AP16" i="11"/>
  <c r="AL19" i="11"/>
  <c r="AM19" i="11"/>
  <c r="AN19" i="11"/>
  <c r="AM23" i="56" s="1"/>
  <c r="AM54" i="56" s="1"/>
  <c r="AO19" i="11"/>
  <c r="AN23" i="56" s="1"/>
  <c r="AN54" i="56" s="1"/>
  <c r="AP19" i="11"/>
  <c r="AL20" i="11"/>
  <c r="AK24" i="56" s="1"/>
  <c r="AK55" i="56" s="1"/>
  <c r="AM20" i="11"/>
  <c r="AN20" i="11"/>
  <c r="AM24" i="56" s="1"/>
  <c r="AM55" i="56" s="1"/>
  <c r="AO20" i="11"/>
  <c r="AN24" i="56" s="1"/>
  <c r="AN55" i="56" s="1"/>
  <c r="AP20" i="11"/>
  <c r="AL21" i="11"/>
  <c r="AM21" i="11"/>
  <c r="AN21" i="11"/>
  <c r="AM25" i="56" s="1"/>
  <c r="AM56" i="56" s="1"/>
  <c r="AO21" i="11"/>
  <c r="AN25" i="56" s="1"/>
  <c r="AN56" i="56" s="1"/>
  <c r="AP21" i="11"/>
  <c r="AL22" i="11"/>
  <c r="AK26" i="56" s="1"/>
  <c r="AK57" i="56" s="1"/>
  <c r="AM22" i="11"/>
  <c r="AN22" i="11"/>
  <c r="AM26" i="56" s="1"/>
  <c r="AM57" i="56" s="1"/>
  <c r="AO22" i="11"/>
  <c r="AN26" i="56" s="1"/>
  <c r="AN57" i="56" s="1"/>
  <c r="AP22" i="11"/>
  <c r="AL23" i="11"/>
  <c r="AM23" i="11"/>
  <c r="AN23" i="11"/>
  <c r="AM27" i="56" s="1"/>
  <c r="AM58" i="56" s="1"/>
  <c r="AO23" i="11"/>
  <c r="AN27" i="56" s="1"/>
  <c r="AN58" i="56" s="1"/>
  <c r="AP23" i="11"/>
  <c r="AL24" i="11"/>
  <c r="AK28" i="56" s="1"/>
  <c r="AK59" i="56" s="1"/>
  <c r="AM24" i="11"/>
  <c r="AN24" i="11"/>
  <c r="AM28" i="56" s="1"/>
  <c r="AM59" i="56" s="1"/>
  <c r="AO24" i="11"/>
  <c r="AN28" i="56" s="1"/>
  <c r="AN59" i="56" s="1"/>
  <c r="AP24" i="11"/>
  <c r="AL18" i="11"/>
  <c r="AK22" i="56" s="1"/>
  <c r="AM18" i="11"/>
  <c r="AL22" i="56" s="1"/>
  <c r="AN18" i="11"/>
  <c r="AM22" i="56" s="1"/>
  <c r="AO18" i="11"/>
  <c r="AN22" i="56" s="1"/>
  <c r="AP18" i="11"/>
  <c r="AQ18" i="11"/>
  <c r="D57" i="13"/>
  <c r="D56" i="13"/>
  <c r="D58" i="13" s="1"/>
  <c r="AK18" i="11"/>
  <c r="AJ18" i="11"/>
  <c r="AK19" i="11"/>
  <c r="AK20" i="11"/>
  <c r="AK21" i="11"/>
  <c r="AK22" i="11"/>
  <c r="AK23" i="11"/>
  <c r="AK24" i="11"/>
  <c r="AK7" i="11"/>
  <c r="AK8" i="11"/>
  <c r="AK9" i="11"/>
  <c r="AK10" i="11"/>
  <c r="AK11" i="11"/>
  <c r="AK12" i="11"/>
  <c r="AK13" i="11"/>
  <c r="AK14" i="11"/>
  <c r="AK15" i="11"/>
  <c r="AK16" i="11"/>
  <c r="AJ20" i="56" s="1"/>
  <c r="AJ51" i="56" s="1"/>
  <c r="AK6" i="11"/>
  <c r="AF49" i="13"/>
  <c r="AF47" i="13"/>
  <c r="AF46" i="13"/>
  <c r="AF45" i="13"/>
  <c r="AF44" i="13"/>
  <c r="AF43" i="13"/>
  <c r="AF40" i="13"/>
  <c r="AF38" i="13"/>
  <c r="AF37" i="13"/>
  <c r="AF36" i="13"/>
  <c r="AF35" i="13"/>
  <c r="AF34" i="13"/>
  <c r="AF33" i="13"/>
  <c r="AF32" i="13"/>
  <c r="AF31" i="13"/>
  <c r="AF30" i="13"/>
  <c r="AF29" i="13"/>
  <c r="AF28" i="13"/>
  <c r="AF27" i="13"/>
  <c r="AF25" i="13"/>
  <c r="AF24" i="13"/>
  <c r="AF23" i="13"/>
  <c r="AF21" i="13"/>
  <c r="AF20" i="13"/>
  <c r="AF19" i="13"/>
  <c r="AF18" i="13"/>
  <c r="AF17" i="13"/>
  <c r="AF16" i="13"/>
  <c r="AF15" i="13"/>
  <c r="AF14" i="13"/>
  <c r="AF13" i="13"/>
  <c r="AF11" i="13"/>
  <c r="AF9" i="13"/>
  <c r="AF8" i="13"/>
  <c r="AF6" i="13"/>
  <c r="AF5" i="13"/>
  <c r="AF4" i="13"/>
  <c r="AJ19" i="11"/>
  <c r="AJ20" i="11"/>
  <c r="AJ21" i="11"/>
  <c r="AJ22" i="11"/>
  <c r="AJ23" i="11"/>
  <c r="AI27" i="56" s="1"/>
  <c r="AI58" i="56" s="1"/>
  <c r="AJ24" i="11"/>
  <c r="AJ6" i="11"/>
  <c r="AJ7" i="11"/>
  <c r="AJ8" i="11"/>
  <c r="AJ9" i="11"/>
  <c r="AJ10" i="11"/>
  <c r="AJ11" i="11"/>
  <c r="AJ12" i="11"/>
  <c r="AJ13" i="11"/>
  <c r="AJ14" i="11"/>
  <c r="AJ15" i="11"/>
  <c r="AJ16" i="11"/>
  <c r="AE50" i="13"/>
  <c r="AE109" i="13" s="1"/>
  <c r="AC22" i="56"/>
  <c r="AD32" i="11"/>
  <c r="AC30" i="11"/>
  <c r="AD29" i="11"/>
  <c r="V24" i="61"/>
  <c r="V26" i="61"/>
  <c r="AE26" i="60"/>
  <c r="V25" i="60"/>
  <c r="V27" i="60"/>
  <c r="AK50" i="13"/>
  <c r="AL50" i="13"/>
  <c r="AM50" i="13"/>
  <c r="AN50" i="13"/>
  <c r="AO50" i="13"/>
  <c r="AP50" i="13"/>
  <c r="AR50" i="13"/>
  <c r="AR55" i="13" s="1"/>
  <c r="AS50" i="13"/>
  <c r="BI49" i="13" a="1"/>
  <c r="BI49" i="13" s="1"/>
  <c r="BI48" i="13" a="1"/>
  <c r="BI48" i="13" s="1"/>
  <c r="BI47" i="13" a="1"/>
  <c r="BI47" i="13" s="1"/>
  <c r="BI46" i="13" a="1"/>
  <c r="BI46" i="13" s="1"/>
  <c r="BI45" i="13" a="1"/>
  <c r="BI45" i="13" s="1"/>
  <c r="BI44" i="13" a="1"/>
  <c r="BI44" i="13" s="1"/>
  <c r="BI43" i="13" a="1"/>
  <c r="BI43" i="13" s="1"/>
  <c r="BI42" i="13" a="1"/>
  <c r="BI42" i="13" s="1"/>
  <c r="BI41" i="13" a="1"/>
  <c r="BI41" i="13" s="1"/>
  <c r="BI40" i="13" a="1"/>
  <c r="BI40" i="13" s="1"/>
  <c r="BI39" i="13" a="1"/>
  <c r="BI39" i="13" s="1"/>
  <c r="BI38" i="13" a="1"/>
  <c r="BI38" i="13" s="1"/>
  <c r="BI37" i="13" a="1"/>
  <c r="BI37" i="13" s="1"/>
  <c r="BI36" i="13" a="1"/>
  <c r="BI36" i="13" s="1"/>
  <c r="BI35" i="13" a="1"/>
  <c r="BI35" i="13" s="1"/>
  <c r="BI34" i="13" a="1"/>
  <c r="BI34" i="13" s="1"/>
  <c r="BI33" i="13" a="1"/>
  <c r="BI33" i="13" s="1"/>
  <c r="BI32" i="13" a="1"/>
  <c r="BI32" i="13" s="1"/>
  <c r="BI31" i="13" a="1"/>
  <c r="BI31" i="13" s="1"/>
  <c r="BI30" i="13" a="1"/>
  <c r="BI30" i="13" s="1"/>
  <c r="BI29" i="13" a="1"/>
  <c r="BI29" i="13" s="1"/>
  <c r="BI28" i="13" a="1"/>
  <c r="BI28" i="13" s="1"/>
  <c r="BF24" i="11" s="1"/>
  <c r="BI27" i="13" a="1"/>
  <c r="BI27" i="13" s="1"/>
  <c r="BI26" i="13" a="1"/>
  <c r="BI26" i="13" s="1"/>
  <c r="BF22" i="11" s="1"/>
  <c r="BI25" i="13" a="1"/>
  <c r="BI25" i="13" s="1"/>
  <c r="BF20" i="11" s="1"/>
  <c r="BI24" i="13" a="1"/>
  <c r="BI24" i="13" s="1"/>
  <c r="BF19" i="11" s="1"/>
  <c r="BI23" i="13" a="1"/>
  <c r="BI23" i="13" s="1"/>
  <c r="BF18" i="11" s="1"/>
  <c r="BI20" i="13" a="1"/>
  <c r="BI20" i="13" s="1"/>
  <c r="BI19" i="13" a="1"/>
  <c r="BI19" i="13" s="1"/>
  <c r="BI18" i="13" a="1"/>
  <c r="BI18" i="13" s="1"/>
  <c r="BF14" i="11" s="1"/>
  <c r="BI17" i="13" a="1"/>
  <c r="BI17" i="13" s="1"/>
  <c r="BI16" i="13" a="1"/>
  <c r="BI16" i="13" s="1"/>
  <c r="BI15" i="13" a="1"/>
  <c r="BI15" i="13" s="1"/>
  <c r="BF15" i="11" s="1"/>
  <c r="BI14" i="13" a="1"/>
  <c r="BI14" i="13" s="1"/>
  <c r="BI12" i="13" a="1"/>
  <c r="BI12" i="13" s="1"/>
  <c r="BI11" i="13" a="1"/>
  <c r="BI11" i="13" s="1"/>
  <c r="BF12" i="11" s="1"/>
  <c r="BI9" i="13" a="1"/>
  <c r="BI9" i="13" s="1"/>
  <c r="BI6" i="13" a="1"/>
  <c r="BI6" i="13" s="1"/>
  <c r="BI5" i="13" a="1"/>
  <c r="BI5" i="13" s="1"/>
  <c r="BF7" i="11" s="1"/>
  <c r="AI18" i="11"/>
  <c r="AI19" i="11"/>
  <c r="AI20" i="11"/>
  <c r="AI21" i="11"/>
  <c r="AI22" i="11"/>
  <c r="AI23" i="11"/>
  <c r="AI24" i="11"/>
  <c r="AI6" i="11"/>
  <c r="AI7" i="11"/>
  <c r="AI8" i="11"/>
  <c r="AI9" i="11"/>
  <c r="AI10" i="11"/>
  <c r="AI11" i="11"/>
  <c r="AI12" i="11"/>
  <c r="AI13" i="11"/>
  <c r="AI14" i="11"/>
  <c r="AI15" i="11"/>
  <c r="AI16" i="11"/>
  <c r="T58" i="60"/>
  <c r="U58" i="60"/>
  <c r="V58" i="60"/>
  <c r="W58" i="60"/>
  <c r="X58" i="60"/>
  <c r="Y58" i="60"/>
  <c r="Z58" i="60"/>
  <c r="AA58" i="60"/>
  <c r="AB58" i="60"/>
  <c r="AC58" i="60"/>
  <c r="AD58" i="60"/>
  <c r="U25" i="60"/>
  <c r="U27" i="60"/>
  <c r="U24" i="61"/>
  <c r="U26" i="61"/>
  <c r="U53" i="61"/>
  <c r="AF18" i="11"/>
  <c r="AH50" i="13"/>
  <c r="AI50" i="13"/>
  <c r="AH18" i="11"/>
  <c r="AH19" i="11"/>
  <c r="AH20" i="11"/>
  <c r="AH21" i="11"/>
  <c r="AH23" i="11"/>
  <c r="AH24" i="11"/>
  <c r="AG28" i="56" s="1"/>
  <c r="AG59" i="56" s="1"/>
  <c r="AH7" i="11"/>
  <c r="AH8" i="11"/>
  <c r="AH9" i="11"/>
  <c r="AH11" i="11"/>
  <c r="AH12" i="11"/>
  <c r="AH13" i="11"/>
  <c r="AH14" i="11"/>
  <c r="AH15" i="11"/>
  <c r="AH16" i="11"/>
  <c r="AH6" i="11"/>
  <c r="BF4" i="11"/>
  <c r="BF35" i="11" s="1"/>
  <c r="T53" i="61"/>
  <c r="T24" i="61"/>
  <c r="T26" i="61"/>
  <c r="T25" i="60"/>
  <c r="T27" i="60"/>
  <c r="AG18" i="11"/>
  <c r="AG19" i="11"/>
  <c r="AG20" i="11"/>
  <c r="AG21" i="11"/>
  <c r="AG22" i="11"/>
  <c r="AF26" i="56" s="1"/>
  <c r="AF57" i="56" s="1"/>
  <c r="AG23" i="11"/>
  <c r="AG24" i="11"/>
  <c r="AG6" i="11"/>
  <c r="AG7" i="11"/>
  <c r="AG8" i="11"/>
  <c r="AG9" i="11"/>
  <c r="AG10" i="11"/>
  <c r="AG11" i="11"/>
  <c r="AG12" i="11"/>
  <c r="AG13" i="11"/>
  <c r="AG14" i="11"/>
  <c r="AG15" i="11"/>
  <c r="AG16" i="11"/>
  <c r="R22" i="56"/>
  <c r="T33" i="61"/>
  <c r="U33" i="61"/>
  <c r="V33" i="61"/>
  <c r="W33" i="61"/>
  <c r="W32" i="61"/>
  <c r="X33" i="61"/>
  <c r="X32" i="61"/>
  <c r="Y33" i="61"/>
  <c r="Y32" i="61"/>
  <c r="Z33" i="61"/>
  <c r="Z32" i="61"/>
  <c r="AA33" i="61"/>
  <c r="AA32" i="61"/>
  <c r="AB33" i="61"/>
  <c r="AC33" i="61"/>
  <c r="AC32" i="61"/>
  <c r="AD33" i="61"/>
  <c r="AD32" i="61"/>
  <c r="T34" i="61"/>
  <c r="U34" i="61"/>
  <c r="V34" i="61"/>
  <c r="W34" i="61"/>
  <c r="X34" i="61"/>
  <c r="Y34" i="61"/>
  <c r="Z34" i="61"/>
  <c r="AA34" i="61"/>
  <c r="AB34" i="61"/>
  <c r="AC34" i="61"/>
  <c r="AD34" i="61"/>
  <c r="T35" i="61"/>
  <c r="U35" i="61"/>
  <c r="V35" i="61"/>
  <c r="W35" i="61"/>
  <c r="X35" i="61"/>
  <c r="Y35" i="61"/>
  <c r="Z35" i="61"/>
  <c r="AA35" i="61"/>
  <c r="AB35" i="61"/>
  <c r="AC35" i="61"/>
  <c r="AD35" i="61"/>
  <c r="T36" i="61"/>
  <c r="AF54" i="61"/>
  <c r="U36" i="61"/>
  <c r="V36" i="61"/>
  <c r="W36" i="61"/>
  <c r="X36" i="61"/>
  <c r="Y36" i="61"/>
  <c r="Z36" i="61"/>
  <c r="AA36" i="61"/>
  <c r="AB36" i="61"/>
  <c r="AC36" i="61"/>
  <c r="AD36" i="61"/>
  <c r="T37" i="61"/>
  <c r="U37" i="61"/>
  <c r="V37" i="61"/>
  <c r="W37" i="61"/>
  <c r="X37" i="61"/>
  <c r="Y37" i="61"/>
  <c r="Z37" i="61"/>
  <c r="AA37" i="61"/>
  <c r="AB37" i="61"/>
  <c r="AC37" i="61"/>
  <c r="AD37" i="61"/>
  <c r="T38" i="61"/>
  <c r="U38" i="61"/>
  <c r="V38" i="61"/>
  <c r="W38" i="61"/>
  <c r="X38" i="61"/>
  <c r="Y38" i="61"/>
  <c r="Z38" i="61"/>
  <c r="AA38" i="61"/>
  <c r="AB38" i="61"/>
  <c r="AC38" i="61"/>
  <c r="AD38" i="61"/>
  <c r="T39" i="61"/>
  <c r="U39" i="61"/>
  <c r="V39" i="61"/>
  <c r="W39" i="61"/>
  <c r="X39" i="61"/>
  <c r="Y39" i="61"/>
  <c r="Z39" i="61"/>
  <c r="AA39" i="61"/>
  <c r="AB39" i="61"/>
  <c r="AC39" i="61"/>
  <c r="AD39" i="61"/>
  <c r="T40" i="61"/>
  <c r="U40" i="61"/>
  <c r="V40" i="61"/>
  <c r="W40" i="61"/>
  <c r="X40" i="61"/>
  <c r="Y40" i="61"/>
  <c r="Z40" i="61"/>
  <c r="AA40" i="61"/>
  <c r="AB40" i="61"/>
  <c r="AC40" i="61"/>
  <c r="AD40" i="61"/>
  <c r="T41" i="61"/>
  <c r="U41" i="61"/>
  <c r="V41" i="61"/>
  <c r="W41" i="61"/>
  <c r="X41" i="61"/>
  <c r="Y41" i="61"/>
  <c r="Z41" i="61"/>
  <c r="AA41" i="61"/>
  <c r="AB41" i="61"/>
  <c r="AC41" i="61"/>
  <c r="AD41" i="61"/>
  <c r="T42" i="61"/>
  <c r="U42" i="61"/>
  <c r="V42" i="61"/>
  <c r="W42" i="61"/>
  <c r="X42" i="61"/>
  <c r="Y42" i="61"/>
  <c r="Z42" i="61"/>
  <c r="AA42" i="61"/>
  <c r="AB42" i="61"/>
  <c r="AC42" i="61"/>
  <c r="AD42" i="61"/>
  <c r="T43" i="61"/>
  <c r="U43" i="61"/>
  <c r="V43" i="61"/>
  <c r="W43" i="61"/>
  <c r="X43" i="61"/>
  <c r="Y43" i="61"/>
  <c r="Z43" i="61"/>
  <c r="AA43" i="61"/>
  <c r="AB43" i="61"/>
  <c r="AC43" i="61"/>
  <c r="AD43" i="61"/>
  <c r="T45" i="61"/>
  <c r="U45" i="61"/>
  <c r="V45" i="61"/>
  <c r="W45" i="61"/>
  <c r="X45" i="61"/>
  <c r="Y45" i="61"/>
  <c r="Z45" i="61"/>
  <c r="Z44" i="61"/>
  <c r="AA45" i="61"/>
  <c r="AA44" i="61"/>
  <c r="AB45" i="61"/>
  <c r="AB44" i="61"/>
  <c r="AC45" i="61"/>
  <c r="AC44" i="61"/>
  <c r="AD45" i="61"/>
  <c r="AD44" i="61"/>
  <c r="T46" i="61"/>
  <c r="U46" i="61"/>
  <c r="V46" i="61"/>
  <c r="W46" i="61"/>
  <c r="X46" i="61"/>
  <c r="Y46" i="61"/>
  <c r="Z46" i="61"/>
  <c r="AA46" i="61"/>
  <c r="AB46" i="61"/>
  <c r="AC46" i="61"/>
  <c r="AD46" i="61"/>
  <c r="T47" i="61"/>
  <c r="U47" i="61"/>
  <c r="V47" i="61"/>
  <c r="W47" i="61"/>
  <c r="X47" i="61"/>
  <c r="Y47" i="61"/>
  <c r="Z47" i="61"/>
  <c r="AA47" i="61"/>
  <c r="AB47" i="61"/>
  <c r="AC47" i="61"/>
  <c r="AD47" i="61"/>
  <c r="T48" i="61"/>
  <c r="U48" i="61"/>
  <c r="V48" i="61"/>
  <c r="W48" i="61"/>
  <c r="X48" i="61"/>
  <c r="Y48" i="61"/>
  <c r="Z48" i="61"/>
  <c r="AA48" i="61"/>
  <c r="AB48" i="61"/>
  <c r="AC48" i="61"/>
  <c r="AD48" i="61"/>
  <c r="T49" i="61"/>
  <c r="U49" i="61"/>
  <c r="V49" i="61"/>
  <c r="W49" i="61"/>
  <c r="X49" i="61"/>
  <c r="Y49" i="61"/>
  <c r="Z49" i="61"/>
  <c r="AA49" i="61"/>
  <c r="AB49" i="61"/>
  <c r="AC49" i="61"/>
  <c r="AD49" i="61"/>
  <c r="T50" i="61"/>
  <c r="U50" i="61"/>
  <c r="V50" i="61"/>
  <c r="W50" i="61"/>
  <c r="X50" i="61"/>
  <c r="Y50" i="61"/>
  <c r="Z50" i="61"/>
  <c r="AA50" i="61"/>
  <c r="AB50" i="61"/>
  <c r="AC50" i="61"/>
  <c r="AD50" i="61"/>
  <c r="T51" i="61"/>
  <c r="U51" i="61"/>
  <c r="V51" i="61"/>
  <c r="W51" i="61"/>
  <c r="X51" i="61"/>
  <c r="Y51" i="61"/>
  <c r="Z51" i="61"/>
  <c r="AA51" i="61"/>
  <c r="AB51" i="61"/>
  <c r="AC51" i="61"/>
  <c r="AD51" i="61"/>
  <c r="S51" i="61"/>
  <c r="S50" i="61"/>
  <c r="S49" i="61"/>
  <c r="S48" i="61"/>
  <c r="S47" i="61"/>
  <c r="S46" i="61"/>
  <c r="S45" i="61"/>
  <c r="S43" i="61"/>
  <c r="S42" i="61"/>
  <c r="S41" i="61"/>
  <c r="S40" i="61"/>
  <c r="S39" i="61"/>
  <c r="S38" i="61"/>
  <c r="S37" i="61"/>
  <c r="S36" i="61"/>
  <c r="S35" i="61"/>
  <c r="S34" i="61"/>
  <c r="AE27" i="61"/>
  <c r="AE53" i="61"/>
  <c r="AE25" i="61"/>
  <c r="AE39" i="61"/>
  <c r="AE18" i="61"/>
  <c r="AE19" i="61"/>
  <c r="AE20" i="61"/>
  <c r="AE21" i="61"/>
  <c r="AE22" i="61"/>
  <c r="AE23" i="61"/>
  <c r="AE17" i="61"/>
  <c r="AE6" i="61"/>
  <c r="AE7" i="61"/>
  <c r="AE8" i="61"/>
  <c r="AE9" i="61"/>
  <c r="AE10" i="61"/>
  <c r="AE11" i="61"/>
  <c r="AE12" i="61"/>
  <c r="AE13" i="61"/>
  <c r="AE14" i="61"/>
  <c r="AE15" i="61"/>
  <c r="AE5" i="61"/>
  <c r="S33" i="61"/>
  <c r="AF53" i="61"/>
  <c r="S24" i="61"/>
  <c r="S26" i="61"/>
  <c r="R27" i="61"/>
  <c r="R25" i="61"/>
  <c r="R53" i="61"/>
  <c r="R23" i="61"/>
  <c r="R22" i="61"/>
  <c r="R21" i="61"/>
  <c r="R20" i="61"/>
  <c r="R19" i="61"/>
  <c r="R18" i="61"/>
  <c r="R17" i="61"/>
  <c r="R6" i="61"/>
  <c r="R7" i="61"/>
  <c r="R8" i="61"/>
  <c r="R9" i="61"/>
  <c r="R10" i="61"/>
  <c r="R11" i="61"/>
  <c r="R12" i="61"/>
  <c r="R13" i="61"/>
  <c r="R14" i="61"/>
  <c r="R42" i="61"/>
  <c r="R15" i="61"/>
  <c r="R5" i="61"/>
  <c r="AD56" i="60"/>
  <c r="AC56" i="60"/>
  <c r="AB56" i="60"/>
  <c r="AA56" i="60"/>
  <c r="Z56" i="60"/>
  <c r="Y56" i="60"/>
  <c r="X56" i="60"/>
  <c r="W56" i="60"/>
  <c r="V56" i="60"/>
  <c r="U56" i="60"/>
  <c r="T56" i="60"/>
  <c r="AD55" i="60"/>
  <c r="AC55" i="60"/>
  <c r="AB55" i="60"/>
  <c r="AA55" i="60"/>
  <c r="Z55" i="60"/>
  <c r="Y55" i="60"/>
  <c r="X55" i="60"/>
  <c r="W55" i="60"/>
  <c r="V55" i="60"/>
  <c r="U55" i="60"/>
  <c r="T55" i="60"/>
  <c r="AD54" i="60"/>
  <c r="AC54" i="60"/>
  <c r="AB54" i="60"/>
  <c r="AA54" i="60"/>
  <c r="Z54" i="60"/>
  <c r="Y54" i="60"/>
  <c r="X54" i="60"/>
  <c r="W54" i="60"/>
  <c r="V54" i="60"/>
  <c r="U54" i="60"/>
  <c r="T54" i="60"/>
  <c r="AD53" i="60"/>
  <c r="AC53" i="60"/>
  <c r="AB53" i="60"/>
  <c r="AA53" i="60"/>
  <c r="Z53" i="60"/>
  <c r="Y53" i="60"/>
  <c r="X53" i="60"/>
  <c r="W53" i="60"/>
  <c r="V53" i="60"/>
  <c r="U53" i="60"/>
  <c r="T53" i="60"/>
  <c r="AD52" i="60"/>
  <c r="AC52" i="60"/>
  <c r="AB52" i="60"/>
  <c r="AA52" i="60"/>
  <c r="Z52" i="60"/>
  <c r="Y52" i="60"/>
  <c r="X52" i="60"/>
  <c r="W52" i="60"/>
  <c r="V52" i="60"/>
  <c r="U52" i="60"/>
  <c r="T52" i="60"/>
  <c r="AD51" i="60"/>
  <c r="AC51" i="60"/>
  <c r="AB51" i="60"/>
  <c r="AA51" i="60"/>
  <c r="Z51" i="60"/>
  <c r="Y51" i="60"/>
  <c r="X51" i="60"/>
  <c r="W51" i="60"/>
  <c r="V51" i="60"/>
  <c r="U51" i="60"/>
  <c r="T51" i="60"/>
  <c r="AD50" i="60"/>
  <c r="AD49" i="60"/>
  <c r="AC50" i="60"/>
  <c r="AB50" i="60"/>
  <c r="AB49" i="60"/>
  <c r="AA50" i="60"/>
  <c r="AA49" i="60"/>
  <c r="Z50" i="60"/>
  <c r="Z49" i="60"/>
  <c r="Y50" i="60"/>
  <c r="Y49" i="60"/>
  <c r="X50" i="60"/>
  <c r="X49" i="60"/>
  <c r="W50" i="60"/>
  <c r="W49" i="60"/>
  <c r="V50" i="60"/>
  <c r="U50" i="60"/>
  <c r="T50" i="60"/>
  <c r="AD48" i="60"/>
  <c r="AC48" i="60"/>
  <c r="AB48" i="60"/>
  <c r="AA48" i="60"/>
  <c r="Z48" i="60"/>
  <c r="Y48" i="60"/>
  <c r="X48" i="60"/>
  <c r="W48" i="60"/>
  <c r="V48" i="60"/>
  <c r="U48" i="60"/>
  <c r="T48" i="60"/>
  <c r="AD47" i="60"/>
  <c r="AC47" i="60"/>
  <c r="AB47" i="60"/>
  <c r="AA47" i="60"/>
  <c r="Z47" i="60"/>
  <c r="Y47" i="60"/>
  <c r="X47" i="60"/>
  <c r="W47" i="60"/>
  <c r="V47" i="60"/>
  <c r="U47" i="60"/>
  <c r="T47" i="60"/>
  <c r="AD46" i="60"/>
  <c r="AC46" i="60"/>
  <c r="AB46" i="60"/>
  <c r="AA46" i="60"/>
  <c r="Z46" i="60"/>
  <c r="Y46" i="60"/>
  <c r="X46" i="60"/>
  <c r="W46" i="60"/>
  <c r="V46" i="60"/>
  <c r="U46" i="60"/>
  <c r="T46" i="60"/>
  <c r="AD45" i="60"/>
  <c r="AC45" i="60"/>
  <c r="AB45" i="60"/>
  <c r="AA45" i="60"/>
  <c r="Z45" i="60"/>
  <c r="Y45" i="60"/>
  <c r="X45" i="60"/>
  <c r="W45" i="60"/>
  <c r="V45" i="60"/>
  <c r="U45" i="60"/>
  <c r="T45" i="60"/>
  <c r="AD44" i="60"/>
  <c r="AC44" i="60"/>
  <c r="AB44" i="60"/>
  <c r="AA44" i="60"/>
  <c r="Z44" i="60"/>
  <c r="Y44" i="60"/>
  <c r="X44" i="60"/>
  <c r="W44" i="60"/>
  <c r="V44" i="60"/>
  <c r="U44" i="60"/>
  <c r="T44" i="60"/>
  <c r="AD43" i="60"/>
  <c r="AC43" i="60"/>
  <c r="AB43" i="60"/>
  <c r="AA43" i="60"/>
  <c r="Z43" i="60"/>
  <c r="Y43" i="60"/>
  <c r="X43" i="60"/>
  <c r="W43" i="60"/>
  <c r="V43" i="60"/>
  <c r="U43" i="60"/>
  <c r="T43" i="60"/>
  <c r="AD42" i="60"/>
  <c r="AC42" i="60"/>
  <c r="AB42" i="60"/>
  <c r="AA42" i="60"/>
  <c r="Z42" i="60"/>
  <c r="Y42" i="60"/>
  <c r="X42" i="60"/>
  <c r="W42" i="60"/>
  <c r="V42" i="60"/>
  <c r="U42" i="60"/>
  <c r="T42" i="60"/>
  <c r="AD41" i="60"/>
  <c r="AC41" i="60"/>
  <c r="AB41" i="60"/>
  <c r="AA41" i="60"/>
  <c r="Z41" i="60"/>
  <c r="Y41" i="60"/>
  <c r="X41" i="60"/>
  <c r="W41" i="60"/>
  <c r="V41" i="60"/>
  <c r="U41" i="60"/>
  <c r="T41" i="60"/>
  <c r="AD40" i="60"/>
  <c r="AC40" i="60"/>
  <c r="AB40" i="60"/>
  <c r="AA40" i="60"/>
  <c r="Z40" i="60"/>
  <c r="Y40" i="60"/>
  <c r="X40" i="60"/>
  <c r="W40" i="60"/>
  <c r="V40" i="60"/>
  <c r="U40" i="60"/>
  <c r="T40" i="60"/>
  <c r="AD39" i="60"/>
  <c r="AC39" i="60"/>
  <c r="AB39" i="60"/>
  <c r="AA39" i="60"/>
  <c r="Z39" i="60"/>
  <c r="Y39" i="60"/>
  <c r="X39" i="60"/>
  <c r="W39" i="60"/>
  <c r="V39" i="60"/>
  <c r="U39" i="60"/>
  <c r="T39" i="60"/>
  <c r="T38" i="60"/>
  <c r="U38" i="60"/>
  <c r="V38" i="60"/>
  <c r="W38" i="60"/>
  <c r="W59" i="60"/>
  <c r="X38" i="60"/>
  <c r="X59" i="60"/>
  <c r="Y38" i="60"/>
  <c r="Y59" i="60"/>
  <c r="Z38" i="60"/>
  <c r="Z59" i="60"/>
  <c r="AA38" i="60"/>
  <c r="AA37" i="60"/>
  <c r="AB38" i="60"/>
  <c r="AB59" i="60"/>
  <c r="AC38" i="60"/>
  <c r="AC59" i="60"/>
  <c r="AD38" i="60"/>
  <c r="AD37" i="60"/>
  <c r="AE24" i="60"/>
  <c r="AE56" i="60"/>
  <c r="AE23" i="60"/>
  <c r="AE55" i="60"/>
  <c r="AE22" i="60"/>
  <c r="AE54" i="60"/>
  <c r="AE21" i="60"/>
  <c r="AE53" i="60"/>
  <c r="AE20" i="60"/>
  <c r="AE52" i="60"/>
  <c r="AE19" i="60"/>
  <c r="AE51" i="60"/>
  <c r="AE18" i="60"/>
  <c r="AE50" i="60"/>
  <c r="AE7" i="60"/>
  <c r="AE39" i="60"/>
  <c r="AE8" i="60"/>
  <c r="AE40" i="60"/>
  <c r="AE9" i="60"/>
  <c r="AE41" i="60"/>
  <c r="AE10" i="60"/>
  <c r="AE42" i="60"/>
  <c r="AE11" i="60"/>
  <c r="AE43" i="60"/>
  <c r="AE12" i="60"/>
  <c r="AE44" i="60"/>
  <c r="AE13" i="60"/>
  <c r="AE45" i="60"/>
  <c r="AE14" i="60"/>
  <c r="AE46" i="60"/>
  <c r="AE15" i="60"/>
  <c r="AE47" i="60"/>
  <c r="AE16" i="60"/>
  <c r="AE48" i="60"/>
  <c r="AE6" i="60"/>
  <c r="AE38" i="60"/>
  <c r="R19" i="60"/>
  <c r="R20" i="60"/>
  <c r="R21" i="60"/>
  <c r="R22" i="60"/>
  <c r="R23" i="60"/>
  <c r="R24" i="60"/>
  <c r="R26" i="60"/>
  <c r="R18" i="60"/>
  <c r="R7" i="60"/>
  <c r="R8" i="60"/>
  <c r="R9" i="60"/>
  <c r="R10" i="60"/>
  <c r="R11" i="60"/>
  <c r="R12" i="60"/>
  <c r="R13" i="60"/>
  <c r="R14" i="60"/>
  <c r="R15" i="60"/>
  <c r="R16" i="60"/>
  <c r="R6" i="60"/>
  <c r="S58" i="60"/>
  <c r="S56" i="60"/>
  <c r="S55" i="60"/>
  <c r="S54" i="60"/>
  <c r="S53" i="60"/>
  <c r="S52" i="60"/>
  <c r="S51" i="60"/>
  <c r="S50" i="60"/>
  <c r="S48" i="60"/>
  <c r="S47" i="60"/>
  <c r="S46" i="60"/>
  <c r="S45" i="60"/>
  <c r="S44" i="60"/>
  <c r="S43" i="60"/>
  <c r="S42" i="60"/>
  <c r="S41" i="60"/>
  <c r="S40" i="60"/>
  <c r="S39" i="60"/>
  <c r="S38" i="60"/>
  <c r="S25" i="60"/>
  <c r="S27" i="60"/>
  <c r="AE58" i="60"/>
  <c r="AF44" i="61"/>
  <c r="AF32" i="61"/>
  <c r="Q37" i="56"/>
  <c r="P34" i="56"/>
  <c r="O34" i="56"/>
  <c r="N34" i="56"/>
  <c r="M34" i="56"/>
  <c r="L34" i="56"/>
  <c r="K34" i="56"/>
  <c r="J34" i="56"/>
  <c r="I34" i="56"/>
  <c r="H34" i="56"/>
  <c r="G34" i="56"/>
  <c r="F34" i="56"/>
  <c r="E34" i="56"/>
  <c r="Q34" i="56" s="1"/>
  <c r="P31" i="56"/>
  <c r="P62" i="56" s="1"/>
  <c r="O31" i="56"/>
  <c r="O62" i="56" s="1"/>
  <c r="N31" i="56"/>
  <c r="N62" i="56" s="1"/>
  <c r="M31" i="56"/>
  <c r="M62" i="56" s="1"/>
  <c r="L31" i="56"/>
  <c r="L62" i="56" s="1"/>
  <c r="K31" i="56"/>
  <c r="K62" i="56" s="1"/>
  <c r="J31" i="56"/>
  <c r="J62" i="56" s="1"/>
  <c r="I31" i="56"/>
  <c r="I62" i="56" s="1"/>
  <c r="H31" i="56"/>
  <c r="H62" i="56" s="1"/>
  <c r="G31" i="56"/>
  <c r="G62" i="56" s="1"/>
  <c r="F31" i="56"/>
  <c r="F62" i="56" s="1"/>
  <c r="E31" i="56"/>
  <c r="E62" i="56" s="1"/>
  <c r="AC24" i="11"/>
  <c r="AR28" i="63" s="1"/>
  <c r="AC23" i="11"/>
  <c r="AR27" i="63" s="1"/>
  <c r="AC22" i="11"/>
  <c r="AR26" i="63" s="1"/>
  <c r="AC21" i="11"/>
  <c r="AR25" i="63" s="1"/>
  <c r="AC20" i="11"/>
  <c r="AC24" i="56" s="1"/>
  <c r="AC19" i="11"/>
  <c r="AC7" i="11"/>
  <c r="AR11" i="63" s="1"/>
  <c r="AC8" i="11"/>
  <c r="AR12" i="63" s="1"/>
  <c r="AR42" i="63" s="1"/>
  <c r="AC9" i="11"/>
  <c r="AR13" i="63" s="1"/>
  <c r="AC10" i="11"/>
  <c r="AC14" i="56" s="1"/>
  <c r="AC11" i="11"/>
  <c r="AC15" i="56" s="1"/>
  <c r="AC12" i="11"/>
  <c r="AR16" i="63" s="1"/>
  <c r="AC13" i="11"/>
  <c r="AC17" i="56" s="1"/>
  <c r="AC14" i="11"/>
  <c r="AR18" i="63" s="1"/>
  <c r="AC15" i="11"/>
  <c r="AR19" i="63" s="1"/>
  <c r="AC16" i="11"/>
  <c r="AR20" i="63" s="1"/>
  <c r="AC6" i="11"/>
  <c r="AC10" i="56" s="1"/>
  <c r="BD34" i="56"/>
  <c r="BC34" i="56"/>
  <c r="BB34" i="56"/>
  <c r="BA34" i="56"/>
  <c r="AZ34" i="56"/>
  <c r="AY34" i="56"/>
  <c r="AX34" i="56"/>
  <c r="AW34" i="56"/>
  <c r="AV34" i="56"/>
  <c r="AU34" i="56"/>
  <c r="AT34" i="56"/>
  <c r="AS34" i="56"/>
  <c r="BO62" i="56"/>
  <c r="BL62" i="56"/>
  <c r="BJ62" i="56"/>
  <c r="BF62" i="56"/>
  <c r="BD31" i="56"/>
  <c r="BD62" i="56" s="1"/>
  <c r="BC31" i="56"/>
  <c r="BC62" i="56" s="1"/>
  <c r="BB31" i="56"/>
  <c r="BB62" i="56" s="1"/>
  <c r="BA31" i="56"/>
  <c r="BA62" i="56" s="1"/>
  <c r="AZ31" i="56"/>
  <c r="AY31" i="56"/>
  <c r="AX31" i="56"/>
  <c r="AW31" i="56"/>
  <c r="AW62" i="56" s="1"/>
  <c r="AV31" i="56"/>
  <c r="AU31" i="56"/>
  <c r="AU62" i="56" s="1"/>
  <c r="AT62" i="56"/>
  <c r="AC34" i="56"/>
  <c r="AB34" i="56"/>
  <c r="AA34" i="56"/>
  <c r="Z34" i="56"/>
  <c r="Y34" i="56"/>
  <c r="X34" i="56"/>
  <c r="W34" i="56"/>
  <c r="V34" i="56"/>
  <c r="U34" i="56"/>
  <c r="T34" i="56"/>
  <c r="S34" i="56"/>
  <c r="R34" i="56"/>
  <c r="AC31" i="56"/>
  <c r="AC62" i="56" s="1"/>
  <c r="AB31" i="56"/>
  <c r="AB62" i="56" s="1"/>
  <c r="AA31" i="56"/>
  <c r="AA62" i="56" s="1"/>
  <c r="Z31" i="56"/>
  <c r="Z62" i="56" s="1"/>
  <c r="Y31" i="56"/>
  <c r="Y62" i="56" s="1"/>
  <c r="X31" i="56"/>
  <c r="X62" i="56" s="1"/>
  <c r="W31" i="56"/>
  <c r="V31" i="56"/>
  <c r="V62" i="56" s="1"/>
  <c r="U31" i="56"/>
  <c r="U62" i="56" s="1"/>
  <c r="T31" i="56"/>
  <c r="T62" i="56" s="1"/>
  <c r="S31" i="56"/>
  <c r="S62" i="56" s="1"/>
  <c r="R31" i="56"/>
  <c r="R62" i="56" s="1"/>
  <c r="AD37" i="56"/>
  <c r="BD37" i="56"/>
  <c r="BC37" i="56"/>
  <c r="BB37" i="56"/>
  <c r="BA37" i="56"/>
  <c r="AZ37" i="56"/>
  <c r="AY37" i="56"/>
  <c r="AX37" i="56"/>
  <c r="AW37" i="56"/>
  <c r="AV37" i="56"/>
  <c r="AU37" i="56"/>
  <c r="AT37" i="56"/>
  <c r="AS37" i="56"/>
  <c r="BT30" i="11"/>
  <c r="B82" i="63"/>
  <c r="B83" i="63"/>
  <c r="B84" i="63"/>
  <c r="B85" i="63"/>
  <c r="B86" i="63"/>
  <c r="B87" i="63"/>
  <c r="B70" i="63"/>
  <c r="B71" i="63"/>
  <c r="B72" i="63"/>
  <c r="B73" i="63"/>
  <c r="B74" i="63"/>
  <c r="B75" i="63"/>
  <c r="B76" i="63"/>
  <c r="B77" i="63"/>
  <c r="B78" i="63"/>
  <c r="B79" i="63"/>
  <c r="AR60" i="63"/>
  <c r="AQ60" i="63"/>
  <c r="AP60" i="63"/>
  <c r="AO60" i="63"/>
  <c r="AN60" i="63"/>
  <c r="AM60" i="63"/>
  <c r="AL60" i="63"/>
  <c r="AK60" i="63"/>
  <c r="AJ60" i="63"/>
  <c r="AI60" i="63"/>
  <c r="AH60" i="63"/>
  <c r="AG60" i="63"/>
  <c r="AU58" i="63"/>
  <c r="AU57" i="63"/>
  <c r="AU56" i="63"/>
  <c r="AU55" i="63"/>
  <c r="AU54" i="63"/>
  <c r="AU53" i="63"/>
  <c r="B53" i="63"/>
  <c r="B54" i="63"/>
  <c r="B55" i="63"/>
  <c r="B56" i="63"/>
  <c r="B57" i="63"/>
  <c r="B58" i="63"/>
  <c r="AU52" i="63"/>
  <c r="AU50" i="63"/>
  <c r="AY49" i="63"/>
  <c r="AU49" i="63"/>
  <c r="AU48" i="63"/>
  <c r="AU47" i="63"/>
  <c r="AU46" i="63"/>
  <c r="AU45" i="63"/>
  <c r="AU44" i="63"/>
  <c r="AU43" i="63"/>
  <c r="AU42" i="63"/>
  <c r="AY41" i="63"/>
  <c r="AU41" i="63"/>
  <c r="B41" i="63"/>
  <c r="B42" i="63"/>
  <c r="B43" i="63"/>
  <c r="B44" i="63"/>
  <c r="B45" i="63"/>
  <c r="B46" i="63"/>
  <c r="B47" i="63"/>
  <c r="B48" i="63"/>
  <c r="B49" i="63"/>
  <c r="B50" i="63"/>
  <c r="AU40" i="63"/>
  <c r="AX36" i="63"/>
  <c r="AS36" i="63"/>
  <c r="AU33" i="63"/>
  <c r="AU32" i="63" s="1"/>
  <c r="AS33" i="63"/>
  <c r="AR33" i="63"/>
  <c r="AQ33" i="63"/>
  <c r="AP33" i="63"/>
  <c r="AO33" i="63"/>
  <c r="AN33" i="63"/>
  <c r="AM33" i="63"/>
  <c r="AL33" i="63"/>
  <c r="AK33" i="63"/>
  <c r="AJ33" i="63"/>
  <c r="AI33" i="63"/>
  <c r="AH33" i="63"/>
  <c r="AG33" i="63"/>
  <c r="AR30" i="63"/>
  <c r="AQ30" i="63"/>
  <c r="AP30" i="63"/>
  <c r="AO30" i="63"/>
  <c r="AN30" i="63"/>
  <c r="AM30" i="63"/>
  <c r="AL30" i="63"/>
  <c r="AK30" i="63"/>
  <c r="AJ30" i="63"/>
  <c r="AI30" i="63"/>
  <c r="AH30" i="63"/>
  <c r="AG30" i="63"/>
  <c r="B23" i="63"/>
  <c r="B24" i="63"/>
  <c r="B25" i="63"/>
  <c r="B26" i="63"/>
  <c r="B27" i="63"/>
  <c r="B28" i="63"/>
  <c r="AU21" i="63"/>
  <c r="B11" i="63"/>
  <c r="B12" i="63"/>
  <c r="B13" i="63"/>
  <c r="B14" i="63"/>
  <c r="B15" i="63"/>
  <c r="B16" i="63"/>
  <c r="B17" i="63"/>
  <c r="B18" i="63"/>
  <c r="B19" i="63"/>
  <c r="B20" i="63"/>
  <c r="AU9" i="63"/>
  <c r="AY8" i="63"/>
  <c r="BS24" i="11"/>
  <c r="BD28" i="56" s="1"/>
  <c r="BR24" i="11"/>
  <c r="BC28" i="56" s="1"/>
  <c r="BQ24" i="11"/>
  <c r="BB28" i="56" s="1"/>
  <c r="BP24" i="11"/>
  <c r="BA28" i="56" s="1"/>
  <c r="BO24" i="11"/>
  <c r="AZ28" i="56" s="1"/>
  <c r="BN24" i="11"/>
  <c r="AY28" i="56" s="1"/>
  <c r="BM24" i="11"/>
  <c r="AX28" i="56" s="1"/>
  <c r="BL24" i="11"/>
  <c r="AW28" i="56" s="1"/>
  <c r="BK24" i="11"/>
  <c r="AV28" i="56" s="1"/>
  <c r="BJ24" i="11"/>
  <c r="AU28" i="56" s="1"/>
  <c r="BI24" i="11"/>
  <c r="AT28" i="56" s="1"/>
  <c r="BH24" i="11"/>
  <c r="AS28" i="56" s="1"/>
  <c r="BT28" i="56" s="1"/>
  <c r="BS23" i="11"/>
  <c r="BD27" i="56" s="1"/>
  <c r="BR23" i="11"/>
  <c r="BC27" i="56" s="1"/>
  <c r="BQ23" i="11"/>
  <c r="BB27" i="56" s="1"/>
  <c r="BP23" i="11"/>
  <c r="BA27" i="56" s="1"/>
  <c r="BO23" i="11"/>
  <c r="AZ27" i="56" s="1"/>
  <c r="BN23" i="11"/>
  <c r="AY27" i="56" s="1"/>
  <c r="BM23" i="11"/>
  <c r="AX27" i="56" s="1"/>
  <c r="BL23" i="11"/>
  <c r="BK23" i="11"/>
  <c r="AV27" i="56" s="1"/>
  <c r="BJ23" i="11"/>
  <c r="AU27" i="56" s="1"/>
  <c r="BI23" i="11"/>
  <c r="AT27" i="56" s="1"/>
  <c r="BH23" i="11"/>
  <c r="AS27" i="56" s="1"/>
  <c r="BT27" i="56" s="1"/>
  <c r="BS22" i="11"/>
  <c r="BD26" i="56" s="1"/>
  <c r="BR22" i="11"/>
  <c r="BC26" i="56" s="1"/>
  <c r="BQ22" i="11"/>
  <c r="BB26" i="56" s="1"/>
  <c r="BP22" i="11"/>
  <c r="BA26" i="56" s="1"/>
  <c r="BO22" i="11"/>
  <c r="AZ26" i="56" s="1"/>
  <c r="BN22" i="11"/>
  <c r="AY26" i="56" s="1"/>
  <c r="BM22" i="11"/>
  <c r="AX26" i="56" s="1"/>
  <c r="BL22" i="11"/>
  <c r="AW26" i="56" s="1"/>
  <c r="BK22" i="11"/>
  <c r="AV26" i="56" s="1"/>
  <c r="BJ22" i="11"/>
  <c r="BI22" i="11"/>
  <c r="AT26" i="56" s="1"/>
  <c r="BH22" i="11"/>
  <c r="AS26" i="56" s="1"/>
  <c r="BT26" i="56" s="1"/>
  <c r="BS21" i="11"/>
  <c r="BD25" i="56" s="1"/>
  <c r="BR21" i="11"/>
  <c r="BC25" i="56" s="1"/>
  <c r="BQ21" i="11"/>
  <c r="BB25" i="56" s="1"/>
  <c r="BP21" i="11"/>
  <c r="BA25" i="56" s="1"/>
  <c r="BO21" i="11"/>
  <c r="AZ25" i="56" s="1"/>
  <c r="BN21" i="11"/>
  <c r="AY25" i="56" s="1"/>
  <c r="BM21" i="11"/>
  <c r="AX25" i="56" s="1"/>
  <c r="BL21" i="11"/>
  <c r="AW25" i="56" s="1"/>
  <c r="BK21" i="11"/>
  <c r="AV25" i="56" s="1"/>
  <c r="BJ21" i="11"/>
  <c r="AU25" i="56" s="1"/>
  <c r="BI21" i="11"/>
  <c r="AT25" i="56" s="1"/>
  <c r="BH21" i="11"/>
  <c r="AS25" i="56" s="1"/>
  <c r="BT25" i="56" s="1"/>
  <c r="BS20" i="11"/>
  <c r="BR20" i="11"/>
  <c r="BQ20" i="11"/>
  <c r="BB24" i="56" s="1"/>
  <c r="BP20" i="11"/>
  <c r="BA24" i="56" s="1"/>
  <c r="BO20" i="11"/>
  <c r="AZ24" i="56" s="1"/>
  <c r="BN20" i="11"/>
  <c r="AY24" i="56" s="1"/>
  <c r="BM20" i="11"/>
  <c r="AX24" i="56" s="1"/>
  <c r="BL20" i="11"/>
  <c r="AW24" i="56" s="1"/>
  <c r="BK20" i="11"/>
  <c r="AV24" i="56" s="1"/>
  <c r="BJ20" i="11"/>
  <c r="AU24" i="56" s="1"/>
  <c r="BI20" i="11"/>
  <c r="AT24" i="56" s="1"/>
  <c r="BH20" i="11"/>
  <c r="AS24" i="56" s="1"/>
  <c r="BT24" i="56" s="1"/>
  <c r="BS19" i="11"/>
  <c r="BD23" i="56" s="1"/>
  <c r="BR19" i="11"/>
  <c r="BC23" i="56" s="1"/>
  <c r="BQ19" i="11"/>
  <c r="BB23" i="56" s="1"/>
  <c r="BP19" i="11"/>
  <c r="BA23" i="56" s="1"/>
  <c r="BO19" i="11"/>
  <c r="AZ23" i="56" s="1"/>
  <c r="BN19" i="11"/>
  <c r="BM19" i="11"/>
  <c r="AX23" i="56" s="1"/>
  <c r="BL19" i="11"/>
  <c r="AW23" i="56" s="1"/>
  <c r="BK19" i="11"/>
  <c r="AV23" i="56" s="1"/>
  <c r="BJ19" i="11"/>
  <c r="AU23" i="56" s="1"/>
  <c r="BI19" i="11"/>
  <c r="AT23" i="56" s="1"/>
  <c r="BH19" i="11"/>
  <c r="AS23" i="56" s="1"/>
  <c r="BT23" i="56" s="1"/>
  <c r="BS18" i="11"/>
  <c r="BD22" i="56" s="1"/>
  <c r="BR18" i="11"/>
  <c r="BC22" i="56" s="1"/>
  <c r="BQ18" i="11"/>
  <c r="BB22" i="56" s="1"/>
  <c r="BP18" i="11"/>
  <c r="BA22" i="56" s="1"/>
  <c r="BO18" i="11"/>
  <c r="AZ22" i="56" s="1"/>
  <c r="BN18" i="11"/>
  <c r="AY22" i="56" s="1"/>
  <c r="BM18" i="11"/>
  <c r="AX22" i="56" s="1"/>
  <c r="BL18" i="11"/>
  <c r="AW22" i="56" s="1"/>
  <c r="BK18" i="11"/>
  <c r="AV22" i="56" s="1"/>
  <c r="BJ18" i="11"/>
  <c r="AU22" i="56" s="1"/>
  <c r="BI18" i="11"/>
  <c r="AT22" i="56" s="1"/>
  <c r="BH18" i="11"/>
  <c r="BH7" i="11"/>
  <c r="AS11" i="56" s="1"/>
  <c r="BT11" i="56" s="1"/>
  <c r="BI7" i="11"/>
  <c r="AT11" i="56" s="1"/>
  <c r="BJ7" i="11"/>
  <c r="AU11" i="56" s="1"/>
  <c r="BK7" i="11"/>
  <c r="AV11" i="56" s="1"/>
  <c r="BL7" i="11"/>
  <c r="AW11" i="56" s="1"/>
  <c r="BM7" i="11"/>
  <c r="BN7" i="11"/>
  <c r="BO7" i="11"/>
  <c r="AZ11" i="56" s="1"/>
  <c r="BP7" i="11"/>
  <c r="BA11" i="56" s="1"/>
  <c r="BQ7" i="11"/>
  <c r="BB11" i="56" s="1"/>
  <c r="BR7" i="11"/>
  <c r="BC11" i="56" s="1"/>
  <c r="BS7" i="11"/>
  <c r="BD11" i="56" s="1"/>
  <c r="BH8" i="11"/>
  <c r="AS12" i="56" s="1"/>
  <c r="BI8" i="11"/>
  <c r="AT12" i="56" s="1"/>
  <c r="BJ8" i="11"/>
  <c r="AU12" i="56" s="1"/>
  <c r="BK8" i="11"/>
  <c r="AV12" i="56" s="1"/>
  <c r="BL8" i="11"/>
  <c r="AW12" i="56" s="1"/>
  <c r="BM8" i="11"/>
  <c r="AX12" i="56" s="1"/>
  <c r="BN8" i="11"/>
  <c r="AY12" i="56" s="1"/>
  <c r="BO8" i="11"/>
  <c r="BP8" i="11"/>
  <c r="BQ8" i="11"/>
  <c r="BB12" i="56" s="1"/>
  <c r="BR8" i="11"/>
  <c r="BC12" i="56" s="1"/>
  <c r="BC43" i="56" s="1"/>
  <c r="BS8" i="11"/>
  <c r="BD12" i="56" s="1"/>
  <c r="BH10" i="11"/>
  <c r="AS14" i="56" s="1"/>
  <c r="BT14" i="56" s="1"/>
  <c r="BI10" i="11"/>
  <c r="AT14" i="56" s="1"/>
  <c r="BJ10" i="11"/>
  <c r="AU14" i="56" s="1"/>
  <c r="BK10" i="11"/>
  <c r="AV14" i="56" s="1"/>
  <c r="BL10" i="11"/>
  <c r="AW14" i="56" s="1"/>
  <c r="BM10" i="11"/>
  <c r="AX14" i="56" s="1"/>
  <c r="BN10" i="11"/>
  <c r="AY14" i="56" s="1"/>
  <c r="BO10" i="11"/>
  <c r="AZ14" i="56" s="1"/>
  <c r="BP10" i="11"/>
  <c r="BQ10" i="11"/>
  <c r="BB14" i="56" s="1"/>
  <c r="BR10" i="11"/>
  <c r="BC14" i="56" s="1"/>
  <c r="BS10" i="11"/>
  <c r="BD14" i="56" s="1"/>
  <c r="BH12" i="11"/>
  <c r="AS16" i="56" s="1"/>
  <c r="BT16" i="56" s="1"/>
  <c r="BI12" i="11"/>
  <c r="AT16" i="56" s="1"/>
  <c r="BJ12" i="11"/>
  <c r="AU16" i="56" s="1"/>
  <c r="BK12" i="11"/>
  <c r="AV16" i="56" s="1"/>
  <c r="BL12" i="11"/>
  <c r="AW16" i="56" s="1"/>
  <c r="BM12" i="11"/>
  <c r="AX16" i="56" s="1"/>
  <c r="BN12" i="11"/>
  <c r="AY16" i="56" s="1"/>
  <c r="BO12" i="11"/>
  <c r="AZ16" i="56" s="1"/>
  <c r="BP12" i="11"/>
  <c r="BA16" i="56" s="1"/>
  <c r="BQ12" i="11"/>
  <c r="BB16" i="56" s="1"/>
  <c r="BR12" i="11"/>
  <c r="BC16" i="56" s="1"/>
  <c r="BS12" i="11"/>
  <c r="BD16" i="56" s="1"/>
  <c r="BH14" i="11"/>
  <c r="AS18" i="56" s="1"/>
  <c r="BT18" i="56" s="1"/>
  <c r="BI14" i="11"/>
  <c r="AT18" i="56" s="1"/>
  <c r="BJ14" i="11"/>
  <c r="AU18" i="56" s="1"/>
  <c r="BK14" i="11"/>
  <c r="AV18" i="56" s="1"/>
  <c r="BL14" i="11"/>
  <c r="BM14" i="11"/>
  <c r="AX18" i="56" s="1"/>
  <c r="BN14" i="11"/>
  <c r="AY18" i="56" s="1"/>
  <c r="BO14" i="11"/>
  <c r="AZ18" i="56" s="1"/>
  <c r="BP14" i="11"/>
  <c r="BA18" i="56" s="1"/>
  <c r="BQ14" i="11"/>
  <c r="BB18" i="56" s="1"/>
  <c r="BR14" i="11"/>
  <c r="BC18" i="56" s="1"/>
  <c r="BS14" i="11"/>
  <c r="BD18" i="56" s="1"/>
  <c r="BH15" i="11"/>
  <c r="AS19" i="56" s="1"/>
  <c r="BT19" i="56" s="1"/>
  <c r="BI15" i="11"/>
  <c r="AT19" i="56" s="1"/>
  <c r="BJ15" i="11"/>
  <c r="AU19" i="56" s="1"/>
  <c r="BK15" i="11"/>
  <c r="AV19" i="56" s="1"/>
  <c r="BL15" i="11"/>
  <c r="AW19" i="56" s="1"/>
  <c r="BM15" i="11"/>
  <c r="AX19" i="56" s="1"/>
  <c r="BN15" i="11"/>
  <c r="AY19" i="56" s="1"/>
  <c r="BO15" i="11"/>
  <c r="AZ19" i="56" s="1"/>
  <c r="BP15" i="11"/>
  <c r="BA19" i="56" s="1"/>
  <c r="BQ15" i="11"/>
  <c r="BB19" i="56" s="1"/>
  <c r="BR15" i="11"/>
  <c r="BC19" i="56" s="1"/>
  <c r="BS15" i="11"/>
  <c r="BD19" i="56" s="1"/>
  <c r="AE29" i="11"/>
  <c r="AF19" i="11"/>
  <c r="AF20" i="11"/>
  <c r="AF21" i="11"/>
  <c r="AF22" i="11"/>
  <c r="AF23" i="11"/>
  <c r="AF24" i="11"/>
  <c r="AF7" i="11"/>
  <c r="AF8" i="11"/>
  <c r="AF9" i="11"/>
  <c r="AF10" i="11"/>
  <c r="AF11" i="11"/>
  <c r="AF12" i="11"/>
  <c r="AF13" i="11"/>
  <c r="AF14" i="11"/>
  <c r="AF15" i="11"/>
  <c r="AF16" i="11"/>
  <c r="AF6" i="11"/>
  <c r="AE26" i="11"/>
  <c r="BX49" i="13"/>
  <c r="E8" i="11"/>
  <c r="E12" i="56" s="1"/>
  <c r="E43" i="56" s="1"/>
  <c r="S30" i="11"/>
  <c r="T30" i="11"/>
  <c r="U30" i="11"/>
  <c r="V30" i="11"/>
  <c r="W30" i="11"/>
  <c r="X30" i="11"/>
  <c r="Y30" i="11"/>
  <c r="Z30" i="11"/>
  <c r="AA30" i="11"/>
  <c r="AB30" i="11"/>
  <c r="R30" i="11"/>
  <c r="AD4" i="11"/>
  <c r="AD35" i="11" s="1"/>
  <c r="AB22" i="56"/>
  <c r="AB19" i="11"/>
  <c r="AB20" i="11"/>
  <c r="AQ24" i="63" s="1"/>
  <c r="AB21" i="11"/>
  <c r="AQ25" i="63" s="1"/>
  <c r="AB22" i="11"/>
  <c r="AQ26" i="63" s="1"/>
  <c r="AB23" i="11"/>
  <c r="AQ27" i="63" s="1"/>
  <c r="AB24" i="11"/>
  <c r="AB6" i="11"/>
  <c r="AB10" i="56" s="1"/>
  <c r="AB7" i="11"/>
  <c r="AB11" i="56" s="1"/>
  <c r="AB8" i="11"/>
  <c r="AQ12" i="63" s="1"/>
  <c r="AQ42" i="63" s="1"/>
  <c r="AB9" i="11"/>
  <c r="AB13" i="56" s="1"/>
  <c r="AB10" i="11"/>
  <c r="AB11" i="11"/>
  <c r="AB12" i="11"/>
  <c r="AB16" i="56" s="1"/>
  <c r="AB13" i="11"/>
  <c r="AB17" i="56" s="1"/>
  <c r="AB14" i="11"/>
  <c r="AQ18" i="63" s="1"/>
  <c r="AB15" i="11"/>
  <c r="AQ19" i="63" s="1"/>
  <c r="AB16" i="11"/>
  <c r="AQ20" i="63" s="1"/>
  <c r="O58" i="60"/>
  <c r="AP22" i="63"/>
  <c r="AA19" i="11"/>
  <c r="AP23" i="63" s="1"/>
  <c r="AA20" i="11"/>
  <c r="AP24" i="63" s="1"/>
  <c r="AA21" i="11"/>
  <c r="AP25" i="63" s="1"/>
  <c r="AA22" i="11"/>
  <c r="AP26" i="63" s="1"/>
  <c r="AA23" i="11"/>
  <c r="AA27" i="56" s="1"/>
  <c r="AA24" i="11"/>
  <c r="AA28" i="56" s="1"/>
  <c r="AA7" i="11"/>
  <c r="AA11" i="56" s="1"/>
  <c r="AA8" i="11"/>
  <c r="AP12" i="63" s="1"/>
  <c r="AP42" i="63" s="1"/>
  <c r="AA9" i="11"/>
  <c r="AP13" i="63" s="1"/>
  <c r="AA10" i="11"/>
  <c r="AA11" i="11"/>
  <c r="AA15" i="56" s="1"/>
  <c r="AA12" i="11"/>
  <c r="AA16" i="56" s="1"/>
  <c r="AA13" i="11"/>
  <c r="AA14" i="11"/>
  <c r="AA15" i="11"/>
  <c r="AA16" i="11"/>
  <c r="AP20" i="63" s="1"/>
  <c r="BT26" i="11"/>
  <c r="AA6" i="11"/>
  <c r="AA10" i="56" s="1"/>
  <c r="BF26" i="11"/>
  <c r="Z19" i="11"/>
  <c r="AO23" i="63" s="1"/>
  <c r="Z20" i="11"/>
  <c r="Z21" i="11"/>
  <c r="Z22" i="11"/>
  <c r="AO26" i="63" s="1"/>
  <c r="Z23" i="11"/>
  <c r="Z24" i="11"/>
  <c r="AO28" i="63" s="1"/>
  <c r="Z7" i="11"/>
  <c r="Z11" i="56" s="1"/>
  <c r="Z9" i="11"/>
  <c r="AO13" i="63" s="1"/>
  <c r="Z11" i="11"/>
  <c r="AO15" i="63" s="1"/>
  <c r="Z12" i="11"/>
  <c r="AO16" i="63" s="1"/>
  <c r="Z13" i="11"/>
  <c r="AO17" i="63" s="1"/>
  <c r="Z15" i="11"/>
  <c r="AO19" i="63" s="1"/>
  <c r="Z14" i="11"/>
  <c r="Z18" i="56" s="1"/>
  <c r="Z16" i="11"/>
  <c r="AO20" i="63" s="1"/>
  <c r="Z10" i="11"/>
  <c r="Z8" i="11"/>
  <c r="Z6" i="11"/>
  <c r="AO10" i="63" s="1"/>
  <c r="BT29" i="11"/>
  <c r="Z7" i="13"/>
  <c r="Y7" i="13"/>
  <c r="Y3" i="13" s="1"/>
  <c r="Y24" i="11"/>
  <c r="Y23" i="11"/>
  <c r="Y27" i="56" s="1"/>
  <c r="Y22" i="11"/>
  <c r="AN26" i="63" s="1"/>
  <c r="Y21" i="11"/>
  <c r="Y20" i="11"/>
  <c r="AN24" i="63" s="1"/>
  <c r="Y19" i="11"/>
  <c r="AN22" i="63"/>
  <c r="Y8" i="11"/>
  <c r="AN12" i="63" s="1"/>
  <c r="AN42" i="63" s="1"/>
  <c r="Y10" i="11"/>
  <c r="Y11" i="11"/>
  <c r="Y12" i="11"/>
  <c r="Y13" i="11"/>
  <c r="Y14" i="11"/>
  <c r="Y15" i="11"/>
  <c r="Y16" i="11"/>
  <c r="Y20" i="56" s="1"/>
  <c r="Y7" i="11"/>
  <c r="AN11" i="63" s="1"/>
  <c r="Y6" i="11"/>
  <c r="AN10" i="63" s="1"/>
  <c r="L1" i="37"/>
  <c r="A64" i="13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F61" i="13"/>
  <c r="M53" i="13"/>
  <c r="AF53" i="13" s="1"/>
  <c r="BX52" i="13"/>
  <c r="AF52" i="13"/>
  <c r="AF51" i="13"/>
  <c r="AC50" i="13"/>
  <c r="AC98" i="13" s="1"/>
  <c r="AB50" i="13"/>
  <c r="AB104" i="13" s="1"/>
  <c r="AA50" i="13"/>
  <c r="AA79" i="13" s="1"/>
  <c r="N50" i="13"/>
  <c r="N109" i="13" s="1"/>
  <c r="M50" i="13"/>
  <c r="M103" i="13" s="1"/>
  <c r="L50" i="13"/>
  <c r="L70" i="13" s="1"/>
  <c r="J50" i="13"/>
  <c r="J104" i="13" s="1"/>
  <c r="I50" i="13"/>
  <c r="I83" i="13" s="1"/>
  <c r="BX48" i="13"/>
  <c r="AG48" i="13"/>
  <c r="R48" i="13"/>
  <c r="BX47" i="13"/>
  <c r="R47" i="13"/>
  <c r="BX46" i="13"/>
  <c r="R46" i="13"/>
  <c r="BX45" i="13"/>
  <c r="R45" i="13"/>
  <c r="BX44" i="13"/>
  <c r="R44" i="13"/>
  <c r="BX43" i="13"/>
  <c r="R43" i="13"/>
  <c r="BX42" i="13"/>
  <c r="R42" i="13"/>
  <c r="BX41" i="13"/>
  <c r="U50" i="13"/>
  <c r="R21" i="11"/>
  <c r="R66" i="11" s="1"/>
  <c r="R41" i="13"/>
  <c r="BX40" i="13"/>
  <c r="R40" i="13"/>
  <c r="BX39" i="13"/>
  <c r="R39" i="13"/>
  <c r="BX38" i="13"/>
  <c r="R38" i="13"/>
  <c r="BX37" i="13"/>
  <c r="R37" i="13"/>
  <c r="BX36" i="13"/>
  <c r="R36" i="13"/>
  <c r="BX35" i="13"/>
  <c r="R35" i="13"/>
  <c r="BX34" i="13"/>
  <c r="R34" i="13"/>
  <c r="BX33" i="13"/>
  <c r="R33" i="13"/>
  <c r="BX32" i="13"/>
  <c r="R32" i="13"/>
  <c r="BX31" i="13"/>
  <c r="R31" i="13"/>
  <c r="BX30" i="13"/>
  <c r="R30" i="13"/>
  <c r="BX29" i="13"/>
  <c r="R29" i="13"/>
  <c r="BX28" i="13"/>
  <c r="R28" i="13"/>
  <c r="BX27" i="13"/>
  <c r="R27" i="13"/>
  <c r="BX26" i="13"/>
  <c r="Q26" i="13"/>
  <c r="P22" i="11" s="1"/>
  <c r="P26" i="13"/>
  <c r="O22" i="11" s="1"/>
  <c r="O26" i="13"/>
  <c r="BX25" i="13"/>
  <c r="R25" i="13"/>
  <c r="BX24" i="13"/>
  <c r="R24" i="13"/>
  <c r="A24" i="13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52" i="13" s="1"/>
  <c r="A53" i="13" s="1"/>
  <c r="BX23" i="13"/>
  <c r="H23" i="13"/>
  <c r="H50" i="13" s="1"/>
  <c r="H94" i="13" s="1"/>
  <c r="G23" i="13"/>
  <c r="G50" i="13" s="1"/>
  <c r="F23" i="13"/>
  <c r="F50" i="13" s="1"/>
  <c r="E18" i="11"/>
  <c r="E22" i="56" s="1"/>
  <c r="R21" i="13"/>
  <c r="BX20" i="13"/>
  <c r="P20" i="13"/>
  <c r="O10" i="11" s="1"/>
  <c r="O67" i="11" s="1"/>
  <c r="O20" i="13"/>
  <c r="N10" i="11" s="1"/>
  <c r="N67" i="11" s="1"/>
  <c r="BX19" i="13"/>
  <c r="R19" i="13"/>
  <c r="BX18" i="13"/>
  <c r="R18" i="13"/>
  <c r="BX17" i="13"/>
  <c r="R17" i="13"/>
  <c r="BX16" i="13"/>
  <c r="R16" i="13"/>
  <c r="BX15" i="13"/>
  <c r="R15" i="13"/>
  <c r="BX14" i="13"/>
  <c r="Q14" i="13"/>
  <c r="R14" i="13" s="1"/>
  <c r="R13" i="13"/>
  <c r="BX12" i="13"/>
  <c r="S3" i="13"/>
  <c r="R12" i="13"/>
  <c r="BX11" i="13"/>
  <c r="R11" i="13"/>
  <c r="R9" i="13"/>
  <c r="R8" i="13"/>
  <c r="R7" i="13"/>
  <c r="BX6" i="13"/>
  <c r="R6" i="13"/>
  <c r="BX5" i="13"/>
  <c r="R5" i="13"/>
  <c r="A5" i="13"/>
  <c r="A6" i="13" s="1"/>
  <c r="K4" i="13"/>
  <c r="K50" i="13" s="1"/>
  <c r="K88" i="13" s="1"/>
  <c r="B75" i="61"/>
  <c r="B76" i="61"/>
  <c r="B77" i="61"/>
  <c r="B78" i="61"/>
  <c r="B79" i="61"/>
  <c r="B80" i="61"/>
  <c r="B63" i="61"/>
  <c r="B64" i="61"/>
  <c r="B65" i="61"/>
  <c r="B66" i="61"/>
  <c r="B67" i="61"/>
  <c r="B68" i="61"/>
  <c r="B69" i="61"/>
  <c r="B70" i="61"/>
  <c r="B71" i="61"/>
  <c r="B72" i="61"/>
  <c r="Q53" i="61"/>
  <c r="P53" i="61"/>
  <c r="O53" i="61"/>
  <c r="N53" i="61"/>
  <c r="M53" i="61"/>
  <c r="L53" i="61"/>
  <c r="K53" i="61"/>
  <c r="J53" i="61"/>
  <c r="I53" i="61"/>
  <c r="H53" i="61"/>
  <c r="G53" i="61"/>
  <c r="F53" i="61"/>
  <c r="E53" i="61"/>
  <c r="Q51" i="61"/>
  <c r="P51" i="61"/>
  <c r="O51" i="61"/>
  <c r="N51" i="61"/>
  <c r="M51" i="61"/>
  <c r="L51" i="61"/>
  <c r="K51" i="61"/>
  <c r="J51" i="61"/>
  <c r="I51" i="61"/>
  <c r="H51" i="61"/>
  <c r="G51" i="61"/>
  <c r="F51" i="61"/>
  <c r="E51" i="61"/>
  <c r="Q50" i="61"/>
  <c r="P50" i="61"/>
  <c r="O50" i="61"/>
  <c r="N50" i="61"/>
  <c r="M50" i="61"/>
  <c r="L50" i="61"/>
  <c r="K50" i="61"/>
  <c r="J50" i="61"/>
  <c r="I50" i="61"/>
  <c r="H50" i="61"/>
  <c r="G50" i="61"/>
  <c r="F50" i="61"/>
  <c r="E50" i="61"/>
  <c r="Q49" i="61"/>
  <c r="P49" i="61"/>
  <c r="O49" i="61"/>
  <c r="N49" i="61"/>
  <c r="M49" i="61"/>
  <c r="L49" i="61"/>
  <c r="K49" i="61"/>
  <c r="J49" i="61"/>
  <c r="I49" i="61"/>
  <c r="H49" i="61"/>
  <c r="G49" i="61"/>
  <c r="F49" i="61"/>
  <c r="E49" i="61"/>
  <c r="Q48" i="61"/>
  <c r="P48" i="61"/>
  <c r="O48" i="61"/>
  <c r="N48" i="61"/>
  <c r="M48" i="61"/>
  <c r="L48" i="61"/>
  <c r="K48" i="61"/>
  <c r="J48" i="61"/>
  <c r="I48" i="61"/>
  <c r="H48" i="61"/>
  <c r="G48" i="61"/>
  <c r="F48" i="61"/>
  <c r="E48" i="61"/>
  <c r="Q47" i="61"/>
  <c r="P47" i="61"/>
  <c r="O47" i="61"/>
  <c r="N47" i="61"/>
  <c r="M47" i="61"/>
  <c r="L47" i="61"/>
  <c r="K47" i="61"/>
  <c r="J47" i="61"/>
  <c r="I47" i="61"/>
  <c r="H47" i="61"/>
  <c r="G47" i="61"/>
  <c r="F47" i="61"/>
  <c r="E47" i="61"/>
  <c r="Q46" i="61"/>
  <c r="P46" i="61"/>
  <c r="O46" i="61"/>
  <c r="N46" i="61"/>
  <c r="M46" i="61"/>
  <c r="L46" i="61"/>
  <c r="K46" i="61"/>
  <c r="J46" i="61"/>
  <c r="I46" i="61"/>
  <c r="H46" i="61"/>
  <c r="G46" i="61"/>
  <c r="F46" i="61"/>
  <c r="E46" i="61"/>
  <c r="B46" i="61"/>
  <c r="B47" i="61"/>
  <c r="B48" i="61"/>
  <c r="B49" i="61"/>
  <c r="B50" i="61"/>
  <c r="B51" i="61"/>
  <c r="Q45" i="61"/>
  <c r="P45" i="61"/>
  <c r="O45" i="61"/>
  <c r="N45" i="61"/>
  <c r="M45" i="61"/>
  <c r="L45" i="61"/>
  <c r="K45" i="61"/>
  <c r="J45" i="61"/>
  <c r="I45" i="61"/>
  <c r="H45" i="61"/>
  <c r="G45" i="61"/>
  <c r="F45" i="61"/>
  <c r="E45" i="61"/>
  <c r="Q43" i="61"/>
  <c r="P43" i="61"/>
  <c r="O43" i="61"/>
  <c r="N43" i="61"/>
  <c r="M43" i="61"/>
  <c r="L43" i="61"/>
  <c r="K43" i="61"/>
  <c r="J43" i="61"/>
  <c r="I43" i="61"/>
  <c r="H43" i="61"/>
  <c r="G43" i="61"/>
  <c r="F43" i="61"/>
  <c r="E43" i="61"/>
  <c r="Q42" i="61"/>
  <c r="P42" i="61"/>
  <c r="O42" i="61"/>
  <c r="N42" i="61"/>
  <c r="M42" i="61"/>
  <c r="L42" i="61"/>
  <c r="K42" i="61"/>
  <c r="J42" i="61"/>
  <c r="I42" i="61"/>
  <c r="H42" i="61"/>
  <c r="G42" i="61"/>
  <c r="F42" i="61"/>
  <c r="E42" i="61"/>
  <c r="Q41" i="61"/>
  <c r="P41" i="61"/>
  <c r="O41" i="61"/>
  <c r="N41" i="61"/>
  <c r="M41" i="61"/>
  <c r="L41" i="61"/>
  <c r="K41" i="61"/>
  <c r="J41" i="61"/>
  <c r="I41" i="61"/>
  <c r="H41" i="61"/>
  <c r="G41" i="61"/>
  <c r="F41" i="61"/>
  <c r="E41" i="61"/>
  <c r="Q40" i="61"/>
  <c r="P40" i="61"/>
  <c r="O40" i="61"/>
  <c r="N40" i="61"/>
  <c r="M40" i="61"/>
  <c r="L40" i="61"/>
  <c r="K40" i="61"/>
  <c r="J40" i="61"/>
  <c r="I40" i="61"/>
  <c r="H40" i="61"/>
  <c r="G40" i="61"/>
  <c r="F40" i="61"/>
  <c r="E40" i="61"/>
  <c r="Q39" i="61"/>
  <c r="P39" i="61"/>
  <c r="O39" i="61"/>
  <c r="N39" i="61"/>
  <c r="M39" i="61"/>
  <c r="L39" i="61"/>
  <c r="K39" i="61"/>
  <c r="J39" i="61"/>
  <c r="I39" i="61"/>
  <c r="H39" i="61"/>
  <c r="G39" i="61"/>
  <c r="F39" i="61"/>
  <c r="E39" i="61"/>
  <c r="Q38" i="61"/>
  <c r="P38" i="61"/>
  <c r="O38" i="61"/>
  <c r="N38" i="61"/>
  <c r="M38" i="61"/>
  <c r="L38" i="61"/>
  <c r="K38" i="61"/>
  <c r="J38" i="61"/>
  <c r="I38" i="61"/>
  <c r="H38" i="61"/>
  <c r="G38" i="61"/>
  <c r="F38" i="61"/>
  <c r="E38" i="61"/>
  <c r="Q37" i="61"/>
  <c r="P37" i="61"/>
  <c r="O37" i="61"/>
  <c r="N37" i="61"/>
  <c r="M37" i="61"/>
  <c r="L37" i="61"/>
  <c r="K37" i="61"/>
  <c r="J37" i="61"/>
  <c r="I37" i="61"/>
  <c r="H37" i="61"/>
  <c r="G37" i="61"/>
  <c r="F37" i="61"/>
  <c r="E37" i="61"/>
  <c r="Q36" i="61"/>
  <c r="P36" i="61"/>
  <c r="O36" i="61"/>
  <c r="N36" i="61"/>
  <c r="M36" i="61"/>
  <c r="L36" i="61"/>
  <c r="K36" i="61"/>
  <c r="J36" i="61"/>
  <c r="I36" i="61"/>
  <c r="H36" i="61"/>
  <c r="G36" i="61"/>
  <c r="F36" i="61"/>
  <c r="E36" i="61"/>
  <c r="Q35" i="61"/>
  <c r="P35" i="61"/>
  <c r="O35" i="61"/>
  <c r="N35" i="61"/>
  <c r="M35" i="61"/>
  <c r="L35" i="61"/>
  <c r="K35" i="61"/>
  <c r="J35" i="61"/>
  <c r="I35" i="61"/>
  <c r="H35" i="61"/>
  <c r="G35" i="61"/>
  <c r="F35" i="61"/>
  <c r="E35" i="61"/>
  <c r="Q34" i="61"/>
  <c r="P34" i="61"/>
  <c r="O34" i="61"/>
  <c r="N34" i="61"/>
  <c r="M34" i="61"/>
  <c r="L34" i="61"/>
  <c r="K34" i="61"/>
  <c r="J34" i="61"/>
  <c r="I34" i="61"/>
  <c r="H34" i="61"/>
  <c r="G34" i="61"/>
  <c r="F34" i="61"/>
  <c r="E34" i="61"/>
  <c r="B34" i="61"/>
  <c r="B35" i="61"/>
  <c r="B36" i="61"/>
  <c r="B37" i="61"/>
  <c r="B38" i="61"/>
  <c r="B39" i="61"/>
  <c r="B40" i="61"/>
  <c r="B41" i="61"/>
  <c r="B42" i="61"/>
  <c r="B43" i="61"/>
  <c r="Q33" i="61"/>
  <c r="P33" i="61"/>
  <c r="O33" i="61"/>
  <c r="N33" i="61"/>
  <c r="M33" i="61"/>
  <c r="L33" i="61"/>
  <c r="K33" i="61"/>
  <c r="J33" i="61"/>
  <c r="I33" i="61"/>
  <c r="H33" i="61"/>
  <c r="G33" i="61"/>
  <c r="F33" i="61"/>
  <c r="E33" i="61"/>
  <c r="Q24" i="61"/>
  <c r="Q26" i="61"/>
  <c r="P24" i="61"/>
  <c r="P26" i="61"/>
  <c r="O24" i="61"/>
  <c r="O26" i="61"/>
  <c r="N24" i="61"/>
  <c r="N26" i="61"/>
  <c r="M24" i="61"/>
  <c r="M26" i="61"/>
  <c r="L24" i="61"/>
  <c r="L26" i="61"/>
  <c r="K24" i="61"/>
  <c r="K26" i="61"/>
  <c r="J24" i="61"/>
  <c r="J26" i="61"/>
  <c r="I24" i="61"/>
  <c r="I26" i="61"/>
  <c r="H24" i="61"/>
  <c r="H26" i="61"/>
  <c r="G24" i="61"/>
  <c r="G26" i="61"/>
  <c r="F24" i="61"/>
  <c r="F26" i="61"/>
  <c r="E24" i="61"/>
  <c r="E26" i="61"/>
  <c r="B18" i="61"/>
  <c r="B19" i="61"/>
  <c r="B20" i="61"/>
  <c r="B21" i="61"/>
  <c r="B22" i="61"/>
  <c r="B23" i="61"/>
  <c r="B6" i="61"/>
  <c r="B7" i="61"/>
  <c r="B8" i="61"/>
  <c r="B9" i="61"/>
  <c r="B10" i="61"/>
  <c r="B11" i="61"/>
  <c r="B12" i="61"/>
  <c r="B13" i="61"/>
  <c r="B14" i="61"/>
  <c r="B15" i="61"/>
  <c r="B80" i="60"/>
  <c r="B81" i="60"/>
  <c r="B82" i="60"/>
  <c r="B83" i="60"/>
  <c r="B84" i="60"/>
  <c r="B85" i="60"/>
  <c r="B68" i="60"/>
  <c r="B69" i="60"/>
  <c r="B70" i="60"/>
  <c r="B71" i="60"/>
  <c r="B72" i="60"/>
  <c r="B73" i="60"/>
  <c r="B74" i="60"/>
  <c r="B75" i="60"/>
  <c r="B76" i="60"/>
  <c r="B77" i="60"/>
  <c r="Q58" i="60"/>
  <c r="P58" i="60"/>
  <c r="N58" i="60"/>
  <c r="M58" i="60"/>
  <c r="L58" i="60"/>
  <c r="K58" i="60"/>
  <c r="J58" i="60"/>
  <c r="I58" i="60"/>
  <c r="H58" i="60"/>
  <c r="G58" i="60"/>
  <c r="F58" i="60"/>
  <c r="E58" i="60"/>
  <c r="Q56" i="60"/>
  <c r="P56" i="60"/>
  <c r="O56" i="60"/>
  <c r="N56" i="60"/>
  <c r="M56" i="60"/>
  <c r="L56" i="60"/>
  <c r="K56" i="60"/>
  <c r="J56" i="60"/>
  <c r="I56" i="60"/>
  <c r="H56" i="60"/>
  <c r="G56" i="60"/>
  <c r="F56" i="60"/>
  <c r="E56" i="60"/>
  <c r="Q55" i="60"/>
  <c r="P55" i="60"/>
  <c r="O55" i="60"/>
  <c r="N55" i="60"/>
  <c r="M55" i="60"/>
  <c r="L55" i="60"/>
  <c r="K55" i="60"/>
  <c r="J55" i="60"/>
  <c r="I55" i="60"/>
  <c r="H55" i="60"/>
  <c r="G55" i="60"/>
  <c r="F55" i="60"/>
  <c r="E55" i="60"/>
  <c r="Q54" i="60"/>
  <c r="P54" i="60"/>
  <c r="O54" i="60"/>
  <c r="N54" i="60"/>
  <c r="M54" i="60"/>
  <c r="L54" i="60"/>
  <c r="K54" i="60"/>
  <c r="J54" i="60"/>
  <c r="I54" i="60"/>
  <c r="H54" i="60"/>
  <c r="G54" i="60"/>
  <c r="F54" i="60"/>
  <c r="E54" i="60"/>
  <c r="Q53" i="60"/>
  <c r="P53" i="60"/>
  <c r="O53" i="60"/>
  <c r="N53" i="60"/>
  <c r="M53" i="60"/>
  <c r="L53" i="60"/>
  <c r="K53" i="60"/>
  <c r="J53" i="60"/>
  <c r="I53" i="60"/>
  <c r="H53" i="60"/>
  <c r="G53" i="60"/>
  <c r="F53" i="60"/>
  <c r="E53" i="60"/>
  <c r="Q52" i="60"/>
  <c r="P52" i="60"/>
  <c r="O52" i="60"/>
  <c r="N52" i="60"/>
  <c r="M52" i="60"/>
  <c r="L52" i="60"/>
  <c r="K52" i="60"/>
  <c r="J52" i="60"/>
  <c r="I52" i="60"/>
  <c r="H52" i="60"/>
  <c r="G52" i="60"/>
  <c r="F52" i="60"/>
  <c r="E52" i="60"/>
  <c r="Q51" i="60"/>
  <c r="P51" i="60"/>
  <c r="O51" i="60"/>
  <c r="N51" i="60"/>
  <c r="M51" i="60"/>
  <c r="L51" i="60"/>
  <c r="K51" i="60"/>
  <c r="J51" i="60"/>
  <c r="I51" i="60"/>
  <c r="H51" i="60"/>
  <c r="G51" i="60"/>
  <c r="F51" i="60"/>
  <c r="E51" i="60"/>
  <c r="B51" i="60"/>
  <c r="B52" i="60"/>
  <c r="B53" i="60"/>
  <c r="B54" i="60"/>
  <c r="B55" i="60"/>
  <c r="B56" i="60"/>
  <c r="Q50" i="60"/>
  <c r="P50" i="60"/>
  <c r="O50" i="60"/>
  <c r="N50" i="60"/>
  <c r="M50" i="60"/>
  <c r="L50" i="60"/>
  <c r="K50" i="60"/>
  <c r="J50" i="60"/>
  <c r="I50" i="60"/>
  <c r="H50" i="60"/>
  <c r="G50" i="60"/>
  <c r="F50" i="60"/>
  <c r="E50" i="60"/>
  <c r="Q48" i="60"/>
  <c r="P48" i="60"/>
  <c r="O48" i="60"/>
  <c r="N48" i="60"/>
  <c r="M48" i="60"/>
  <c r="L48" i="60"/>
  <c r="K48" i="60"/>
  <c r="J48" i="60"/>
  <c r="I48" i="60"/>
  <c r="H48" i="60"/>
  <c r="G48" i="60"/>
  <c r="F48" i="60"/>
  <c r="E48" i="60"/>
  <c r="Q47" i="60"/>
  <c r="P47" i="60"/>
  <c r="O47" i="60"/>
  <c r="N47" i="60"/>
  <c r="M47" i="60"/>
  <c r="L47" i="60"/>
  <c r="K47" i="60"/>
  <c r="J47" i="60"/>
  <c r="I47" i="60"/>
  <c r="H47" i="60"/>
  <c r="G47" i="60"/>
  <c r="F47" i="60"/>
  <c r="E47" i="60"/>
  <c r="Q46" i="60"/>
  <c r="P46" i="60"/>
  <c r="O46" i="60"/>
  <c r="N46" i="60"/>
  <c r="M46" i="60"/>
  <c r="L46" i="60"/>
  <c r="K46" i="60"/>
  <c r="J46" i="60"/>
  <c r="I46" i="60"/>
  <c r="H46" i="60"/>
  <c r="G46" i="60"/>
  <c r="F46" i="60"/>
  <c r="E46" i="60"/>
  <c r="Q45" i="60"/>
  <c r="P45" i="60"/>
  <c r="O45" i="60"/>
  <c r="N45" i="60"/>
  <c r="M45" i="60"/>
  <c r="L45" i="60"/>
  <c r="K45" i="60"/>
  <c r="J45" i="60"/>
  <c r="I45" i="60"/>
  <c r="H45" i="60"/>
  <c r="G45" i="60"/>
  <c r="F45" i="60"/>
  <c r="E45" i="60"/>
  <c r="Q44" i="60"/>
  <c r="P44" i="60"/>
  <c r="O44" i="60"/>
  <c r="N44" i="60"/>
  <c r="M44" i="60"/>
  <c r="L44" i="60"/>
  <c r="K44" i="60"/>
  <c r="J44" i="60"/>
  <c r="I44" i="60"/>
  <c r="H44" i="60"/>
  <c r="G44" i="60"/>
  <c r="F44" i="60"/>
  <c r="E44" i="60"/>
  <c r="Q43" i="60"/>
  <c r="P43" i="60"/>
  <c r="O43" i="60"/>
  <c r="N43" i="60"/>
  <c r="M43" i="60"/>
  <c r="L43" i="60"/>
  <c r="K43" i="60"/>
  <c r="J43" i="60"/>
  <c r="I43" i="60"/>
  <c r="H43" i="60"/>
  <c r="G43" i="60"/>
  <c r="F43" i="60"/>
  <c r="E43" i="60"/>
  <c r="Q42" i="60"/>
  <c r="P42" i="60"/>
  <c r="O42" i="60"/>
  <c r="N42" i="60"/>
  <c r="M42" i="60"/>
  <c r="L42" i="60"/>
  <c r="K42" i="60"/>
  <c r="J42" i="60"/>
  <c r="I42" i="60"/>
  <c r="H42" i="60"/>
  <c r="G42" i="60"/>
  <c r="F42" i="60"/>
  <c r="E42" i="60"/>
  <c r="Q41" i="60"/>
  <c r="P41" i="60"/>
  <c r="O41" i="60"/>
  <c r="N41" i="60"/>
  <c r="M41" i="60"/>
  <c r="L41" i="60"/>
  <c r="K41" i="60"/>
  <c r="J41" i="60"/>
  <c r="I41" i="60"/>
  <c r="H41" i="60"/>
  <c r="G41" i="60"/>
  <c r="F41" i="60"/>
  <c r="E41" i="60"/>
  <c r="Q40" i="60"/>
  <c r="P40" i="60"/>
  <c r="O40" i="60"/>
  <c r="N40" i="60"/>
  <c r="M40" i="60"/>
  <c r="L40" i="60"/>
  <c r="J40" i="60"/>
  <c r="I40" i="60"/>
  <c r="H40" i="60"/>
  <c r="G40" i="60"/>
  <c r="F40" i="60"/>
  <c r="E40" i="60"/>
  <c r="Q39" i="60"/>
  <c r="P39" i="60"/>
  <c r="O39" i="60"/>
  <c r="N39" i="60"/>
  <c r="M39" i="60"/>
  <c r="L39" i="60"/>
  <c r="K39" i="60"/>
  <c r="J39" i="60"/>
  <c r="I39" i="60"/>
  <c r="H39" i="60"/>
  <c r="G39" i="60"/>
  <c r="F39" i="60"/>
  <c r="E39" i="60"/>
  <c r="B39" i="60"/>
  <c r="B40" i="60"/>
  <c r="B41" i="60"/>
  <c r="B42" i="60"/>
  <c r="B43" i="60"/>
  <c r="B44" i="60"/>
  <c r="B45" i="60"/>
  <c r="B46" i="60"/>
  <c r="B47" i="60"/>
  <c r="B48" i="60"/>
  <c r="Q38" i="60"/>
  <c r="P38" i="60"/>
  <c r="O38" i="60"/>
  <c r="N38" i="60"/>
  <c r="M38" i="60"/>
  <c r="L38" i="60"/>
  <c r="K38" i="60"/>
  <c r="J38" i="60"/>
  <c r="I38" i="60"/>
  <c r="H38" i="60"/>
  <c r="G38" i="60"/>
  <c r="F38" i="60"/>
  <c r="E38" i="60"/>
  <c r="Q31" i="60"/>
  <c r="P31" i="60"/>
  <c r="O31" i="60"/>
  <c r="N31" i="60"/>
  <c r="M31" i="60"/>
  <c r="L31" i="60"/>
  <c r="K31" i="60"/>
  <c r="J31" i="60"/>
  <c r="I31" i="60"/>
  <c r="H31" i="60"/>
  <c r="G31" i="60"/>
  <c r="F31" i="60"/>
  <c r="Q25" i="60"/>
  <c r="Q27" i="60"/>
  <c r="P25" i="60"/>
  <c r="P27" i="60"/>
  <c r="O25" i="60"/>
  <c r="O27" i="60"/>
  <c r="N25" i="60"/>
  <c r="N27" i="60"/>
  <c r="M25" i="60"/>
  <c r="M27" i="60"/>
  <c r="L25" i="60"/>
  <c r="L27" i="60"/>
  <c r="J25" i="60"/>
  <c r="J27" i="60"/>
  <c r="I25" i="60"/>
  <c r="I27" i="60"/>
  <c r="H25" i="60"/>
  <c r="H27" i="60"/>
  <c r="G25" i="60"/>
  <c r="G27" i="60"/>
  <c r="F25" i="60"/>
  <c r="F27" i="60"/>
  <c r="E25" i="60"/>
  <c r="E27" i="60"/>
  <c r="B19" i="60"/>
  <c r="B20" i="60"/>
  <c r="B21" i="60"/>
  <c r="B22" i="60"/>
  <c r="B23" i="60"/>
  <c r="B24" i="60"/>
  <c r="B7" i="60"/>
  <c r="B8" i="60"/>
  <c r="B9" i="60"/>
  <c r="B10" i="60"/>
  <c r="B11" i="60"/>
  <c r="B12" i="60"/>
  <c r="B13" i="60"/>
  <c r="B14" i="60"/>
  <c r="B15" i="60"/>
  <c r="B16" i="60"/>
  <c r="B84" i="56"/>
  <c r="B85" i="56" s="1"/>
  <c r="B86" i="56" s="1"/>
  <c r="B87" i="56" s="1"/>
  <c r="B88" i="56" s="1"/>
  <c r="B89" i="56" s="1"/>
  <c r="B72" i="56"/>
  <c r="B73" i="56" s="1"/>
  <c r="B74" i="56" s="1"/>
  <c r="B75" i="56" s="1"/>
  <c r="B76" i="56" s="1"/>
  <c r="B77" i="56" s="1"/>
  <c r="B78" i="56" s="1"/>
  <c r="B79" i="56" s="1"/>
  <c r="B80" i="56" s="1"/>
  <c r="B81" i="56" s="1"/>
  <c r="B54" i="56"/>
  <c r="B55" i="56"/>
  <c r="B56" i="56" s="1"/>
  <c r="B57" i="56" s="1"/>
  <c r="B58" i="56" s="1"/>
  <c r="B59" i="56" s="1"/>
  <c r="B42" i="56"/>
  <c r="B43" i="56" s="1"/>
  <c r="B44" i="56" s="1"/>
  <c r="B45" i="56" s="1"/>
  <c r="B46" i="56" s="1"/>
  <c r="B47" i="56" s="1"/>
  <c r="B48" i="56" s="1"/>
  <c r="B49" i="56" s="1"/>
  <c r="B50" i="56" s="1"/>
  <c r="B51" i="56" s="1"/>
  <c r="B23" i="56"/>
  <c r="B24" i="56" s="1"/>
  <c r="B25" i="56" s="1"/>
  <c r="B26" i="56" s="1"/>
  <c r="B27" i="56" s="1"/>
  <c r="B28" i="56" s="1"/>
  <c r="B11" i="56"/>
  <c r="B12" i="56" s="1"/>
  <c r="B13" i="56" s="1"/>
  <c r="B14" i="56" s="1"/>
  <c r="B15" i="56" s="1"/>
  <c r="B16" i="56" s="1"/>
  <c r="B17" i="56" s="1"/>
  <c r="B18" i="56" s="1"/>
  <c r="B19" i="56" s="1"/>
  <c r="B20" i="56" s="1"/>
  <c r="AD80" i="11"/>
  <c r="AC78" i="11"/>
  <c r="AB78" i="11"/>
  <c r="AA78" i="11"/>
  <c r="Z78" i="11"/>
  <c r="Y78" i="11"/>
  <c r="X78" i="11"/>
  <c r="W78" i="11"/>
  <c r="V78" i="11"/>
  <c r="B62" i="11"/>
  <c r="B63" i="11"/>
  <c r="B64" i="11"/>
  <c r="B65" i="11"/>
  <c r="B66" i="11"/>
  <c r="B67" i="11"/>
  <c r="B68" i="11"/>
  <c r="B69" i="11"/>
  <c r="B70" i="11"/>
  <c r="B71" i="11"/>
  <c r="B72" i="11" s="1"/>
  <c r="B73" i="11" s="1"/>
  <c r="B74" i="11" s="1"/>
  <c r="B75" i="11" s="1"/>
  <c r="B76" i="11" s="1"/>
  <c r="B77" i="11" s="1"/>
  <c r="B50" i="11"/>
  <c r="B51" i="11" s="1"/>
  <c r="B52" i="11" s="1"/>
  <c r="B53" i="11" s="1"/>
  <c r="B54" i="11" s="1"/>
  <c r="B55" i="11" s="1"/>
  <c r="B38" i="11"/>
  <c r="B39" i="11"/>
  <c r="B40" i="11"/>
  <c r="B41" i="11"/>
  <c r="B42" i="11" s="1"/>
  <c r="B43" i="11" s="1"/>
  <c r="B44" i="11" s="1"/>
  <c r="B45" i="11" s="1"/>
  <c r="B46" i="11" s="1"/>
  <c r="B47" i="11" s="1"/>
  <c r="AD26" i="11"/>
  <c r="Q26" i="11"/>
  <c r="X24" i="11"/>
  <c r="AM28" i="63" s="1"/>
  <c r="W24" i="11"/>
  <c r="W28" i="56" s="1"/>
  <c r="V24" i="11"/>
  <c r="V28" i="56" s="1"/>
  <c r="U24" i="11"/>
  <c r="U73" i="11" s="1"/>
  <c r="T24" i="11"/>
  <c r="T28" i="56" s="1"/>
  <c r="S24" i="11"/>
  <c r="R24" i="11"/>
  <c r="R28" i="56" s="1"/>
  <c r="P24" i="11"/>
  <c r="P73" i="11" s="1"/>
  <c r="O24" i="11"/>
  <c r="O28" i="56" s="1"/>
  <c r="N24" i="11"/>
  <c r="N28" i="56" s="1"/>
  <c r="M24" i="11"/>
  <c r="L24" i="11"/>
  <c r="K24" i="11"/>
  <c r="K73" i="11" s="1"/>
  <c r="J24" i="11"/>
  <c r="J28" i="56" s="1"/>
  <c r="I24" i="11"/>
  <c r="I28" i="56" s="1"/>
  <c r="H24" i="11"/>
  <c r="H28" i="56" s="1"/>
  <c r="G24" i="11"/>
  <c r="G73" i="11" s="1"/>
  <c r="F24" i="11"/>
  <c r="F28" i="56" s="1"/>
  <c r="E24" i="11"/>
  <c r="E73" i="11" s="1"/>
  <c r="X23" i="11"/>
  <c r="W23" i="11"/>
  <c r="W27" i="56" s="1"/>
  <c r="V23" i="11"/>
  <c r="V27" i="56" s="1"/>
  <c r="U23" i="11"/>
  <c r="U27" i="56" s="1"/>
  <c r="T23" i="11"/>
  <c r="S23" i="11"/>
  <c r="R23" i="11"/>
  <c r="AG27" i="63" s="1"/>
  <c r="P23" i="11"/>
  <c r="P27" i="56" s="1"/>
  <c r="O23" i="11"/>
  <c r="O27" i="56" s="1"/>
  <c r="N23" i="11"/>
  <c r="M23" i="11"/>
  <c r="M27" i="56" s="1"/>
  <c r="L23" i="11"/>
  <c r="L69" i="11" s="1"/>
  <c r="K23" i="11"/>
  <c r="K27" i="56" s="1"/>
  <c r="J23" i="11"/>
  <c r="I23" i="11"/>
  <c r="I27" i="56" s="1"/>
  <c r="H23" i="11"/>
  <c r="G23" i="11"/>
  <c r="G69" i="11" s="1"/>
  <c r="F23" i="11"/>
  <c r="F69" i="11" s="1"/>
  <c r="E23" i="11"/>
  <c r="E69" i="11" s="1"/>
  <c r="X22" i="11"/>
  <c r="W22" i="11"/>
  <c r="AL26" i="63" s="1"/>
  <c r="V22" i="11"/>
  <c r="U22" i="11"/>
  <c r="T22" i="11"/>
  <c r="T68" i="11" s="1"/>
  <c r="S22" i="11"/>
  <c r="M22" i="11"/>
  <c r="M26" i="56" s="1"/>
  <c r="L22" i="11"/>
  <c r="L26" i="56" s="1"/>
  <c r="K22" i="11"/>
  <c r="K68" i="11" s="1"/>
  <c r="J22" i="11"/>
  <c r="J68" i="11" s="1"/>
  <c r="I22" i="11"/>
  <c r="I68" i="11" s="1"/>
  <c r="H22" i="11"/>
  <c r="G22" i="11"/>
  <c r="G26" i="56" s="1"/>
  <c r="F22" i="11"/>
  <c r="F68" i="11" s="1"/>
  <c r="E22" i="11"/>
  <c r="X21" i="11"/>
  <c r="AM25" i="63" s="1"/>
  <c r="W21" i="11"/>
  <c r="V21" i="11"/>
  <c r="V25" i="56" s="1"/>
  <c r="U21" i="11"/>
  <c r="P21" i="11"/>
  <c r="O21" i="11"/>
  <c r="N21" i="11"/>
  <c r="N66" i="11" s="1"/>
  <c r="M21" i="11"/>
  <c r="M25" i="56" s="1"/>
  <c r="L21" i="11"/>
  <c r="L25" i="56" s="1"/>
  <c r="K21" i="11"/>
  <c r="J21" i="11"/>
  <c r="J25" i="56" s="1"/>
  <c r="I21" i="11"/>
  <c r="H21" i="11"/>
  <c r="H66" i="11" s="1"/>
  <c r="G21" i="11"/>
  <c r="G25" i="56" s="1"/>
  <c r="F21" i="11"/>
  <c r="E21" i="11"/>
  <c r="X20" i="11"/>
  <c r="W20" i="11"/>
  <c r="AL24" i="63" s="1"/>
  <c r="V20" i="11"/>
  <c r="U20" i="11"/>
  <c r="U24" i="56" s="1"/>
  <c r="T20" i="11"/>
  <c r="S20" i="11"/>
  <c r="S24" i="56" s="1"/>
  <c r="R20" i="11"/>
  <c r="R24" i="56" s="1"/>
  <c r="P20" i="11"/>
  <c r="P64" i="11" s="1"/>
  <c r="O20" i="11"/>
  <c r="O64" i="11" s="1"/>
  <c r="N20" i="11"/>
  <c r="N24" i="56" s="1"/>
  <c r="M20" i="11"/>
  <c r="L20" i="11"/>
  <c r="L24" i="56" s="1"/>
  <c r="K20" i="11"/>
  <c r="K64" i="11" s="1"/>
  <c r="J20" i="11"/>
  <c r="J24" i="56" s="1"/>
  <c r="I20" i="11"/>
  <c r="I24" i="56" s="1"/>
  <c r="H20" i="11"/>
  <c r="H64" i="11" s="1"/>
  <c r="G20" i="11"/>
  <c r="F20" i="11"/>
  <c r="F24" i="56" s="1"/>
  <c r="E20" i="11"/>
  <c r="E64" i="11" s="1"/>
  <c r="X19" i="11"/>
  <c r="AM23" i="63" s="1"/>
  <c r="W19" i="11"/>
  <c r="V19" i="11"/>
  <c r="AK23" i="63" s="1"/>
  <c r="U19" i="11"/>
  <c r="T19" i="11"/>
  <c r="T23" i="56" s="1"/>
  <c r="S19" i="11"/>
  <c r="S62" i="11" s="1"/>
  <c r="R19" i="11"/>
  <c r="AG23" i="63" s="1"/>
  <c r="P19" i="11"/>
  <c r="P62" i="11" s="1"/>
  <c r="O19" i="11"/>
  <c r="O62" i="11" s="1"/>
  <c r="N19" i="11"/>
  <c r="N62" i="11" s="1"/>
  <c r="M19" i="11"/>
  <c r="M62" i="11" s="1"/>
  <c r="L19" i="11"/>
  <c r="L23" i="56" s="1"/>
  <c r="K19" i="11"/>
  <c r="K23" i="56" s="1"/>
  <c r="J19" i="11"/>
  <c r="J62" i="11" s="1"/>
  <c r="I19" i="11"/>
  <c r="I23" i="56" s="1"/>
  <c r="H19" i="11"/>
  <c r="G19" i="11"/>
  <c r="F19" i="11"/>
  <c r="F62" i="11" s="1"/>
  <c r="E19" i="11"/>
  <c r="E62" i="11" s="1"/>
  <c r="B19" i="11"/>
  <c r="B20" i="11"/>
  <c r="B21" i="11"/>
  <c r="B22" i="11"/>
  <c r="B23" i="11"/>
  <c r="B24" i="11"/>
  <c r="X22" i="56"/>
  <c r="AL22" i="63"/>
  <c r="AJ22" i="63"/>
  <c r="AI22" i="63"/>
  <c r="AH22" i="63"/>
  <c r="P18" i="11"/>
  <c r="P22" i="56" s="1"/>
  <c r="O18" i="11"/>
  <c r="N18" i="11"/>
  <c r="M18" i="11"/>
  <c r="M22" i="56" s="1"/>
  <c r="L18" i="11"/>
  <c r="L22" i="56" s="1"/>
  <c r="K18" i="11"/>
  <c r="K22" i="56" s="1"/>
  <c r="J18" i="11"/>
  <c r="J22" i="56" s="1"/>
  <c r="I18" i="11"/>
  <c r="I22" i="56" s="1"/>
  <c r="H18" i="11"/>
  <c r="H22" i="56" s="1"/>
  <c r="X16" i="11"/>
  <c r="AM20" i="63" s="1"/>
  <c r="W16" i="11"/>
  <c r="AL20" i="63" s="1"/>
  <c r="V16" i="11"/>
  <c r="V20" i="56" s="1"/>
  <c r="U16" i="11"/>
  <c r="U20" i="56" s="1"/>
  <c r="T16" i="11"/>
  <c r="AI20" i="63" s="1"/>
  <c r="S16" i="11"/>
  <c r="S77" i="11" s="1"/>
  <c r="R16" i="11"/>
  <c r="R77" i="11" s="1"/>
  <c r="P16" i="11"/>
  <c r="O16" i="11"/>
  <c r="O77" i="11" s="1"/>
  <c r="N16" i="11"/>
  <c r="M16" i="11"/>
  <c r="M77" i="11" s="1"/>
  <c r="L16" i="11"/>
  <c r="L20" i="56" s="1"/>
  <c r="K16" i="11"/>
  <c r="K77" i="11" s="1"/>
  <c r="J16" i="11"/>
  <c r="I16" i="11"/>
  <c r="I77" i="11" s="1"/>
  <c r="H16" i="11"/>
  <c r="H20" i="56" s="1"/>
  <c r="G16" i="11"/>
  <c r="G77" i="11" s="1"/>
  <c r="F16" i="11"/>
  <c r="F77" i="11" s="1"/>
  <c r="E16" i="11"/>
  <c r="E77" i="11" s="1"/>
  <c r="X15" i="11"/>
  <c r="X19" i="56" s="1"/>
  <c r="W15" i="11"/>
  <c r="AL19" i="63" s="1"/>
  <c r="V15" i="11"/>
  <c r="AK19" i="63" s="1"/>
  <c r="U15" i="11"/>
  <c r="U75" i="11" s="1"/>
  <c r="T15" i="11"/>
  <c r="T19" i="56" s="1"/>
  <c r="S15" i="11"/>
  <c r="S75" i="11" s="1"/>
  <c r="R15" i="11"/>
  <c r="R19" i="56" s="1"/>
  <c r="P15" i="11"/>
  <c r="P19" i="56" s="1"/>
  <c r="O15" i="11"/>
  <c r="N15" i="11"/>
  <c r="M15" i="11"/>
  <c r="M19" i="56" s="1"/>
  <c r="L15" i="11"/>
  <c r="L75" i="11" s="1"/>
  <c r="K15" i="11"/>
  <c r="K19" i="56" s="1"/>
  <c r="J15" i="11"/>
  <c r="J75" i="11" s="1"/>
  <c r="I15" i="11"/>
  <c r="I19" i="56" s="1"/>
  <c r="H15" i="11"/>
  <c r="H19" i="56" s="1"/>
  <c r="G15" i="11"/>
  <c r="G19" i="56" s="1"/>
  <c r="F15" i="11"/>
  <c r="F19" i="56" s="1"/>
  <c r="E15" i="11"/>
  <c r="E19" i="56" s="1"/>
  <c r="X14" i="11"/>
  <c r="AM18" i="63" s="1"/>
  <c r="W14" i="11"/>
  <c r="W18" i="56" s="1"/>
  <c r="V14" i="11"/>
  <c r="AK18" i="63" s="1"/>
  <c r="U14" i="11"/>
  <c r="U18" i="56" s="1"/>
  <c r="T14" i="11"/>
  <c r="T18" i="56" s="1"/>
  <c r="S14" i="11"/>
  <c r="AH18" i="63" s="1"/>
  <c r="R14" i="11"/>
  <c r="P14" i="11"/>
  <c r="P76" i="11" s="1"/>
  <c r="O14" i="11"/>
  <c r="O18" i="56" s="1"/>
  <c r="N14" i="11"/>
  <c r="N18" i="56" s="1"/>
  <c r="M14" i="11"/>
  <c r="L14" i="11"/>
  <c r="K14" i="11"/>
  <c r="K18" i="56" s="1"/>
  <c r="J14" i="11"/>
  <c r="J76" i="11" s="1"/>
  <c r="I14" i="11"/>
  <c r="I76" i="11" s="1"/>
  <c r="H14" i="11"/>
  <c r="H18" i="56" s="1"/>
  <c r="G14" i="11"/>
  <c r="F14" i="11"/>
  <c r="F76" i="11" s="1"/>
  <c r="E14" i="11"/>
  <c r="X13" i="11"/>
  <c r="X17" i="56" s="1"/>
  <c r="W13" i="11"/>
  <c r="AL17" i="63" s="1"/>
  <c r="V13" i="11"/>
  <c r="V17" i="56" s="1"/>
  <c r="U13" i="11"/>
  <c r="T13" i="11"/>
  <c r="S13" i="11"/>
  <c r="S17" i="56" s="1"/>
  <c r="R13" i="11"/>
  <c r="P13" i="11"/>
  <c r="P17" i="56" s="1"/>
  <c r="O13" i="11"/>
  <c r="O17" i="56" s="1"/>
  <c r="N13" i="11"/>
  <c r="N17" i="56" s="1"/>
  <c r="M13" i="11"/>
  <c r="M17" i="56" s="1"/>
  <c r="L13" i="11"/>
  <c r="L17" i="56" s="1"/>
  <c r="K13" i="11"/>
  <c r="K74" i="11" s="1"/>
  <c r="J13" i="11"/>
  <c r="J74" i="11" s="1"/>
  <c r="I13" i="11"/>
  <c r="I74" i="11" s="1"/>
  <c r="H13" i="11"/>
  <c r="G13" i="11"/>
  <c r="F13" i="11"/>
  <c r="F74" i="11" s="1"/>
  <c r="E13" i="11"/>
  <c r="X12" i="11"/>
  <c r="X16" i="56" s="1"/>
  <c r="W12" i="11"/>
  <c r="V12" i="11"/>
  <c r="V16" i="56" s="1"/>
  <c r="U12" i="11"/>
  <c r="AJ16" i="63" s="1"/>
  <c r="T12" i="11"/>
  <c r="T72" i="11" s="1"/>
  <c r="S12" i="11"/>
  <c r="S72" i="11" s="1"/>
  <c r="R12" i="11"/>
  <c r="R72" i="11" s="1"/>
  <c r="P12" i="11"/>
  <c r="P72" i="11" s="1"/>
  <c r="O12" i="11"/>
  <c r="N12" i="11"/>
  <c r="N72" i="11" s="1"/>
  <c r="M12" i="11"/>
  <c r="M72" i="11" s="1"/>
  <c r="L12" i="11"/>
  <c r="K12" i="11"/>
  <c r="J12" i="11"/>
  <c r="J16" i="56" s="1"/>
  <c r="I12" i="11"/>
  <c r="H12" i="11"/>
  <c r="H16" i="56" s="1"/>
  <c r="G12" i="11"/>
  <c r="G16" i="56" s="1"/>
  <c r="F12" i="11"/>
  <c r="F16" i="56" s="1"/>
  <c r="E12" i="11"/>
  <c r="E16" i="56" s="1"/>
  <c r="X11" i="11"/>
  <c r="AM15" i="63" s="1"/>
  <c r="W11" i="11"/>
  <c r="V11" i="11"/>
  <c r="U11" i="11"/>
  <c r="U70" i="11" s="1"/>
  <c r="T11" i="11"/>
  <c r="T15" i="56" s="1"/>
  <c r="S11" i="11"/>
  <c r="R11" i="11"/>
  <c r="R15" i="56" s="1"/>
  <c r="P11" i="11"/>
  <c r="P70" i="11" s="1"/>
  <c r="O11" i="11"/>
  <c r="O15" i="56" s="1"/>
  <c r="N11" i="11"/>
  <c r="M11" i="11"/>
  <c r="M15" i="56" s="1"/>
  <c r="L11" i="11"/>
  <c r="L15" i="56" s="1"/>
  <c r="K11" i="11"/>
  <c r="J11" i="11"/>
  <c r="J70" i="11" s="1"/>
  <c r="I11" i="11"/>
  <c r="I15" i="56" s="1"/>
  <c r="H11" i="11"/>
  <c r="H15" i="56" s="1"/>
  <c r="G11" i="11"/>
  <c r="G70" i="11" s="1"/>
  <c r="F11" i="11"/>
  <c r="F70" i="11" s="1"/>
  <c r="E11" i="11"/>
  <c r="E15" i="56" s="1"/>
  <c r="X10" i="11"/>
  <c r="X14" i="56" s="1"/>
  <c r="W10" i="11"/>
  <c r="V10" i="11"/>
  <c r="AK14" i="63" s="1"/>
  <c r="U10" i="11"/>
  <c r="U67" i="11" s="1"/>
  <c r="T10" i="11"/>
  <c r="AI14" i="63" s="1"/>
  <c r="S10" i="11"/>
  <c r="S14" i="56" s="1"/>
  <c r="M10" i="11"/>
  <c r="L10" i="11"/>
  <c r="L14" i="56" s="1"/>
  <c r="K10" i="11"/>
  <c r="K14" i="56" s="1"/>
  <c r="J10" i="11"/>
  <c r="J67" i="11" s="1"/>
  <c r="I10" i="11"/>
  <c r="H10" i="11"/>
  <c r="H67" i="11" s="1"/>
  <c r="G10" i="11"/>
  <c r="G67" i="11" s="1"/>
  <c r="F10" i="11"/>
  <c r="F14" i="56" s="1"/>
  <c r="E10" i="11"/>
  <c r="E67" i="11" s="1"/>
  <c r="W9" i="11"/>
  <c r="AL13" i="63" s="1"/>
  <c r="V9" i="11"/>
  <c r="AK13" i="63" s="1"/>
  <c r="U9" i="11"/>
  <c r="U13" i="56" s="1"/>
  <c r="T9" i="11"/>
  <c r="T13" i="56" s="1"/>
  <c r="S9" i="11"/>
  <c r="S13" i="56" s="1"/>
  <c r="R9" i="11"/>
  <c r="P9" i="11"/>
  <c r="P65" i="11" s="1"/>
  <c r="O9" i="11"/>
  <c r="N9" i="11"/>
  <c r="N13" i="56" s="1"/>
  <c r="M9" i="11"/>
  <c r="M13" i="56" s="1"/>
  <c r="L9" i="11"/>
  <c r="L13" i="56" s="1"/>
  <c r="K9" i="11"/>
  <c r="J9" i="11"/>
  <c r="J65" i="11" s="1"/>
  <c r="I9" i="11"/>
  <c r="H9" i="11"/>
  <c r="H13" i="56" s="1"/>
  <c r="G9" i="11"/>
  <c r="G65" i="11" s="1"/>
  <c r="F9" i="11"/>
  <c r="F13" i="56" s="1"/>
  <c r="E9" i="11"/>
  <c r="E13" i="56" s="1"/>
  <c r="X8" i="11"/>
  <c r="W8" i="11"/>
  <c r="AL12" i="63" s="1"/>
  <c r="AL42" i="63" s="1"/>
  <c r="V8" i="11"/>
  <c r="U8" i="11"/>
  <c r="U12" i="56" s="1"/>
  <c r="U43" i="56" s="1"/>
  <c r="T8" i="11"/>
  <c r="T12" i="56" s="1"/>
  <c r="T43" i="56" s="1"/>
  <c r="S8" i="11"/>
  <c r="AH12" i="63" s="1"/>
  <c r="AH42" i="63" s="1"/>
  <c r="R8" i="11"/>
  <c r="R71" i="11" s="1"/>
  <c r="P8" i="11"/>
  <c r="P12" i="56" s="1"/>
  <c r="P43" i="56" s="1"/>
  <c r="O8" i="11"/>
  <c r="N8" i="11"/>
  <c r="M8" i="11"/>
  <c r="L8" i="11"/>
  <c r="L12" i="56" s="1"/>
  <c r="L43" i="56" s="1"/>
  <c r="K8" i="11"/>
  <c r="K12" i="56" s="1"/>
  <c r="K43" i="56" s="1"/>
  <c r="J8" i="11"/>
  <c r="J12" i="56" s="1"/>
  <c r="J43" i="56" s="1"/>
  <c r="I8" i="11"/>
  <c r="I71" i="11" s="1"/>
  <c r="H8" i="11"/>
  <c r="H12" i="56" s="1"/>
  <c r="H43" i="56" s="1"/>
  <c r="G8" i="11"/>
  <c r="G71" i="11" s="1"/>
  <c r="F8" i="11"/>
  <c r="F12" i="56" s="1"/>
  <c r="F43" i="56" s="1"/>
  <c r="X7" i="11"/>
  <c r="W7" i="11"/>
  <c r="W11" i="56" s="1"/>
  <c r="V7" i="11"/>
  <c r="U7" i="11"/>
  <c r="T7" i="11"/>
  <c r="S7" i="11"/>
  <c r="R7" i="11"/>
  <c r="R11" i="56" s="1"/>
  <c r="P7" i="11"/>
  <c r="P63" i="11" s="1"/>
  <c r="O7" i="11"/>
  <c r="O63" i="11" s="1"/>
  <c r="N7" i="11"/>
  <c r="N63" i="11" s="1"/>
  <c r="M7" i="11"/>
  <c r="M63" i="11" s="1"/>
  <c r="L7" i="11"/>
  <c r="K7" i="11"/>
  <c r="K11" i="56" s="1"/>
  <c r="J7" i="11"/>
  <c r="I7" i="11"/>
  <c r="I63" i="11" s="1"/>
  <c r="H7" i="11"/>
  <c r="G7" i="11"/>
  <c r="G11" i="56" s="1"/>
  <c r="F7" i="11"/>
  <c r="F11" i="56" s="1"/>
  <c r="E7" i="11"/>
  <c r="E11" i="56" s="1"/>
  <c r="B7" i="11"/>
  <c r="B8" i="11" s="1"/>
  <c r="B9" i="11" s="1"/>
  <c r="B10" i="11" s="1"/>
  <c r="B11" i="11" s="1"/>
  <c r="B12" i="11" s="1"/>
  <c r="B13" i="11" s="1"/>
  <c r="B14" i="11" s="1"/>
  <c r="B15" i="11" s="1"/>
  <c r="B16" i="11" s="1"/>
  <c r="P6" i="11"/>
  <c r="P10" i="56" s="1"/>
  <c r="O6" i="11"/>
  <c r="O10" i="56" s="1"/>
  <c r="N6" i="11"/>
  <c r="N61" i="11" s="1"/>
  <c r="M6" i="11"/>
  <c r="M10" i="56" s="1"/>
  <c r="L6" i="11"/>
  <c r="L10" i="56" s="1"/>
  <c r="K6" i="11"/>
  <c r="I6" i="11"/>
  <c r="H6" i="11"/>
  <c r="H10" i="56" s="1"/>
  <c r="G6" i="11"/>
  <c r="G10" i="56" s="1"/>
  <c r="F6" i="11"/>
  <c r="E6" i="11"/>
  <c r="AK22" i="63"/>
  <c r="K40" i="60"/>
  <c r="K25" i="60"/>
  <c r="K27" i="60"/>
  <c r="S53" i="61"/>
  <c r="S6" i="11"/>
  <c r="T6" i="11"/>
  <c r="AI10" i="63" s="1"/>
  <c r="R6" i="11"/>
  <c r="AG10" i="63" s="1"/>
  <c r="AF59" i="60"/>
  <c r="AF49" i="60"/>
  <c r="AF37" i="60"/>
  <c r="X6" i="11"/>
  <c r="X10" i="56" s="1"/>
  <c r="V50" i="13"/>
  <c r="V72" i="13" s="1"/>
  <c r="U6" i="11"/>
  <c r="AJ10" i="63" s="1"/>
  <c r="X50" i="13"/>
  <c r="X83" i="13" s="1"/>
  <c r="W6" i="11"/>
  <c r="W10" i="56" s="1"/>
  <c r="V6" i="11"/>
  <c r="AK10" i="63" s="1"/>
  <c r="W50" i="13"/>
  <c r="W73" i="13" s="1"/>
  <c r="S44" i="61"/>
  <c r="AF57" i="60"/>
  <c r="AF60" i="60"/>
  <c r="F49" i="60"/>
  <c r="Y37" i="60"/>
  <c r="Y57" i="60"/>
  <c r="AE37" i="61"/>
  <c r="G54" i="61"/>
  <c r="R54" i="60"/>
  <c r="R43" i="61"/>
  <c r="R51" i="61"/>
  <c r="L54" i="61"/>
  <c r="AE51" i="61"/>
  <c r="AE50" i="61"/>
  <c r="G59" i="60"/>
  <c r="E54" i="61"/>
  <c r="AE48" i="61"/>
  <c r="AE33" i="61"/>
  <c r="R35" i="61"/>
  <c r="R43" i="60"/>
  <c r="R42" i="60"/>
  <c r="M59" i="60"/>
  <c r="R40" i="60"/>
  <c r="S54" i="61"/>
  <c r="J37" i="60"/>
  <c r="R39" i="60"/>
  <c r="F59" i="60"/>
  <c r="K54" i="61"/>
  <c r="I37" i="60"/>
  <c r="R50" i="60"/>
  <c r="G37" i="60"/>
  <c r="Q54" i="61"/>
  <c r="R41" i="61"/>
  <c r="AU29" i="63"/>
  <c r="AU31" i="63"/>
  <c r="R53" i="60"/>
  <c r="R40" i="61"/>
  <c r="AF52" i="61"/>
  <c r="AF55" i="61"/>
  <c r="R48" i="60"/>
  <c r="R39" i="61"/>
  <c r="R51" i="60"/>
  <c r="R38" i="61"/>
  <c r="R37" i="61"/>
  <c r="R45" i="60"/>
  <c r="R36" i="61"/>
  <c r="AE46" i="61"/>
  <c r="R25" i="60"/>
  <c r="R27" i="60"/>
  <c r="P37" i="60"/>
  <c r="I59" i="60"/>
  <c r="E59" i="60"/>
  <c r="N59" i="60"/>
  <c r="Q49" i="60"/>
  <c r="I49" i="60"/>
  <c r="J59" i="60"/>
  <c r="M49" i="60"/>
  <c r="R58" i="60"/>
  <c r="X37" i="60"/>
  <c r="R44" i="60"/>
  <c r="W37" i="60"/>
  <c r="W57" i="60"/>
  <c r="AE45" i="61"/>
  <c r="T44" i="61"/>
  <c r="Z52" i="61"/>
  <c r="Z77" i="61"/>
  <c r="K32" i="61"/>
  <c r="H59" i="60"/>
  <c r="S32" i="61"/>
  <c r="S52" i="61"/>
  <c r="J49" i="60"/>
  <c r="I44" i="61"/>
  <c r="V49" i="60"/>
  <c r="AE49" i="61"/>
  <c r="H32" i="61"/>
  <c r="M54" i="61"/>
  <c r="J54" i="61"/>
  <c r="P32" i="61"/>
  <c r="M37" i="60"/>
  <c r="O59" i="60"/>
  <c r="K37" i="60"/>
  <c r="L49" i="60"/>
  <c r="O49" i="60"/>
  <c r="E49" i="60"/>
  <c r="N32" i="61"/>
  <c r="G32" i="61"/>
  <c r="L44" i="61"/>
  <c r="AD59" i="60"/>
  <c r="U44" i="61"/>
  <c r="R46" i="60"/>
  <c r="V59" i="60"/>
  <c r="O44" i="61"/>
  <c r="N54" i="61"/>
  <c r="E44" i="61"/>
  <c r="H44" i="61"/>
  <c r="S59" i="60"/>
  <c r="R56" i="60"/>
  <c r="AB37" i="60"/>
  <c r="AB57" i="60"/>
  <c r="AE41" i="61"/>
  <c r="F32" i="61"/>
  <c r="L32" i="61"/>
  <c r="AA59" i="60"/>
  <c r="E32" i="61"/>
  <c r="F37" i="60"/>
  <c r="O32" i="61"/>
  <c r="J32" i="61"/>
  <c r="Q32" i="61"/>
  <c r="P44" i="61"/>
  <c r="P54" i="61"/>
  <c r="E37" i="60"/>
  <c r="K59" i="60"/>
  <c r="Q28" i="61"/>
  <c r="O54" i="61"/>
  <c r="F44" i="61"/>
  <c r="I32" i="61"/>
  <c r="G49" i="60"/>
  <c r="M32" i="61"/>
  <c r="G18" i="11"/>
  <c r="G22" i="56" s="1"/>
  <c r="K44" i="61"/>
  <c r="X57" i="60"/>
  <c r="X60" i="60"/>
  <c r="X92" i="60"/>
  <c r="R33" i="61"/>
  <c r="R50" i="61"/>
  <c r="V37" i="60"/>
  <c r="U59" i="60"/>
  <c r="AC52" i="61"/>
  <c r="AC71" i="61"/>
  <c r="K49" i="60"/>
  <c r="N49" i="60"/>
  <c r="V32" i="61"/>
  <c r="R47" i="60"/>
  <c r="R41" i="60"/>
  <c r="T37" i="60"/>
  <c r="AA52" i="61"/>
  <c r="AA70" i="61"/>
  <c r="U32" i="61"/>
  <c r="AE25" i="60"/>
  <c r="AE27" i="60"/>
  <c r="AD52" i="61"/>
  <c r="AD64" i="61"/>
  <c r="T49" i="60"/>
  <c r="V44" i="61"/>
  <c r="X44" i="61"/>
  <c r="X52" i="61"/>
  <c r="R38" i="60"/>
  <c r="R55" i="60"/>
  <c r="T59" i="60"/>
  <c r="R34" i="61"/>
  <c r="AE24" i="61"/>
  <c r="AE26" i="61"/>
  <c r="W44" i="61"/>
  <c r="W52" i="61"/>
  <c r="W74" i="61"/>
  <c r="W73" i="61"/>
  <c r="R52" i="60"/>
  <c r="R45" i="61"/>
  <c r="AE36" i="61"/>
  <c r="AU51" i="63"/>
  <c r="AE40" i="61"/>
  <c r="R46" i="61"/>
  <c r="AU61" i="63"/>
  <c r="AE42" i="61"/>
  <c r="R47" i="61"/>
  <c r="T32" i="61"/>
  <c r="R48" i="61"/>
  <c r="AE38" i="61"/>
  <c r="AC37" i="60"/>
  <c r="U49" i="60"/>
  <c r="R49" i="61"/>
  <c r="N37" i="60"/>
  <c r="N44" i="61"/>
  <c r="J44" i="61"/>
  <c r="M44" i="61"/>
  <c r="H37" i="60"/>
  <c r="L37" i="60"/>
  <c r="L59" i="60"/>
  <c r="Q59" i="60"/>
  <c r="Q37" i="60"/>
  <c r="N22" i="11"/>
  <c r="P59" i="60"/>
  <c r="O37" i="60"/>
  <c r="I54" i="61"/>
  <c r="H49" i="60"/>
  <c r="P49" i="60"/>
  <c r="F54" i="61"/>
  <c r="H54" i="61"/>
  <c r="Q44" i="61"/>
  <c r="G44" i="61"/>
  <c r="R24" i="61"/>
  <c r="R26" i="61"/>
  <c r="Z69" i="61"/>
  <c r="Z76" i="61"/>
  <c r="AE59" i="60"/>
  <c r="AA57" i="60"/>
  <c r="AA81" i="60"/>
  <c r="AD57" i="60"/>
  <c r="AD82" i="60"/>
  <c r="AE37" i="60"/>
  <c r="AE49" i="60"/>
  <c r="U37" i="60"/>
  <c r="AE43" i="61"/>
  <c r="AE47" i="61"/>
  <c r="AB32" i="61"/>
  <c r="AB52" i="61"/>
  <c r="AB75" i="61"/>
  <c r="AU39" i="63"/>
  <c r="S37" i="60"/>
  <c r="S49" i="60"/>
  <c r="AE34" i="61"/>
  <c r="AE35" i="61"/>
  <c r="Z37" i="60"/>
  <c r="Z57" i="60"/>
  <c r="Z82" i="60"/>
  <c r="AC49" i="60"/>
  <c r="Y44" i="61"/>
  <c r="Y52" i="61"/>
  <c r="Y69" i="61"/>
  <c r="K52" i="61"/>
  <c r="K69" i="61"/>
  <c r="P57" i="60"/>
  <c r="P68" i="60"/>
  <c r="Z68" i="61"/>
  <c r="AC57" i="60"/>
  <c r="AC91" i="60"/>
  <c r="AD76" i="61"/>
  <c r="AD80" i="61"/>
  <c r="AD72" i="61"/>
  <c r="AD68" i="61"/>
  <c r="E57" i="60"/>
  <c r="AG40" i="60"/>
  <c r="N57" i="60"/>
  <c r="N76" i="60"/>
  <c r="G52" i="61"/>
  <c r="G68" i="61"/>
  <c r="AD66" i="61"/>
  <c r="X85" i="60"/>
  <c r="Z75" i="61"/>
  <c r="L52" i="61"/>
  <c r="L55" i="61"/>
  <c r="Z72" i="61"/>
  <c r="V57" i="60"/>
  <c r="V75" i="60"/>
  <c r="F57" i="60"/>
  <c r="F82" i="60"/>
  <c r="AD70" i="61"/>
  <c r="Y73" i="60"/>
  <c r="Y80" i="60"/>
  <c r="Y60" i="60"/>
  <c r="Y92" i="60"/>
  <c r="Y77" i="60"/>
  <c r="Y68" i="60"/>
  <c r="Y76" i="60"/>
  <c r="Y83" i="60"/>
  <c r="Y72" i="60"/>
  <c r="Y85" i="60"/>
  <c r="Y91" i="60"/>
  <c r="Y70" i="60"/>
  <c r="Y71" i="60"/>
  <c r="Y69" i="60"/>
  <c r="Y82" i="60"/>
  <c r="Y84" i="60"/>
  <c r="Y75" i="60"/>
  <c r="Y79" i="60"/>
  <c r="Y78" i="60"/>
  <c r="Y67" i="60"/>
  <c r="Y66" i="60"/>
  <c r="Y81" i="60"/>
  <c r="Y74" i="60"/>
  <c r="F74" i="60"/>
  <c r="U52" i="61"/>
  <c r="U80" i="61"/>
  <c r="P52" i="61"/>
  <c r="P64" i="61"/>
  <c r="O52" i="61"/>
  <c r="O70" i="61"/>
  <c r="X71" i="60"/>
  <c r="Z71" i="61"/>
  <c r="Z70" i="61"/>
  <c r="X79" i="60"/>
  <c r="X78" i="60"/>
  <c r="Z65" i="61"/>
  <c r="Z67" i="61"/>
  <c r="W66" i="61"/>
  <c r="X75" i="60"/>
  <c r="T52" i="61"/>
  <c r="T62" i="61"/>
  <c r="F52" i="61"/>
  <c r="F77" i="61"/>
  <c r="W75" i="61"/>
  <c r="Z80" i="61"/>
  <c r="Z74" i="61"/>
  <c r="Z73" i="61"/>
  <c r="X70" i="60"/>
  <c r="Z79" i="61"/>
  <c r="Z78" i="61"/>
  <c r="Z63" i="61"/>
  <c r="X84" i="60"/>
  <c r="K57" i="60"/>
  <c r="K67" i="60"/>
  <c r="X72" i="60"/>
  <c r="X67" i="60"/>
  <c r="X66" i="60"/>
  <c r="X82" i="60"/>
  <c r="X77" i="60"/>
  <c r="AA66" i="61"/>
  <c r="Z66" i="61"/>
  <c r="W77" i="61"/>
  <c r="W72" i="61"/>
  <c r="X73" i="60"/>
  <c r="W71" i="61"/>
  <c r="Z62" i="61"/>
  <c r="Z61" i="61"/>
  <c r="X91" i="60"/>
  <c r="AD79" i="60"/>
  <c r="AD78" i="60"/>
  <c r="W65" i="61"/>
  <c r="W62" i="61"/>
  <c r="W61" i="61"/>
  <c r="W81" i="61"/>
  <c r="X76" i="60"/>
  <c r="G57" i="60"/>
  <c r="G77" i="60"/>
  <c r="I57" i="60"/>
  <c r="I77" i="60"/>
  <c r="X81" i="60"/>
  <c r="K74" i="61"/>
  <c r="J57" i="60"/>
  <c r="J83" i="60"/>
  <c r="Z64" i="61"/>
  <c r="X80" i="60"/>
  <c r="K68" i="61"/>
  <c r="Q52" i="61"/>
  <c r="Q74" i="61"/>
  <c r="W68" i="61"/>
  <c r="W78" i="61"/>
  <c r="W76" i="61"/>
  <c r="AD71" i="61"/>
  <c r="AC67" i="61"/>
  <c r="AC63" i="61"/>
  <c r="K67" i="61"/>
  <c r="AD69" i="61"/>
  <c r="AC69" i="61"/>
  <c r="AD67" i="61"/>
  <c r="AC72" i="61"/>
  <c r="AD65" i="61"/>
  <c r="AD70" i="60"/>
  <c r="AD63" i="61"/>
  <c r="U57" i="60"/>
  <c r="U91" i="60"/>
  <c r="AC80" i="61"/>
  <c r="AD74" i="61"/>
  <c r="AD73" i="61"/>
  <c r="O57" i="60"/>
  <c r="O69" i="60"/>
  <c r="AC76" i="61"/>
  <c r="AC74" i="61"/>
  <c r="AC73" i="61"/>
  <c r="AD77" i="61"/>
  <c r="AC68" i="61"/>
  <c r="X74" i="60"/>
  <c r="N52" i="61"/>
  <c r="N75" i="61"/>
  <c r="AC64" i="61"/>
  <c r="AC66" i="61"/>
  <c r="W67" i="61"/>
  <c r="AC62" i="61"/>
  <c r="AC61" i="61"/>
  <c r="T57" i="60"/>
  <c r="T75" i="60"/>
  <c r="M57" i="60"/>
  <c r="M82" i="60"/>
  <c r="AC77" i="61"/>
  <c r="W63" i="61"/>
  <c r="AC75" i="61"/>
  <c r="L57" i="60"/>
  <c r="L70" i="60"/>
  <c r="K78" i="61"/>
  <c r="AC79" i="61"/>
  <c r="W71" i="60"/>
  <c r="W85" i="60"/>
  <c r="W70" i="60"/>
  <c r="W82" i="60"/>
  <c r="W69" i="60"/>
  <c r="W79" i="60"/>
  <c r="W78" i="60"/>
  <c r="W72" i="60"/>
  <c r="W91" i="60"/>
  <c r="W74" i="60"/>
  <c r="W68" i="60"/>
  <c r="W80" i="60"/>
  <c r="W77" i="60"/>
  <c r="W75" i="60"/>
  <c r="W81" i="60"/>
  <c r="W83" i="60"/>
  <c r="W67" i="60"/>
  <c r="W66" i="60"/>
  <c r="W60" i="60"/>
  <c r="W92" i="60"/>
  <c r="W76" i="60"/>
  <c r="W73" i="60"/>
  <c r="W84" i="60"/>
  <c r="X65" i="61"/>
  <c r="X78" i="61"/>
  <c r="X79" i="61"/>
  <c r="X70" i="61"/>
  <c r="X71" i="61"/>
  <c r="X67" i="61"/>
  <c r="X66" i="61"/>
  <c r="X62" i="61"/>
  <c r="X61" i="61"/>
  <c r="X77" i="61"/>
  <c r="X68" i="61"/>
  <c r="X75" i="61"/>
  <c r="AB80" i="60"/>
  <c r="AB83" i="60"/>
  <c r="AB79" i="60"/>
  <c r="AB78" i="60"/>
  <c r="AB70" i="60"/>
  <c r="AB73" i="60"/>
  <c r="AB81" i="60"/>
  <c r="AB84" i="60"/>
  <c r="AB68" i="60"/>
  <c r="AB60" i="60"/>
  <c r="AB92" i="60"/>
  <c r="AB91" i="60"/>
  <c r="AB71" i="60"/>
  <c r="AB85" i="60"/>
  <c r="AB69" i="60"/>
  <c r="AB77" i="60"/>
  <c r="AB72" i="60"/>
  <c r="AB67" i="60"/>
  <c r="AB66" i="60"/>
  <c r="S80" i="61"/>
  <c r="S62" i="61"/>
  <c r="S74" i="61"/>
  <c r="S55" i="61"/>
  <c r="S65" i="61"/>
  <c r="S76" i="61"/>
  <c r="S79" i="61"/>
  <c r="S69" i="61"/>
  <c r="S72" i="61"/>
  <c r="S70" i="61"/>
  <c r="S68" i="61"/>
  <c r="S64" i="61"/>
  <c r="S63" i="61"/>
  <c r="S75" i="61"/>
  <c r="S77" i="61"/>
  <c r="V54" i="61"/>
  <c r="S71" i="61"/>
  <c r="S66" i="61"/>
  <c r="S67" i="61"/>
  <c r="S78" i="61"/>
  <c r="AA68" i="61"/>
  <c r="AD74" i="60"/>
  <c r="T63" i="61"/>
  <c r="H52" i="61"/>
  <c r="H55" i="61"/>
  <c r="M74" i="60"/>
  <c r="I52" i="61"/>
  <c r="I65" i="61"/>
  <c r="AA74" i="61"/>
  <c r="AA73" i="61"/>
  <c r="AA67" i="61"/>
  <c r="P62" i="61"/>
  <c r="Y64" i="61"/>
  <c r="V77" i="60"/>
  <c r="W80" i="61"/>
  <c r="AC70" i="61"/>
  <c r="V80" i="60"/>
  <c r="AC78" i="61"/>
  <c r="V67" i="60"/>
  <c r="W70" i="61"/>
  <c r="W69" i="61"/>
  <c r="P72" i="61"/>
  <c r="AC65" i="61"/>
  <c r="E52" i="61"/>
  <c r="E63" i="61"/>
  <c r="AA76" i="61"/>
  <c r="Q57" i="60"/>
  <c r="Q77" i="60"/>
  <c r="AA71" i="61"/>
  <c r="AA72" i="61"/>
  <c r="V79" i="60"/>
  <c r="V74" i="60"/>
  <c r="F78" i="61"/>
  <c r="I74" i="60"/>
  <c r="I85" i="60"/>
  <c r="R59" i="60"/>
  <c r="R37" i="60"/>
  <c r="X68" i="60"/>
  <c r="F77" i="60"/>
  <c r="F76" i="60"/>
  <c r="F68" i="60"/>
  <c r="F81" i="60"/>
  <c r="F70" i="60"/>
  <c r="F85" i="60"/>
  <c r="F73" i="60"/>
  <c r="S57" i="60"/>
  <c r="S72" i="60"/>
  <c r="AB62" i="61"/>
  <c r="AB61" i="61"/>
  <c r="AA91" i="60"/>
  <c r="Y74" i="61"/>
  <c r="Y73" i="61"/>
  <c r="AA62" i="61"/>
  <c r="AA61" i="61"/>
  <c r="I79" i="60"/>
  <c r="X64" i="61"/>
  <c r="X74" i="61"/>
  <c r="X73" i="61"/>
  <c r="X76" i="61"/>
  <c r="G79" i="60"/>
  <c r="AA67" i="60"/>
  <c r="AA66" i="60"/>
  <c r="AB79" i="61"/>
  <c r="AB78" i="61"/>
  <c r="Y63" i="61"/>
  <c r="AB76" i="60"/>
  <c r="I68" i="60"/>
  <c r="V52" i="61"/>
  <c r="I69" i="60"/>
  <c r="R44" i="61"/>
  <c r="AA63" i="61"/>
  <c r="AA69" i="61"/>
  <c r="F67" i="60"/>
  <c r="AB76" i="61"/>
  <c r="AB67" i="61"/>
  <c r="H57" i="60"/>
  <c r="H68" i="60"/>
  <c r="I71" i="60"/>
  <c r="AA75" i="61"/>
  <c r="X63" i="61"/>
  <c r="X69" i="61"/>
  <c r="R49" i="60"/>
  <c r="AD79" i="61"/>
  <c r="AD75" i="61"/>
  <c r="AA77" i="61"/>
  <c r="R54" i="61"/>
  <c r="R32" i="61"/>
  <c r="I76" i="60"/>
  <c r="X83" i="60"/>
  <c r="AA65" i="61"/>
  <c r="AB75" i="60"/>
  <c r="AB68" i="61"/>
  <c r="Z67" i="60"/>
  <c r="Z66" i="60"/>
  <c r="AB74" i="61"/>
  <c r="AB73" i="61"/>
  <c r="I60" i="60"/>
  <c r="I92" i="60"/>
  <c r="AA79" i="61"/>
  <c r="AA64" i="61"/>
  <c r="F91" i="60"/>
  <c r="AB72" i="61"/>
  <c r="AB70" i="61"/>
  <c r="AB66" i="61"/>
  <c r="T70" i="61"/>
  <c r="AB82" i="60"/>
  <c r="AD78" i="61"/>
  <c r="X72" i="61"/>
  <c r="K63" i="61"/>
  <c r="K64" i="61"/>
  <c r="K62" i="61"/>
  <c r="K55" i="61"/>
  <c r="K75" i="61"/>
  <c r="K65" i="61"/>
  <c r="K80" i="61"/>
  <c r="K71" i="61"/>
  <c r="K70" i="61"/>
  <c r="K79" i="61"/>
  <c r="AI59" i="60"/>
  <c r="G75" i="60"/>
  <c r="K66" i="61"/>
  <c r="Y79" i="61"/>
  <c r="W64" i="61"/>
  <c r="AB74" i="60"/>
  <c r="AD80" i="60"/>
  <c r="AB64" i="61"/>
  <c r="AD62" i="61"/>
  <c r="AD61" i="61"/>
  <c r="AA80" i="61"/>
  <c r="AB63" i="61"/>
  <c r="V69" i="60"/>
  <c r="W79" i="61"/>
  <c r="X69" i="60"/>
  <c r="P91" i="60"/>
  <c r="P80" i="61"/>
  <c r="M52" i="61"/>
  <c r="M65" i="61"/>
  <c r="F75" i="60"/>
  <c r="I83" i="60"/>
  <c r="X80" i="61"/>
  <c r="Z74" i="60"/>
  <c r="AA78" i="61"/>
  <c r="AG46" i="61"/>
  <c r="J52" i="61"/>
  <c r="J80" i="61"/>
  <c r="I82" i="60"/>
  <c r="T72" i="61"/>
  <c r="T67" i="61"/>
  <c r="T64" i="61"/>
  <c r="Q72" i="61"/>
  <c r="Q64" i="61"/>
  <c r="Q78" i="61"/>
  <c r="Q68" i="61"/>
  <c r="Q63" i="61"/>
  <c r="AE57" i="60"/>
  <c r="AI37" i="60"/>
  <c r="H79" i="60"/>
  <c r="AG48" i="60"/>
  <c r="AG56" i="60"/>
  <c r="E67" i="60"/>
  <c r="E80" i="60"/>
  <c r="E76" i="60"/>
  <c r="E84" i="60"/>
  <c r="AG47" i="60"/>
  <c r="E68" i="60"/>
  <c r="E79" i="60"/>
  <c r="E81" i="60"/>
  <c r="AG50" i="60"/>
  <c r="E71" i="60"/>
  <c r="AG52" i="60"/>
  <c r="E91" i="60"/>
  <c r="E70" i="60"/>
  <c r="E69" i="60"/>
  <c r="E85" i="60"/>
  <c r="E73" i="60"/>
  <c r="E72" i="60"/>
  <c r="E75" i="60"/>
  <c r="AG39" i="60"/>
  <c r="E82" i="60"/>
  <c r="AG45" i="60"/>
  <c r="AG59" i="60"/>
  <c r="AB69" i="61"/>
  <c r="AD84" i="60"/>
  <c r="AD68" i="60"/>
  <c r="AD83" i="60"/>
  <c r="AD85" i="60"/>
  <c r="AD76" i="60"/>
  <c r="AD72" i="60"/>
  <c r="AD75" i="60"/>
  <c r="AD91" i="60"/>
  <c r="AD71" i="60"/>
  <c r="AD67" i="60"/>
  <c r="AD66" i="60"/>
  <c r="AD86" i="60"/>
  <c r="AD60" i="60"/>
  <c r="AD92" i="60"/>
  <c r="AD73" i="60"/>
  <c r="AD77" i="60"/>
  <c r="AD81" i="60"/>
  <c r="AE44" i="61"/>
  <c r="AB77" i="61"/>
  <c r="G65" i="61"/>
  <c r="G69" i="61"/>
  <c r="G75" i="61"/>
  <c r="G80" i="61"/>
  <c r="G71" i="61"/>
  <c r="G79" i="61"/>
  <c r="G74" i="61"/>
  <c r="G77" i="61"/>
  <c r="G55" i="61"/>
  <c r="G63" i="61"/>
  <c r="G67" i="61"/>
  <c r="G64" i="61"/>
  <c r="G70" i="61"/>
  <c r="Z81" i="60"/>
  <c r="AB71" i="61"/>
  <c r="P74" i="60"/>
  <c r="P80" i="60"/>
  <c r="P67" i="60"/>
  <c r="P83" i="60"/>
  <c r="P77" i="60"/>
  <c r="P79" i="60"/>
  <c r="P84" i="60"/>
  <c r="P69" i="60"/>
  <c r="P76" i="60"/>
  <c r="P75" i="60"/>
  <c r="P70" i="60"/>
  <c r="P82" i="60"/>
  <c r="P85" i="60"/>
  <c r="P60" i="60"/>
  <c r="P92" i="60"/>
  <c r="P71" i="60"/>
  <c r="P81" i="60"/>
  <c r="P72" i="60"/>
  <c r="Y62" i="61"/>
  <c r="Y61" i="61"/>
  <c r="Y66" i="61"/>
  <c r="Y70" i="61"/>
  <c r="Y72" i="61"/>
  <c r="Y76" i="61"/>
  <c r="Y78" i="61"/>
  <c r="Y80" i="61"/>
  <c r="Y65" i="61"/>
  <c r="Y67" i="61"/>
  <c r="Y71" i="61"/>
  <c r="Y75" i="61"/>
  <c r="Y68" i="61"/>
  <c r="AD69" i="60"/>
  <c r="AE54" i="61"/>
  <c r="Y77" i="61"/>
  <c r="U82" i="60"/>
  <c r="AE32" i="61"/>
  <c r="AC69" i="60"/>
  <c r="N70" i="60"/>
  <c r="N77" i="60"/>
  <c r="N82" i="60"/>
  <c r="N79" i="60"/>
  <c r="N73" i="60"/>
  <c r="N81" i="60"/>
  <c r="N83" i="60"/>
  <c r="N60" i="60"/>
  <c r="N92" i="60"/>
  <c r="N69" i="60"/>
  <c r="N80" i="60"/>
  <c r="G78" i="61"/>
  <c r="AC79" i="60"/>
  <c r="AC78" i="60"/>
  <c r="Z80" i="60"/>
  <c r="AG53" i="60"/>
  <c r="AC76" i="60"/>
  <c r="AC77" i="60"/>
  <c r="AC72" i="60"/>
  <c r="AC80" i="60"/>
  <c r="AC82" i="60"/>
  <c r="AC67" i="60"/>
  <c r="AC66" i="60"/>
  <c r="AC60" i="60"/>
  <c r="AC92" i="60"/>
  <c r="AC74" i="60"/>
  <c r="AC81" i="60"/>
  <c r="AC85" i="60"/>
  <c r="AA72" i="60"/>
  <c r="AA83" i="60"/>
  <c r="AA60" i="60"/>
  <c r="AA92" i="60"/>
  <c r="AA76" i="60"/>
  <c r="AA79" i="60"/>
  <c r="AA78" i="60"/>
  <c r="AA85" i="60"/>
  <c r="AA82" i="60"/>
  <c r="AA80" i="60"/>
  <c r="AA69" i="60"/>
  <c r="AA75" i="60"/>
  <c r="AA84" i="60"/>
  <c r="AA77" i="60"/>
  <c r="AA73" i="60"/>
  <c r="AA71" i="60"/>
  <c r="AA68" i="60"/>
  <c r="AC73" i="60"/>
  <c r="AU59" i="63"/>
  <c r="BA39" i="63"/>
  <c r="AA74" i="60"/>
  <c r="Z73" i="60"/>
  <c r="AC68" i="60"/>
  <c r="Z72" i="60"/>
  <c r="Z75" i="60"/>
  <c r="Z70" i="60"/>
  <c r="Z77" i="60"/>
  <c r="Z84" i="60"/>
  <c r="Z79" i="60"/>
  <c r="Z78" i="60"/>
  <c r="Z69" i="60"/>
  <c r="Z68" i="60"/>
  <c r="Z83" i="60"/>
  <c r="Z60" i="60"/>
  <c r="Z92" i="60"/>
  <c r="Z76" i="60"/>
  <c r="Z85" i="60"/>
  <c r="Z91" i="60"/>
  <c r="T79" i="60"/>
  <c r="AA70" i="60"/>
  <c r="L79" i="60"/>
  <c r="AB80" i="61"/>
  <c r="AB65" i="61"/>
  <c r="Z71" i="60"/>
  <c r="P73" i="60"/>
  <c r="O67" i="60"/>
  <c r="O83" i="60"/>
  <c r="O85" i="60"/>
  <c r="O72" i="60"/>
  <c r="O81" i="60"/>
  <c r="O76" i="60"/>
  <c r="O68" i="60"/>
  <c r="O91" i="60"/>
  <c r="O75" i="60"/>
  <c r="O73" i="60"/>
  <c r="O77" i="60"/>
  <c r="L78" i="61"/>
  <c r="L72" i="61"/>
  <c r="L68" i="61"/>
  <c r="L80" i="61"/>
  <c r="L64" i="61"/>
  <c r="L71" i="61"/>
  <c r="L69" i="61"/>
  <c r="L74" i="61"/>
  <c r="L79" i="61"/>
  <c r="L70" i="61"/>
  <c r="L77" i="61"/>
  <c r="L63" i="61"/>
  <c r="L66" i="61"/>
  <c r="L65" i="61"/>
  <c r="H69" i="60"/>
  <c r="AG38" i="60"/>
  <c r="E60" i="60"/>
  <c r="E92" i="60"/>
  <c r="Q79" i="61"/>
  <c r="K76" i="61"/>
  <c r="O79" i="60"/>
  <c r="O78" i="60"/>
  <c r="Q80" i="60"/>
  <c r="AG54" i="60"/>
  <c r="AG49" i="60"/>
  <c r="Q71" i="61"/>
  <c r="G83" i="60"/>
  <c r="Q70" i="60"/>
  <c r="F71" i="60"/>
  <c r="N76" i="61"/>
  <c r="Q68" i="60"/>
  <c r="Q55" i="61"/>
  <c r="G71" i="60"/>
  <c r="AC81" i="61"/>
  <c r="K72" i="61"/>
  <c r="K61" i="61"/>
  <c r="N68" i="61"/>
  <c r="N55" i="61"/>
  <c r="Q85" i="60"/>
  <c r="S69" i="60"/>
  <c r="S71" i="60"/>
  <c r="E83" i="60"/>
  <c r="K77" i="61"/>
  <c r="F69" i="60"/>
  <c r="F79" i="60"/>
  <c r="Y86" i="60"/>
  <c r="T70" i="60"/>
  <c r="Q74" i="60"/>
  <c r="I70" i="61"/>
  <c r="I66" i="61"/>
  <c r="L75" i="61"/>
  <c r="O71" i="60"/>
  <c r="O70" i="60"/>
  <c r="AG44" i="60"/>
  <c r="AC71" i="60"/>
  <c r="Q67" i="60"/>
  <c r="N72" i="60"/>
  <c r="G72" i="61"/>
  <c r="G61" i="61"/>
  <c r="AG42" i="60"/>
  <c r="AG41" i="60"/>
  <c r="I74" i="61"/>
  <c r="V82" i="60"/>
  <c r="L62" i="61"/>
  <c r="O82" i="60"/>
  <c r="O84" i="60"/>
  <c r="AC70" i="60"/>
  <c r="Q60" i="60"/>
  <c r="Q92" i="60"/>
  <c r="N68" i="60"/>
  <c r="E77" i="60"/>
  <c r="AG51" i="60"/>
  <c r="I75" i="60"/>
  <c r="I78" i="61"/>
  <c r="T75" i="61"/>
  <c r="J70" i="60"/>
  <c r="L76" i="61"/>
  <c r="O60" i="60"/>
  <c r="O92" i="60"/>
  <c r="AC75" i="60"/>
  <c r="Q73" i="60"/>
  <c r="N71" i="60"/>
  <c r="AC84" i="60"/>
  <c r="AG55" i="60"/>
  <c r="AG43" i="60"/>
  <c r="I72" i="60"/>
  <c r="AG37" i="60"/>
  <c r="AG57" i="60"/>
  <c r="AG60" i="60"/>
  <c r="F84" i="60"/>
  <c r="O80" i="60"/>
  <c r="AC83" i="60"/>
  <c r="Q76" i="60"/>
  <c r="N67" i="60"/>
  <c r="E74" i="60"/>
  <c r="E66" i="60"/>
  <c r="AG46" i="60"/>
  <c r="P55" i="61"/>
  <c r="I91" i="60"/>
  <c r="I67" i="60"/>
  <c r="Q69" i="60"/>
  <c r="G73" i="60"/>
  <c r="K76" i="60"/>
  <c r="V84" i="60"/>
  <c r="G60" i="60"/>
  <c r="G92" i="60"/>
  <c r="N74" i="60"/>
  <c r="G72" i="60"/>
  <c r="P78" i="61"/>
  <c r="P63" i="61"/>
  <c r="L67" i="61"/>
  <c r="O74" i="60"/>
  <c r="O66" i="60"/>
  <c r="Q83" i="60"/>
  <c r="N91" i="60"/>
  <c r="G66" i="61"/>
  <c r="Q67" i="61"/>
  <c r="I80" i="60"/>
  <c r="I81" i="60"/>
  <c r="F68" i="61"/>
  <c r="V83" i="60"/>
  <c r="V85" i="60"/>
  <c r="T69" i="61"/>
  <c r="Q71" i="60"/>
  <c r="N75" i="60"/>
  <c r="G76" i="61"/>
  <c r="G73" i="61"/>
  <c r="V70" i="60"/>
  <c r="F69" i="61"/>
  <c r="F62" i="61"/>
  <c r="N84" i="60"/>
  <c r="G62" i="61"/>
  <c r="T71" i="61"/>
  <c r="F64" i="61"/>
  <c r="F76" i="61"/>
  <c r="F80" i="61"/>
  <c r="S85" i="60"/>
  <c r="G74" i="60"/>
  <c r="I70" i="60"/>
  <c r="I73" i="60"/>
  <c r="I66" i="60"/>
  <c r="G70" i="60"/>
  <c r="N85" i="60"/>
  <c r="F70" i="61"/>
  <c r="P66" i="61"/>
  <c r="M91" i="60"/>
  <c r="P68" i="61"/>
  <c r="O76" i="61"/>
  <c r="O63" i="61"/>
  <c r="G76" i="60"/>
  <c r="G85" i="60"/>
  <c r="F83" i="60"/>
  <c r="M72" i="61"/>
  <c r="O71" i="61"/>
  <c r="O74" i="61"/>
  <c r="T66" i="61"/>
  <c r="O77" i="61"/>
  <c r="H60" i="60"/>
  <c r="H92" i="60"/>
  <c r="O80" i="61"/>
  <c r="O68" i="61"/>
  <c r="O62" i="61"/>
  <c r="O72" i="61"/>
  <c r="G67" i="60"/>
  <c r="G91" i="60"/>
  <c r="U72" i="61"/>
  <c r="O65" i="61"/>
  <c r="T80" i="61"/>
  <c r="I84" i="60"/>
  <c r="G80" i="60"/>
  <c r="G84" i="60"/>
  <c r="O55" i="61"/>
  <c r="G82" i="60"/>
  <c r="W86" i="60"/>
  <c r="F60" i="60"/>
  <c r="F92" i="60"/>
  <c r="U63" i="61"/>
  <c r="T68" i="61"/>
  <c r="U64" i="61"/>
  <c r="P65" i="61"/>
  <c r="T91" i="60"/>
  <c r="T60" i="60"/>
  <c r="T92" i="60"/>
  <c r="H85" i="60"/>
  <c r="M64" i="61"/>
  <c r="K72" i="60"/>
  <c r="M71" i="60"/>
  <c r="P70" i="61"/>
  <c r="P67" i="61"/>
  <c r="P79" i="61"/>
  <c r="P76" i="61"/>
  <c r="J82" i="60"/>
  <c r="T76" i="60"/>
  <c r="M62" i="61"/>
  <c r="K80" i="60"/>
  <c r="M80" i="60"/>
  <c r="J91" i="60"/>
  <c r="V91" i="60"/>
  <c r="K81" i="60"/>
  <c r="J76" i="60"/>
  <c r="T85" i="60"/>
  <c r="F71" i="61"/>
  <c r="K68" i="60"/>
  <c r="V76" i="60"/>
  <c r="V68" i="60"/>
  <c r="M79" i="60"/>
  <c r="J84" i="60"/>
  <c r="T74" i="60"/>
  <c r="K82" i="60"/>
  <c r="V71" i="60"/>
  <c r="M70" i="60"/>
  <c r="M76" i="60"/>
  <c r="V72" i="60"/>
  <c r="J73" i="60"/>
  <c r="J60" i="60"/>
  <c r="J92" i="60"/>
  <c r="T67" i="60"/>
  <c r="K75" i="60"/>
  <c r="T83" i="60"/>
  <c r="K74" i="60"/>
  <c r="J80" i="60"/>
  <c r="Z81" i="61"/>
  <c r="K71" i="60"/>
  <c r="K91" i="60"/>
  <c r="K84" i="60"/>
  <c r="K69" i="60"/>
  <c r="V73" i="60"/>
  <c r="V60" i="60"/>
  <c r="V92" i="60"/>
  <c r="P77" i="61"/>
  <c r="T82" i="60"/>
  <c r="K73" i="60"/>
  <c r="K79" i="60"/>
  <c r="M75" i="60"/>
  <c r="P69" i="61"/>
  <c r="K70" i="60"/>
  <c r="K85" i="60"/>
  <c r="J69" i="60"/>
  <c r="M68" i="60"/>
  <c r="T71" i="60"/>
  <c r="K77" i="60"/>
  <c r="T68" i="60"/>
  <c r="M67" i="60"/>
  <c r="T77" i="60"/>
  <c r="K60" i="60"/>
  <c r="K92" i="60"/>
  <c r="T81" i="60"/>
  <c r="P71" i="61"/>
  <c r="P74" i="61"/>
  <c r="V81" i="60"/>
  <c r="J71" i="60"/>
  <c r="T80" i="60"/>
  <c r="Q80" i="61"/>
  <c r="K83" i="60"/>
  <c r="T69" i="60"/>
  <c r="U62" i="61"/>
  <c r="J85" i="60"/>
  <c r="F72" i="60"/>
  <c r="F66" i="60"/>
  <c r="F80" i="60"/>
  <c r="J77" i="60"/>
  <c r="J72" i="60"/>
  <c r="N79" i="61"/>
  <c r="Q75" i="61"/>
  <c r="E69" i="61"/>
  <c r="E79" i="61"/>
  <c r="U77" i="61"/>
  <c r="U70" i="61"/>
  <c r="P75" i="61"/>
  <c r="O75" i="61"/>
  <c r="O79" i="61"/>
  <c r="O67" i="61"/>
  <c r="O78" i="61"/>
  <c r="O64" i="61"/>
  <c r="U66" i="61"/>
  <c r="N77" i="61"/>
  <c r="Q66" i="61"/>
  <c r="AG51" i="61"/>
  <c r="U76" i="61"/>
  <c r="F66" i="61"/>
  <c r="N71" i="61"/>
  <c r="N62" i="61"/>
  <c r="Q69" i="61"/>
  <c r="F72" i="61"/>
  <c r="N66" i="61"/>
  <c r="U75" i="60"/>
  <c r="N78" i="61"/>
  <c r="U69" i="61"/>
  <c r="U65" i="61"/>
  <c r="U68" i="61"/>
  <c r="U84" i="60"/>
  <c r="N70" i="61"/>
  <c r="N64" i="61"/>
  <c r="U78" i="61"/>
  <c r="U74" i="61"/>
  <c r="N63" i="61"/>
  <c r="E78" i="61"/>
  <c r="U67" i="61"/>
  <c r="AG52" i="61"/>
  <c r="X86" i="60"/>
  <c r="O66" i="61"/>
  <c r="N80" i="61"/>
  <c r="Q65" i="61"/>
  <c r="U75" i="61"/>
  <c r="Q91" i="60"/>
  <c r="N74" i="61"/>
  <c r="E64" i="61"/>
  <c r="U71" i="61"/>
  <c r="N69" i="61"/>
  <c r="N67" i="61"/>
  <c r="J79" i="61"/>
  <c r="M70" i="61"/>
  <c r="E55" i="61"/>
  <c r="U79" i="61"/>
  <c r="T77" i="61"/>
  <c r="AB86" i="60"/>
  <c r="J81" i="60"/>
  <c r="O69" i="61"/>
  <c r="N65" i="61"/>
  <c r="N72" i="61"/>
  <c r="E62" i="61"/>
  <c r="S73" i="61"/>
  <c r="L67" i="60"/>
  <c r="Q75" i="60"/>
  <c r="Q81" i="60"/>
  <c r="U83" i="60"/>
  <c r="Q76" i="61"/>
  <c r="Q70" i="61"/>
  <c r="E76" i="61"/>
  <c r="E77" i="61"/>
  <c r="F55" i="61"/>
  <c r="F74" i="61"/>
  <c r="M81" i="60"/>
  <c r="M84" i="60"/>
  <c r="S61" i="61"/>
  <c r="J79" i="60"/>
  <c r="L60" i="60"/>
  <c r="L92" i="60"/>
  <c r="M60" i="60"/>
  <c r="M92" i="60"/>
  <c r="L76" i="60"/>
  <c r="E71" i="61"/>
  <c r="F65" i="61"/>
  <c r="F67" i="61"/>
  <c r="J75" i="60"/>
  <c r="L73" i="60"/>
  <c r="L85" i="60"/>
  <c r="T84" i="60"/>
  <c r="Q79" i="60"/>
  <c r="Q77" i="61"/>
  <c r="F63" i="61"/>
  <c r="M83" i="60"/>
  <c r="J74" i="60"/>
  <c r="L71" i="60"/>
  <c r="Q84" i="60"/>
  <c r="F75" i="61"/>
  <c r="J67" i="60"/>
  <c r="L77" i="60"/>
  <c r="Q72" i="60"/>
  <c r="S81" i="60"/>
  <c r="Q62" i="61"/>
  <c r="F79" i="61"/>
  <c r="T73" i="60"/>
  <c r="J68" i="60"/>
  <c r="G81" i="60"/>
  <c r="G68" i="60"/>
  <c r="G69" i="60"/>
  <c r="L72" i="60"/>
  <c r="L80" i="60"/>
  <c r="J64" i="61"/>
  <c r="X81" i="61"/>
  <c r="L75" i="60"/>
  <c r="J66" i="61"/>
  <c r="H77" i="60"/>
  <c r="L82" i="60"/>
  <c r="J70" i="61"/>
  <c r="H81" i="60"/>
  <c r="U76" i="60"/>
  <c r="L83" i="60"/>
  <c r="J75" i="61"/>
  <c r="L69" i="60"/>
  <c r="U81" i="60"/>
  <c r="L91" i="60"/>
  <c r="L68" i="60"/>
  <c r="AD81" i="61"/>
  <c r="L81" i="60"/>
  <c r="L84" i="60"/>
  <c r="L74" i="60"/>
  <c r="Q82" i="60"/>
  <c r="AG41" i="61"/>
  <c r="V55" i="61"/>
  <c r="T65" i="61"/>
  <c r="T78" i="61"/>
  <c r="T76" i="61"/>
  <c r="T74" i="61"/>
  <c r="T79" i="61"/>
  <c r="T72" i="60"/>
  <c r="E80" i="61"/>
  <c r="AG36" i="61"/>
  <c r="AG35" i="61"/>
  <c r="I75" i="61"/>
  <c r="E68" i="61"/>
  <c r="U80" i="60"/>
  <c r="AG42" i="61"/>
  <c r="I77" i="61"/>
  <c r="E70" i="61"/>
  <c r="U67" i="60"/>
  <c r="AG32" i="61"/>
  <c r="AG39" i="61"/>
  <c r="I62" i="61"/>
  <c r="U74" i="60"/>
  <c r="AA81" i="61"/>
  <c r="U79" i="60"/>
  <c r="U68" i="60"/>
  <c r="E65" i="61"/>
  <c r="AG33" i="61"/>
  <c r="AG45" i="61"/>
  <c r="U85" i="60"/>
  <c r="H80" i="60"/>
  <c r="AG43" i="61"/>
  <c r="AG37" i="61"/>
  <c r="AB81" i="61"/>
  <c r="U69" i="60"/>
  <c r="AG38" i="61"/>
  <c r="U71" i="60"/>
  <c r="H67" i="60"/>
  <c r="I80" i="61"/>
  <c r="E75" i="61"/>
  <c r="U70" i="60"/>
  <c r="U60" i="60"/>
  <c r="U92" i="60"/>
  <c r="U72" i="60"/>
  <c r="AG50" i="61"/>
  <c r="U73" i="60"/>
  <c r="H73" i="60"/>
  <c r="AG49" i="61"/>
  <c r="AG44" i="61"/>
  <c r="E72" i="61"/>
  <c r="U77" i="60"/>
  <c r="Y81" i="61"/>
  <c r="H71" i="60"/>
  <c r="AG48" i="61"/>
  <c r="AG34" i="61"/>
  <c r="AG47" i="61"/>
  <c r="E74" i="61"/>
  <c r="T54" i="61"/>
  <c r="W54" i="61"/>
  <c r="M72" i="60"/>
  <c r="M73" i="60"/>
  <c r="M69" i="60"/>
  <c r="M85" i="60"/>
  <c r="M77" i="60"/>
  <c r="H82" i="60"/>
  <c r="H72" i="60"/>
  <c r="M55" i="61"/>
  <c r="H74" i="60"/>
  <c r="H75" i="60"/>
  <c r="M67" i="61"/>
  <c r="I67" i="61"/>
  <c r="J68" i="61"/>
  <c r="H84" i="60"/>
  <c r="J72" i="61"/>
  <c r="H70" i="60"/>
  <c r="R52" i="61"/>
  <c r="R69" i="61"/>
  <c r="E67" i="61"/>
  <c r="AG40" i="61"/>
  <c r="H72" i="61"/>
  <c r="H77" i="61"/>
  <c r="H71" i="61"/>
  <c r="H67" i="61"/>
  <c r="H79" i="61"/>
  <c r="H68" i="61"/>
  <c r="H78" i="61"/>
  <c r="H74" i="61"/>
  <c r="H64" i="61"/>
  <c r="H75" i="61"/>
  <c r="H80" i="61"/>
  <c r="H70" i="61"/>
  <c r="H63" i="61"/>
  <c r="H65" i="61"/>
  <c r="H76" i="61"/>
  <c r="H66" i="61"/>
  <c r="H62" i="61"/>
  <c r="H69" i="61"/>
  <c r="J67" i="61"/>
  <c r="H83" i="60"/>
  <c r="H91" i="60"/>
  <c r="M66" i="61"/>
  <c r="K73" i="61"/>
  <c r="J69" i="61"/>
  <c r="AA86" i="60"/>
  <c r="AI49" i="60"/>
  <c r="AI57" i="60"/>
  <c r="AI60" i="60"/>
  <c r="J77" i="61"/>
  <c r="J71" i="61"/>
  <c r="H76" i="60"/>
  <c r="M79" i="61"/>
  <c r="E66" i="61"/>
  <c r="J65" i="61"/>
  <c r="Z86" i="60"/>
  <c r="J63" i="61"/>
  <c r="M77" i="61"/>
  <c r="J74" i="61"/>
  <c r="I79" i="61"/>
  <c r="I64" i="61"/>
  <c r="I71" i="61"/>
  <c r="I63" i="61"/>
  <c r="I72" i="61"/>
  <c r="I55" i="61"/>
  <c r="I68" i="61"/>
  <c r="I76" i="61"/>
  <c r="I69" i="61"/>
  <c r="V67" i="61"/>
  <c r="V65" i="61"/>
  <c r="V72" i="61"/>
  <c r="V69" i="61"/>
  <c r="V74" i="61"/>
  <c r="V76" i="61"/>
  <c r="V80" i="61"/>
  <c r="V78" i="61"/>
  <c r="V64" i="61"/>
  <c r="V77" i="61"/>
  <c r="V66" i="61"/>
  <c r="V79" i="61"/>
  <c r="V68" i="61"/>
  <c r="V63" i="61"/>
  <c r="V75" i="61"/>
  <c r="V70" i="61"/>
  <c r="V62" i="61"/>
  <c r="V71" i="61"/>
  <c r="J55" i="61"/>
  <c r="S77" i="60"/>
  <c r="S79" i="60"/>
  <c r="M80" i="61"/>
  <c r="M71" i="61"/>
  <c r="J62" i="61"/>
  <c r="AC86" i="60"/>
  <c r="S68" i="60"/>
  <c r="S80" i="60"/>
  <c r="M63" i="61"/>
  <c r="M78" i="61"/>
  <c r="R57" i="60"/>
  <c r="AH37" i="60"/>
  <c r="S73" i="60"/>
  <c r="M69" i="61"/>
  <c r="M76" i="61"/>
  <c r="Y54" i="61"/>
  <c r="J78" i="61"/>
  <c r="S76" i="60"/>
  <c r="M68" i="61"/>
  <c r="S60" i="60"/>
  <c r="S92" i="60"/>
  <c r="M74" i="61"/>
  <c r="J76" i="61"/>
  <c r="M75" i="61"/>
  <c r="T55" i="61"/>
  <c r="S75" i="60"/>
  <c r="S70" i="60"/>
  <c r="S82" i="60"/>
  <c r="S67" i="60"/>
  <c r="S83" i="60"/>
  <c r="S91" i="60"/>
  <c r="S74" i="60"/>
  <c r="S84" i="60"/>
  <c r="AE91" i="60"/>
  <c r="P78" i="60"/>
  <c r="L73" i="61"/>
  <c r="N66" i="60"/>
  <c r="P66" i="60"/>
  <c r="AI46" i="60"/>
  <c r="AI51" i="60"/>
  <c r="AI52" i="60"/>
  <c r="AE75" i="60"/>
  <c r="AI53" i="60"/>
  <c r="AE83" i="60"/>
  <c r="AI47" i="60"/>
  <c r="AE60" i="60"/>
  <c r="AE92" i="60"/>
  <c r="AE74" i="60"/>
  <c r="AI38" i="60"/>
  <c r="AI55" i="60"/>
  <c r="AE67" i="60"/>
  <c r="AE82" i="60"/>
  <c r="AE69" i="60"/>
  <c r="AE68" i="60"/>
  <c r="AI39" i="60"/>
  <c r="AE81" i="60"/>
  <c r="AE73" i="60"/>
  <c r="AE70" i="60"/>
  <c r="AI43" i="60"/>
  <c r="AI48" i="60"/>
  <c r="AI41" i="60"/>
  <c r="AI50" i="60"/>
  <c r="AE77" i="60"/>
  <c r="AE85" i="60"/>
  <c r="AI44" i="60"/>
  <c r="AI45" i="60"/>
  <c r="AI56" i="60"/>
  <c r="AE80" i="60"/>
  <c r="AE76" i="60"/>
  <c r="AI54" i="60"/>
  <c r="AE84" i="60"/>
  <c r="AE71" i="60"/>
  <c r="AI42" i="60"/>
  <c r="AE72" i="60"/>
  <c r="AI40" i="60"/>
  <c r="AE79" i="60"/>
  <c r="BA46" i="63"/>
  <c r="AU75" i="63"/>
  <c r="BA53" i="63"/>
  <c r="AU82" i="63"/>
  <c r="AU62" i="63"/>
  <c r="BA62" i="63"/>
  <c r="BA56" i="63"/>
  <c r="AU85" i="63"/>
  <c r="BA40" i="63"/>
  <c r="AU69" i="63"/>
  <c r="BA50" i="63"/>
  <c r="AU79" i="63"/>
  <c r="BA41" i="63"/>
  <c r="AU70" i="63"/>
  <c r="BA47" i="63"/>
  <c r="AU76" i="63"/>
  <c r="BA49" i="63"/>
  <c r="AU78" i="63"/>
  <c r="BA55" i="63"/>
  <c r="AU84" i="63"/>
  <c r="BA45" i="63"/>
  <c r="AU74" i="63"/>
  <c r="BA58" i="63"/>
  <c r="AU87" i="63"/>
  <c r="BA42" i="63"/>
  <c r="AU71" i="63"/>
  <c r="BA43" i="63"/>
  <c r="AU72" i="63"/>
  <c r="BA44" i="63"/>
  <c r="AU73" i="63"/>
  <c r="BA57" i="63"/>
  <c r="AU86" i="63"/>
  <c r="BA54" i="63"/>
  <c r="AU83" i="63"/>
  <c r="BA48" i="63"/>
  <c r="AU77" i="63"/>
  <c r="BA51" i="63"/>
  <c r="BA59" i="63"/>
  <c r="BA52" i="63"/>
  <c r="AU81" i="63"/>
  <c r="BA61" i="63"/>
  <c r="E78" i="60"/>
  <c r="L61" i="61"/>
  <c r="AE52" i="61"/>
  <c r="AI44" i="61"/>
  <c r="I78" i="60"/>
  <c r="V78" i="60"/>
  <c r="V86" i="60"/>
  <c r="P61" i="61"/>
  <c r="F78" i="60"/>
  <c r="F86" i="60"/>
  <c r="N78" i="60"/>
  <c r="V66" i="60"/>
  <c r="L78" i="60"/>
  <c r="K66" i="60"/>
  <c r="T61" i="61"/>
  <c r="N73" i="61"/>
  <c r="O86" i="60"/>
  <c r="U73" i="61"/>
  <c r="G66" i="60"/>
  <c r="T78" i="60"/>
  <c r="K78" i="60"/>
  <c r="K86" i="60"/>
  <c r="G78" i="60"/>
  <c r="O61" i="61"/>
  <c r="Q66" i="60"/>
  <c r="U66" i="60"/>
  <c r="O73" i="61"/>
  <c r="U61" i="61"/>
  <c r="P73" i="61"/>
  <c r="P81" i="61"/>
  <c r="N61" i="61"/>
  <c r="N81" i="61"/>
  <c r="J78" i="60"/>
  <c r="S81" i="61"/>
  <c r="Q73" i="61"/>
  <c r="R62" i="61"/>
  <c r="F61" i="61"/>
  <c r="Q78" i="60"/>
  <c r="L66" i="60"/>
  <c r="F73" i="61"/>
  <c r="J66" i="60"/>
  <c r="Q61" i="61"/>
  <c r="M78" i="60"/>
  <c r="M66" i="60"/>
  <c r="T66" i="60"/>
  <c r="E73" i="61"/>
  <c r="R74" i="61"/>
  <c r="U78" i="60"/>
  <c r="I61" i="61"/>
  <c r="E61" i="61"/>
  <c r="T73" i="61"/>
  <c r="M73" i="61"/>
  <c r="I86" i="60"/>
  <c r="H66" i="60"/>
  <c r="H78" i="60"/>
  <c r="AH49" i="60"/>
  <c r="R75" i="61"/>
  <c r="R65" i="61"/>
  <c r="U54" i="61"/>
  <c r="X54" i="61"/>
  <c r="X55" i="61"/>
  <c r="R55" i="61"/>
  <c r="AH44" i="61"/>
  <c r="R66" i="61"/>
  <c r="R77" i="61"/>
  <c r="J61" i="61"/>
  <c r="K81" i="61"/>
  <c r="AH32" i="61"/>
  <c r="AH38" i="61"/>
  <c r="R72" i="61"/>
  <c r="R63" i="61"/>
  <c r="AH37" i="61"/>
  <c r="R78" i="61"/>
  <c r="Z54" i="61"/>
  <c r="W55" i="61"/>
  <c r="AH59" i="60"/>
  <c r="AH34" i="61"/>
  <c r="I73" i="61"/>
  <c r="R71" i="61"/>
  <c r="AH33" i="61"/>
  <c r="R68" i="61"/>
  <c r="R79" i="61"/>
  <c r="AH43" i="61"/>
  <c r="R76" i="61"/>
  <c r="AH35" i="61"/>
  <c r="AH51" i="61"/>
  <c r="H73" i="61"/>
  <c r="AH39" i="61"/>
  <c r="R64" i="61"/>
  <c r="AH52" i="61"/>
  <c r="AH40" i="61"/>
  <c r="R80" i="61"/>
  <c r="AH42" i="61"/>
  <c r="P86" i="60"/>
  <c r="R70" i="61"/>
  <c r="J73" i="61"/>
  <c r="M61" i="61"/>
  <c r="H61" i="61"/>
  <c r="AH36" i="61"/>
  <c r="AG54" i="61"/>
  <c r="AG55" i="61"/>
  <c r="AH49" i="61"/>
  <c r="AH46" i="61"/>
  <c r="AH47" i="61"/>
  <c r="AH48" i="61"/>
  <c r="AH45" i="61"/>
  <c r="AH50" i="61"/>
  <c r="R67" i="61"/>
  <c r="AH41" i="61"/>
  <c r="R91" i="60"/>
  <c r="AH53" i="60"/>
  <c r="AH45" i="60"/>
  <c r="AH57" i="60"/>
  <c r="AH50" i="60"/>
  <c r="R68" i="60"/>
  <c r="R60" i="60"/>
  <c r="R92" i="60"/>
  <c r="AH38" i="60"/>
  <c r="R83" i="60"/>
  <c r="R81" i="60"/>
  <c r="R80" i="60"/>
  <c r="AH52" i="60"/>
  <c r="R73" i="60"/>
  <c r="R71" i="60"/>
  <c r="AH44" i="60"/>
  <c r="AH55" i="60"/>
  <c r="R79" i="60"/>
  <c r="AH42" i="60"/>
  <c r="R84" i="60"/>
  <c r="R77" i="60"/>
  <c r="R72" i="60"/>
  <c r="AH43" i="60"/>
  <c r="R82" i="60"/>
  <c r="AH48" i="60"/>
  <c r="AH39" i="60"/>
  <c r="AH56" i="60"/>
  <c r="AH54" i="60"/>
  <c r="R75" i="60"/>
  <c r="AH40" i="60"/>
  <c r="R85" i="60"/>
  <c r="R69" i="60"/>
  <c r="R74" i="60"/>
  <c r="AH51" i="60"/>
  <c r="AH46" i="60"/>
  <c r="R70" i="60"/>
  <c r="R76" i="60"/>
  <c r="AH41" i="60"/>
  <c r="R67" i="60"/>
  <c r="AH47" i="60"/>
  <c r="V73" i="61"/>
  <c r="AB54" i="61"/>
  <c r="AB55" i="61"/>
  <c r="Y55" i="61"/>
  <c r="L81" i="61"/>
  <c r="V61" i="61"/>
  <c r="G81" i="61"/>
  <c r="S66" i="60"/>
  <c r="AI32" i="61"/>
  <c r="S78" i="60"/>
  <c r="AU68" i="63"/>
  <c r="AU80" i="63"/>
  <c r="E86" i="60"/>
  <c r="AH54" i="61"/>
  <c r="AI54" i="61"/>
  <c r="AE78" i="60"/>
  <c r="AE69" i="61"/>
  <c r="AE78" i="61"/>
  <c r="AI33" i="61"/>
  <c r="AI45" i="61"/>
  <c r="AE75" i="61"/>
  <c r="AI42" i="61"/>
  <c r="AI52" i="61"/>
  <c r="AI41" i="61"/>
  <c r="AE80" i="61"/>
  <c r="AE74" i="61"/>
  <c r="AI40" i="61"/>
  <c r="AI46" i="61"/>
  <c r="AI39" i="61"/>
  <c r="AE77" i="61"/>
  <c r="AI38" i="61"/>
  <c r="AI36" i="61"/>
  <c r="AE71" i="61"/>
  <c r="AE67" i="61"/>
  <c r="AE65" i="61"/>
  <c r="AE55" i="61"/>
  <c r="AI55" i="61"/>
  <c r="AE66" i="61"/>
  <c r="AI37" i="61"/>
  <c r="AI50" i="61"/>
  <c r="AI49" i="61"/>
  <c r="AI51" i="61"/>
  <c r="AE79" i="61"/>
  <c r="AI48" i="61"/>
  <c r="AE62" i="61"/>
  <c r="AE68" i="61"/>
  <c r="AE70" i="61"/>
  <c r="AI47" i="61"/>
  <c r="AE63" i="61"/>
  <c r="AE76" i="61"/>
  <c r="AI34" i="61"/>
  <c r="AE64" i="61"/>
  <c r="AI35" i="61"/>
  <c r="AI43" i="61"/>
  <c r="AE72" i="61"/>
  <c r="N86" i="60"/>
  <c r="AE66" i="60"/>
  <c r="U86" i="60"/>
  <c r="T86" i="60"/>
  <c r="J86" i="60"/>
  <c r="L86" i="60"/>
  <c r="G86" i="60"/>
  <c r="U81" i="61"/>
  <c r="T81" i="61"/>
  <c r="Q81" i="61"/>
  <c r="Q86" i="60"/>
  <c r="O81" i="61"/>
  <c r="AH55" i="61"/>
  <c r="AA54" i="61"/>
  <c r="AD54" i="61"/>
  <c r="AD55" i="61"/>
  <c r="F81" i="61"/>
  <c r="I81" i="61"/>
  <c r="E81" i="61"/>
  <c r="M86" i="60"/>
  <c r="U55" i="61"/>
  <c r="M81" i="61"/>
  <c r="S86" i="60"/>
  <c r="J81" i="61"/>
  <c r="R73" i="61"/>
  <c r="H86" i="60"/>
  <c r="Z55" i="61"/>
  <c r="AC54" i="61"/>
  <c r="AC55" i="61"/>
  <c r="AH60" i="60"/>
  <c r="H81" i="61"/>
  <c r="R61" i="61"/>
  <c r="V81" i="61"/>
  <c r="R66" i="60"/>
  <c r="R78" i="60"/>
  <c r="AE61" i="61"/>
  <c r="AE86" i="60"/>
  <c r="AE73" i="61"/>
  <c r="AU88" i="63"/>
  <c r="AA55" i="61"/>
  <c r="R81" i="61"/>
  <c r="R86" i="60"/>
  <c r="AE81" i="61"/>
  <c r="BE34" i="56" l="1"/>
  <c r="AD34" i="56"/>
  <c r="AU43" i="56"/>
  <c r="AU50" i="13"/>
  <c r="AS62" i="56"/>
  <c r="BU62" i="56" s="1" a="1"/>
  <c r="BU62" i="56" s="1"/>
  <c r="BT31" i="56"/>
  <c r="AR6" i="11"/>
  <c r="AS22" i="56"/>
  <c r="BT22" i="56" s="1"/>
  <c r="BT18" i="11"/>
  <c r="AR21" i="11"/>
  <c r="AS43" i="56"/>
  <c r="BT12" i="56"/>
  <c r="AR16" i="11"/>
  <c r="AR12" i="11"/>
  <c r="AR20" i="11"/>
  <c r="AR9" i="11"/>
  <c r="AR15" i="11"/>
  <c r="AR11" i="11"/>
  <c r="AR8" i="11"/>
  <c r="AR19" i="11"/>
  <c r="AR14" i="11"/>
  <c r="AR7" i="11"/>
  <c r="AE17" i="56"/>
  <c r="AR13" i="11"/>
  <c r="AR24" i="11"/>
  <c r="AR23" i="11"/>
  <c r="AR18" i="11"/>
  <c r="AV43" i="56"/>
  <c r="AW43" i="56"/>
  <c r="BE37" i="56"/>
  <c r="AE25" i="56"/>
  <c r="BG59" i="56"/>
  <c r="AF28" i="56"/>
  <c r="AF59" i="56" s="1"/>
  <c r="BK44" i="56"/>
  <c r="AJ13" i="56"/>
  <c r="AJ44" i="56" s="1"/>
  <c r="BG58" i="56"/>
  <c r="AF27" i="56"/>
  <c r="AF58" i="56" s="1"/>
  <c r="AL53" i="56"/>
  <c r="BM50" i="56"/>
  <c r="AL19" i="56"/>
  <c r="AL50" i="56" s="1"/>
  <c r="BF54" i="56"/>
  <c r="AE23" i="56"/>
  <c r="BI51" i="56"/>
  <c r="AH20" i="56"/>
  <c r="AH51" i="56" s="1"/>
  <c r="AO23" i="56"/>
  <c r="AO54" i="56" s="1"/>
  <c r="AO13" i="56"/>
  <c r="AO44" i="56" s="1"/>
  <c r="BF51" i="56"/>
  <c r="AE20" i="56"/>
  <c r="BI50" i="56"/>
  <c r="AH19" i="56"/>
  <c r="AH50" i="56" s="1"/>
  <c r="BK59" i="56"/>
  <c r="AJ28" i="56"/>
  <c r="AJ59" i="56" s="1"/>
  <c r="BI49" i="56"/>
  <c r="AH18" i="56"/>
  <c r="AH49" i="56" s="1"/>
  <c r="AO28" i="56"/>
  <c r="AO59" i="56" s="1"/>
  <c r="AO18" i="56"/>
  <c r="AO49" i="56" s="1"/>
  <c r="AE18" i="56"/>
  <c r="AG18" i="56"/>
  <c r="AG49" i="56" s="1"/>
  <c r="AI24" i="56"/>
  <c r="AI55" i="56" s="1"/>
  <c r="BP57" i="56"/>
  <c r="AO26" i="56"/>
  <c r="AO57" i="56" s="1"/>
  <c r="BP47" i="56"/>
  <c r="AO16" i="56"/>
  <c r="AO47" i="56" s="1"/>
  <c r="BF55" i="56"/>
  <c r="AE24" i="56"/>
  <c r="BK43" i="56"/>
  <c r="AJ12" i="56"/>
  <c r="AJ43" i="56" s="1"/>
  <c r="AP23" i="56"/>
  <c r="AP54" i="56" s="1"/>
  <c r="AG16" i="56"/>
  <c r="AG47" i="56" s="1"/>
  <c r="AK53" i="56"/>
  <c r="BG56" i="56"/>
  <c r="AF25" i="56"/>
  <c r="AF56" i="56" s="1"/>
  <c r="BM47" i="56"/>
  <c r="AL16" i="56"/>
  <c r="AL47" i="56" s="1"/>
  <c r="BK58" i="56"/>
  <c r="AJ27" i="56"/>
  <c r="AJ58" i="56" s="1"/>
  <c r="AN9" i="56"/>
  <c r="AN41" i="56"/>
  <c r="BH43" i="56"/>
  <c r="AG12" i="56"/>
  <c r="AG43" i="56" s="1"/>
  <c r="AP25" i="56"/>
  <c r="AP56" i="56" s="1"/>
  <c r="AP15" i="56"/>
  <c r="AP46" i="56" s="1"/>
  <c r="BG50" i="56"/>
  <c r="AF19" i="56"/>
  <c r="AF50" i="56" s="1"/>
  <c r="AL41" i="56"/>
  <c r="BI46" i="56"/>
  <c r="AH15" i="56"/>
  <c r="AH46" i="56" s="1"/>
  <c r="BJ45" i="56"/>
  <c r="AI14" i="56"/>
  <c r="AI45" i="56" s="1"/>
  <c r="BK55" i="56"/>
  <c r="AJ24" i="56"/>
  <c r="AJ55" i="56" s="1"/>
  <c r="BQ51" i="56"/>
  <c r="AP20" i="56"/>
  <c r="AP51" i="56" s="1"/>
  <c r="BF46" i="56"/>
  <c r="AE15" i="56"/>
  <c r="AH13" i="56"/>
  <c r="AH44" i="56" s="1"/>
  <c r="BJ43" i="56"/>
  <c r="AI12" i="56"/>
  <c r="AI43" i="56" s="1"/>
  <c r="AI22" i="56"/>
  <c r="AE13" i="56"/>
  <c r="BH55" i="56"/>
  <c r="AG24" i="56"/>
  <c r="AG55" i="56" s="1"/>
  <c r="BK50" i="56"/>
  <c r="AJ19" i="56"/>
  <c r="AJ50" i="56" s="1"/>
  <c r="BP58" i="56"/>
  <c r="AO27" i="56"/>
  <c r="AO58" i="56" s="1"/>
  <c r="BM43" i="56"/>
  <c r="AL12" i="56"/>
  <c r="AL43" i="56" s="1"/>
  <c r="BF43" i="56"/>
  <c r="AE12" i="56"/>
  <c r="BH54" i="56"/>
  <c r="AG23" i="56"/>
  <c r="AG54" i="56" s="1"/>
  <c r="AI10" i="56"/>
  <c r="BM51" i="56"/>
  <c r="AL20" i="56"/>
  <c r="AL51" i="56" s="1"/>
  <c r="BG44" i="56"/>
  <c r="AF13" i="56"/>
  <c r="AF44" i="56" s="1"/>
  <c r="BI41" i="56"/>
  <c r="AH10" i="56"/>
  <c r="BF59" i="56"/>
  <c r="AE28" i="56"/>
  <c r="BG43" i="56"/>
  <c r="AF12" i="56"/>
  <c r="AF43" i="56" s="1"/>
  <c r="BH41" i="56"/>
  <c r="AG10" i="56"/>
  <c r="BI59" i="56"/>
  <c r="AH28" i="56"/>
  <c r="AH59" i="56" s="1"/>
  <c r="AJ16" i="56"/>
  <c r="AJ47" i="56" s="1"/>
  <c r="AP22" i="56"/>
  <c r="BM58" i="56"/>
  <c r="AL27" i="56"/>
  <c r="AL58" i="56" s="1"/>
  <c r="BQ50" i="56"/>
  <c r="AP19" i="56"/>
  <c r="AP50" i="56" s="1"/>
  <c r="BM48" i="56"/>
  <c r="AL17" i="56"/>
  <c r="AL48" i="56" s="1"/>
  <c r="BP42" i="56"/>
  <c r="AO11" i="56"/>
  <c r="AO42" i="56" s="1"/>
  <c r="AH25" i="56"/>
  <c r="AH56" i="56" s="1"/>
  <c r="AM21" i="56"/>
  <c r="AM53" i="56"/>
  <c r="BL45" i="56"/>
  <c r="AK14" i="56"/>
  <c r="AK45" i="56" s="1"/>
  <c r="BI55" i="56"/>
  <c r="AH24" i="56"/>
  <c r="AH55" i="56" s="1"/>
  <c r="BJ51" i="56"/>
  <c r="AI20" i="56"/>
  <c r="AI51" i="56" s="1"/>
  <c r="BQ44" i="56"/>
  <c r="AP13" i="56"/>
  <c r="AP44" i="56" s="1"/>
  <c r="BJ50" i="56"/>
  <c r="AI19" i="56"/>
  <c r="AI50" i="56" s="1"/>
  <c r="BK42" i="56"/>
  <c r="AJ11" i="56"/>
  <c r="AJ42" i="56" s="1"/>
  <c r="AH22" i="56"/>
  <c r="BM57" i="56"/>
  <c r="AL26" i="56"/>
  <c r="AL57" i="56" s="1"/>
  <c r="BP41" i="56"/>
  <c r="AO10" i="56"/>
  <c r="BF50" i="56"/>
  <c r="AE19" i="56"/>
  <c r="BG55" i="56"/>
  <c r="AF24" i="56"/>
  <c r="AF55" i="56" s="1"/>
  <c r="O50" i="13"/>
  <c r="O86" i="13" s="1"/>
  <c r="BG51" i="56"/>
  <c r="AF20" i="56"/>
  <c r="AF51" i="56" s="1"/>
  <c r="BI48" i="56"/>
  <c r="AH17" i="56"/>
  <c r="AH48" i="56" s="1"/>
  <c r="BJ47" i="56"/>
  <c r="AI16" i="56"/>
  <c r="AI47" i="56" s="1"/>
  <c r="AM41" i="56"/>
  <c r="AM9" i="56"/>
  <c r="BH42" i="56"/>
  <c r="AG11" i="56"/>
  <c r="AG42" i="56" s="1"/>
  <c r="BK56" i="56"/>
  <c r="AJ25" i="56"/>
  <c r="AJ56" i="56" s="1"/>
  <c r="BL54" i="56"/>
  <c r="AK23" i="56"/>
  <c r="AK54" i="56" s="1"/>
  <c r="AO15" i="56"/>
  <c r="AO46" i="56" s="1"/>
  <c r="BF47" i="56"/>
  <c r="AE16" i="56"/>
  <c r="BM59" i="56"/>
  <c r="AL28" i="56"/>
  <c r="AL59" i="56" s="1"/>
  <c r="BG48" i="56"/>
  <c r="AF17" i="56"/>
  <c r="AF48" i="56" s="1"/>
  <c r="BI45" i="56"/>
  <c r="AH14" i="56"/>
  <c r="AH45" i="56" s="1"/>
  <c r="BK41" i="56"/>
  <c r="AJ10" i="56"/>
  <c r="AE14" i="56"/>
  <c r="BH56" i="56"/>
  <c r="AG25" i="56"/>
  <c r="AG56" i="56" s="1"/>
  <c r="BM56" i="56"/>
  <c r="AL25" i="56"/>
  <c r="AL56" i="56" s="1"/>
  <c r="BM46" i="56"/>
  <c r="AL15" i="56"/>
  <c r="AL46" i="56" s="1"/>
  <c r="BG46" i="56"/>
  <c r="AF15" i="56"/>
  <c r="AF46" i="56" s="1"/>
  <c r="AI11" i="56"/>
  <c r="AI42" i="56" s="1"/>
  <c r="AJ22" i="56"/>
  <c r="AO17" i="56"/>
  <c r="AO48" i="56" s="1"/>
  <c r="Z50" i="13"/>
  <c r="Z107" i="13" s="1"/>
  <c r="Z3" i="13"/>
  <c r="AF3" i="13" s="1"/>
  <c r="BI42" i="56"/>
  <c r="AH11" i="56"/>
  <c r="AH42" i="56" s="1"/>
  <c r="BK49" i="56"/>
  <c r="AJ18" i="56"/>
  <c r="AJ49" i="56" s="1"/>
  <c r="BQ55" i="56"/>
  <c r="AP24" i="56"/>
  <c r="AP55" i="56" s="1"/>
  <c r="BQ45" i="56"/>
  <c r="AP14" i="56"/>
  <c r="AP45" i="56" s="1"/>
  <c r="BJ59" i="56"/>
  <c r="AI28" i="56"/>
  <c r="AI59" i="56" s="1"/>
  <c r="AO24" i="56"/>
  <c r="AO55" i="56" s="1"/>
  <c r="AO14" i="56"/>
  <c r="AO45" i="56" s="1"/>
  <c r="BF58" i="56"/>
  <c r="AE27" i="56"/>
  <c r="AF11" i="56"/>
  <c r="AF42" i="56" s="1"/>
  <c r="BH51" i="56"/>
  <c r="AG20" i="56"/>
  <c r="AG51" i="56" s="1"/>
  <c r="BI58" i="56"/>
  <c r="AH27" i="56"/>
  <c r="AH58" i="56" s="1"/>
  <c r="BJ57" i="56"/>
  <c r="AI26" i="56"/>
  <c r="AI57" i="56" s="1"/>
  <c r="BK46" i="56"/>
  <c r="AJ15" i="56"/>
  <c r="AJ46" i="56" s="1"/>
  <c r="AO22" i="56"/>
  <c r="BL58" i="56"/>
  <c r="AK27" i="56"/>
  <c r="AK58" i="56" s="1"/>
  <c r="BP50" i="56"/>
  <c r="AO19" i="56"/>
  <c r="AO50" i="56" s="1"/>
  <c r="BL48" i="56"/>
  <c r="AK17" i="56"/>
  <c r="AK48" i="56" s="1"/>
  <c r="BM42" i="56"/>
  <c r="AL11" i="56"/>
  <c r="BH48" i="56"/>
  <c r="AG17" i="56"/>
  <c r="AG48" i="56" s="1"/>
  <c r="BJ54" i="56"/>
  <c r="AI23" i="56"/>
  <c r="AI54" i="56" s="1"/>
  <c r="AE10" i="56"/>
  <c r="AH23" i="56"/>
  <c r="AH54" i="56" s="1"/>
  <c r="AP10" i="56"/>
  <c r="BH46" i="56"/>
  <c r="AG15" i="56"/>
  <c r="AG46" i="56" s="1"/>
  <c r="AI18" i="56"/>
  <c r="AI49" i="56" s="1"/>
  <c r="AP28" i="56"/>
  <c r="AP59" i="56" s="1"/>
  <c r="AP18" i="56"/>
  <c r="AP49" i="56" s="1"/>
  <c r="BH44" i="56"/>
  <c r="AG13" i="56"/>
  <c r="AG44" i="56" s="1"/>
  <c r="BJ48" i="56"/>
  <c r="AI17" i="56"/>
  <c r="AI48" i="56" s="1"/>
  <c r="BL47" i="56"/>
  <c r="AK16" i="56"/>
  <c r="AK47" i="56" s="1"/>
  <c r="BG54" i="56"/>
  <c r="AF23" i="56"/>
  <c r="AF54" i="56" s="1"/>
  <c r="BK57" i="56"/>
  <c r="AJ26" i="56"/>
  <c r="AJ57" i="56" s="1"/>
  <c r="BM54" i="56"/>
  <c r="AL23" i="56"/>
  <c r="BM44" i="56"/>
  <c r="AL13" i="56"/>
  <c r="AL44" i="56" s="1"/>
  <c r="BG53" i="56"/>
  <c r="AF22" i="56"/>
  <c r="BI47" i="56"/>
  <c r="AH16" i="56"/>
  <c r="AH47" i="56" s="1"/>
  <c r="BJ46" i="56"/>
  <c r="AI15" i="56"/>
  <c r="AI46" i="56" s="1"/>
  <c r="BP56" i="56"/>
  <c r="AO25" i="56"/>
  <c r="AO56" i="56" s="1"/>
  <c r="BL44" i="56"/>
  <c r="AK13" i="56"/>
  <c r="AK44" i="56" s="1"/>
  <c r="BG49" i="56"/>
  <c r="AF18" i="56"/>
  <c r="AF49" i="56" s="1"/>
  <c r="BM49" i="56"/>
  <c r="AL18" i="56"/>
  <c r="AL49" i="56" s="1"/>
  <c r="AK41" i="56"/>
  <c r="BH58" i="56"/>
  <c r="AG27" i="56"/>
  <c r="AG58" i="56" s="1"/>
  <c r="BJ44" i="56"/>
  <c r="AI13" i="56"/>
  <c r="AI44" i="56" s="1"/>
  <c r="BK54" i="56"/>
  <c r="AJ23" i="56"/>
  <c r="AJ54" i="56" s="1"/>
  <c r="BP51" i="56"/>
  <c r="AO20" i="56"/>
  <c r="AO51" i="56" s="1"/>
  <c r="AF16" i="56"/>
  <c r="AF47" i="56" s="1"/>
  <c r="AP27" i="56"/>
  <c r="AP58" i="56" s="1"/>
  <c r="BQ48" i="56"/>
  <c r="AP17" i="56"/>
  <c r="AP48" i="56" s="1"/>
  <c r="BI43" i="56"/>
  <c r="AH12" i="56"/>
  <c r="AH43" i="56" s="1"/>
  <c r="BL56" i="56"/>
  <c r="AK25" i="56"/>
  <c r="AK56" i="56" s="1"/>
  <c r="BG45" i="56"/>
  <c r="AF14" i="56"/>
  <c r="AF45" i="56" s="1"/>
  <c r="P10" i="11"/>
  <c r="BF42" i="56"/>
  <c r="AE11" i="56"/>
  <c r="AG22" i="56"/>
  <c r="BK48" i="56"/>
  <c r="AJ17" i="56"/>
  <c r="AJ48" i="56" s="1"/>
  <c r="AP11" i="56"/>
  <c r="AP42" i="56" s="1"/>
  <c r="BF57" i="56"/>
  <c r="AE26" i="56"/>
  <c r="AF10" i="56"/>
  <c r="BH50" i="56"/>
  <c r="AG19" i="56"/>
  <c r="AG50" i="56" s="1"/>
  <c r="AE22" i="56"/>
  <c r="AH26" i="56"/>
  <c r="AH57" i="56" s="1"/>
  <c r="AI25" i="56"/>
  <c r="AI56" i="56" s="1"/>
  <c r="AJ14" i="56"/>
  <c r="AJ45" i="56" s="1"/>
  <c r="AN21" i="56"/>
  <c r="AN53" i="56"/>
  <c r="AP26" i="56"/>
  <c r="AP57" i="56" s="1"/>
  <c r="BM55" i="56"/>
  <c r="AL24" i="56"/>
  <c r="AL55" i="56" s="1"/>
  <c r="AP16" i="56"/>
  <c r="AP47" i="56" s="1"/>
  <c r="BM45" i="56"/>
  <c r="AL14" i="56"/>
  <c r="AL45" i="56" s="1"/>
  <c r="BD43" i="56"/>
  <c r="AO108" i="13"/>
  <c r="AO55" i="13"/>
  <c r="AN108" i="13"/>
  <c r="AN55" i="13"/>
  <c r="AM108" i="13"/>
  <c r="AM55" i="13"/>
  <c r="AL108" i="13"/>
  <c r="AL55" i="13"/>
  <c r="AK108" i="13"/>
  <c r="AK55" i="13"/>
  <c r="AI108" i="13"/>
  <c r="AI55" i="13"/>
  <c r="AH108" i="13"/>
  <c r="AH55" i="13"/>
  <c r="AP108" i="13"/>
  <c r="AP55" i="13"/>
  <c r="AS74" i="13"/>
  <c r="AS91" i="13"/>
  <c r="AS107" i="13"/>
  <c r="AS63" i="13"/>
  <c r="AS65" i="13"/>
  <c r="AS99" i="13"/>
  <c r="AS100" i="13"/>
  <c r="AS101" i="13"/>
  <c r="AS102" i="13"/>
  <c r="AS71" i="13"/>
  <c r="AS72" i="13"/>
  <c r="AS106" i="13"/>
  <c r="AS75" i="13"/>
  <c r="AS92" i="13"/>
  <c r="AS108" i="13"/>
  <c r="AS95" i="13"/>
  <c r="AS96" i="13"/>
  <c r="AS97" i="13"/>
  <c r="AS66" i="13"/>
  <c r="AS76" i="13"/>
  <c r="AS93" i="13"/>
  <c r="AS109" i="13"/>
  <c r="AS78" i="13"/>
  <c r="AS64" i="13"/>
  <c r="AS82" i="13"/>
  <c r="AS83" i="13"/>
  <c r="AS84" i="13"/>
  <c r="AS68" i="13"/>
  <c r="AS69" i="13"/>
  <c r="AS70" i="13"/>
  <c r="AS103" i="13"/>
  <c r="AS104" i="13"/>
  <c r="AS105" i="13"/>
  <c r="AS90" i="13"/>
  <c r="AS77" i="13"/>
  <c r="AS94" i="13"/>
  <c r="AS79" i="13"/>
  <c r="AS80" i="13"/>
  <c r="AS98" i="13"/>
  <c r="AS67" i="13"/>
  <c r="AS85" i="13"/>
  <c r="AS86" i="13"/>
  <c r="AS87" i="13"/>
  <c r="AS88" i="13"/>
  <c r="AS89" i="13"/>
  <c r="AS73" i="13"/>
  <c r="BQ62" i="56"/>
  <c r="F45" i="56"/>
  <c r="N102" i="13"/>
  <c r="AR64" i="13"/>
  <c r="AR80" i="13"/>
  <c r="AR97" i="13"/>
  <c r="AR65" i="13"/>
  <c r="AR82" i="13"/>
  <c r="AR98" i="13"/>
  <c r="AR66" i="13"/>
  <c r="AR83" i="13"/>
  <c r="AR99" i="13"/>
  <c r="AR85" i="13"/>
  <c r="AR102" i="13"/>
  <c r="AR71" i="13"/>
  <c r="AR88" i="13"/>
  <c r="AR104" i="13"/>
  <c r="AR105" i="13"/>
  <c r="AR73" i="13"/>
  <c r="AR90" i="13"/>
  <c r="AR106" i="13"/>
  <c r="AR74" i="13"/>
  <c r="AR91" i="13"/>
  <c r="AR107" i="13"/>
  <c r="AR75" i="13"/>
  <c r="AR92" i="13"/>
  <c r="AR108" i="13"/>
  <c r="AR76" i="13"/>
  <c r="AR93" i="13"/>
  <c r="AR109" i="13"/>
  <c r="AR77" i="13"/>
  <c r="AR94" i="13"/>
  <c r="AR100" i="13"/>
  <c r="AR68" i="13"/>
  <c r="AR101" i="13"/>
  <c r="AR69" i="13"/>
  <c r="AR70" i="13"/>
  <c r="AR87" i="13"/>
  <c r="AR103" i="13"/>
  <c r="AR72" i="13"/>
  <c r="AR78" i="13"/>
  <c r="AR95" i="13"/>
  <c r="AR63" i="13"/>
  <c r="AR79" i="13"/>
  <c r="AR96" i="13"/>
  <c r="AR67" i="13"/>
  <c r="AR84" i="13"/>
  <c r="AR86" i="13"/>
  <c r="AR89" i="13"/>
  <c r="BD50" i="56"/>
  <c r="BD42" i="56"/>
  <c r="AF48" i="13"/>
  <c r="P50" i="13"/>
  <c r="P93" i="13" s="1"/>
  <c r="AF7" i="13"/>
  <c r="AM88" i="13"/>
  <c r="AM90" i="13"/>
  <c r="AM83" i="13"/>
  <c r="AM82" i="13"/>
  <c r="AM70" i="13"/>
  <c r="AM77" i="13"/>
  <c r="AM92" i="13"/>
  <c r="AM99" i="13"/>
  <c r="AM97" i="13"/>
  <c r="AM104" i="13"/>
  <c r="AM68" i="13"/>
  <c r="AM75" i="13"/>
  <c r="AM106" i="13"/>
  <c r="AM85" i="13"/>
  <c r="AM93" i="13"/>
  <c r="AM96" i="13"/>
  <c r="AM69" i="13"/>
  <c r="AM72" i="13"/>
  <c r="AM91" i="13"/>
  <c r="AM65" i="13"/>
  <c r="AM89" i="13"/>
  <c r="AM80" i="13"/>
  <c r="AM94" i="13"/>
  <c r="AM64" i="13"/>
  <c r="AM67" i="13"/>
  <c r="AM107" i="13"/>
  <c r="AM86" i="13"/>
  <c r="AM102" i="13"/>
  <c r="AM87" i="13"/>
  <c r="AM78" i="13"/>
  <c r="AM100" i="13"/>
  <c r="AM66" i="13"/>
  <c r="AM73" i="13"/>
  <c r="AM79" i="13"/>
  <c r="AM103" i="13"/>
  <c r="AM76" i="13"/>
  <c r="AM84" i="13"/>
  <c r="AM98" i="13"/>
  <c r="AM95" i="13"/>
  <c r="AM101" i="13"/>
  <c r="AM74" i="13"/>
  <c r="AM105" i="13"/>
  <c r="AM71" i="13"/>
  <c r="AK90" i="13"/>
  <c r="AK92" i="13"/>
  <c r="AK99" i="13"/>
  <c r="AK94" i="13"/>
  <c r="AK79" i="13"/>
  <c r="AK87" i="13"/>
  <c r="AK83" i="13"/>
  <c r="AK106" i="13"/>
  <c r="AK70" i="13"/>
  <c r="AK77" i="13"/>
  <c r="AK85" i="13"/>
  <c r="AK72" i="13"/>
  <c r="AK101" i="13"/>
  <c r="AK65" i="13"/>
  <c r="AK64" i="13"/>
  <c r="AK88" i="13"/>
  <c r="AK91" i="13"/>
  <c r="AK107" i="13"/>
  <c r="AK75" i="13"/>
  <c r="AK97" i="13"/>
  <c r="AK105" i="13"/>
  <c r="AK67" i="13"/>
  <c r="AK104" i="13"/>
  <c r="AK89" i="13"/>
  <c r="AK80" i="13"/>
  <c r="AK86" i="13"/>
  <c r="AK102" i="13"/>
  <c r="AK73" i="13"/>
  <c r="AK78" i="13"/>
  <c r="AK95" i="13"/>
  <c r="AK68" i="13"/>
  <c r="AK82" i="13"/>
  <c r="AK103" i="13"/>
  <c r="AK69" i="13"/>
  <c r="AK76" i="13"/>
  <c r="AK84" i="13"/>
  <c r="AK98" i="13"/>
  <c r="AK71" i="13"/>
  <c r="AK100" i="13"/>
  <c r="AK74" i="13"/>
  <c r="AK96" i="13"/>
  <c r="AK93" i="13"/>
  <c r="AK66" i="13"/>
  <c r="AP93" i="13"/>
  <c r="AP100" i="13"/>
  <c r="AP82" i="13"/>
  <c r="AP78" i="13"/>
  <c r="AP95" i="13"/>
  <c r="AP102" i="13"/>
  <c r="AP66" i="13"/>
  <c r="AP80" i="13"/>
  <c r="AP88" i="13"/>
  <c r="AP97" i="13"/>
  <c r="AP86" i="13"/>
  <c r="AP73" i="13"/>
  <c r="AP104" i="13"/>
  <c r="AP68" i="13"/>
  <c r="AP75" i="13"/>
  <c r="AP98" i="13"/>
  <c r="AP106" i="13"/>
  <c r="AP71" i="13"/>
  <c r="AP79" i="13"/>
  <c r="AP63" i="13"/>
  <c r="AP85" i="13"/>
  <c r="AP101" i="13"/>
  <c r="AP74" i="13"/>
  <c r="AP72" i="13"/>
  <c r="AP99" i="13"/>
  <c r="AP83" i="13"/>
  <c r="AP94" i="13"/>
  <c r="AP70" i="13"/>
  <c r="AP64" i="13"/>
  <c r="AP96" i="13"/>
  <c r="AP69" i="13"/>
  <c r="AP77" i="13"/>
  <c r="AP67" i="13"/>
  <c r="AP91" i="13"/>
  <c r="AP105" i="13"/>
  <c r="AP87" i="13"/>
  <c r="AP107" i="13"/>
  <c r="AP89" i="13"/>
  <c r="AP90" i="13"/>
  <c r="AP92" i="13"/>
  <c r="AP65" i="13"/>
  <c r="AP103" i="13"/>
  <c r="AP76" i="13"/>
  <c r="AP84" i="13"/>
  <c r="AL97" i="13"/>
  <c r="AL104" i="13"/>
  <c r="AL68" i="13"/>
  <c r="AL75" i="13"/>
  <c r="AL83" i="13"/>
  <c r="AL106" i="13"/>
  <c r="AL70" i="13"/>
  <c r="AL77" i="13"/>
  <c r="AL92" i="13"/>
  <c r="AL99" i="13"/>
  <c r="AL85" i="13"/>
  <c r="AL90" i="13"/>
  <c r="AL82" i="13"/>
  <c r="AL72" i="13"/>
  <c r="AL94" i="13"/>
  <c r="AL64" i="13"/>
  <c r="AL67" i="13"/>
  <c r="AL89" i="13"/>
  <c r="AL80" i="13"/>
  <c r="AL102" i="13"/>
  <c r="AL88" i="13"/>
  <c r="AL91" i="13"/>
  <c r="AL107" i="13"/>
  <c r="AL65" i="13"/>
  <c r="AL86" i="13"/>
  <c r="AL105" i="13"/>
  <c r="AL93" i="13"/>
  <c r="AL100" i="13"/>
  <c r="AL66" i="13"/>
  <c r="AL73" i="13"/>
  <c r="AL95" i="13"/>
  <c r="AL79" i="13"/>
  <c r="AL101" i="13"/>
  <c r="AL74" i="13"/>
  <c r="AL96" i="13"/>
  <c r="AL76" i="13"/>
  <c r="AL84" i="13"/>
  <c r="AL98" i="13"/>
  <c r="AL103" i="13"/>
  <c r="AL69" i="13"/>
  <c r="AL71" i="13"/>
  <c r="AL87" i="13"/>
  <c r="AL78" i="13"/>
  <c r="AH85" i="13"/>
  <c r="AH72" i="13"/>
  <c r="AH87" i="13"/>
  <c r="AH96" i="13"/>
  <c r="AH103" i="13"/>
  <c r="AH67" i="13"/>
  <c r="AH74" i="13"/>
  <c r="AH63" i="13"/>
  <c r="AH94" i="13"/>
  <c r="AH101" i="13"/>
  <c r="AH65" i="13"/>
  <c r="AH79" i="13"/>
  <c r="AH89" i="13"/>
  <c r="AH104" i="13"/>
  <c r="AH77" i="13"/>
  <c r="AH99" i="13"/>
  <c r="AH80" i="13"/>
  <c r="AH83" i="13"/>
  <c r="AH97" i="13"/>
  <c r="AH78" i="13"/>
  <c r="AH100" i="13"/>
  <c r="AH84" i="13"/>
  <c r="AH95" i="13"/>
  <c r="AH107" i="13"/>
  <c r="AH86" i="13"/>
  <c r="AH102" i="13"/>
  <c r="AH75" i="13"/>
  <c r="AH105" i="13"/>
  <c r="AH70" i="13"/>
  <c r="AH73" i="13"/>
  <c r="AH68" i="13"/>
  <c r="AH76" i="13"/>
  <c r="AH92" i="13"/>
  <c r="AH98" i="13"/>
  <c r="AH71" i="13"/>
  <c r="AH106" i="13"/>
  <c r="AH88" i="13"/>
  <c r="AH69" i="13"/>
  <c r="AH64" i="13"/>
  <c r="AH91" i="13"/>
  <c r="AH93" i="13"/>
  <c r="AH66" i="13"/>
  <c r="AH90" i="13"/>
  <c r="AH82" i="13"/>
  <c r="AO86" i="13"/>
  <c r="AO64" i="13"/>
  <c r="AO73" i="13"/>
  <c r="AO88" i="13"/>
  <c r="AO90" i="13"/>
  <c r="AO83" i="13"/>
  <c r="AO95" i="13"/>
  <c r="AO102" i="13"/>
  <c r="AO82" i="13"/>
  <c r="AO66" i="13"/>
  <c r="AO80" i="13"/>
  <c r="AO97" i="13"/>
  <c r="AO104" i="13"/>
  <c r="AO68" i="13"/>
  <c r="AO75" i="13"/>
  <c r="AO79" i="13"/>
  <c r="AO85" i="13"/>
  <c r="AO101" i="13"/>
  <c r="AO93" i="13"/>
  <c r="AO72" i="13"/>
  <c r="AO67" i="13"/>
  <c r="AO70" i="13"/>
  <c r="AO107" i="13"/>
  <c r="AO89" i="13"/>
  <c r="AO92" i="13"/>
  <c r="AO74" i="13"/>
  <c r="AO96" i="13"/>
  <c r="AO69" i="13"/>
  <c r="AO77" i="13"/>
  <c r="AO99" i="13"/>
  <c r="AO94" i="13"/>
  <c r="AO91" i="13"/>
  <c r="AO65" i="13"/>
  <c r="AO87" i="13"/>
  <c r="AO78" i="13"/>
  <c r="AO100" i="13"/>
  <c r="AO106" i="13"/>
  <c r="AO103" i="13"/>
  <c r="AO76" i="13"/>
  <c r="AO71" i="13"/>
  <c r="AO84" i="13"/>
  <c r="AO98" i="13"/>
  <c r="AO105" i="13"/>
  <c r="AI92" i="13"/>
  <c r="AI99" i="13"/>
  <c r="AI94" i="13"/>
  <c r="AI101" i="13"/>
  <c r="AI65" i="13"/>
  <c r="AI79" i="13"/>
  <c r="AI87" i="13"/>
  <c r="AI103" i="13"/>
  <c r="AI67" i="13"/>
  <c r="AI74" i="13"/>
  <c r="AI85" i="13"/>
  <c r="AI72" i="13"/>
  <c r="AI96" i="13"/>
  <c r="AI89" i="13"/>
  <c r="AI88" i="13"/>
  <c r="AI91" i="13"/>
  <c r="AI86" i="13"/>
  <c r="AI102" i="13"/>
  <c r="AI84" i="13"/>
  <c r="AI68" i="13"/>
  <c r="AI76" i="13"/>
  <c r="AI104" i="13"/>
  <c r="AI77" i="13"/>
  <c r="AI107" i="13"/>
  <c r="AI80" i="13"/>
  <c r="AI75" i="13"/>
  <c r="AI83" i="13"/>
  <c r="AI97" i="13"/>
  <c r="AI105" i="13"/>
  <c r="AI70" i="13"/>
  <c r="AI73" i="13"/>
  <c r="AI78" i="13"/>
  <c r="AI100" i="13"/>
  <c r="AI95" i="13"/>
  <c r="AI106" i="13"/>
  <c r="AI69" i="13"/>
  <c r="AI90" i="13"/>
  <c r="AI82" i="13"/>
  <c r="AI71" i="13"/>
  <c r="AI64" i="13"/>
  <c r="AI98" i="13"/>
  <c r="AI93" i="13"/>
  <c r="AI66" i="13"/>
  <c r="AN95" i="13"/>
  <c r="AN102" i="13"/>
  <c r="AN66" i="13"/>
  <c r="AN80" i="13"/>
  <c r="AN97" i="13"/>
  <c r="AN104" i="13"/>
  <c r="AN82" i="13"/>
  <c r="AN68" i="13"/>
  <c r="AN75" i="13"/>
  <c r="AN90" i="13"/>
  <c r="AN106" i="13"/>
  <c r="AN70" i="13"/>
  <c r="AN88" i="13"/>
  <c r="AN83" i="13"/>
  <c r="AN77" i="13"/>
  <c r="AN92" i="13"/>
  <c r="AN85" i="13"/>
  <c r="AN101" i="13"/>
  <c r="AN74" i="13"/>
  <c r="AN93" i="13"/>
  <c r="AN72" i="13"/>
  <c r="AN94" i="13"/>
  <c r="AN67" i="13"/>
  <c r="AN65" i="13"/>
  <c r="AN86" i="13"/>
  <c r="AN96" i="13"/>
  <c r="AN69" i="13"/>
  <c r="AN99" i="13"/>
  <c r="AN64" i="13"/>
  <c r="AN91" i="13"/>
  <c r="AN107" i="13"/>
  <c r="AN89" i="13"/>
  <c r="AN87" i="13"/>
  <c r="AN78" i="13"/>
  <c r="AN100" i="13"/>
  <c r="AN73" i="13"/>
  <c r="AN103" i="13"/>
  <c r="AN76" i="13"/>
  <c r="AN84" i="13"/>
  <c r="AN79" i="13"/>
  <c r="AN98" i="13"/>
  <c r="AN105" i="13"/>
  <c r="AN71" i="13"/>
  <c r="AF41" i="13"/>
  <c r="AH10" i="11"/>
  <c r="AR10" i="11" s="1"/>
  <c r="F59" i="56"/>
  <c r="AJ28" i="63"/>
  <c r="AJ58" i="63" s="1"/>
  <c r="F44" i="56"/>
  <c r="R10" i="11"/>
  <c r="R67" i="11" s="1"/>
  <c r="R22" i="11"/>
  <c r="R26" i="56" s="1"/>
  <c r="R57" i="56" s="1"/>
  <c r="AG26" i="13"/>
  <c r="AG41" i="13"/>
  <c r="BO57" i="56"/>
  <c r="BO47" i="56"/>
  <c r="BO54" i="56"/>
  <c r="BO44" i="56"/>
  <c r="BO59" i="56"/>
  <c r="BO49" i="56"/>
  <c r="BO41" i="56"/>
  <c r="AF42" i="13"/>
  <c r="AG42" i="13"/>
  <c r="BO56" i="56"/>
  <c r="R4" i="13"/>
  <c r="BO51" i="56"/>
  <c r="BO43" i="56"/>
  <c r="J6" i="11"/>
  <c r="J61" i="11" s="1"/>
  <c r="BO58" i="56"/>
  <c r="BO48" i="56"/>
  <c r="S50" i="13"/>
  <c r="AG12" i="13"/>
  <c r="AQ109" i="13"/>
  <c r="AQ63" i="13"/>
  <c r="BO55" i="56"/>
  <c r="BO45" i="56"/>
  <c r="X9" i="11"/>
  <c r="AM13" i="63" s="1"/>
  <c r="AM43" i="63" s="1"/>
  <c r="AG7" i="13"/>
  <c r="BO53" i="56"/>
  <c r="BO50" i="56"/>
  <c r="BO42" i="56"/>
  <c r="BI61" i="13"/>
  <c r="H25" i="56"/>
  <c r="H56" i="56" s="1"/>
  <c r="AC20" i="56"/>
  <c r="AC51" i="56" s="1"/>
  <c r="AA87" i="13"/>
  <c r="AA73" i="13"/>
  <c r="K24" i="56"/>
  <c r="K55" i="56" s="1"/>
  <c r="AB18" i="56"/>
  <c r="AB49" i="56" s="1"/>
  <c r="H44" i="56"/>
  <c r="H51" i="56"/>
  <c r="AA78" i="13"/>
  <c r="H59" i="56"/>
  <c r="AA86" i="13"/>
  <c r="H53" i="56"/>
  <c r="AA92" i="13"/>
  <c r="H46" i="56"/>
  <c r="H77" i="13"/>
  <c r="N74" i="11"/>
  <c r="AJ15" i="63"/>
  <c r="AJ45" i="63" s="1"/>
  <c r="N88" i="13"/>
  <c r="AK28" i="63"/>
  <c r="AK58" i="63" s="1"/>
  <c r="BN62" i="56"/>
  <c r="AP109" i="13"/>
  <c r="G27" i="56"/>
  <c r="G58" i="56" s="1"/>
  <c r="U78" i="13"/>
  <c r="U84" i="13"/>
  <c r="T1" i="13"/>
  <c r="Y9" i="11"/>
  <c r="AN13" i="63" s="1"/>
  <c r="AN43" i="63" s="1"/>
  <c r="G12" i="56"/>
  <c r="G43" i="56" s="1"/>
  <c r="R20" i="13"/>
  <c r="P61" i="11"/>
  <c r="AC26" i="56"/>
  <c r="AC57" i="56" s="1"/>
  <c r="G66" i="11"/>
  <c r="AS55" i="56"/>
  <c r="AS59" i="56"/>
  <c r="BU59" i="56" s="1" a="1"/>
  <c r="BU59" i="56" s="1"/>
  <c r="U107" i="13"/>
  <c r="U97" i="13"/>
  <c r="N64" i="13"/>
  <c r="U106" i="13"/>
  <c r="U88" i="13"/>
  <c r="U79" i="13"/>
  <c r="H66" i="13"/>
  <c r="U86" i="13"/>
  <c r="U100" i="13"/>
  <c r="AB24" i="56"/>
  <c r="AB55" i="56" s="1"/>
  <c r="X85" i="13"/>
  <c r="U68" i="13"/>
  <c r="U103" i="13"/>
  <c r="H83" i="13"/>
  <c r="H67" i="13"/>
  <c r="U96" i="13"/>
  <c r="H82" i="13"/>
  <c r="AA26" i="56"/>
  <c r="AA57" i="56" s="1"/>
  <c r="H98" i="13"/>
  <c r="U73" i="13"/>
  <c r="T70" i="11"/>
  <c r="AT59" i="56"/>
  <c r="AP15" i="63"/>
  <c r="AP45" i="63" s="1"/>
  <c r="AT42" i="56"/>
  <c r="H100" i="13"/>
  <c r="Z17" i="56"/>
  <c r="Z48" i="56" s="1"/>
  <c r="AT45" i="56"/>
  <c r="N76" i="13"/>
  <c r="AA95" i="13"/>
  <c r="J93" i="13"/>
  <c r="K67" i="13"/>
  <c r="N99" i="13"/>
  <c r="K65" i="13"/>
  <c r="N83" i="13"/>
  <c r="N14" i="56"/>
  <c r="N45" i="56" s="1"/>
  <c r="K68" i="13"/>
  <c r="J13" i="56"/>
  <c r="J44" i="56" s="1"/>
  <c r="M105" i="13"/>
  <c r="AA96" i="13"/>
  <c r="AA90" i="13"/>
  <c r="H41" i="56"/>
  <c r="AA103" i="13"/>
  <c r="K73" i="13"/>
  <c r="M98" i="13"/>
  <c r="K93" i="13"/>
  <c r="I92" i="13"/>
  <c r="J77" i="13"/>
  <c r="K83" i="13"/>
  <c r="I77" i="13"/>
  <c r="K74" i="13"/>
  <c r="X82" i="13"/>
  <c r="I86" i="13"/>
  <c r="AA64" i="13"/>
  <c r="J106" i="13"/>
  <c r="AR10" i="63"/>
  <c r="AR40" i="63" s="1"/>
  <c r="F47" i="56"/>
  <c r="W88" i="13"/>
  <c r="W90" i="13"/>
  <c r="I85" i="13"/>
  <c r="I93" i="13"/>
  <c r="W106" i="13"/>
  <c r="AR17" i="63"/>
  <c r="AR47" i="63" s="1"/>
  <c r="U76" i="11"/>
  <c r="I95" i="13"/>
  <c r="I73" i="13"/>
  <c r="AA71" i="13"/>
  <c r="E42" i="56"/>
  <c r="J88" i="13"/>
  <c r="AC19" i="56"/>
  <c r="AC50" i="56" s="1"/>
  <c r="AA84" i="13"/>
  <c r="I109" i="13"/>
  <c r="Z28" i="56"/>
  <c r="Z59" i="56" s="1"/>
  <c r="I87" i="13"/>
  <c r="AC28" i="56"/>
  <c r="AC59" i="56" s="1"/>
  <c r="H47" i="56"/>
  <c r="G41" i="56"/>
  <c r="W71" i="13"/>
  <c r="AA77" i="13"/>
  <c r="U49" i="56"/>
  <c r="W74" i="13"/>
  <c r="X72" i="13"/>
  <c r="I97" i="13"/>
  <c r="F55" i="56"/>
  <c r="K82" i="13"/>
  <c r="W102" i="13"/>
  <c r="AA106" i="13"/>
  <c r="K98" i="13"/>
  <c r="K84" i="13"/>
  <c r="I104" i="13"/>
  <c r="X94" i="13"/>
  <c r="L104" i="13"/>
  <c r="AP11" i="63"/>
  <c r="AP41" i="63" s="1"/>
  <c r="AA93" i="13"/>
  <c r="G42" i="56"/>
  <c r="H49" i="56"/>
  <c r="I82" i="13"/>
  <c r="I105" i="13"/>
  <c r="W105" i="13"/>
  <c r="W76" i="13"/>
  <c r="F50" i="56"/>
  <c r="AG22" i="63"/>
  <c r="AG52" i="63" s="1"/>
  <c r="N86" i="13"/>
  <c r="AA63" i="13"/>
  <c r="AA91" i="13"/>
  <c r="F72" i="11"/>
  <c r="E53" i="56"/>
  <c r="J75" i="13"/>
  <c r="I89" i="13"/>
  <c r="G50" i="56"/>
  <c r="G56" i="56"/>
  <c r="G57" i="56"/>
  <c r="AC18" i="56"/>
  <c r="AC49" i="56" s="1"/>
  <c r="AP16" i="63"/>
  <c r="AP46" i="63" s="1"/>
  <c r="AB12" i="56"/>
  <c r="AB43" i="56" s="1"/>
  <c r="M79" i="13"/>
  <c r="M92" i="13"/>
  <c r="Y22" i="56"/>
  <c r="Y1" i="56" s="1"/>
  <c r="T20" i="56"/>
  <c r="T51" i="56" s="1"/>
  <c r="M70" i="13"/>
  <c r="H50" i="56"/>
  <c r="F72" i="13"/>
  <c r="F73" i="13"/>
  <c r="F107" i="13"/>
  <c r="F103" i="13"/>
  <c r="F101" i="13"/>
  <c r="F63" i="13"/>
  <c r="F88" i="13"/>
  <c r="G82" i="13"/>
  <c r="G68" i="13"/>
  <c r="R23" i="13"/>
  <c r="M16" i="56"/>
  <c r="M47" i="56" s="1"/>
  <c r="AB106" i="13"/>
  <c r="H109" i="13"/>
  <c r="AB91" i="13"/>
  <c r="J18" i="56"/>
  <c r="J49" i="56" s="1"/>
  <c r="AB88" i="13"/>
  <c r="L74" i="11"/>
  <c r="AB97" i="13"/>
  <c r="H73" i="13"/>
  <c r="H102" i="13"/>
  <c r="G68" i="11"/>
  <c r="U77" i="13"/>
  <c r="K97" i="13"/>
  <c r="U98" i="13"/>
  <c r="U76" i="13"/>
  <c r="U70" i="13"/>
  <c r="H89" i="13"/>
  <c r="U90" i="13"/>
  <c r="F18" i="11"/>
  <c r="F22" i="56" s="1"/>
  <c r="F53" i="56" s="1"/>
  <c r="Y50" i="13"/>
  <c r="Y64" i="13" s="1"/>
  <c r="T71" i="11"/>
  <c r="AC107" i="13"/>
  <c r="E63" i="11"/>
  <c r="AB67" i="13"/>
  <c r="AB105" i="13"/>
  <c r="S1" i="13"/>
  <c r="U67" i="13"/>
  <c r="AJ50" i="13"/>
  <c r="AJ55" i="13" s="1"/>
  <c r="J64" i="11"/>
  <c r="AM22" i="63"/>
  <c r="AM52" i="63" s="1"/>
  <c r="K100" i="13"/>
  <c r="M23" i="56"/>
  <c r="M54" i="56" s="1"/>
  <c r="U75" i="13"/>
  <c r="U93" i="13"/>
  <c r="I79" i="13"/>
  <c r="AB98" i="13"/>
  <c r="AB96" i="13"/>
  <c r="Y1" i="13"/>
  <c r="K87" i="13"/>
  <c r="W77" i="13"/>
  <c r="W97" i="13"/>
  <c r="AJ13" i="63"/>
  <c r="AJ43" i="63" s="1"/>
  <c r="W95" i="13"/>
  <c r="U65" i="13"/>
  <c r="I67" i="13"/>
  <c r="I72" i="13"/>
  <c r="T22" i="56"/>
  <c r="T53" i="56" s="1"/>
  <c r="AB74" i="13"/>
  <c r="H106" i="13"/>
  <c r="H99" i="13"/>
  <c r="T73" i="11"/>
  <c r="U80" i="13"/>
  <c r="AF12" i="13"/>
  <c r="AJ52" i="63"/>
  <c r="AU108" i="13"/>
  <c r="Q50" i="13"/>
  <c r="Q72" i="13" s="1"/>
  <c r="T21" i="11"/>
  <c r="T25" i="56" s="1"/>
  <c r="T56" i="56" s="1"/>
  <c r="AB70" i="13"/>
  <c r="AA13" i="56"/>
  <c r="AA44" i="56" s="1"/>
  <c r="U64" i="13"/>
  <c r="Z19" i="56"/>
  <c r="Z50" i="56" s="1"/>
  <c r="E71" i="11"/>
  <c r="U72" i="13"/>
  <c r="AB75" i="13"/>
  <c r="U99" i="13"/>
  <c r="Z1" i="13"/>
  <c r="Y24" i="56"/>
  <c r="Y55" i="56" s="1"/>
  <c r="W100" i="13"/>
  <c r="K76" i="11"/>
  <c r="U105" i="13"/>
  <c r="I90" i="13"/>
  <c r="X18" i="56"/>
  <c r="X49" i="56" s="1"/>
  <c r="U87" i="13"/>
  <c r="AG40" i="63"/>
  <c r="K71" i="13"/>
  <c r="Z15" i="56"/>
  <c r="Z46" i="56" s="1"/>
  <c r="W96" i="13"/>
  <c r="W99" i="13"/>
  <c r="AP27" i="63"/>
  <c r="AP57" i="63" s="1"/>
  <c r="U74" i="13"/>
  <c r="P16" i="56"/>
  <c r="P47" i="56" s="1"/>
  <c r="T77" i="11"/>
  <c r="I78" i="13"/>
  <c r="AB103" i="13"/>
  <c r="H85" i="13"/>
  <c r="L67" i="13"/>
  <c r="U102" i="13"/>
  <c r="AF26" i="13"/>
  <c r="H105" i="13"/>
  <c r="H78" i="13"/>
  <c r="K101" i="13"/>
  <c r="M74" i="11"/>
  <c r="U101" i="13"/>
  <c r="H107" i="13"/>
  <c r="AB101" i="13"/>
  <c r="AP28" i="63"/>
  <c r="AB25" i="56"/>
  <c r="AB56" i="56" s="1"/>
  <c r="I68" i="13"/>
  <c r="J107" i="13"/>
  <c r="I66" i="13"/>
  <c r="AB107" i="13"/>
  <c r="I91" i="13"/>
  <c r="T50" i="13"/>
  <c r="T72" i="13" s="1"/>
  <c r="Z10" i="56"/>
  <c r="Z41" i="56" s="1"/>
  <c r="W107" i="13"/>
  <c r="U104" i="13"/>
  <c r="Z20" i="56"/>
  <c r="Z51" i="56" s="1"/>
  <c r="AQ10" i="63"/>
  <c r="AP10" i="63"/>
  <c r="AP40" i="63" s="1"/>
  <c r="I64" i="13"/>
  <c r="AI13" i="63"/>
  <c r="AI43" i="63" s="1"/>
  <c r="I96" i="13"/>
  <c r="AB92" i="13"/>
  <c r="H84" i="13"/>
  <c r="H75" i="13"/>
  <c r="L73" i="13"/>
  <c r="AH22" i="11"/>
  <c r="AR22" i="11" s="1"/>
  <c r="U1" i="13"/>
  <c r="AB99" i="13"/>
  <c r="U89" i="13"/>
  <c r="H88" i="13"/>
  <c r="U28" i="56"/>
  <c r="U59" i="56" s="1"/>
  <c r="Y26" i="56"/>
  <c r="Y57" i="56" s="1"/>
  <c r="K72" i="13"/>
  <c r="AB80" i="13"/>
  <c r="Z23" i="56"/>
  <c r="Z54" i="56" s="1"/>
  <c r="U92" i="13"/>
  <c r="R26" i="13"/>
  <c r="AO18" i="63"/>
  <c r="AO48" i="63" s="1"/>
  <c r="S21" i="11"/>
  <c r="S25" i="56" s="1"/>
  <c r="S56" i="56" s="1"/>
  <c r="W86" i="13"/>
  <c r="K106" i="13"/>
  <c r="F27" i="56"/>
  <c r="F58" i="56" s="1"/>
  <c r="S23" i="56"/>
  <c r="S54" i="56" s="1"/>
  <c r="U82" i="13"/>
  <c r="AM10" i="63"/>
  <c r="AM40" i="63" s="1"/>
  <c r="L62" i="11"/>
  <c r="I65" i="13"/>
  <c r="U85" i="13"/>
  <c r="T65" i="11"/>
  <c r="H101" i="13"/>
  <c r="H97" i="13"/>
  <c r="H64" i="13"/>
  <c r="U91" i="13"/>
  <c r="N23" i="56"/>
  <c r="N54" i="56" s="1"/>
  <c r="V56" i="56"/>
  <c r="AS45" i="56"/>
  <c r="AS50" i="56"/>
  <c r="AT50" i="56"/>
  <c r="AT47" i="56"/>
  <c r="AS47" i="56"/>
  <c r="AT54" i="56"/>
  <c r="AA23" i="56"/>
  <c r="AA54" i="56" s="1"/>
  <c r="P18" i="56"/>
  <c r="P49" i="56" s="1"/>
  <c r="M68" i="11"/>
  <c r="AK17" i="63"/>
  <c r="AK47" i="63" s="1"/>
  <c r="Z13" i="56"/>
  <c r="Z44" i="56" s="1"/>
  <c r="AB20" i="56"/>
  <c r="AB51" i="56" s="1"/>
  <c r="S16" i="56"/>
  <c r="S47" i="56" s="1"/>
  <c r="P71" i="11"/>
  <c r="AN20" i="63"/>
  <c r="AN50" i="63" s="1"/>
  <c r="Y11" i="56"/>
  <c r="Y42" i="56" s="1"/>
  <c r="BB58" i="56"/>
  <c r="AC25" i="56"/>
  <c r="AC56" i="56" s="1"/>
  <c r="AB19" i="56"/>
  <c r="AB50" i="56" s="1"/>
  <c r="AA25" i="56"/>
  <c r="AA56" i="56" s="1"/>
  <c r="I73" i="11"/>
  <c r="W13" i="56"/>
  <c r="W44" i="56" s="1"/>
  <c r="BJ55" i="56"/>
  <c r="G93" i="13"/>
  <c r="G89" i="13"/>
  <c r="G102" i="13"/>
  <c r="F65" i="11"/>
  <c r="U16" i="56"/>
  <c r="U47" i="56" s="1"/>
  <c r="F17" i="56"/>
  <c r="F48" i="56" s="1"/>
  <c r="L107" i="13"/>
  <c r="L63" i="13"/>
  <c r="G97" i="13"/>
  <c r="G85" i="13"/>
  <c r="G64" i="13"/>
  <c r="K103" i="13"/>
  <c r="K76" i="13"/>
  <c r="W68" i="13"/>
  <c r="W78" i="13"/>
  <c r="N74" i="13"/>
  <c r="W92" i="13"/>
  <c r="I94" i="13"/>
  <c r="X102" i="13"/>
  <c r="P23" i="56"/>
  <c r="P54" i="56" s="1"/>
  <c r="K63" i="11"/>
  <c r="J64" i="13"/>
  <c r="L93" i="13"/>
  <c r="I74" i="13"/>
  <c r="I107" i="13"/>
  <c r="AC71" i="13"/>
  <c r="K75" i="11"/>
  <c r="L100" i="13"/>
  <c r="L89" i="13"/>
  <c r="I106" i="13"/>
  <c r="J105" i="13"/>
  <c r="BD56" i="56"/>
  <c r="BD49" i="56"/>
  <c r="BD45" i="56"/>
  <c r="BC49" i="56"/>
  <c r="AZ42" i="56"/>
  <c r="G101" i="13"/>
  <c r="G96" i="13"/>
  <c r="G70" i="13"/>
  <c r="X15" i="56"/>
  <c r="X46" i="56" s="1"/>
  <c r="K20" i="56"/>
  <c r="K51" i="56" s="1"/>
  <c r="G94" i="13"/>
  <c r="G65" i="13"/>
  <c r="M11" i="56"/>
  <c r="M42" i="56" s="1"/>
  <c r="G73" i="13"/>
  <c r="G109" i="13"/>
  <c r="G99" i="13"/>
  <c r="G83" i="13"/>
  <c r="K78" i="13"/>
  <c r="K90" i="13"/>
  <c r="W70" i="13"/>
  <c r="N103" i="13"/>
  <c r="J15" i="56"/>
  <c r="J46" i="56" s="1"/>
  <c r="I99" i="13"/>
  <c r="I102" i="13"/>
  <c r="I80" i="13"/>
  <c r="I70" i="13"/>
  <c r="I76" i="13"/>
  <c r="K67" i="11"/>
  <c r="W20" i="56"/>
  <c r="W51" i="56" s="1"/>
  <c r="M72" i="13"/>
  <c r="U15" i="56"/>
  <c r="U46" i="56" s="1"/>
  <c r="BH53" i="56"/>
  <c r="I12" i="56"/>
  <c r="I43" i="56" s="1"/>
  <c r="G90" i="13"/>
  <c r="G78" i="13"/>
  <c r="F67" i="11"/>
  <c r="G91" i="13"/>
  <c r="W66" i="13"/>
  <c r="U72" i="11"/>
  <c r="M84" i="13"/>
  <c r="G76" i="13"/>
  <c r="W89" i="13"/>
  <c r="N72" i="13"/>
  <c r="M99" i="13"/>
  <c r="M83" i="13"/>
  <c r="G63" i="13"/>
  <c r="G106" i="13"/>
  <c r="G86" i="13"/>
  <c r="W85" i="13"/>
  <c r="N90" i="13"/>
  <c r="P74" i="11"/>
  <c r="K62" i="11"/>
  <c r="L83" i="13"/>
  <c r="M87" i="13"/>
  <c r="L88" i="13"/>
  <c r="AH16" i="63"/>
  <c r="AH46" i="63" s="1"/>
  <c r="G100" i="13"/>
  <c r="G92" i="13"/>
  <c r="G67" i="13"/>
  <c r="J70" i="13"/>
  <c r="G87" i="13"/>
  <c r="L71" i="13"/>
  <c r="G105" i="13"/>
  <c r="W93" i="13"/>
  <c r="N97" i="13"/>
  <c r="L96" i="13"/>
  <c r="I75" i="11"/>
  <c r="G71" i="13"/>
  <c r="G66" i="13"/>
  <c r="F20" i="56"/>
  <c r="F51" i="56" s="1"/>
  <c r="W83" i="13"/>
  <c r="N63" i="13"/>
  <c r="O14" i="56"/>
  <c r="O45" i="56" s="1"/>
  <c r="I98" i="13"/>
  <c r="X98" i="13"/>
  <c r="J102" i="13"/>
  <c r="G95" i="13"/>
  <c r="H77" i="11"/>
  <c r="M85" i="13"/>
  <c r="L82" i="13"/>
  <c r="H65" i="11"/>
  <c r="G79" i="13"/>
  <c r="W72" i="13"/>
  <c r="AK27" i="63"/>
  <c r="AK57" i="63" s="1"/>
  <c r="N80" i="13"/>
  <c r="W91" i="13"/>
  <c r="W82" i="13"/>
  <c r="X105" i="13"/>
  <c r="I63" i="13"/>
  <c r="J95" i="13"/>
  <c r="I71" i="13"/>
  <c r="J26" i="56"/>
  <c r="J57" i="56" s="1"/>
  <c r="AC79" i="13"/>
  <c r="AC104" i="13"/>
  <c r="M90" i="13"/>
  <c r="I103" i="13"/>
  <c r="G104" i="13"/>
  <c r="G98" i="13"/>
  <c r="W63" i="13"/>
  <c r="G80" i="13"/>
  <c r="G72" i="13"/>
  <c r="G15" i="56"/>
  <c r="G46" i="56" s="1"/>
  <c r="W65" i="13"/>
  <c r="X78" i="13"/>
  <c r="M73" i="13"/>
  <c r="G103" i="13"/>
  <c r="W84" i="13"/>
  <c r="N67" i="13"/>
  <c r="W67" i="13"/>
  <c r="W101" i="13"/>
  <c r="J63" i="13"/>
  <c r="N76" i="11"/>
  <c r="L78" i="13"/>
  <c r="AN109" i="13"/>
  <c r="AN63" i="13"/>
  <c r="AM109" i="13"/>
  <c r="AM63" i="13"/>
  <c r="M12" i="56"/>
  <c r="M43" i="56" s="1"/>
  <c r="M71" i="11"/>
  <c r="I46" i="56"/>
  <c r="J53" i="56"/>
  <c r="J59" i="56"/>
  <c r="A51" i="13"/>
  <c r="A7" i="13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L63" i="13"/>
  <c r="AL109" i="13"/>
  <c r="N69" i="11"/>
  <c r="N27" i="56"/>
  <c r="N58" i="56" s="1"/>
  <c r="AO22" i="63"/>
  <c r="Z22" i="56"/>
  <c r="Z1" i="56" s="1"/>
  <c r="O66" i="11"/>
  <c r="O25" i="56"/>
  <c r="O56" i="56" s="1"/>
  <c r="AA18" i="56"/>
  <c r="AA49" i="56" s="1"/>
  <c r="AP18" i="63"/>
  <c r="AP48" i="63" s="1"/>
  <c r="L76" i="13"/>
  <c r="P66" i="11"/>
  <c r="P25" i="56"/>
  <c r="P56" i="56" s="1"/>
  <c r="M28" i="56"/>
  <c r="M59" i="56" s="1"/>
  <c r="M73" i="11"/>
  <c r="L79" i="13"/>
  <c r="M69" i="11"/>
  <c r="X92" i="13"/>
  <c r="X109" i="13"/>
  <c r="X107" i="13"/>
  <c r="X74" i="13"/>
  <c r="X80" i="13"/>
  <c r="X73" i="13"/>
  <c r="X99" i="13"/>
  <c r="X66" i="13"/>
  <c r="X90" i="13"/>
  <c r="X65" i="13"/>
  <c r="X86" i="13"/>
  <c r="X67" i="13"/>
  <c r="X101" i="13"/>
  <c r="X95" i="13"/>
  <c r="T11" i="56"/>
  <c r="T42" i="56" s="1"/>
  <c r="T63" i="11"/>
  <c r="M46" i="56"/>
  <c r="AJ25" i="63"/>
  <c r="AJ55" i="63" s="1"/>
  <c r="U25" i="56"/>
  <c r="U56" i="56" s="1"/>
  <c r="U66" i="11"/>
  <c r="Y14" i="56"/>
  <c r="Y45" i="56" s="1"/>
  <c r="AN14" i="63"/>
  <c r="AN44" i="63" s="1"/>
  <c r="X68" i="13"/>
  <c r="N79" i="13"/>
  <c r="E76" i="11"/>
  <c r="E18" i="56"/>
  <c r="E49" i="56" s="1"/>
  <c r="S69" i="11"/>
  <c r="AH27" i="63"/>
  <c r="AH57" i="63" s="1"/>
  <c r="J55" i="56"/>
  <c r="P11" i="56"/>
  <c r="P42" i="56" s="1"/>
  <c r="AQ13" i="63"/>
  <c r="AQ43" i="63" s="1"/>
  <c r="J100" i="13"/>
  <c r="L65" i="11"/>
  <c r="K10" i="56"/>
  <c r="K41" i="56" s="1"/>
  <c r="K61" i="11"/>
  <c r="AK11" i="63"/>
  <c r="AK41" i="63" s="1"/>
  <c r="V11" i="56"/>
  <c r="V42" i="56" s="1"/>
  <c r="P20" i="56"/>
  <c r="P51" i="56" s="1"/>
  <c r="P77" i="11"/>
  <c r="AA109" i="13"/>
  <c r="AA72" i="13"/>
  <c r="AA80" i="13"/>
  <c r="AA97" i="13"/>
  <c r="AA68" i="13"/>
  <c r="AA75" i="13"/>
  <c r="AA99" i="13"/>
  <c r="AA74" i="13"/>
  <c r="AA102" i="13"/>
  <c r="AA105" i="13"/>
  <c r="AA101" i="13"/>
  <c r="AA85" i="13"/>
  <c r="AA107" i="13"/>
  <c r="AA89" i="13"/>
  <c r="AA76" i="13"/>
  <c r="AA98" i="13"/>
  <c r="AA67" i="13"/>
  <c r="Y12" i="56"/>
  <c r="Y43" i="56" s="1"/>
  <c r="J73" i="11"/>
  <c r="AA88" i="13"/>
  <c r="AA100" i="13"/>
  <c r="L92" i="13"/>
  <c r="AR24" i="63"/>
  <c r="AY24" i="63" s="1"/>
  <c r="G64" i="11"/>
  <c r="G24" i="56"/>
  <c r="G55" i="56" s="1"/>
  <c r="X24" i="56"/>
  <c r="X55" i="56" s="1"/>
  <c r="AM24" i="63"/>
  <c r="AM54" i="63" s="1"/>
  <c r="AO12" i="63"/>
  <c r="AO42" i="63" s="1"/>
  <c r="Z12" i="56"/>
  <c r="Z43" i="56" s="1"/>
  <c r="N96" i="13"/>
  <c r="K28" i="56"/>
  <c r="K59" i="56" s="1"/>
  <c r="AA65" i="13"/>
  <c r="E26" i="56"/>
  <c r="E57" i="56" s="1"/>
  <c r="E68" i="11"/>
  <c r="S28" i="56"/>
  <c r="S59" i="56" s="1"/>
  <c r="AH28" i="63"/>
  <c r="AH58" i="63" s="1"/>
  <c r="S73" i="11"/>
  <c r="AQ28" i="63"/>
  <c r="AY28" i="63" s="1"/>
  <c r="AB28" i="56"/>
  <c r="AB59" i="56" s="1"/>
  <c r="BC50" i="56"/>
  <c r="I55" i="56"/>
  <c r="AC16" i="56"/>
  <c r="AC47" i="56" s="1"/>
  <c r="M50" i="56"/>
  <c r="M57" i="56"/>
  <c r="AN18" i="63"/>
  <c r="AN48" i="63" s="1"/>
  <c r="Y18" i="56"/>
  <c r="Y49" i="56" s="1"/>
  <c r="AC13" i="56"/>
  <c r="AC44" i="56" s="1"/>
  <c r="S26" i="56"/>
  <c r="S57" i="56" s="1"/>
  <c r="S68" i="11"/>
  <c r="J78" i="13"/>
  <c r="J90" i="13"/>
  <c r="J99" i="13"/>
  <c r="J65" i="13"/>
  <c r="J83" i="13"/>
  <c r="J76" i="13"/>
  <c r="J85" i="13"/>
  <c r="J71" i="13"/>
  <c r="J74" i="13"/>
  <c r="J103" i="13"/>
  <c r="J86" i="13"/>
  <c r="J89" i="13"/>
  <c r="J80" i="13"/>
  <c r="J109" i="13"/>
  <c r="J94" i="13"/>
  <c r="J87" i="13"/>
  <c r="J84" i="13"/>
  <c r="J72" i="13"/>
  <c r="J73" i="13"/>
  <c r="J91" i="13"/>
  <c r="J92" i="13"/>
  <c r="J82" i="13"/>
  <c r="J68" i="13"/>
  <c r="O12" i="56"/>
  <c r="O43" i="56" s="1"/>
  <c r="O71" i="11"/>
  <c r="K70" i="11"/>
  <c r="K15" i="56"/>
  <c r="K46" i="56" s="1"/>
  <c r="T26" i="56"/>
  <c r="T57" i="56" s="1"/>
  <c r="AI26" i="63"/>
  <c r="AI56" i="63" s="1"/>
  <c r="S11" i="56"/>
  <c r="S42" i="56" s="1"/>
  <c r="AH11" i="63"/>
  <c r="AH41" i="63" s="1"/>
  <c r="M53" i="56"/>
  <c r="AL23" i="63"/>
  <c r="AL53" i="63" s="1"/>
  <c r="W23" i="56"/>
  <c r="W54" i="56" s="1"/>
  <c r="O26" i="56"/>
  <c r="O57" i="56" s="1"/>
  <c r="O68" i="11"/>
  <c r="M71" i="13"/>
  <c r="M77" i="13"/>
  <c r="M102" i="13"/>
  <c r="M93" i="13"/>
  <c r="M82" i="13"/>
  <c r="M76" i="13"/>
  <c r="M65" i="13"/>
  <c r="M101" i="13"/>
  <c r="M104" i="13"/>
  <c r="M67" i="13"/>
  <c r="M68" i="13"/>
  <c r="M89" i="13"/>
  <c r="M106" i="13"/>
  <c r="M74" i="13"/>
  <c r="M94" i="13"/>
  <c r="M80" i="13"/>
  <c r="M95" i="13"/>
  <c r="M63" i="13"/>
  <c r="M88" i="13"/>
  <c r="M78" i="13"/>
  <c r="M97" i="13"/>
  <c r="M107" i="13"/>
  <c r="M91" i="13"/>
  <c r="M66" i="13"/>
  <c r="M75" i="13"/>
  <c r="M100" i="13"/>
  <c r="AP17" i="63"/>
  <c r="AP47" i="63" s="1"/>
  <c r="AA17" i="56"/>
  <c r="AA48" i="56" s="1"/>
  <c r="Y10" i="56"/>
  <c r="Y41" i="56" s="1"/>
  <c r="N73" i="13"/>
  <c r="U61" i="11"/>
  <c r="U10" i="56"/>
  <c r="U41" i="56" s="1"/>
  <c r="AH19" i="63"/>
  <c r="AH49" i="63" s="1"/>
  <c r="S19" i="56"/>
  <c r="S50" i="56" s="1"/>
  <c r="AO25" i="63"/>
  <c r="AO55" i="63" s="1"/>
  <c r="Z25" i="56"/>
  <c r="Z56" i="56" s="1"/>
  <c r="X63" i="13"/>
  <c r="N78" i="13"/>
  <c r="J96" i="13"/>
  <c r="M86" i="13"/>
  <c r="L72" i="11"/>
  <c r="L16" i="56"/>
  <c r="L47" i="56" s="1"/>
  <c r="I54" i="56"/>
  <c r="AI27" i="63"/>
  <c r="AI57" i="63" s="1"/>
  <c r="T27" i="56"/>
  <c r="T58" i="56" s="1"/>
  <c r="T69" i="11"/>
  <c r="AO24" i="63"/>
  <c r="AO54" i="63" s="1"/>
  <c r="Z24" i="56"/>
  <c r="Z55" i="56" s="1"/>
  <c r="N100" i="13"/>
  <c r="AH26" i="63"/>
  <c r="AH56" i="63" s="1"/>
  <c r="AB109" i="13"/>
  <c r="AB76" i="13"/>
  <c r="AB84" i="13"/>
  <c r="AB73" i="13"/>
  <c r="AB86" i="13"/>
  <c r="AB94" i="13"/>
  <c r="AB79" i="13"/>
  <c r="AB83" i="13"/>
  <c r="AB82" i="13"/>
  <c r="AB100" i="13"/>
  <c r="AB85" i="13"/>
  <c r="AB64" i="13"/>
  <c r="AB71" i="13"/>
  <c r="AB93" i="13"/>
  <c r="AB89" i="13"/>
  <c r="AB63" i="13"/>
  <c r="AB102" i="13"/>
  <c r="AB90" i="13"/>
  <c r="X88" i="13"/>
  <c r="P13" i="56"/>
  <c r="P44" i="56" s="1"/>
  <c r="N85" i="13"/>
  <c r="G72" i="11"/>
  <c r="J98" i="13"/>
  <c r="J66" i="13"/>
  <c r="AB87" i="13"/>
  <c r="AC67" i="13"/>
  <c r="AA94" i="13"/>
  <c r="AR15" i="63"/>
  <c r="AR45" i="63" s="1"/>
  <c r="AA70" i="13"/>
  <c r="M96" i="13"/>
  <c r="M64" i="13"/>
  <c r="AJ27" i="63"/>
  <c r="AJ57" i="63" s="1"/>
  <c r="AB68" i="13"/>
  <c r="AC12" i="56"/>
  <c r="AC43" i="56" s="1"/>
  <c r="AO109" i="13"/>
  <c r="AO63" i="13"/>
  <c r="M56" i="56"/>
  <c r="M58" i="56"/>
  <c r="AV62" i="56"/>
  <c r="AV45" i="56"/>
  <c r="AV59" i="56"/>
  <c r="N12" i="56"/>
  <c r="N43" i="56" s="1"/>
  <c r="N71" i="11"/>
  <c r="AN17" i="63"/>
  <c r="AN47" i="63" s="1"/>
  <c r="Y17" i="56"/>
  <c r="Y48" i="56" s="1"/>
  <c r="AK63" i="13"/>
  <c r="AK109" i="13"/>
  <c r="J97" i="13"/>
  <c r="S76" i="11"/>
  <c r="S18" i="56"/>
  <c r="S49" i="56" s="1"/>
  <c r="O75" i="11"/>
  <c r="O19" i="56"/>
  <c r="O50" i="56" s="1"/>
  <c r="L73" i="11"/>
  <c r="L28" i="56"/>
  <c r="L59" i="56" s="1"/>
  <c r="L85" i="13"/>
  <c r="L75" i="13"/>
  <c r="L77" i="13"/>
  <c r="L98" i="13"/>
  <c r="L90" i="13"/>
  <c r="L99" i="13"/>
  <c r="L101" i="13"/>
  <c r="L74" i="13"/>
  <c r="L65" i="13"/>
  <c r="L97" i="13"/>
  <c r="L64" i="13"/>
  <c r="L91" i="13"/>
  <c r="L66" i="13"/>
  <c r="L106" i="13"/>
  <c r="L84" i="13"/>
  <c r="L103" i="13"/>
  <c r="L87" i="13"/>
  <c r="L105" i="13"/>
  <c r="L86" i="13"/>
  <c r="L80" i="13"/>
  <c r="L102" i="13"/>
  <c r="AN16" i="63"/>
  <c r="AN46" i="63" s="1"/>
  <c r="Y16" i="56"/>
  <c r="Y47" i="56" s="1"/>
  <c r="AQ15" i="63"/>
  <c r="AQ45" i="63" s="1"/>
  <c r="AB15" i="56"/>
  <c r="AB46" i="56" s="1"/>
  <c r="AC55" i="56"/>
  <c r="L68" i="13"/>
  <c r="M44" i="56"/>
  <c r="T64" i="11"/>
  <c r="AI24" i="63"/>
  <c r="AI54" i="63" s="1"/>
  <c r="T24" i="56"/>
  <c r="AO27" i="63"/>
  <c r="AO57" i="63" s="1"/>
  <c r="Z27" i="56"/>
  <c r="Z58" i="56" s="1"/>
  <c r="AB14" i="56"/>
  <c r="AB45" i="56" s="1"/>
  <c r="AQ14" i="63"/>
  <c r="AQ44" i="63" s="1"/>
  <c r="L94" i="13"/>
  <c r="J47" i="56"/>
  <c r="G62" i="11"/>
  <c r="G23" i="56"/>
  <c r="G54" i="56" s="1"/>
  <c r="AJ24" i="63"/>
  <c r="AJ54" i="63" s="1"/>
  <c r="U64" i="11"/>
  <c r="N107" i="13"/>
  <c r="N106" i="13"/>
  <c r="N70" i="13"/>
  <c r="N101" i="13"/>
  <c r="N105" i="13"/>
  <c r="N89" i="13"/>
  <c r="N98" i="13"/>
  <c r="N65" i="13"/>
  <c r="N94" i="13"/>
  <c r="N77" i="13"/>
  <c r="N91" i="13"/>
  <c r="N87" i="13"/>
  <c r="N75" i="13"/>
  <c r="N84" i="13"/>
  <c r="N95" i="13"/>
  <c r="N93" i="13"/>
  <c r="N71" i="13"/>
  <c r="N82" i="13"/>
  <c r="N104" i="13"/>
  <c r="N25" i="56"/>
  <c r="N56" i="56" s="1"/>
  <c r="J101" i="13"/>
  <c r="X23" i="56"/>
  <c r="X54" i="56" s="1"/>
  <c r="M109" i="13"/>
  <c r="I61" i="11"/>
  <c r="I10" i="56"/>
  <c r="I41" i="56" s="1"/>
  <c r="U11" i="56"/>
  <c r="U42" i="56" s="1"/>
  <c r="AJ11" i="63"/>
  <c r="AJ41" i="63" s="1"/>
  <c r="H74" i="11"/>
  <c r="H17" i="56"/>
  <c r="H48" i="56" s="1"/>
  <c r="H23" i="56"/>
  <c r="H54" i="56" s="1"/>
  <c r="H62" i="11"/>
  <c r="V24" i="56"/>
  <c r="V55" i="56" s="1"/>
  <c r="AK24" i="63"/>
  <c r="AK54" i="63" s="1"/>
  <c r="P68" i="11"/>
  <c r="P26" i="56"/>
  <c r="P57" i="56" s="1"/>
  <c r="Z68" i="13"/>
  <c r="V85" i="13"/>
  <c r="V109" i="13"/>
  <c r="X26" i="56"/>
  <c r="X57" i="56" s="1"/>
  <c r="AM26" i="63"/>
  <c r="AM56" i="63" s="1"/>
  <c r="AP14" i="63"/>
  <c r="AP44" i="63" s="1"/>
  <c r="AA14" i="56"/>
  <c r="AA45" i="56" s="1"/>
  <c r="X103" i="13"/>
  <c r="Z26" i="56"/>
  <c r="Z57" i="56" s="1"/>
  <c r="Y23" i="56"/>
  <c r="Y54" i="56" s="1"/>
  <c r="AN23" i="63"/>
  <c r="AN53" i="63" s="1"/>
  <c r="X76" i="13"/>
  <c r="AM16" i="63"/>
  <c r="AM46" i="63" s="1"/>
  <c r="V18" i="56"/>
  <c r="V49" i="56" s="1"/>
  <c r="X96" i="13"/>
  <c r="AB77" i="13"/>
  <c r="H72" i="11"/>
  <c r="AA82" i="13"/>
  <c r="L95" i="13"/>
  <c r="N66" i="13"/>
  <c r="L109" i="13"/>
  <c r="L72" i="13"/>
  <c r="U69" i="11"/>
  <c r="M41" i="56"/>
  <c r="E66" i="11"/>
  <c r="E25" i="56"/>
  <c r="E56" i="56" s="1"/>
  <c r="AC109" i="13"/>
  <c r="AC86" i="13"/>
  <c r="AC89" i="13"/>
  <c r="AC68" i="13"/>
  <c r="AC95" i="13"/>
  <c r="AC76" i="13"/>
  <c r="AC93" i="13"/>
  <c r="AC103" i="13"/>
  <c r="X84" i="13"/>
  <c r="N92" i="13"/>
  <c r="J67" i="13"/>
  <c r="J79" i="13"/>
  <c r="E27" i="56"/>
  <c r="E58" i="56" s="1"/>
  <c r="AM17" i="63"/>
  <c r="AM47" i="63" s="1"/>
  <c r="AB65" i="13"/>
  <c r="AA83" i="13"/>
  <c r="N68" i="13"/>
  <c r="S27" i="56"/>
  <c r="S58" i="56" s="1"/>
  <c r="M48" i="56"/>
  <c r="K75" i="13"/>
  <c r="K86" i="13"/>
  <c r="K109" i="13"/>
  <c r="I18" i="56"/>
  <c r="I49" i="56" s="1"/>
  <c r="K70" i="13"/>
  <c r="X27" i="56"/>
  <c r="X58" i="56" s="1"/>
  <c r="AM27" i="63"/>
  <c r="AM57" i="63" s="1"/>
  <c r="K79" i="13"/>
  <c r="W19" i="56"/>
  <c r="W50" i="56" s="1"/>
  <c r="AJ20" i="63"/>
  <c r="AJ50" i="63" s="1"/>
  <c r="K104" i="13"/>
  <c r="BH49" i="56"/>
  <c r="U77" i="11"/>
  <c r="AC27" i="56"/>
  <c r="AC58" i="56" s="1"/>
  <c r="O72" i="11"/>
  <c r="O16" i="56"/>
  <c r="O47" i="56" s="1"/>
  <c r="F66" i="11"/>
  <c r="F25" i="56"/>
  <c r="F56" i="56" s="1"/>
  <c r="AN25" i="63"/>
  <c r="AN55" i="63" s="1"/>
  <c r="Y25" i="56"/>
  <c r="Y56" i="56" s="1"/>
  <c r="BC54" i="56"/>
  <c r="V14" i="56"/>
  <c r="V45" i="56" s="1"/>
  <c r="H96" i="13"/>
  <c r="K94" i="13"/>
  <c r="K89" i="13"/>
  <c r="K95" i="13"/>
  <c r="V13" i="56"/>
  <c r="V44" i="56" s="1"/>
  <c r="F75" i="11"/>
  <c r="U22" i="56"/>
  <c r="U53" i="56" s="1"/>
  <c r="H65" i="13"/>
  <c r="H95" i="13"/>
  <c r="K80" i="13"/>
  <c r="K91" i="13"/>
  <c r="H103" i="13"/>
  <c r="AS49" i="56"/>
  <c r="H90" i="13"/>
  <c r="H93" i="13"/>
  <c r="H80" i="13"/>
  <c r="H87" i="13"/>
  <c r="H79" i="13"/>
  <c r="H92" i="13"/>
  <c r="H76" i="13"/>
  <c r="H91" i="13"/>
  <c r="H71" i="13"/>
  <c r="H68" i="13"/>
  <c r="BH62" i="56"/>
  <c r="K63" i="13"/>
  <c r="K85" i="13"/>
  <c r="H74" i="13"/>
  <c r="AI63" i="13"/>
  <c r="AI109" i="13"/>
  <c r="AI15" i="63"/>
  <c r="AI45" i="63" s="1"/>
  <c r="H86" i="13"/>
  <c r="H63" i="13"/>
  <c r="AH109" i="13"/>
  <c r="K99" i="13"/>
  <c r="H72" i="13"/>
  <c r="I64" i="11"/>
  <c r="K105" i="13"/>
  <c r="AQ23" i="63"/>
  <c r="AQ53" i="63" s="1"/>
  <c r="AB23" i="56"/>
  <c r="AB54" i="56" s="1"/>
  <c r="K64" i="13"/>
  <c r="Z16" i="56"/>
  <c r="Z47" i="56" s="1"/>
  <c r="AL27" i="63"/>
  <c r="AL57" i="63" s="1"/>
  <c r="K92" i="13"/>
  <c r="K77" i="13"/>
  <c r="K66" i="13"/>
  <c r="K107" i="13"/>
  <c r="AA24" i="56"/>
  <c r="AA55" i="56" s="1"/>
  <c r="AQ22" i="63"/>
  <c r="AQ52" i="63" s="1"/>
  <c r="AB27" i="56"/>
  <c r="AB58" i="56" s="1"/>
  <c r="W12" i="56"/>
  <c r="W43" i="56" s="1"/>
  <c r="AM14" i="63"/>
  <c r="AM44" i="63" s="1"/>
  <c r="F26" i="56"/>
  <c r="F57" i="56" s="1"/>
  <c r="H70" i="13"/>
  <c r="H104" i="13"/>
  <c r="E47" i="56"/>
  <c r="I53" i="56"/>
  <c r="I59" i="56"/>
  <c r="I100" i="13"/>
  <c r="I101" i="13"/>
  <c r="I84" i="13"/>
  <c r="I88" i="13"/>
  <c r="I75" i="13"/>
  <c r="AS54" i="56"/>
  <c r="AS58" i="56"/>
  <c r="E46" i="56"/>
  <c r="U95" i="13"/>
  <c r="U109" i="13"/>
  <c r="G88" i="13"/>
  <c r="G77" i="13"/>
  <c r="G75" i="13"/>
  <c r="W103" i="13"/>
  <c r="U71" i="13"/>
  <c r="U63" i="13"/>
  <c r="J56" i="56"/>
  <c r="I50" i="56"/>
  <c r="I58" i="56"/>
  <c r="G74" i="13"/>
  <c r="G107" i="13"/>
  <c r="U94" i="13"/>
  <c r="W64" i="13"/>
  <c r="W109" i="13"/>
  <c r="N55" i="56"/>
  <c r="O58" i="56"/>
  <c r="AX62" i="56"/>
  <c r="T44" i="56"/>
  <c r="T59" i="56"/>
  <c r="P50" i="56"/>
  <c r="E50" i="56"/>
  <c r="AX56" i="56"/>
  <c r="U44" i="56"/>
  <c r="BD53" i="56"/>
  <c r="AX47" i="56"/>
  <c r="P58" i="56"/>
  <c r="BB42" i="56"/>
  <c r="P41" i="56"/>
  <c r="E44" i="56"/>
  <c r="V59" i="56"/>
  <c r="AV50" i="56"/>
  <c r="AZ47" i="56"/>
  <c r="AV42" i="56"/>
  <c r="P48" i="56"/>
  <c r="R1" i="56"/>
  <c r="AZ49" i="56"/>
  <c r="R50" i="56"/>
  <c r="BD57" i="56"/>
  <c r="T50" i="56"/>
  <c r="P53" i="56"/>
  <c r="F42" i="56"/>
  <c r="R59" i="56"/>
  <c r="AV49" i="56"/>
  <c r="BD47" i="56"/>
  <c r="BM62" i="56"/>
  <c r="BK62" i="56"/>
  <c r="BK45" i="56"/>
  <c r="J71" i="11"/>
  <c r="K69" i="11"/>
  <c r="H73" i="11"/>
  <c r="E65" i="11"/>
  <c r="G61" i="11"/>
  <c r="X20" i="56"/>
  <c r="X51" i="56" s="1"/>
  <c r="N11" i="56"/>
  <c r="N42" i="56" s="1"/>
  <c r="O23" i="56"/>
  <c r="O54" i="56" s="1"/>
  <c r="AA20" i="56"/>
  <c r="AA51" i="56" s="1"/>
  <c r="G20" i="56"/>
  <c r="G51" i="56" s="1"/>
  <c r="AU49" i="56"/>
  <c r="Z25" i="11"/>
  <c r="Z40" i="11" s="1"/>
  <c r="H61" i="11"/>
  <c r="H14" i="56"/>
  <c r="H45" i="56" s="1"/>
  <c r="AI11" i="63"/>
  <c r="AI41" i="63" s="1"/>
  <c r="S74" i="11"/>
  <c r="J19" i="56"/>
  <c r="J50" i="56" s="1"/>
  <c r="M65" i="11"/>
  <c r="U63" i="11"/>
  <c r="V10" i="56"/>
  <c r="V41" i="56" s="1"/>
  <c r="I70" i="11"/>
  <c r="H70" i="11"/>
  <c r="AA22" i="56"/>
  <c r="AA53" i="56" s="1"/>
  <c r="AQ17" i="63"/>
  <c r="L64" i="11"/>
  <c r="M75" i="11"/>
  <c r="AO11" i="63"/>
  <c r="AO41" i="63" s="1"/>
  <c r="S63" i="11"/>
  <c r="BJ42" i="56"/>
  <c r="AU42" i="56"/>
  <c r="AU58" i="56"/>
  <c r="AU50" i="56"/>
  <c r="BT15" i="11"/>
  <c r="AU47" i="56"/>
  <c r="BA54" i="56"/>
  <c r="BB54" i="56"/>
  <c r="BB50" i="56"/>
  <c r="AU45" i="56"/>
  <c r="BB57" i="56"/>
  <c r="AU55" i="56"/>
  <c r="BL59" i="56"/>
  <c r="BL49" i="56"/>
  <c r="AK25" i="63"/>
  <c r="AK55" i="63" s="1"/>
  <c r="F64" i="11"/>
  <c r="S65" i="11"/>
  <c r="V19" i="56"/>
  <c r="V50" i="56" s="1"/>
  <c r="E24" i="56"/>
  <c r="E55" i="56" s="1"/>
  <c r="J66" i="11"/>
  <c r="I62" i="11"/>
  <c r="T67" i="11"/>
  <c r="U19" i="56"/>
  <c r="U50" i="56" s="1"/>
  <c r="AS42" i="56"/>
  <c r="BU42" i="56" s="1" a="1"/>
  <c r="BU42" i="56" s="1"/>
  <c r="BL43" i="56"/>
  <c r="AH13" i="63"/>
  <c r="AH43" i="63" s="1"/>
  <c r="H76" i="11"/>
  <c r="I26" i="56"/>
  <c r="I57" i="56" s="1"/>
  <c r="AH17" i="63"/>
  <c r="AH47" i="63" s="1"/>
  <c r="AS57" i="56"/>
  <c r="O76" i="11"/>
  <c r="U14" i="56"/>
  <c r="U45" i="56" s="1"/>
  <c r="AJ19" i="63"/>
  <c r="AJ49" i="63" s="1"/>
  <c r="AK16" i="63"/>
  <c r="AK46" i="63" s="1"/>
  <c r="L71" i="11"/>
  <c r="N73" i="11"/>
  <c r="AA59" i="56"/>
  <c r="I20" i="56"/>
  <c r="I51" i="56" s="1"/>
  <c r="U71" i="11"/>
  <c r="S20" i="56"/>
  <c r="S51" i="56" s="1"/>
  <c r="AI23" i="63"/>
  <c r="AI53" i="63" s="1"/>
  <c r="L66" i="11"/>
  <c r="AA41" i="56"/>
  <c r="AA58" i="56"/>
  <c r="BA58" i="56"/>
  <c r="M61" i="11"/>
  <c r="P15" i="56"/>
  <c r="P46" i="56" s="1"/>
  <c r="AH20" i="63"/>
  <c r="AH50" i="63" s="1"/>
  <c r="BL42" i="56"/>
  <c r="G14" i="56"/>
  <c r="G45" i="56" s="1"/>
  <c r="P69" i="11"/>
  <c r="L19" i="56"/>
  <c r="L50" i="56" s="1"/>
  <c r="W24" i="56"/>
  <c r="W55" i="56" s="1"/>
  <c r="E72" i="11"/>
  <c r="K17" i="56"/>
  <c r="K48" i="56" s="1"/>
  <c r="AL11" i="63"/>
  <c r="AL41" i="63" s="1"/>
  <c r="AT49" i="56"/>
  <c r="AT55" i="56"/>
  <c r="BI56" i="56"/>
  <c r="BF49" i="56"/>
  <c r="BF44" i="56"/>
  <c r="BF45" i="56"/>
  <c r="AT53" i="56"/>
  <c r="BB21" i="56"/>
  <c r="AT57" i="56"/>
  <c r="BC59" i="56"/>
  <c r="AY49" i="56"/>
  <c r="BC42" i="56"/>
  <c r="AY43" i="56"/>
  <c r="BJ56" i="56"/>
  <c r="BK47" i="56"/>
  <c r="BP49" i="56"/>
  <c r="BP44" i="56"/>
  <c r="BP54" i="56"/>
  <c r="BP48" i="56"/>
  <c r="BP62" i="56"/>
  <c r="BP53" i="56"/>
  <c r="BP46" i="56"/>
  <c r="Q16" i="11"/>
  <c r="AR14" i="63"/>
  <c r="AR44" i="63" s="1"/>
  <c r="O11" i="56"/>
  <c r="O42" i="56" s="1"/>
  <c r="V22" i="56"/>
  <c r="V53" i="56" s="1"/>
  <c r="Q8" i="11"/>
  <c r="T16" i="56"/>
  <c r="T47" i="56" s="1"/>
  <c r="AY47" i="56"/>
  <c r="K71" i="11"/>
  <c r="AI12" i="63"/>
  <c r="AI42" i="63" s="1"/>
  <c r="AI16" i="63"/>
  <c r="AI46" i="63" s="1"/>
  <c r="F63" i="11"/>
  <c r="AX58" i="56"/>
  <c r="AW59" i="56"/>
  <c r="L61" i="11"/>
  <c r="L67" i="11"/>
  <c r="K26" i="56"/>
  <c r="K57" i="56" s="1"/>
  <c r="M70" i="11"/>
  <c r="L68" i="11"/>
  <c r="BD59" i="56"/>
  <c r="N65" i="11"/>
  <c r="AN27" i="63"/>
  <c r="AN57" i="63" s="1"/>
  <c r="BT24" i="11"/>
  <c r="K25" i="11"/>
  <c r="K41" i="11" s="1"/>
  <c r="E23" i="56"/>
  <c r="E54" i="56" s="1"/>
  <c r="T62" i="11"/>
  <c r="G13" i="56"/>
  <c r="G44" i="56" s="1"/>
  <c r="M20" i="56"/>
  <c r="M51" i="56" s="1"/>
  <c r="AM19" i="63"/>
  <c r="AM49" i="63" s="1"/>
  <c r="AN40" i="63"/>
  <c r="AB26" i="56"/>
  <c r="L77" i="11"/>
  <c r="F73" i="11"/>
  <c r="AW56" i="56"/>
  <c r="P75" i="11"/>
  <c r="AW55" i="56"/>
  <c r="T76" i="11"/>
  <c r="Q20" i="11"/>
  <c r="X28" i="56"/>
  <c r="X59" i="56" s="1"/>
  <c r="E14" i="56"/>
  <c r="E45" i="56" s="1"/>
  <c r="H24" i="56"/>
  <c r="H55" i="56" s="1"/>
  <c r="X25" i="56"/>
  <c r="W17" i="56"/>
  <c r="W48" i="56" s="1"/>
  <c r="BT12" i="11"/>
  <c r="AI18" i="63"/>
  <c r="AI48" i="63" s="1"/>
  <c r="AW42" i="56"/>
  <c r="BQ46" i="56"/>
  <c r="W22" i="56"/>
  <c r="W1" i="56" s="1"/>
  <c r="Q22" i="11"/>
  <c r="Q23" i="11"/>
  <c r="AW50" i="56"/>
  <c r="O24" i="56"/>
  <c r="O55" i="56" s="1"/>
  <c r="O74" i="11"/>
  <c r="P24" i="56"/>
  <c r="P55" i="56" s="1"/>
  <c r="AE14" i="11"/>
  <c r="E28" i="56"/>
  <c r="E59" i="56" s="1"/>
  <c r="AW47" i="56"/>
  <c r="G25" i="11"/>
  <c r="G43" i="11" s="1"/>
  <c r="E20" i="56"/>
  <c r="E51" i="56" s="1"/>
  <c r="AK20" i="63"/>
  <c r="AK50" i="63" s="1"/>
  <c r="G63" i="11"/>
  <c r="R12" i="56"/>
  <c r="R43" i="56" s="1"/>
  <c r="AZ45" i="56"/>
  <c r="AV53" i="56"/>
  <c r="AZ54" i="56"/>
  <c r="AV57" i="56"/>
  <c r="K42" i="56"/>
  <c r="AW53" i="56"/>
  <c r="AW57" i="56"/>
  <c r="AZ58" i="56"/>
  <c r="AZ59" i="56"/>
  <c r="K50" i="56"/>
  <c r="L48" i="56"/>
  <c r="AZ50" i="56"/>
  <c r="AT21" i="56"/>
  <c r="BS34" i="56"/>
  <c r="AC25" i="11"/>
  <c r="AC42" i="11" s="1"/>
  <c r="K49" i="56"/>
  <c r="BP55" i="56"/>
  <c r="BP45" i="56"/>
  <c r="AZ56" i="56"/>
  <c r="BQ41" i="56"/>
  <c r="N10" i="56"/>
  <c r="N41" i="56" s="1"/>
  <c r="BJ49" i="56"/>
  <c r="AL10" i="63"/>
  <c r="AL40" i="63" s="1"/>
  <c r="L54" i="56"/>
  <c r="AZ62" i="56"/>
  <c r="L56" i="56"/>
  <c r="L46" i="56"/>
  <c r="L53" i="56"/>
  <c r="BQ54" i="56"/>
  <c r="BQ42" i="56"/>
  <c r="L45" i="56"/>
  <c r="AZ57" i="56"/>
  <c r="T61" i="11"/>
  <c r="L44" i="56"/>
  <c r="T10" i="56"/>
  <c r="T41" i="56" s="1"/>
  <c r="K45" i="56"/>
  <c r="AU54" i="56"/>
  <c r="K53" i="56"/>
  <c r="L57" i="56"/>
  <c r="L41" i="56"/>
  <c r="L51" i="56"/>
  <c r="K58" i="56"/>
  <c r="BQ56" i="56"/>
  <c r="AW54" i="56"/>
  <c r="BB55" i="56"/>
  <c r="BC57" i="56"/>
  <c r="BA57" i="56"/>
  <c r="AU56" i="56"/>
  <c r="AS56" i="56"/>
  <c r="BB47" i="56"/>
  <c r="AZ53" i="56"/>
  <c r="AV56" i="56"/>
  <c r="BA42" i="56"/>
  <c r="BA55" i="56"/>
  <c r="BB53" i="56"/>
  <c r="BA47" i="56"/>
  <c r="BC58" i="56"/>
  <c r="AV55" i="56"/>
  <c r="AU59" i="56"/>
  <c r="AT56" i="56"/>
  <c r="BT21" i="11"/>
  <c r="BA53" i="56"/>
  <c r="BF10" i="11"/>
  <c r="BB59" i="56"/>
  <c r="AZ21" i="56"/>
  <c r="BA56" i="56"/>
  <c r="BA49" i="56"/>
  <c r="AV54" i="56"/>
  <c r="BB49" i="56"/>
  <c r="BB56" i="56"/>
  <c r="BB45" i="56"/>
  <c r="BI54" i="56"/>
  <c r="X12" i="56"/>
  <c r="X43" i="56" s="1"/>
  <c r="W14" i="56"/>
  <c r="W45" i="56" s="1"/>
  <c r="AL14" i="63"/>
  <c r="AL44" i="63" s="1"/>
  <c r="BB43" i="56"/>
  <c r="BG62" i="56"/>
  <c r="BS31" i="56"/>
  <c r="BG47" i="56"/>
  <c r="AG25" i="11"/>
  <c r="AG44" i="11" s="1"/>
  <c r="BH59" i="56"/>
  <c r="AA19" i="56"/>
  <c r="AA50" i="56" s="1"/>
  <c r="AP19" i="63"/>
  <c r="AP49" i="63" s="1"/>
  <c r="BF48" i="56"/>
  <c r="AF25" i="11"/>
  <c r="AN15" i="63"/>
  <c r="AN45" i="63" s="1"/>
  <c r="Y15" i="56"/>
  <c r="Y46" i="56" s="1"/>
  <c r="E61" i="11"/>
  <c r="E10" i="56"/>
  <c r="E41" i="56" s="1"/>
  <c r="AW18" i="56"/>
  <c r="BT14" i="11"/>
  <c r="I66" i="11"/>
  <c r="I25" i="56"/>
  <c r="F105" i="13"/>
  <c r="F109" i="13"/>
  <c r="F99" i="13"/>
  <c r="F96" i="13"/>
  <c r="F82" i="13"/>
  <c r="F85" i="13"/>
  <c r="F106" i="13"/>
  <c r="F65" i="13"/>
  <c r="F89" i="13"/>
  <c r="F80" i="13"/>
  <c r="F98" i="13"/>
  <c r="F87" i="13"/>
  <c r="F92" i="13"/>
  <c r="F84" i="13"/>
  <c r="F100" i="13"/>
  <c r="F93" i="13"/>
  <c r="F94" i="13"/>
  <c r="F68" i="13"/>
  <c r="F74" i="13"/>
  <c r="F83" i="13"/>
  <c r="F95" i="13"/>
  <c r="F91" i="13"/>
  <c r="F75" i="13"/>
  <c r="F78" i="13"/>
  <c r="F102" i="13"/>
  <c r="F66" i="13"/>
  <c r="F86" i="13"/>
  <c r="M24" i="56"/>
  <c r="M64" i="11"/>
  <c r="J63" i="11"/>
  <c r="J11" i="56"/>
  <c r="J42" i="56" s="1"/>
  <c r="I16" i="56"/>
  <c r="I47" i="56" s="1"/>
  <c r="I72" i="11"/>
  <c r="I25" i="11"/>
  <c r="F64" i="13"/>
  <c r="N75" i="11"/>
  <c r="N19" i="56"/>
  <c r="N50" i="56" s="1"/>
  <c r="Q15" i="11"/>
  <c r="F67" i="13"/>
  <c r="S71" i="11"/>
  <c r="S12" i="56"/>
  <c r="S43" i="56" s="1"/>
  <c r="O65" i="11"/>
  <c r="O25" i="11"/>
  <c r="O40" i="11" s="1"/>
  <c r="O13" i="56"/>
  <c r="O44" i="56" s="1"/>
  <c r="Q9" i="11"/>
  <c r="U17" i="56"/>
  <c r="U48" i="56" s="1"/>
  <c r="AJ17" i="63"/>
  <c r="AJ47" i="63" s="1"/>
  <c r="U74" i="11"/>
  <c r="X11" i="56"/>
  <c r="X42" i="56" s="1"/>
  <c r="AM11" i="63"/>
  <c r="AM41" i="63" s="1"/>
  <c r="AW27" i="56"/>
  <c r="AW58" i="56" s="1"/>
  <c r="BT23" i="11"/>
  <c r="BA59" i="56"/>
  <c r="BA21" i="56"/>
  <c r="AY62" i="56"/>
  <c r="AY56" i="56"/>
  <c r="AY45" i="56"/>
  <c r="BE31" i="56"/>
  <c r="AY57" i="56"/>
  <c r="AY58" i="56"/>
  <c r="J77" i="11"/>
  <c r="J20" i="56"/>
  <c r="J51" i="56" s="1"/>
  <c r="F76" i="13"/>
  <c r="F104" i="13"/>
  <c r="F71" i="13"/>
  <c r="N26" i="56"/>
  <c r="N57" i="56" s="1"/>
  <c r="N68" i="11"/>
  <c r="BA14" i="56"/>
  <c r="BA45" i="56" s="1"/>
  <c r="BT10" i="11"/>
  <c r="AU53" i="56"/>
  <c r="AY23" i="56"/>
  <c r="BT19" i="11"/>
  <c r="BC24" i="56"/>
  <c r="BC55" i="56" s="1"/>
  <c r="AU26" i="56"/>
  <c r="AU57" i="56" s="1"/>
  <c r="BT22" i="11"/>
  <c r="O70" i="11"/>
  <c r="AI19" i="63"/>
  <c r="AI49" i="63" s="1"/>
  <c r="O46" i="56"/>
  <c r="AY50" i="56"/>
  <c r="BC47" i="56"/>
  <c r="G28" i="56"/>
  <c r="G59" i="56" s="1"/>
  <c r="AY53" i="56"/>
  <c r="W80" i="13"/>
  <c r="W94" i="13"/>
  <c r="W98" i="13"/>
  <c r="X106" i="13"/>
  <c r="X104" i="13"/>
  <c r="N16" i="56"/>
  <c r="N47" i="56" s="1"/>
  <c r="AJ14" i="63"/>
  <c r="AJ44" i="63" s="1"/>
  <c r="I69" i="11"/>
  <c r="O69" i="11"/>
  <c r="BD58" i="56"/>
  <c r="O20" i="56"/>
  <c r="O51" i="56" s="1"/>
  <c r="F18" i="56"/>
  <c r="F49" i="56" s="1"/>
  <c r="J17" i="56"/>
  <c r="J48" i="56" s="1"/>
  <c r="BC53" i="56"/>
  <c r="AL28" i="63"/>
  <c r="AL58" i="63" s="1"/>
  <c r="E70" i="11"/>
  <c r="X100" i="13"/>
  <c r="L27" i="56"/>
  <c r="L58" i="56" s="1"/>
  <c r="N64" i="11"/>
  <c r="AJ12" i="63"/>
  <c r="AJ42" i="63" s="1"/>
  <c r="BH47" i="56"/>
  <c r="V25" i="11"/>
  <c r="V53" i="11" s="1"/>
  <c r="G75" i="11"/>
  <c r="V23" i="56"/>
  <c r="V54" i="56" s="1"/>
  <c r="AJ18" i="63"/>
  <c r="AJ48" i="63" s="1"/>
  <c r="AE13" i="11"/>
  <c r="AY55" i="56"/>
  <c r="BC56" i="56"/>
  <c r="AZ55" i="56"/>
  <c r="AL18" i="63"/>
  <c r="AL48" i="63" s="1"/>
  <c r="O41" i="56"/>
  <c r="O49" i="56"/>
  <c r="O59" i="56"/>
  <c r="BC45" i="56"/>
  <c r="AY59" i="56"/>
  <c r="Q13" i="11"/>
  <c r="H71" i="11"/>
  <c r="O48" i="56"/>
  <c r="M66" i="11"/>
  <c r="X93" i="13"/>
  <c r="F15" i="56"/>
  <c r="F46" i="56" s="1"/>
  <c r="AP50" i="63"/>
  <c r="AC45" i="56"/>
  <c r="AR41" i="63"/>
  <c r="AJ46" i="63"/>
  <c r="AI50" i="63"/>
  <c r="Y58" i="56"/>
  <c r="Z49" i="56"/>
  <c r="AA42" i="56"/>
  <c r="R69" i="11"/>
  <c r="AG25" i="63"/>
  <c r="AG55" i="63" s="1"/>
  <c r="Z42" i="56"/>
  <c r="S95" i="13"/>
  <c r="AM50" i="63"/>
  <c r="AK40" i="63"/>
  <c r="R74" i="11"/>
  <c r="AK48" i="63"/>
  <c r="AK53" i="63"/>
  <c r="AK43" i="63"/>
  <c r="R25" i="56"/>
  <c r="R56" i="56" s="1"/>
  <c r="AM45" i="63"/>
  <c r="AA47" i="56"/>
  <c r="AK49" i="63"/>
  <c r="AC46" i="56"/>
  <c r="AM55" i="63"/>
  <c r="AY19" i="63"/>
  <c r="AL49" i="63"/>
  <c r="AP52" i="63"/>
  <c r="AB48" i="56"/>
  <c r="BL60" i="63" a="1"/>
  <c r="BL60" i="63" s="1"/>
  <c r="AJ40" i="63"/>
  <c r="AG12" i="63"/>
  <c r="AG42" i="63" s="1"/>
  <c r="AC41" i="56"/>
  <c r="AI44" i="63"/>
  <c r="AQ48" i="63"/>
  <c r="X48" i="56"/>
  <c r="AR46" i="63"/>
  <c r="AC1" i="56"/>
  <c r="AN52" i="63"/>
  <c r="AB44" i="56"/>
  <c r="AX33" i="63"/>
  <c r="AY26" i="63"/>
  <c r="X1" i="56"/>
  <c r="AB47" i="56"/>
  <c r="AN41" i="63"/>
  <c r="R17" i="56"/>
  <c r="R48" i="56" s="1"/>
  <c r="AI40" i="63"/>
  <c r="X45" i="56"/>
  <c r="AM48" i="63"/>
  <c r="AM58" i="63"/>
  <c r="AN54" i="63"/>
  <c r="AY20" i="63"/>
  <c r="AG17" i="63"/>
  <c r="AG47" i="63" s="1"/>
  <c r="AM53" i="63"/>
  <c r="AB41" i="56"/>
  <c r="AB53" i="56"/>
  <c r="AE23" i="11"/>
  <c r="AN56" i="63"/>
  <c r="AK52" i="63"/>
  <c r="BJ60" i="63" a="1"/>
  <c r="BJ60" i="63" s="1"/>
  <c r="AC48" i="56"/>
  <c r="S80" i="13"/>
  <c r="AY30" i="63"/>
  <c r="AQ56" i="63"/>
  <c r="AE16" i="11"/>
  <c r="AG15" i="63"/>
  <c r="AG45" i="63" s="1"/>
  <c r="AG20" i="63"/>
  <c r="AG50" i="63" s="1"/>
  <c r="AR48" i="63"/>
  <c r="R20" i="56"/>
  <c r="R51" i="56" s="1"/>
  <c r="AR55" i="63"/>
  <c r="AR56" i="63"/>
  <c r="AO40" i="63"/>
  <c r="AQ57" i="63"/>
  <c r="AG57" i="63"/>
  <c r="AQ55" i="63"/>
  <c r="R63" i="11"/>
  <c r="AP53" i="63"/>
  <c r="AD20" i="11"/>
  <c r="AD64" i="11" s="1"/>
  <c r="AO53" i="63"/>
  <c r="R64" i="11"/>
  <c r="BG60" i="63" a="1"/>
  <c r="BG60" i="63" s="1"/>
  <c r="AO50" i="63"/>
  <c r="R55" i="56"/>
  <c r="X47" i="56"/>
  <c r="V47" i="56"/>
  <c r="AR57" i="63"/>
  <c r="AG53" i="63"/>
  <c r="AO58" i="63"/>
  <c r="AO56" i="63"/>
  <c r="AP56" i="63"/>
  <c r="S45" i="56"/>
  <c r="AE19" i="11"/>
  <c r="R70" i="11"/>
  <c r="T46" i="56"/>
  <c r="BM60" i="63" a="1"/>
  <c r="BM60" i="63" s="1"/>
  <c r="AE15" i="11"/>
  <c r="R42" i="56"/>
  <c r="AP43" i="63"/>
  <c r="AD14" i="11"/>
  <c r="AD76" i="11" s="1"/>
  <c r="AR43" i="63"/>
  <c r="BK60" i="63" a="1"/>
  <c r="BK60" i="63" s="1"/>
  <c r="AO43" i="63"/>
  <c r="X50" i="56"/>
  <c r="AO49" i="63"/>
  <c r="R62" i="11"/>
  <c r="Y51" i="56"/>
  <c r="AH48" i="63"/>
  <c r="R23" i="56"/>
  <c r="R54" i="56" s="1"/>
  <c r="AG16" i="63"/>
  <c r="AG46" i="63" s="1"/>
  <c r="AG19" i="63"/>
  <c r="AG49" i="63" s="1"/>
  <c r="AG18" i="63"/>
  <c r="AG48" i="63" s="1"/>
  <c r="X53" i="56"/>
  <c r="AO47" i="63"/>
  <c r="AQ49" i="63"/>
  <c r="T54" i="56"/>
  <c r="AC53" i="56"/>
  <c r="R53" i="56"/>
  <c r="AQ54" i="63"/>
  <c r="R76" i="11"/>
  <c r="V51" i="56"/>
  <c r="AL52" i="63"/>
  <c r="BH60" i="63" a="1"/>
  <c r="BH60" i="63" s="1"/>
  <c r="AY25" i="63"/>
  <c r="AQ50" i="63"/>
  <c r="U55" i="56"/>
  <c r="V48" i="56"/>
  <c r="S48" i="56"/>
  <c r="AG28" i="63"/>
  <c r="AG58" i="63" s="1"/>
  <c r="AP55" i="63"/>
  <c r="BI60" i="63" a="1"/>
  <c r="BI60" i="63" s="1"/>
  <c r="AX30" i="63"/>
  <c r="AO46" i="63"/>
  <c r="AY12" i="63"/>
  <c r="R46" i="56"/>
  <c r="S55" i="56"/>
  <c r="AB42" i="56"/>
  <c r="AD15" i="11"/>
  <c r="AD75" i="11" s="1"/>
  <c r="AR50" i="63"/>
  <c r="R75" i="11"/>
  <c r="AI52" i="63"/>
  <c r="BO60" i="63"/>
  <c r="AY60" i="63" s="1"/>
  <c r="AR49" i="63"/>
  <c r="R18" i="56"/>
  <c r="R49" i="56" s="1"/>
  <c r="U51" i="56"/>
  <c r="R16" i="56"/>
  <c r="R47" i="56" s="1"/>
  <c r="AY27" i="63"/>
  <c r="S44" i="56"/>
  <c r="R27" i="56"/>
  <c r="R58" i="56" s="1"/>
  <c r="U58" i="56"/>
  <c r="AO45" i="63"/>
  <c r="AP54" i="63"/>
  <c r="AE20" i="11"/>
  <c r="AD11" i="11"/>
  <c r="AD70" i="11" s="1"/>
  <c r="R73" i="11"/>
  <c r="T49" i="56"/>
  <c r="AG11" i="63"/>
  <c r="AG41" i="63" s="1"/>
  <c r="AY18" i="63"/>
  <c r="AD16" i="11"/>
  <c r="AD77" i="11" s="1"/>
  <c r="AD23" i="11"/>
  <c r="AD69" i="11" s="1"/>
  <c r="AG24" i="63"/>
  <c r="AG54" i="63" s="1"/>
  <c r="V58" i="56"/>
  <c r="AA25" i="11"/>
  <c r="U23" i="56"/>
  <c r="U54" i="56" s="1"/>
  <c r="AJ23" i="63"/>
  <c r="AJ53" i="63" s="1"/>
  <c r="AD19" i="11"/>
  <c r="AD62" i="11" s="1"/>
  <c r="BI62" i="56"/>
  <c r="BI44" i="56"/>
  <c r="BK53" i="56"/>
  <c r="AN28" i="63"/>
  <c r="W59" i="56"/>
  <c r="O22" i="56"/>
  <c r="O53" i="56" s="1"/>
  <c r="AQ11" i="63"/>
  <c r="AQ41" i="63" s="1"/>
  <c r="AE7" i="11"/>
  <c r="AD7" i="11"/>
  <c r="AD63" i="11" s="1"/>
  <c r="H75" i="11"/>
  <c r="U62" i="11"/>
  <c r="V77" i="13"/>
  <c r="V80" i="13"/>
  <c r="W62" i="56"/>
  <c r="W41" i="56"/>
  <c r="AD31" i="56"/>
  <c r="AZ12" i="56"/>
  <c r="Y28" i="56"/>
  <c r="Y59" i="56" s="1"/>
  <c r="AD24" i="11"/>
  <c r="AD73" i="11" s="1"/>
  <c r="AE24" i="11"/>
  <c r="M76" i="11"/>
  <c r="M18" i="56"/>
  <c r="M49" i="56" s="1"/>
  <c r="AN19" i="63"/>
  <c r="Y19" i="56"/>
  <c r="AX55" i="56"/>
  <c r="V89" i="13"/>
  <c r="AC65" i="13"/>
  <c r="AC90" i="13"/>
  <c r="AC94" i="13"/>
  <c r="AC99" i="13"/>
  <c r="AC70" i="13"/>
  <c r="AC92" i="13"/>
  <c r="AC77" i="13"/>
  <c r="AC78" i="13"/>
  <c r="AC97" i="13"/>
  <c r="AC84" i="13"/>
  <c r="AC96" i="13"/>
  <c r="AC72" i="13"/>
  <c r="AC105" i="13"/>
  <c r="AC80" i="13"/>
  <c r="AC85" i="13"/>
  <c r="AC66" i="13"/>
  <c r="AC74" i="13"/>
  <c r="AC102" i="13"/>
  <c r="AC82" i="13"/>
  <c r="AC73" i="13"/>
  <c r="AC83" i="13"/>
  <c r="AC91" i="13"/>
  <c r="AC100" i="13"/>
  <c r="AC64" i="13"/>
  <c r="AC63" i="13"/>
  <c r="AC87" i="13"/>
  <c r="AC106" i="13"/>
  <c r="AC75" i="13"/>
  <c r="AC101" i="13"/>
  <c r="BE28" i="56"/>
  <c r="E74" i="11"/>
  <c r="E17" i="56"/>
  <c r="E48" i="56" s="1"/>
  <c r="P28" i="56"/>
  <c r="P59" i="56" s="1"/>
  <c r="Q24" i="11"/>
  <c r="AA12" i="56"/>
  <c r="AA43" i="56" s="1"/>
  <c r="H26" i="56"/>
  <c r="H57" i="56" s="1"/>
  <c r="H68" i="11"/>
  <c r="H69" i="11"/>
  <c r="H27" i="56"/>
  <c r="H58" i="56" s="1"/>
  <c r="W58" i="56"/>
  <c r="AX49" i="56"/>
  <c r="J72" i="11"/>
  <c r="BE19" i="56"/>
  <c r="AX50" i="56"/>
  <c r="AG13" i="63"/>
  <c r="AG43" i="63" s="1"/>
  <c r="R65" i="11"/>
  <c r="K25" i="56"/>
  <c r="Q21" i="11"/>
  <c r="K66" i="11"/>
  <c r="BD24" i="56"/>
  <c r="BD55" i="56" s="1"/>
  <c r="BT20" i="11"/>
  <c r="AK12" i="63"/>
  <c r="AK42" i="63" s="1"/>
  <c r="AE8" i="11"/>
  <c r="V12" i="56"/>
  <c r="V43" i="56" s="1"/>
  <c r="BI53" i="56"/>
  <c r="N49" i="56"/>
  <c r="AL47" i="63"/>
  <c r="AR22" i="63"/>
  <c r="AR52" i="63" s="1"/>
  <c r="AL43" i="63"/>
  <c r="BF8" i="11"/>
  <c r="AL54" i="63"/>
  <c r="AC11" i="56"/>
  <c r="X70" i="13"/>
  <c r="AM12" i="63"/>
  <c r="AX45" i="56"/>
  <c r="W42" i="56"/>
  <c r="N48" i="56"/>
  <c r="W49" i="56"/>
  <c r="AX53" i="56"/>
  <c r="Q31" i="56"/>
  <c r="AI25" i="11"/>
  <c r="AI47" i="11" s="1"/>
  <c r="X97" i="13"/>
  <c r="X75" i="13"/>
  <c r="AL50" i="63"/>
  <c r="T75" i="11"/>
  <c r="AT58" i="56"/>
  <c r="N44" i="56"/>
  <c r="Q12" i="11"/>
  <c r="X87" i="13"/>
  <c r="N59" i="56"/>
  <c r="BF21" i="11"/>
  <c r="L76" i="11"/>
  <c r="L18" i="56"/>
  <c r="L49" i="56" s="1"/>
  <c r="Q14" i="11"/>
  <c r="L25" i="11"/>
  <c r="L45" i="11" s="1"/>
  <c r="AV58" i="56"/>
  <c r="BF23" i="11"/>
  <c r="BK51" i="56"/>
  <c r="AM25" i="11"/>
  <c r="AQ25" i="11"/>
  <c r="W16" i="56"/>
  <c r="W47" i="56" s="1"/>
  <c r="AE12" i="11"/>
  <c r="AL16" i="63"/>
  <c r="AL46" i="63" s="1"/>
  <c r="AD12" i="11"/>
  <c r="AD72" i="11" s="1"/>
  <c r="W25" i="11"/>
  <c r="BJ58" i="56"/>
  <c r="AO25" i="11"/>
  <c r="AO37" i="11" s="1"/>
  <c r="BA50" i="56"/>
  <c r="AA46" i="56"/>
  <c r="V103" i="13"/>
  <c r="V97" i="13"/>
  <c r="V91" i="13"/>
  <c r="V98" i="13"/>
  <c r="V102" i="13"/>
  <c r="V107" i="13"/>
  <c r="V67" i="13"/>
  <c r="V96" i="13"/>
  <c r="V83" i="13"/>
  <c r="V79" i="13"/>
  <c r="V90" i="13"/>
  <c r="V70" i="13"/>
  <c r="V68" i="13"/>
  <c r="V76" i="13"/>
  <c r="V88" i="13"/>
  <c r="V75" i="13"/>
  <c r="V99" i="13"/>
  <c r="V92" i="13"/>
  <c r="V104" i="13"/>
  <c r="V64" i="13"/>
  <c r="V101" i="13"/>
  <c r="V65" i="13"/>
  <c r="V66" i="13"/>
  <c r="V94" i="13"/>
  <c r="V105" i="13"/>
  <c r="V78" i="13"/>
  <c r="V84" i="13"/>
  <c r="V87" i="13"/>
  <c r="V74" i="13"/>
  <c r="V100" i="13"/>
  <c r="V95" i="13"/>
  <c r="V86" i="13"/>
  <c r="V93" i="13"/>
  <c r="V63" i="13"/>
  <c r="V82" i="13"/>
  <c r="AH14" i="63"/>
  <c r="AH44" i="63" s="1"/>
  <c r="S67" i="11"/>
  <c r="AI17" i="63"/>
  <c r="AD13" i="11"/>
  <c r="AD74" i="11" s="1"/>
  <c r="T17" i="56"/>
  <c r="T74" i="11"/>
  <c r="AH10" i="63"/>
  <c r="S61" i="11"/>
  <c r="AE6" i="11"/>
  <c r="AD6" i="11"/>
  <c r="AD61" i="11" s="1"/>
  <c r="S10" i="56"/>
  <c r="X41" i="56"/>
  <c r="N15" i="56"/>
  <c r="N70" i="11"/>
  <c r="N25" i="11"/>
  <c r="F23" i="56"/>
  <c r="Q19" i="11"/>
  <c r="BE16" i="56"/>
  <c r="AX11" i="56"/>
  <c r="BT7" i="11"/>
  <c r="M67" i="11"/>
  <c r="M14" i="56"/>
  <c r="M25" i="11"/>
  <c r="N22" i="56"/>
  <c r="BA12" i="56"/>
  <c r="BT8" i="11"/>
  <c r="AV47" i="56"/>
  <c r="BD54" i="56"/>
  <c r="BJ53" i="56"/>
  <c r="V73" i="13"/>
  <c r="G53" i="56"/>
  <c r="Q11" i="11"/>
  <c r="K16" i="56"/>
  <c r="K47" i="56" s="1"/>
  <c r="K72" i="11"/>
  <c r="AC23" i="56"/>
  <c r="AR23" i="63"/>
  <c r="AT43" i="56"/>
  <c r="S70" i="11"/>
  <c r="AH15" i="63"/>
  <c r="AE11" i="11"/>
  <c r="S15" i="56"/>
  <c r="F70" i="13"/>
  <c r="L70" i="11"/>
  <c r="AH24" i="63"/>
  <c r="S64" i="11"/>
  <c r="AI28" i="63"/>
  <c r="I65" i="11"/>
  <c r="I13" i="56"/>
  <c r="I44" i="56" s="1"/>
  <c r="O61" i="11"/>
  <c r="AX43" i="56"/>
  <c r="U65" i="11"/>
  <c r="AL15" i="63"/>
  <c r="AL45" i="63" s="1"/>
  <c r="W15" i="56"/>
  <c r="G76" i="11"/>
  <c r="G18" i="56"/>
  <c r="F90" i="13"/>
  <c r="F97" i="13"/>
  <c r="F77" i="13"/>
  <c r="F79" i="13"/>
  <c r="L11" i="56"/>
  <c r="L42" i="56" s="1"/>
  <c r="L63" i="11"/>
  <c r="W25" i="56"/>
  <c r="AL25" i="63"/>
  <c r="AL55" i="63" s="1"/>
  <c r="AK26" i="63"/>
  <c r="AK56" i="63" s="1"/>
  <c r="V26" i="56"/>
  <c r="V57" i="56" s="1"/>
  <c r="BF56" i="56"/>
  <c r="I67" i="11"/>
  <c r="I14" i="56"/>
  <c r="AQ16" i="63"/>
  <c r="AY16" i="63" s="1"/>
  <c r="AB25" i="11"/>
  <c r="F10" i="56"/>
  <c r="F61" i="11"/>
  <c r="E75" i="11"/>
  <c r="E25" i="11"/>
  <c r="L55" i="56"/>
  <c r="N20" i="56"/>
  <c r="N77" i="11"/>
  <c r="AP25" i="11"/>
  <c r="AL25" i="11"/>
  <c r="AL28" i="11" s="1"/>
  <c r="T14" i="56"/>
  <c r="T45" i="56" s="1"/>
  <c r="W26" i="56"/>
  <c r="W57" i="56" s="1"/>
  <c r="AD8" i="11"/>
  <c r="AD71" i="11" s="1"/>
  <c r="AA104" i="13"/>
  <c r="AA66" i="13"/>
  <c r="J14" i="56"/>
  <c r="W104" i="13"/>
  <c r="W79" i="13"/>
  <c r="AB95" i="13"/>
  <c r="AB78" i="13"/>
  <c r="AB66" i="13"/>
  <c r="AB72" i="13"/>
  <c r="AN25" i="11"/>
  <c r="AN47" i="11" s="1"/>
  <c r="AK25" i="11"/>
  <c r="AK47" i="11" s="1"/>
  <c r="U66" i="13"/>
  <c r="U83" i="13"/>
  <c r="AY11" i="56"/>
  <c r="I17" i="56"/>
  <c r="I48" i="56" s="1"/>
  <c r="K96" i="13"/>
  <c r="K102" i="13"/>
  <c r="R10" i="56"/>
  <c r="R61" i="11"/>
  <c r="V15" i="56"/>
  <c r="V46" i="56" s="1"/>
  <c r="AK15" i="63"/>
  <c r="AK45" i="63" s="1"/>
  <c r="AJ25" i="11"/>
  <c r="AJ54" i="11" s="1"/>
  <c r="U25" i="11"/>
  <c r="U39" i="11" s="1"/>
  <c r="AC88" i="13"/>
  <c r="AH23" i="63"/>
  <c r="J23" i="56"/>
  <c r="J54" i="56" s="1"/>
  <c r="O73" i="11"/>
  <c r="K54" i="56"/>
  <c r="AR58" i="63"/>
  <c r="AB1" i="56"/>
  <c r="AH52" i="63"/>
  <c r="AW45" i="56"/>
  <c r="G47" i="56"/>
  <c r="AL56" i="63"/>
  <c r="H11" i="56"/>
  <c r="H63" i="11"/>
  <c r="BG42" i="56"/>
  <c r="U26" i="56"/>
  <c r="H25" i="11"/>
  <c r="F71" i="11"/>
  <c r="X71" i="13"/>
  <c r="X91" i="13"/>
  <c r="X79" i="13"/>
  <c r="X89" i="13"/>
  <c r="X64" i="13"/>
  <c r="X77" i="13"/>
  <c r="AK44" i="63"/>
  <c r="AX21" i="56"/>
  <c r="U68" i="11"/>
  <c r="AJ26" i="63"/>
  <c r="Q7" i="11"/>
  <c r="Z14" i="56"/>
  <c r="Z45" i="56" s="1"/>
  <c r="AO14" i="63"/>
  <c r="BE25" i="56"/>
  <c r="W75" i="13"/>
  <c r="AD18" i="11"/>
  <c r="W87" i="13"/>
  <c r="J69" i="11"/>
  <c r="J27" i="56"/>
  <c r="AV21" i="56"/>
  <c r="AE18" i="11"/>
  <c r="S22" i="56"/>
  <c r="G74" i="11"/>
  <c r="G17" i="56"/>
  <c r="AX57" i="56"/>
  <c r="AX54" i="56"/>
  <c r="K13" i="56"/>
  <c r="K65" i="11"/>
  <c r="I11" i="56"/>
  <c r="G84" i="13"/>
  <c r="AX59" i="56"/>
  <c r="R13" i="56"/>
  <c r="V106" i="13"/>
  <c r="V71" i="13"/>
  <c r="Z85" i="13" l="1"/>
  <c r="Z88" i="13"/>
  <c r="Z109" i="13"/>
  <c r="Z71" i="13"/>
  <c r="Z90" i="13"/>
  <c r="Z82" i="13"/>
  <c r="Z106" i="13"/>
  <c r="Z100" i="13"/>
  <c r="Z99" i="13"/>
  <c r="Z67" i="13"/>
  <c r="Z78" i="13"/>
  <c r="Z64" i="13"/>
  <c r="Z91" i="13"/>
  <c r="Z79" i="13"/>
  <c r="BU24" i="11"/>
  <c r="Z103" i="13"/>
  <c r="Z63" i="13"/>
  <c r="Z73" i="13"/>
  <c r="Z74" i="13"/>
  <c r="Z65" i="13"/>
  <c r="S88" i="13"/>
  <c r="AP4" i="56"/>
  <c r="AE48" i="56"/>
  <c r="BE22" i="56"/>
  <c r="S99" i="13"/>
  <c r="Z86" i="13"/>
  <c r="Z76" i="13"/>
  <c r="AS53" i="56"/>
  <c r="AS52" i="56" s="1"/>
  <c r="Z98" i="13"/>
  <c r="Z94" i="13"/>
  <c r="Z97" i="13"/>
  <c r="Z66" i="13"/>
  <c r="Z72" i="13"/>
  <c r="Z87" i="13"/>
  <c r="Z89" i="13"/>
  <c r="Z70" i="13"/>
  <c r="Z96" i="13"/>
  <c r="P71" i="13"/>
  <c r="P86" i="13"/>
  <c r="Z93" i="13"/>
  <c r="Z80" i="13"/>
  <c r="Z104" i="13"/>
  <c r="P74" i="13"/>
  <c r="P68" i="13"/>
  <c r="P109" i="13"/>
  <c r="P88" i="13"/>
  <c r="AM29" i="56"/>
  <c r="AM30" i="56" s="1"/>
  <c r="AS21" i="56"/>
  <c r="O94" i="13"/>
  <c r="P105" i="13"/>
  <c r="P96" i="13"/>
  <c r="P64" i="13"/>
  <c r="P82" i="13"/>
  <c r="O89" i="13"/>
  <c r="P99" i="13"/>
  <c r="P63" i="13"/>
  <c r="P90" i="13"/>
  <c r="P84" i="13"/>
  <c r="P91" i="13"/>
  <c r="P80" i="13"/>
  <c r="O106" i="13"/>
  <c r="P102" i="13"/>
  <c r="P104" i="13"/>
  <c r="P67" i="13"/>
  <c r="P78" i="13"/>
  <c r="P106" i="13"/>
  <c r="O105" i="13"/>
  <c r="P89" i="13"/>
  <c r="P103" i="13"/>
  <c r="O101" i="13"/>
  <c r="P85" i="13"/>
  <c r="P70" i="13"/>
  <c r="P94" i="13"/>
  <c r="P97" i="13"/>
  <c r="P92" i="13"/>
  <c r="BQ57" i="56"/>
  <c r="AF39" i="11"/>
  <c r="BQ53" i="56"/>
  <c r="BG9" i="56"/>
  <c r="BQ47" i="56"/>
  <c r="BQ49" i="56"/>
  <c r="AE10" i="11"/>
  <c r="AD22" i="11"/>
  <c r="AD68" i="11" s="1"/>
  <c r="AG26" i="63"/>
  <c r="AG56" i="63" s="1"/>
  <c r="AG51" i="63" s="1"/>
  <c r="O73" i="13"/>
  <c r="O64" i="13"/>
  <c r="O96" i="13"/>
  <c r="O80" i="13"/>
  <c r="O104" i="13"/>
  <c r="O93" i="13"/>
  <c r="O99" i="13"/>
  <c r="O98" i="13"/>
  <c r="O78" i="13"/>
  <c r="O90" i="13"/>
  <c r="O109" i="13"/>
  <c r="O75" i="13"/>
  <c r="O88" i="13"/>
  <c r="O95" i="13"/>
  <c r="O97" i="13"/>
  <c r="O67" i="13"/>
  <c r="O70" i="13"/>
  <c r="O107" i="13"/>
  <c r="O66" i="13"/>
  <c r="O85" i="13"/>
  <c r="O83" i="13"/>
  <c r="O102" i="13"/>
  <c r="O72" i="13"/>
  <c r="O82" i="13"/>
  <c r="O91" i="13"/>
  <c r="O63" i="13"/>
  <c r="O79" i="13"/>
  <c r="O77" i="13"/>
  <c r="O68" i="13"/>
  <c r="O92" i="13"/>
  <c r="O65" i="13"/>
  <c r="O74" i="13"/>
  <c r="AE55" i="56"/>
  <c r="AR24" i="56"/>
  <c r="AE54" i="56"/>
  <c r="AR23" i="56"/>
  <c r="AJ41" i="56"/>
  <c r="AJ9" i="56"/>
  <c r="BI21" i="56"/>
  <c r="BI57" i="56"/>
  <c r="AE53" i="56"/>
  <c r="AR22" i="56"/>
  <c r="AE21" i="56"/>
  <c r="BF21" i="56"/>
  <c r="BF53" i="56"/>
  <c r="AI41" i="56"/>
  <c r="AI9" i="56"/>
  <c r="AL54" i="56"/>
  <c r="AL52" i="56" s="1"/>
  <c r="AL21" i="56"/>
  <c r="O87" i="13"/>
  <c r="O100" i="13"/>
  <c r="BJ41" i="56"/>
  <c r="BJ9" i="56"/>
  <c r="AI53" i="56"/>
  <c r="AI21" i="56"/>
  <c r="AL63" i="56"/>
  <c r="AL42" i="56"/>
  <c r="AL9" i="56"/>
  <c r="BQ59" i="56"/>
  <c r="O76" i="13"/>
  <c r="BP21" i="56"/>
  <c r="BP59" i="56"/>
  <c r="BP52" i="56" s="1"/>
  <c r="P67" i="11"/>
  <c r="P78" i="11" s="1"/>
  <c r="P25" i="11"/>
  <c r="P40" i="11" s="1"/>
  <c r="P14" i="56"/>
  <c r="P45" i="56" s="1"/>
  <c r="P40" i="56" s="1"/>
  <c r="Q10" i="11"/>
  <c r="O84" i="13"/>
  <c r="O103" i="13"/>
  <c r="BQ58" i="56"/>
  <c r="AR11" i="56"/>
  <c r="AE42" i="56"/>
  <c r="BK21" i="56"/>
  <c r="O71" i="13"/>
  <c r="AG41" i="56"/>
  <c r="AE43" i="56"/>
  <c r="AR12" i="56"/>
  <c r="AF9" i="56"/>
  <c r="AF41" i="56"/>
  <c r="AE59" i="56"/>
  <c r="AR28" i="56"/>
  <c r="AP41" i="56"/>
  <c r="AP63" i="56" s="1"/>
  <c r="AP9" i="56"/>
  <c r="AO41" i="56"/>
  <c r="AO9" i="56"/>
  <c r="AR15" i="56"/>
  <c r="AE46" i="56"/>
  <c r="AM40" i="56"/>
  <c r="AM63" i="56"/>
  <c r="S76" i="13"/>
  <c r="S71" i="13"/>
  <c r="AH41" i="56"/>
  <c r="AH9" i="56"/>
  <c r="AK21" i="56"/>
  <c r="AE58" i="56"/>
  <c r="AR27" i="56"/>
  <c r="AE47" i="56"/>
  <c r="AR16" i="56"/>
  <c r="AP21" i="56"/>
  <c r="AP53" i="56"/>
  <c r="AP52" i="56" s="1"/>
  <c r="AH53" i="56"/>
  <c r="AH21" i="56"/>
  <c r="P73" i="13"/>
  <c r="Z105" i="13"/>
  <c r="P76" i="13"/>
  <c r="Z77" i="13"/>
  <c r="P95" i="13"/>
  <c r="P87" i="13"/>
  <c r="Z84" i="13"/>
  <c r="AM52" i="56"/>
  <c r="AE49" i="56"/>
  <c r="AR18" i="56"/>
  <c r="AR17" i="56"/>
  <c r="AK52" i="56"/>
  <c r="BG41" i="56"/>
  <c r="BG40" i="56" s="1"/>
  <c r="S63" i="13"/>
  <c r="AE45" i="56"/>
  <c r="P66" i="13"/>
  <c r="Z83" i="13"/>
  <c r="Z102" i="13"/>
  <c r="P100" i="13"/>
  <c r="Z95" i="13"/>
  <c r="AF21" i="56"/>
  <c r="AF53" i="56"/>
  <c r="AN40" i="56"/>
  <c r="AN63" i="56"/>
  <c r="AE50" i="56"/>
  <c r="AR19" i="56"/>
  <c r="AE57" i="56"/>
  <c r="BQ21" i="56"/>
  <c r="BH57" i="56"/>
  <c r="BH52" i="56" s="1"/>
  <c r="AG26" i="56"/>
  <c r="AG57" i="56" s="1"/>
  <c r="AE9" i="56"/>
  <c r="AE41" i="56"/>
  <c r="AR10" i="56"/>
  <c r="AQ62" i="56"/>
  <c r="R14" i="56"/>
  <c r="R45" i="56" s="1"/>
  <c r="P98" i="13"/>
  <c r="Z101" i="13"/>
  <c r="Z75" i="13"/>
  <c r="BS14" i="56"/>
  <c r="AG14" i="56"/>
  <c r="AG45" i="56" s="1"/>
  <c r="AG53" i="56"/>
  <c r="AK9" i="56"/>
  <c r="AO21" i="56"/>
  <c r="AO53" i="56"/>
  <c r="AR13" i="56"/>
  <c r="AE44" i="56"/>
  <c r="AN29" i="56"/>
  <c r="AE56" i="56"/>
  <c r="AR25" i="56"/>
  <c r="BI9" i="56"/>
  <c r="S78" i="13"/>
  <c r="AN52" i="56"/>
  <c r="AE51" i="56"/>
  <c r="AR20" i="56"/>
  <c r="AD10" i="11"/>
  <c r="AD67" i="11" s="1"/>
  <c r="Z92" i="13"/>
  <c r="AK63" i="56"/>
  <c r="AK40" i="56"/>
  <c r="AJ53" i="56"/>
  <c r="AJ21" i="56"/>
  <c r="P65" i="13"/>
  <c r="J10" i="56"/>
  <c r="J41" i="56" s="1"/>
  <c r="J63" i="56" s="1"/>
  <c r="AQ27" i="11"/>
  <c r="AQ28" i="11"/>
  <c r="J25" i="11"/>
  <c r="J28" i="11" s="1"/>
  <c r="Q6" i="11"/>
  <c r="Y25" i="11"/>
  <c r="Y40" i="11" s="1"/>
  <c r="AG14" i="63"/>
  <c r="AG44" i="63" s="1"/>
  <c r="AG39" i="63" s="1"/>
  <c r="R68" i="11"/>
  <c r="R78" i="11" s="1"/>
  <c r="R25" i="11"/>
  <c r="R53" i="11" s="1"/>
  <c r="S105" i="13"/>
  <c r="S82" i="13"/>
  <c r="S106" i="13"/>
  <c r="S94" i="13"/>
  <c r="S103" i="13"/>
  <c r="S93" i="13"/>
  <c r="S92" i="13"/>
  <c r="S79" i="13"/>
  <c r="S73" i="13"/>
  <c r="S91" i="13"/>
  <c r="S75" i="13"/>
  <c r="S74" i="13"/>
  <c r="S98" i="13"/>
  <c r="S109" i="13"/>
  <c r="S96" i="13"/>
  <c r="S97" i="13"/>
  <c r="S100" i="13"/>
  <c r="S102" i="13"/>
  <c r="S65" i="13"/>
  <c r="S90" i="13"/>
  <c r="S77" i="13"/>
  <c r="S86" i="13"/>
  <c r="S68" i="13"/>
  <c r="S89" i="13"/>
  <c r="S101" i="13"/>
  <c r="S83" i="13"/>
  <c r="S72" i="13"/>
  <c r="P77" i="13"/>
  <c r="P72" i="13"/>
  <c r="P101" i="13"/>
  <c r="P107" i="13"/>
  <c r="P79" i="13"/>
  <c r="P83" i="13"/>
  <c r="P75" i="13"/>
  <c r="AP40" i="11"/>
  <c r="AP28" i="11"/>
  <c r="AP41" i="11"/>
  <c r="AP42" i="11"/>
  <c r="AP43" i="11"/>
  <c r="AP49" i="11"/>
  <c r="AP38" i="11"/>
  <c r="AP50" i="11"/>
  <c r="AP51" i="11"/>
  <c r="AP52" i="11"/>
  <c r="AP53" i="11"/>
  <c r="AP54" i="11"/>
  <c r="AP45" i="11"/>
  <c r="AP47" i="11"/>
  <c r="AP37" i="11"/>
  <c r="AP55" i="11"/>
  <c r="AP44" i="11"/>
  <c r="AP46" i="11"/>
  <c r="AP39" i="11"/>
  <c r="AP27" i="11"/>
  <c r="AJ109" i="13"/>
  <c r="AJ108" i="13"/>
  <c r="S66" i="13"/>
  <c r="S107" i="13"/>
  <c r="S70" i="13"/>
  <c r="S84" i="13"/>
  <c r="S64" i="13"/>
  <c r="S85" i="13"/>
  <c r="S104" i="13"/>
  <c r="X13" i="56"/>
  <c r="X44" i="56" s="1"/>
  <c r="X40" i="56" s="1"/>
  <c r="BO21" i="56"/>
  <c r="Y91" i="13"/>
  <c r="S67" i="13"/>
  <c r="AJ83" i="13"/>
  <c r="AJ106" i="13"/>
  <c r="AJ70" i="13"/>
  <c r="AJ77" i="13"/>
  <c r="AJ85" i="13"/>
  <c r="AJ72" i="13"/>
  <c r="AJ87" i="13"/>
  <c r="AJ92" i="13"/>
  <c r="AJ99" i="13"/>
  <c r="AJ94" i="13"/>
  <c r="AJ101" i="13"/>
  <c r="AJ65" i="13"/>
  <c r="AJ79" i="13"/>
  <c r="AJ64" i="13"/>
  <c r="AJ67" i="13"/>
  <c r="AJ104" i="13"/>
  <c r="AJ105" i="13"/>
  <c r="AJ73" i="13"/>
  <c r="AJ100" i="13"/>
  <c r="AJ88" i="13"/>
  <c r="AJ91" i="13"/>
  <c r="AJ107" i="13"/>
  <c r="AJ89" i="13"/>
  <c r="AJ80" i="13"/>
  <c r="AJ86" i="13"/>
  <c r="AJ102" i="13"/>
  <c r="AJ75" i="13"/>
  <c r="AJ97" i="13"/>
  <c r="AJ78" i="13"/>
  <c r="AJ84" i="13"/>
  <c r="AJ95" i="13"/>
  <c r="AJ68" i="13"/>
  <c r="AJ74" i="13"/>
  <c r="AJ96" i="13"/>
  <c r="AJ82" i="13"/>
  <c r="AJ98" i="13"/>
  <c r="AJ71" i="13"/>
  <c r="AJ66" i="13"/>
  <c r="AJ103" i="13"/>
  <c r="AJ69" i="13"/>
  <c r="AJ76" i="13"/>
  <c r="AJ90" i="13"/>
  <c r="AJ93" i="13"/>
  <c r="AE9" i="11"/>
  <c r="AD9" i="11"/>
  <c r="AD65" i="11" s="1"/>
  <c r="X25" i="11"/>
  <c r="X38" i="11" s="1"/>
  <c r="AU73" i="13"/>
  <c r="AU69" i="13"/>
  <c r="AE22" i="11"/>
  <c r="S87" i="13"/>
  <c r="BS16" i="56"/>
  <c r="Y88" i="13"/>
  <c r="BN48" i="56"/>
  <c r="Y13" i="56"/>
  <c r="Y44" i="56" s="1"/>
  <c r="Y63" i="56" s="1"/>
  <c r="X5" i="57" s="1"/>
  <c r="AO45" i="11"/>
  <c r="AO54" i="11"/>
  <c r="AO55" i="11"/>
  <c r="AO39" i="11"/>
  <c r="AO40" i="11"/>
  <c r="AO38" i="11"/>
  <c r="AO47" i="11"/>
  <c r="AO50" i="11"/>
  <c r="AO46" i="11"/>
  <c r="AO43" i="11"/>
  <c r="AO49" i="11"/>
  <c r="AO42" i="11"/>
  <c r="AO52" i="11"/>
  <c r="AO53" i="11"/>
  <c r="AO41" i="11"/>
  <c r="AO27" i="11"/>
  <c r="AO28" i="11"/>
  <c r="AO51" i="11"/>
  <c r="AO44" i="11"/>
  <c r="BN54" i="56"/>
  <c r="BN45" i="56"/>
  <c r="BN47" i="56"/>
  <c r="BS13" i="56"/>
  <c r="BN42" i="56"/>
  <c r="AF1" i="13"/>
  <c r="BN55" i="56"/>
  <c r="BN44" i="56"/>
  <c r="BN53" i="56"/>
  <c r="BS23" i="56"/>
  <c r="AH25" i="63"/>
  <c r="AH55" i="63" s="1"/>
  <c r="BN56" i="56"/>
  <c r="S66" i="11"/>
  <c r="S78" i="11" s="1"/>
  <c r="BN46" i="56"/>
  <c r="S25" i="11"/>
  <c r="S28" i="11" s="1"/>
  <c r="BN57" i="56"/>
  <c r="AY10" i="63"/>
  <c r="BN59" i="56"/>
  <c r="AN49" i="11"/>
  <c r="BN21" i="56"/>
  <c r="BS25" i="56"/>
  <c r="BN58" i="56"/>
  <c r="BN41" i="56"/>
  <c r="BS10" i="56"/>
  <c r="BN49" i="56"/>
  <c r="AN42" i="11"/>
  <c r="AN41" i="11"/>
  <c r="AN52" i="11"/>
  <c r="AN37" i="11"/>
  <c r="AN51" i="11"/>
  <c r="BN9" i="56"/>
  <c r="BN51" i="56"/>
  <c r="AN45" i="11"/>
  <c r="BS19" i="56"/>
  <c r="AN53" i="11"/>
  <c r="BN50" i="56"/>
  <c r="AN55" i="11"/>
  <c r="AN44" i="11"/>
  <c r="AN43" i="11"/>
  <c r="AN54" i="11"/>
  <c r="AN40" i="11"/>
  <c r="AN38" i="11"/>
  <c r="AN39" i="11"/>
  <c r="BN43" i="56"/>
  <c r="AN50" i="11"/>
  <c r="AN46" i="11"/>
  <c r="AN28" i="11"/>
  <c r="AN27" i="11"/>
  <c r="T97" i="13"/>
  <c r="T87" i="13"/>
  <c r="AU85" i="13"/>
  <c r="T73" i="13"/>
  <c r="T91" i="13"/>
  <c r="K52" i="11"/>
  <c r="T100" i="13"/>
  <c r="H63" i="56"/>
  <c r="AJ63" i="13"/>
  <c r="T92" i="13"/>
  <c r="Y80" i="13"/>
  <c r="T74" i="13"/>
  <c r="Y107" i="13"/>
  <c r="Y98" i="13"/>
  <c r="Y72" i="13"/>
  <c r="T105" i="13"/>
  <c r="T109" i="13"/>
  <c r="AG50" i="13"/>
  <c r="AG77" i="13" s="1"/>
  <c r="Y90" i="13"/>
  <c r="AF50" i="13"/>
  <c r="AF78" i="13" s="1"/>
  <c r="Y102" i="13"/>
  <c r="Y86" i="13"/>
  <c r="AP21" i="63"/>
  <c r="R50" i="13"/>
  <c r="R83" i="13" s="1"/>
  <c r="Y83" i="13"/>
  <c r="Q76" i="13"/>
  <c r="T65" i="13"/>
  <c r="AH25" i="11"/>
  <c r="AH55" i="11" s="1"/>
  <c r="Q74" i="13"/>
  <c r="Y74" i="13"/>
  <c r="Y71" i="13"/>
  <c r="Q64" i="13"/>
  <c r="T71" i="13"/>
  <c r="Y53" i="56"/>
  <c r="Y52" i="56" s="1"/>
  <c r="Y67" i="13"/>
  <c r="Q73" i="13"/>
  <c r="T79" i="13"/>
  <c r="Q78" i="13"/>
  <c r="AY17" i="63"/>
  <c r="T103" i="13"/>
  <c r="U1" i="56"/>
  <c r="AC28" i="11"/>
  <c r="Y63" i="13"/>
  <c r="Q109" i="13"/>
  <c r="T70" i="13"/>
  <c r="Y75" i="13"/>
  <c r="Z27" i="11"/>
  <c r="T82" i="13"/>
  <c r="Y104" i="13"/>
  <c r="Q18" i="11"/>
  <c r="Q90" i="13"/>
  <c r="T76" i="13"/>
  <c r="Y84" i="13"/>
  <c r="Y99" i="13"/>
  <c r="Q95" i="13"/>
  <c r="T68" i="13"/>
  <c r="T89" i="13"/>
  <c r="Y85" i="13"/>
  <c r="Q77" i="13"/>
  <c r="T67" i="13"/>
  <c r="Y70" i="13"/>
  <c r="Y101" i="13"/>
  <c r="T106" i="13"/>
  <c r="Q68" i="13"/>
  <c r="F25" i="11"/>
  <c r="F50" i="11" s="1"/>
  <c r="Y79" i="13"/>
  <c r="Y103" i="13"/>
  <c r="T80" i="13"/>
  <c r="Y92" i="13"/>
  <c r="T84" i="13"/>
  <c r="T96" i="13"/>
  <c r="T104" i="13"/>
  <c r="T88" i="13"/>
  <c r="Q85" i="13"/>
  <c r="AY15" i="63"/>
  <c r="T1" i="56"/>
  <c r="Q105" i="13"/>
  <c r="T83" i="13"/>
  <c r="Y65" i="13"/>
  <c r="Y73" i="13"/>
  <c r="Y105" i="13"/>
  <c r="AC21" i="56"/>
  <c r="Q87" i="13"/>
  <c r="AU107" i="13"/>
  <c r="AU76" i="13"/>
  <c r="AU68" i="13"/>
  <c r="AU63" i="13"/>
  <c r="AU98" i="13"/>
  <c r="AU94" i="13"/>
  <c r="AU78" i="13"/>
  <c r="AU95" i="13"/>
  <c r="AU96" i="13"/>
  <c r="AU65" i="13"/>
  <c r="AU97" i="13"/>
  <c r="AU103" i="13"/>
  <c r="AU66" i="13"/>
  <c r="AU84" i="13"/>
  <c r="AU104" i="13"/>
  <c r="AU93" i="13"/>
  <c r="AU105" i="13"/>
  <c r="AU88" i="13"/>
  <c r="AU100" i="13"/>
  <c r="AU90" i="13"/>
  <c r="AU91" i="13"/>
  <c r="AU74" i="13"/>
  <c r="AU67" i="13"/>
  <c r="AU64" i="13"/>
  <c r="AU79" i="13"/>
  <c r="AU77" i="13"/>
  <c r="AU87" i="13"/>
  <c r="AU86" i="13"/>
  <c r="AU102" i="13"/>
  <c r="AU89" i="13"/>
  <c r="AU99" i="13"/>
  <c r="AU80" i="13"/>
  <c r="AU106" i="13"/>
  <c r="AU82" i="13"/>
  <c r="AU75" i="13"/>
  <c r="AU72" i="13"/>
  <c r="AU71" i="13"/>
  <c r="AU70" i="13"/>
  <c r="AU92" i="13"/>
  <c r="AU83" i="13"/>
  <c r="AU109" i="13"/>
  <c r="AU101" i="13"/>
  <c r="Y77" i="13"/>
  <c r="T98" i="13"/>
  <c r="Y78" i="13"/>
  <c r="Y96" i="13"/>
  <c r="Q104" i="13"/>
  <c r="Q106" i="13"/>
  <c r="Q92" i="13"/>
  <c r="Q97" i="13"/>
  <c r="Q70" i="13"/>
  <c r="Q75" i="13"/>
  <c r="Q102" i="13"/>
  <c r="Q103" i="13"/>
  <c r="Q91" i="13"/>
  <c r="Q96" i="13"/>
  <c r="Q67" i="13"/>
  <c r="Q93" i="13"/>
  <c r="Q94" i="13"/>
  <c r="Q71" i="13"/>
  <c r="Q80" i="13"/>
  <c r="Q83" i="13"/>
  <c r="Q65" i="13"/>
  <c r="Q79" i="13"/>
  <c r="Q84" i="13"/>
  <c r="Q89" i="13"/>
  <c r="Q82" i="13"/>
  <c r="Q100" i="13"/>
  <c r="Q101" i="13"/>
  <c r="Q88" i="13"/>
  <c r="Q66" i="13"/>
  <c r="Q63" i="13"/>
  <c r="AE21" i="11"/>
  <c r="Q98" i="13"/>
  <c r="Y106" i="13"/>
  <c r="Y93" i="13"/>
  <c r="T75" i="13"/>
  <c r="T102" i="13"/>
  <c r="T21" i="56"/>
  <c r="Y100" i="13"/>
  <c r="T99" i="13"/>
  <c r="AP58" i="63"/>
  <c r="AP51" i="63" s="1"/>
  <c r="AD21" i="11"/>
  <c r="AD66" i="11" s="1"/>
  <c r="Q99" i="13"/>
  <c r="T63" i="13"/>
  <c r="T25" i="11"/>
  <c r="T44" i="11" s="1"/>
  <c r="T66" i="11"/>
  <c r="T78" i="11" s="1"/>
  <c r="T77" i="13"/>
  <c r="T90" i="13"/>
  <c r="Y68" i="13"/>
  <c r="Y97" i="13"/>
  <c r="Y95" i="13"/>
  <c r="Y76" i="13"/>
  <c r="Y66" i="13"/>
  <c r="BV62" i="56" a="1"/>
  <c r="BV62" i="56" s="1"/>
  <c r="AI25" i="63"/>
  <c r="AI55" i="63" s="1"/>
  <c r="T101" i="13"/>
  <c r="T85" i="13"/>
  <c r="T78" i="13"/>
  <c r="Y89" i="13"/>
  <c r="Y109" i="13"/>
  <c r="Y94" i="13"/>
  <c r="Y87" i="13"/>
  <c r="AQ40" i="63"/>
  <c r="Q107" i="13"/>
  <c r="T94" i="13"/>
  <c r="T86" i="13"/>
  <c r="T66" i="13"/>
  <c r="Y82" i="13"/>
  <c r="T95" i="13"/>
  <c r="Q86" i="13"/>
  <c r="T93" i="13"/>
  <c r="T107" i="13"/>
  <c r="T64" i="13"/>
  <c r="BE26" i="56"/>
  <c r="BE57" i="56" s="1"/>
  <c r="V45" i="11"/>
  <c r="AC9" i="56"/>
  <c r="AC40" i="11"/>
  <c r="AR54" i="63"/>
  <c r="AC54" i="11"/>
  <c r="Z54" i="11"/>
  <c r="V38" i="11"/>
  <c r="O27" i="11"/>
  <c r="Z42" i="11"/>
  <c r="BU47" i="56" a="1"/>
  <c r="BU47" i="56" s="1"/>
  <c r="O53" i="11"/>
  <c r="Z47" i="11"/>
  <c r="M63" i="56"/>
  <c r="AX27" i="63"/>
  <c r="AS27" i="63" s="1"/>
  <c r="V40" i="11"/>
  <c r="K55" i="11"/>
  <c r="Z51" i="11"/>
  <c r="K54" i="11"/>
  <c r="AQ21" i="63"/>
  <c r="AD24" i="56"/>
  <c r="AD55" i="56" s="1"/>
  <c r="K51" i="11"/>
  <c r="AQ58" i="63"/>
  <c r="AQ51" i="63" s="1"/>
  <c r="K50" i="11"/>
  <c r="O49" i="11"/>
  <c r="AQ47" i="63"/>
  <c r="K53" i="11"/>
  <c r="K43" i="11"/>
  <c r="AM21" i="63"/>
  <c r="V37" i="11"/>
  <c r="Z45" i="11"/>
  <c r="O39" i="11"/>
  <c r="AO21" i="63"/>
  <c r="Z53" i="11"/>
  <c r="BS22" i="56"/>
  <c r="Z43" i="11"/>
  <c r="BE50" i="56"/>
  <c r="V46" i="11"/>
  <c r="O38" i="11"/>
  <c r="F21" i="56"/>
  <c r="AR9" i="63"/>
  <c r="AY14" i="63"/>
  <c r="G47" i="11"/>
  <c r="AB21" i="56"/>
  <c r="G27" i="11"/>
  <c r="G53" i="11"/>
  <c r="AJ9" i="63"/>
  <c r="G55" i="11"/>
  <c r="AY13" i="63"/>
  <c r="AB9" i="56"/>
  <c r="Z53" i="56"/>
  <c r="Z52" i="56" s="1"/>
  <c r="X21" i="56"/>
  <c r="G39" i="11"/>
  <c r="G46" i="11"/>
  <c r="T55" i="56"/>
  <c r="T52" i="56" s="1"/>
  <c r="P63" i="56"/>
  <c r="AF53" i="11"/>
  <c r="G51" i="11"/>
  <c r="AC44" i="11"/>
  <c r="AC27" i="11"/>
  <c r="G41" i="11"/>
  <c r="AS60" i="63"/>
  <c r="AZ60" i="63" s="1"/>
  <c r="Z37" i="11"/>
  <c r="Q12" i="56"/>
  <c r="Q43" i="56" s="1"/>
  <c r="AC47" i="11"/>
  <c r="AC46" i="11"/>
  <c r="G50" i="11"/>
  <c r="AO52" i="63"/>
  <c r="AO51" i="63" s="1"/>
  <c r="Z52" i="11"/>
  <c r="AC41" i="11"/>
  <c r="Z50" i="11"/>
  <c r="Z28" i="11"/>
  <c r="BM21" i="56"/>
  <c r="G28" i="11"/>
  <c r="Z21" i="56"/>
  <c r="Z38" i="11"/>
  <c r="Z41" i="11"/>
  <c r="BM53" i="56"/>
  <c r="BM52" i="56" s="1"/>
  <c r="AC43" i="11"/>
  <c r="AC50" i="11"/>
  <c r="AC51" i="11"/>
  <c r="AC45" i="11"/>
  <c r="V1" i="56"/>
  <c r="Z39" i="11"/>
  <c r="Z46" i="11"/>
  <c r="AC55" i="11"/>
  <c r="BE47" i="56"/>
  <c r="AC49" i="11"/>
  <c r="V41" i="11"/>
  <c r="Z49" i="11"/>
  <c r="X56" i="56"/>
  <c r="X52" i="56" s="1"/>
  <c r="BU56" i="56" a="1"/>
  <c r="BU56" i="56" s="1"/>
  <c r="Z55" i="11"/>
  <c r="Z44" i="11"/>
  <c r="AA21" i="56"/>
  <c r="AA1" i="56"/>
  <c r="BU49" i="56" a="1"/>
  <c r="BU49" i="56" s="1"/>
  <c r="K21" i="56"/>
  <c r="W53" i="56"/>
  <c r="BS11" i="56"/>
  <c r="AM37" i="11"/>
  <c r="AM38" i="11"/>
  <c r="AM45" i="11"/>
  <c r="AM46" i="11"/>
  <c r="AM47" i="11"/>
  <c r="AM40" i="11"/>
  <c r="AM44" i="11"/>
  <c r="AM55" i="11"/>
  <c r="AM39" i="11"/>
  <c r="AM41" i="11"/>
  <c r="AM43" i="11"/>
  <c r="AM50" i="11"/>
  <c r="AM51" i="11"/>
  <c r="AM52" i="11"/>
  <c r="AM53" i="11"/>
  <c r="AM54" i="11"/>
  <c r="AM28" i="11"/>
  <c r="AM27" i="11"/>
  <c r="AM42" i="11"/>
  <c r="AM49" i="11"/>
  <c r="BS26" i="56"/>
  <c r="BL57" i="56"/>
  <c r="BS18" i="56"/>
  <c r="BS15" i="56"/>
  <c r="V50" i="11"/>
  <c r="Q24" i="56"/>
  <c r="Q55" i="56" s="1"/>
  <c r="P52" i="56"/>
  <c r="E52" i="56"/>
  <c r="L21" i="56"/>
  <c r="N21" i="56"/>
  <c r="V39" i="11"/>
  <c r="V44" i="11"/>
  <c r="BL51" i="56"/>
  <c r="V54" i="11"/>
  <c r="V27" i="11"/>
  <c r="O21" i="56"/>
  <c r="O9" i="56"/>
  <c r="V42" i="11"/>
  <c r="I63" i="56"/>
  <c r="BU45" i="56" a="1"/>
  <c r="BU45" i="56" s="1"/>
  <c r="AB57" i="56"/>
  <c r="AB52" i="56" s="1"/>
  <c r="BL55" i="56"/>
  <c r="BS24" i="56"/>
  <c r="BL21" i="56"/>
  <c r="G52" i="11"/>
  <c r="G49" i="11"/>
  <c r="BL50" i="56"/>
  <c r="G42" i="11"/>
  <c r="O63" i="56"/>
  <c r="BL46" i="56"/>
  <c r="AL38" i="11"/>
  <c r="AL47" i="11"/>
  <c r="AL52" i="11"/>
  <c r="G38" i="11"/>
  <c r="AL43" i="11"/>
  <c r="AL46" i="11"/>
  <c r="AL53" i="11"/>
  <c r="AL41" i="11"/>
  <c r="Q19" i="56"/>
  <c r="Q50" i="56" s="1"/>
  <c r="AL49" i="11"/>
  <c r="AL51" i="11"/>
  <c r="AL40" i="11"/>
  <c r="AL50" i="11"/>
  <c r="AL37" i="11"/>
  <c r="E21" i="56"/>
  <c r="AL45" i="11"/>
  <c r="H78" i="11"/>
  <c r="H21" i="56"/>
  <c r="BL53" i="56"/>
  <c r="AL55" i="11"/>
  <c r="AL44" i="11"/>
  <c r="AL54" i="11"/>
  <c r="G45" i="11"/>
  <c r="AL39" i="11"/>
  <c r="AL42" i="11"/>
  <c r="BE14" i="56"/>
  <c r="BE45" i="56" s="1"/>
  <c r="BU58" i="56" a="1"/>
  <c r="BU58" i="56" s="1"/>
  <c r="AT52" i="56"/>
  <c r="BB52" i="56"/>
  <c r="BU50" i="56" a="1"/>
  <c r="BU50" i="56" s="1"/>
  <c r="BU55" i="56" a="1"/>
  <c r="BU55" i="56" s="1"/>
  <c r="AY42" i="56"/>
  <c r="AL27" i="11"/>
  <c r="BS20" i="56"/>
  <c r="BH63" i="56"/>
  <c r="AF5" i="57" s="1"/>
  <c r="BK9" i="56"/>
  <c r="BP63" i="56"/>
  <c r="AN5" i="57" s="1"/>
  <c r="BO52" i="56"/>
  <c r="BS28" i="56"/>
  <c r="BQ63" i="56"/>
  <c r="AO5" i="57" s="1"/>
  <c r="BK52" i="56"/>
  <c r="K27" i="11"/>
  <c r="K38" i="11"/>
  <c r="K45" i="11"/>
  <c r="K37" i="11"/>
  <c r="K47" i="11"/>
  <c r="K44" i="11"/>
  <c r="K28" i="11"/>
  <c r="K42" i="11"/>
  <c r="G40" i="11"/>
  <c r="G37" i="11"/>
  <c r="G54" i="11"/>
  <c r="K40" i="11"/>
  <c r="L78" i="11"/>
  <c r="BA52" i="56"/>
  <c r="O54" i="11"/>
  <c r="N78" i="11"/>
  <c r="F9" i="56"/>
  <c r="AF52" i="11"/>
  <c r="AC38" i="11"/>
  <c r="AW52" i="56"/>
  <c r="BC21" i="56"/>
  <c r="O47" i="11"/>
  <c r="AF46" i="11"/>
  <c r="E40" i="56"/>
  <c r="O37" i="11"/>
  <c r="K39" i="11"/>
  <c r="G44" i="11"/>
  <c r="O46" i="11"/>
  <c r="E78" i="11"/>
  <c r="K46" i="11"/>
  <c r="J78" i="11"/>
  <c r="AF47" i="11"/>
  <c r="K49" i="11"/>
  <c r="BI40" i="56"/>
  <c r="AC37" i="11"/>
  <c r="BS27" i="56"/>
  <c r="O41" i="11"/>
  <c r="Q25" i="56"/>
  <c r="Q56" i="56" s="1"/>
  <c r="U27" i="11"/>
  <c r="AC53" i="11"/>
  <c r="BE53" i="56"/>
  <c r="AC52" i="11"/>
  <c r="O52" i="56"/>
  <c r="BC52" i="56"/>
  <c r="AZ52" i="56"/>
  <c r="AF28" i="11"/>
  <c r="AC39" i="11"/>
  <c r="K56" i="56"/>
  <c r="K52" i="56" s="1"/>
  <c r="L63" i="56"/>
  <c r="G52" i="56"/>
  <c r="Q26" i="56"/>
  <c r="Q57" i="56" s="1"/>
  <c r="BE12" i="56"/>
  <c r="BE43" i="56" s="1"/>
  <c r="BE24" i="56"/>
  <c r="BE55" i="56" s="1"/>
  <c r="BE59" i="56"/>
  <c r="AU52" i="56"/>
  <c r="AU21" i="56"/>
  <c r="BE56" i="56"/>
  <c r="AV52" i="56"/>
  <c r="P21" i="56"/>
  <c r="AP9" i="63"/>
  <c r="U78" i="11"/>
  <c r="AY54" i="56"/>
  <c r="AY52" i="56" s="1"/>
  <c r="AY21" i="56"/>
  <c r="O40" i="56"/>
  <c r="AW49" i="56"/>
  <c r="BE18" i="56"/>
  <c r="BE49" i="56" s="1"/>
  <c r="BS17" i="56"/>
  <c r="I41" i="11"/>
  <c r="I27" i="11"/>
  <c r="I50" i="11"/>
  <c r="I46" i="11"/>
  <c r="I38" i="11"/>
  <c r="I44" i="11"/>
  <c r="I51" i="11"/>
  <c r="I47" i="11"/>
  <c r="I28" i="11"/>
  <c r="I39" i="11"/>
  <c r="I37" i="11"/>
  <c r="I49" i="11"/>
  <c r="I54" i="11"/>
  <c r="I53" i="11"/>
  <c r="I55" i="11"/>
  <c r="I42" i="11"/>
  <c r="I45" i="11"/>
  <c r="I40" i="11"/>
  <c r="I52" i="11"/>
  <c r="BE23" i="56"/>
  <c r="BE54" i="56" s="1"/>
  <c r="O78" i="11"/>
  <c r="BK40" i="56"/>
  <c r="I43" i="11"/>
  <c r="AG39" i="11"/>
  <c r="AG42" i="11"/>
  <c r="AG43" i="11"/>
  <c r="AG49" i="11"/>
  <c r="AG55" i="11"/>
  <c r="AG40" i="11"/>
  <c r="AG37" i="11"/>
  <c r="AG46" i="11"/>
  <c r="AG45" i="11"/>
  <c r="AG27" i="11"/>
  <c r="AG52" i="11"/>
  <c r="AG51" i="11"/>
  <c r="AG54" i="11"/>
  <c r="AG41" i="11"/>
  <c r="AG47" i="11"/>
  <c r="AG38" i="11"/>
  <c r="AG53" i="11"/>
  <c r="AG50" i="11"/>
  <c r="AG28" i="11"/>
  <c r="BG57" i="56"/>
  <c r="BG21" i="56"/>
  <c r="BF40" i="56"/>
  <c r="AW21" i="56"/>
  <c r="Q16" i="56"/>
  <c r="Q47" i="56" s="1"/>
  <c r="M55" i="56"/>
  <c r="M52" i="56" s="1"/>
  <c r="M21" i="56"/>
  <c r="BE27" i="56"/>
  <c r="BE58" i="56" s="1"/>
  <c r="U9" i="56"/>
  <c r="O55" i="11"/>
  <c r="O50" i="11"/>
  <c r="O43" i="11"/>
  <c r="O42" i="11"/>
  <c r="O28" i="11"/>
  <c r="O45" i="11"/>
  <c r="O51" i="11"/>
  <c r="O44" i="11"/>
  <c r="O52" i="11"/>
  <c r="BF9" i="56"/>
  <c r="BD21" i="56"/>
  <c r="I56" i="56"/>
  <c r="I52" i="56" s="1"/>
  <c r="I21" i="56"/>
  <c r="G78" i="11"/>
  <c r="BD52" i="56"/>
  <c r="G21" i="56"/>
  <c r="BI63" i="56"/>
  <c r="AG5" i="57" s="1"/>
  <c r="V43" i="11"/>
  <c r="V55" i="11"/>
  <c r="V49" i="11"/>
  <c r="V52" i="11"/>
  <c r="V47" i="11"/>
  <c r="V51" i="11"/>
  <c r="V28" i="11"/>
  <c r="AF27" i="11"/>
  <c r="AF43" i="11"/>
  <c r="AF38" i="11"/>
  <c r="AF49" i="11"/>
  <c r="AF40" i="11"/>
  <c r="AF41" i="11"/>
  <c r="AF55" i="11"/>
  <c r="AF54" i="11"/>
  <c r="AF42" i="11"/>
  <c r="AF45" i="11"/>
  <c r="AF44" i="11"/>
  <c r="AF50" i="11"/>
  <c r="AF51" i="11"/>
  <c r="AF37" i="11"/>
  <c r="AA52" i="56"/>
  <c r="AA63" i="56"/>
  <c r="Z5" i="57" s="1"/>
  <c r="AD18" i="56"/>
  <c r="AD49" i="56" s="1"/>
  <c r="AK51" i="63"/>
  <c r="AM61" i="63"/>
  <c r="AJ61" i="63"/>
  <c r="BJ50" i="63" a="1"/>
  <c r="BJ50" i="63" s="1"/>
  <c r="AB63" i="56"/>
  <c r="AA5" i="57" s="1"/>
  <c r="AN61" i="63"/>
  <c r="AC63" i="56"/>
  <c r="AB5" i="57" s="1"/>
  <c r="Z63" i="56"/>
  <c r="Y5" i="57" s="1"/>
  <c r="AK61" i="63"/>
  <c r="AB40" i="56"/>
  <c r="AX12" i="63"/>
  <c r="AS12" i="63" s="1"/>
  <c r="AS42" i="63" s="1"/>
  <c r="AX42" i="63" s="1"/>
  <c r="AA40" i="56"/>
  <c r="BG50" i="63" a="1"/>
  <c r="BG50" i="63" s="1"/>
  <c r="AM51" i="63"/>
  <c r="U63" i="56"/>
  <c r="T5" i="57" s="1"/>
  <c r="AD20" i="56"/>
  <c r="AD51" i="56" s="1"/>
  <c r="BJ46" i="63" a="1"/>
  <c r="BJ46" i="63" s="1"/>
  <c r="AX18" i="63"/>
  <c r="AS18" i="63" s="1"/>
  <c r="BM50" i="63" a="1"/>
  <c r="BM50" i="63" s="1"/>
  <c r="AY11" i="63"/>
  <c r="AX20" i="63"/>
  <c r="AS20" i="63" s="1"/>
  <c r="AQ9" i="63"/>
  <c r="W21" i="56"/>
  <c r="AD28" i="56"/>
  <c r="AD59" i="56" s="1"/>
  <c r="BL50" i="63" a="1"/>
  <c r="BL50" i="63" s="1"/>
  <c r="AR39" i="63"/>
  <c r="U40" i="56"/>
  <c r="BG57" i="63" a="1"/>
  <c r="BG57" i="63" s="1"/>
  <c r="BO48" i="63"/>
  <c r="AP61" i="63"/>
  <c r="AD12" i="56"/>
  <c r="AD43" i="56" s="1"/>
  <c r="BG46" i="63" a="1"/>
  <c r="BG46" i="63" s="1"/>
  <c r="AQ46" i="63"/>
  <c r="BM46" i="63" s="1" a="1"/>
  <c r="BM46" i="63" s="1"/>
  <c r="AO61" i="63"/>
  <c r="BK50" i="63" a="1"/>
  <c r="BK50" i="63" s="1"/>
  <c r="AX22" i="63"/>
  <c r="AS22" i="63" s="1"/>
  <c r="BI50" i="63" a="1"/>
  <c r="BI50" i="63" s="1"/>
  <c r="AR61" i="63"/>
  <c r="AP39" i="63"/>
  <c r="R21" i="56"/>
  <c r="AG61" i="63"/>
  <c r="BO50" i="63"/>
  <c r="AY50" i="63" s="1"/>
  <c r="BH50" i="63" a="1"/>
  <c r="BH50" i="63" s="1"/>
  <c r="AD16" i="56"/>
  <c r="AD47" i="56" s="1"/>
  <c r="AD27" i="56"/>
  <c r="AD58" i="56" s="1"/>
  <c r="R52" i="56"/>
  <c r="AL21" i="63"/>
  <c r="AX13" i="63"/>
  <c r="AS13" i="63" s="1"/>
  <c r="BI46" i="63" a="1"/>
  <c r="BI46" i="63" s="1"/>
  <c r="Y21" i="56"/>
  <c r="AY22" i="63"/>
  <c r="AX16" i="63"/>
  <c r="AS16" i="63" s="1"/>
  <c r="BL46" i="63" a="1"/>
  <c r="BL46" i="63" s="1"/>
  <c r="BK46" i="63" a="1"/>
  <c r="BK46" i="63" s="1"/>
  <c r="AI41" i="11"/>
  <c r="AN49" i="63"/>
  <c r="AN9" i="63"/>
  <c r="AI46" i="11"/>
  <c r="AH9" i="63"/>
  <c r="E63" i="56"/>
  <c r="BH46" i="63" a="1"/>
  <c r="BH46" i="63" s="1"/>
  <c r="AI44" i="11"/>
  <c r="AI52" i="11"/>
  <c r="AI37" i="11"/>
  <c r="AL51" i="63"/>
  <c r="E9" i="56"/>
  <c r="AI39" i="11"/>
  <c r="AI27" i="11"/>
  <c r="AA9" i="56"/>
  <c r="AI40" i="11"/>
  <c r="I78" i="11"/>
  <c r="AI42" i="11"/>
  <c r="AI45" i="11"/>
  <c r="AI54" i="11"/>
  <c r="Y50" i="56"/>
  <c r="AD19" i="56"/>
  <c r="AD50" i="56" s="1"/>
  <c r="U40" i="11"/>
  <c r="AM42" i="63"/>
  <c r="BL42" i="63" s="1" a="1"/>
  <c r="BL42" i="63" s="1"/>
  <c r="AM9" i="63"/>
  <c r="AA47" i="11"/>
  <c r="AA27" i="11"/>
  <c r="AA44" i="11"/>
  <c r="AA40" i="11"/>
  <c r="AA43" i="11"/>
  <c r="AA42" i="11"/>
  <c r="AA41" i="11"/>
  <c r="AA38" i="11"/>
  <c r="AA49" i="11"/>
  <c r="AA46" i="11"/>
  <c r="AA28" i="11"/>
  <c r="AA53" i="11"/>
  <c r="AA54" i="11"/>
  <c r="AA52" i="11"/>
  <c r="AA55" i="11"/>
  <c r="AA51" i="11"/>
  <c r="AA37" i="11"/>
  <c r="AA50" i="11"/>
  <c r="AA45" i="11"/>
  <c r="AA39" i="11"/>
  <c r="AN58" i="63"/>
  <c r="AN51" i="63" s="1"/>
  <c r="AN21" i="63"/>
  <c r="U38" i="11"/>
  <c r="AI55" i="11"/>
  <c r="AX11" i="63"/>
  <c r="AS11" i="63" s="1"/>
  <c r="AC42" i="56"/>
  <c r="AC40" i="56" s="1"/>
  <c r="AD11" i="56"/>
  <c r="AD42" i="56" s="1"/>
  <c r="U54" i="11"/>
  <c r="F78" i="11"/>
  <c r="U50" i="11"/>
  <c r="M78" i="11"/>
  <c r="BO41" i="63"/>
  <c r="AI50" i="11"/>
  <c r="U42" i="11"/>
  <c r="U43" i="11"/>
  <c r="AX19" i="63"/>
  <c r="AS19" i="63" s="1"/>
  <c r="AI51" i="11"/>
  <c r="AK21" i="63"/>
  <c r="BF63" i="56"/>
  <c r="AD5" i="57" s="1"/>
  <c r="U37" i="11"/>
  <c r="AI38" i="11"/>
  <c r="Q28" i="56"/>
  <c r="Q59" i="56" s="1"/>
  <c r="AI43" i="11"/>
  <c r="U51" i="11"/>
  <c r="AI49" i="11"/>
  <c r="AI28" i="11"/>
  <c r="AI53" i="11"/>
  <c r="AZ43" i="56"/>
  <c r="J45" i="56"/>
  <c r="M45" i="11"/>
  <c r="M50" i="11"/>
  <c r="M54" i="11"/>
  <c r="M53" i="11"/>
  <c r="M49" i="11"/>
  <c r="M47" i="11"/>
  <c r="M39" i="11"/>
  <c r="M55" i="11"/>
  <c r="M44" i="11"/>
  <c r="M40" i="11"/>
  <c r="M38" i="11"/>
  <c r="M52" i="11"/>
  <c r="M46" i="11"/>
  <c r="M43" i="11"/>
  <c r="M51" i="11"/>
  <c r="M42" i="11"/>
  <c r="M27" i="11"/>
  <c r="M37" i="11"/>
  <c r="M28" i="11"/>
  <c r="N39" i="11"/>
  <c r="N55" i="11"/>
  <c r="N37" i="11"/>
  <c r="N47" i="11"/>
  <c r="N41" i="11"/>
  <c r="N45" i="11"/>
  <c r="N40" i="11"/>
  <c r="N43" i="11"/>
  <c r="N27" i="11"/>
  <c r="N51" i="11"/>
  <c r="N46" i="11"/>
  <c r="N54" i="11"/>
  <c r="N44" i="11"/>
  <c r="N50" i="11"/>
  <c r="N52" i="11"/>
  <c r="N53" i="11"/>
  <c r="N38" i="11"/>
  <c r="N28" i="11"/>
  <c r="AH40" i="63"/>
  <c r="BL40" i="63" s="1" a="1"/>
  <c r="BL40" i="63" s="1"/>
  <c r="AS30" i="63"/>
  <c r="M45" i="56"/>
  <c r="M40" i="56" s="1"/>
  <c r="M9" i="56"/>
  <c r="G49" i="56"/>
  <c r="Q18" i="56"/>
  <c r="Q49" i="56" s="1"/>
  <c r="U44" i="11"/>
  <c r="N42" i="11"/>
  <c r="BQ43" i="56"/>
  <c r="BQ9" i="56"/>
  <c r="W46" i="56"/>
  <c r="W9" i="56"/>
  <c r="M41" i="11"/>
  <c r="N46" i="56"/>
  <c r="Q15" i="56"/>
  <c r="Q46" i="56" s="1"/>
  <c r="N9" i="56"/>
  <c r="T48" i="56"/>
  <c r="T63" i="56" s="1"/>
  <c r="S5" i="57" s="1"/>
  <c r="AD17" i="56"/>
  <c r="AD48" i="56" s="1"/>
  <c r="V21" i="56"/>
  <c r="AH53" i="63"/>
  <c r="AX23" i="63"/>
  <c r="AS23" i="63" s="1"/>
  <c r="BP43" i="56"/>
  <c r="BS12" i="56"/>
  <c r="BP9" i="56"/>
  <c r="S46" i="56"/>
  <c r="AD15" i="56"/>
  <c r="AD46" i="56" s="1"/>
  <c r="AI47" i="63"/>
  <c r="AI9" i="63"/>
  <c r="W56" i="56"/>
  <c r="AD25" i="56"/>
  <c r="AD56" i="56" s="1"/>
  <c r="E28" i="11"/>
  <c r="E37" i="11"/>
  <c r="E46" i="11"/>
  <c r="E45" i="11"/>
  <c r="E50" i="11"/>
  <c r="E39" i="11"/>
  <c r="E42" i="11"/>
  <c r="E52" i="11"/>
  <c r="E54" i="11"/>
  <c r="E41" i="11"/>
  <c r="E47" i="11"/>
  <c r="E44" i="11"/>
  <c r="E43" i="11"/>
  <c r="E55" i="11"/>
  <c r="E27" i="11"/>
  <c r="E40" i="11"/>
  <c r="E38" i="11"/>
  <c r="E49" i="11"/>
  <c r="E53" i="11"/>
  <c r="E51" i="11"/>
  <c r="U53" i="11"/>
  <c r="BJ52" i="56"/>
  <c r="AX42" i="56"/>
  <c r="BE11" i="56"/>
  <c r="BE42" i="56" s="1"/>
  <c r="L52" i="56"/>
  <c r="BO46" i="56"/>
  <c r="BO9" i="56"/>
  <c r="AJ46" i="11"/>
  <c r="AJ28" i="11"/>
  <c r="AJ38" i="11"/>
  <c r="AJ51" i="11"/>
  <c r="AJ40" i="11"/>
  <c r="AJ55" i="11"/>
  <c r="AJ45" i="11"/>
  <c r="AJ41" i="11"/>
  <c r="AJ37" i="11"/>
  <c r="AJ42" i="11"/>
  <c r="AJ39" i="11"/>
  <c r="AJ52" i="11"/>
  <c r="AJ44" i="11"/>
  <c r="AJ43" i="11"/>
  <c r="AJ27" i="11"/>
  <c r="AJ50" i="11"/>
  <c r="AJ47" i="11"/>
  <c r="AJ49" i="11"/>
  <c r="AJ53" i="11"/>
  <c r="AI58" i="63"/>
  <c r="AX28" i="63"/>
  <c r="AS28" i="63" s="1"/>
  <c r="U55" i="11"/>
  <c r="AL9" i="63"/>
  <c r="U49" i="11"/>
  <c r="AH54" i="63"/>
  <c r="AX24" i="63"/>
  <c r="AS24" i="63" s="1"/>
  <c r="K78" i="11"/>
  <c r="V63" i="56"/>
  <c r="U5" i="57" s="1"/>
  <c r="V40" i="56"/>
  <c r="U47" i="11"/>
  <c r="BK63" i="56"/>
  <c r="U45" i="11"/>
  <c r="R41" i="56"/>
  <c r="AD10" i="56"/>
  <c r="AD41" i="56" s="1"/>
  <c r="AD62" i="56"/>
  <c r="AB49" i="11"/>
  <c r="AB27" i="11"/>
  <c r="AB40" i="11"/>
  <c r="AB37" i="11"/>
  <c r="AB39" i="11"/>
  <c r="AB51" i="11"/>
  <c r="AB28" i="11"/>
  <c r="AB42" i="11"/>
  <c r="AB54" i="11"/>
  <c r="AB47" i="11"/>
  <c r="AB52" i="11"/>
  <c r="AB44" i="11"/>
  <c r="AB43" i="11"/>
  <c r="AB38" i="11"/>
  <c r="AB45" i="11"/>
  <c r="AB46" i="11"/>
  <c r="AB53" i="11"/>
  <c r="AB50" i="11"/>
  <c r="AB41" i="11"/>
  <c r="AB55" i="11"/>
  <c r="S41" i="56"/>
  <c r="S9" i="56"/>
  <c r="T9" i="56"/>
  <c r="U46" i="11"/>
  <c r="BA43" i="56"/>
  <c r="W43" i="11"/>
  <c r="W49" i="11"/>
  <c r="W39" i="11"/>
  <c r="W38" i="11"/>
  <c r="W44" i="11"/>
  <c r="W40" i="11"/>
  <c r="W52" i="11"/>
  <c r="W37" i="11"/>
  <c r="W45" i="11"/>
  <c r="W27" i="11"/>
  <c r="W42" i="11"/>
  <c r="W51" i="11"/>
  <c r="W46" i="11"/>
  <c r="W28" i="11"/>
  <c r="W54" i="11"/>
  <c r="W41" i="11"/>
  <c r="W47" i="11"/>
  <c r="W53" i="11"/>
  <c r="W50" i="11"/>
  <c r="W55" i="11"/>
  <c r="BM41" i="56"/>
  <c r="BM9" i="56"/>
  <c r="L40" i="56"/>
  <c r="BL41" i="56"/>
  <c r="BL9" i="56"/>
  <c r="BR62" i="56"/>
  <c r="U52" i="11"/>
  <c r="U28" i="11"/>
  <c r="AK27" i="11"/>
  <c r="AK53" i="11"/>
  <c r="AK55" i="11"/>
  <c r="AK38" i="11"/>
  <c r="AK42" i="11"/>
  <c r="AK28" i="11"/>
  <c r="AK52" i="11"/>
  <c r="AK44" i="11"/>
  <c r="AK37" i="11"/>
  <c r="AK45" i="11"/>
  <c r="AK43" i="11"/>
  <c r="AK41" i="11"/>
  <c r="AK39" i="11"/>
  <c r="AK46" i="11"/>
  <c r="AK54" i="11"/>
  <c r="AK49" i="11"/>
  <c r="AK40" i="11"/>
  <c r="AK50" i="11"/>
  <c r="AK51" i="11"/>
  <c r="AH45" i="63"/>
  <c r="AX15" i="63"/>
  <c r="AS15" i="63" s="1"/>
  <c r="F41" i="56"/>
  <c r="F63" i="56" s="1"/>
  <c r="N51" i="56"/>
  <c r="Q20" i="56"/>
  <c r="Q51" i="56" s="1"/>
  <c r="V52" i="56"/>
  <c r="N49" i="11"/>
  <c r="L54" i="11"/>
  <c r="L40" i="11"/>
  <c r="L41" i="11"/>
  <c r="L38" i="11"/>
  <c r="L51" i="11"/>
  <c r="L52" i="11"/>
  <c r="L39" i="11"/>
  <c r="L53" i="11"/>
  <c r="L44" i="11"/>
  <c r="L27" i="11"/>
  <c r="L46" i="11"/>
  <c r="L49" i="11"/>
  <c r="L43" i="11"/>
  <c r="L42" i="11"/>
  <c r="L50" i="11"/>
  <c r="L28" i="11"/>
  <c r="L37" i="11"/>
  <c r="L55" i="11"/>
  <c r="L47" i="11"/>
  <c r="L9" i="56"/>
  <c r="V9" i="56"/>
  <c r="U41" i="11"/>
  <c r="AK9" i="63"/>
  <c r="I45" i="56"/>
  <c r="AX10" i="63"/>
  <c r="AS10" i="63" s="1"/>
  <c r="AR53" i="63"/>
  <c r="AY23" i="63"/>
  <c r="AR21" i="63"/>
  <c r="BG42" i="63" a="1"/>
  <c r="BG42" i="63" s="1"/>
  <c r="BH42" i="63" a="1"/>
  <c r="BH42" i="63" s="1"/>
  <c r="AX17" i="63"/>
  <c r="AS17" i="63" s="1"/>
  <c r="AC54" i="56"/>
  <c r="AC52" i="56" s="1"/>
  <c r="AD23" i="56"/>
  <c r="AD54" i="56" s="1"/>
  <c r="BJ21" i="56"/>
  <c r="N53" i="56"/>
  <c r="N52" i="56" s="1"/>
  <c r="Q22" i="56"/>
  <c r="Q53" i="56" s="1"/>
  <c r="Q23" i="56"/>
  <c r="Q54" i="56" s="1"/>
  <c r="F54" i="56"/>
  <c r="F52" i="56" s="1"/>
  <c r="AL39" i="63"/>
  <c r="AL61" i="63"/>
  <c r="AK39" i="63"/>
  <c r="AX52" i="56"/>
  <c r="H42" i="56"/>
  <c r="H9" i="56"/>
  <c r="Q11" i="56"/>
  <c r="K44" i="56"/>
  <c r="K40" i="56" s="1"/>
  <c r="Q13" i="56"/>
  <c r="Q44" i="56" s="1"/>
  <c r="BU57" i="56" a="1"/>
  <c r="BU57" i="56" s="1"/>
  <c r="Z40" i="56"/>
  <c r="G48" i="56"/>
  <c r="G9" i="56"/>
  <c r="Q17" i="56"/>
  <c r="Q48" i="56" s="1"/>
  <c r="Z9" i="56"/>
  <c r="H52" i="56"/>
  <c r="BJ52" i="63" a="1"/>
  <c r="BJ52" i="63" s="1"/>
  <c r="BH52" i="63" a="1"/>
  <c r="BH52" i="63" s="1"/>
  <c r="BI52" i="63" a="1"/>
  <c r="BI52" i="63" s="1"/>
  <c r="BG52" i="63" a="1"/>
  <c r="BG52" i="63" s="1"/>
  <c r="S53" i="56"/>
  <c r="S21" i="56"/>
  <c r="S1" i="56"/>
  <c r="AD22" i="56"/>
  <c r="K9" i="56"/>
  <c r="R44" i="56"/>
  <c r="U57" i="56"/>
  <c r="AD26" i="56"/>
  <c r="AD57" i="56" s="1"/>
  <c r="U21" i="56"/>
  <c r="J58" i="56"/>
  <c r="Q27" i="56"/>
  <c r="Q58" i="56" s="1"/>
  <c r="J21" i="56"/>
  <c r="BO57" i="63"/>
  <c r="AY57" i="63" s="1"/>
  <c r="BH57" i="63" a="1"/>
  <c r="BH57" i="63" s="1"/>
  <c r="BM57" i="63" a="1"/>
  <c r="BM57" i="63" s="1"/>
  <c r="BL57" i="63" a="1"/>
  <c r="BL57" i="63" s="1"/>
  <c r="BK57" i="63" a="1"/>
  <c r="BK57" i="63" s="1"/>
  <c r="BJ57" i="63" a="1"/>
  <c r="BJ57" i="63" s="1"/>
  <c r="BI57" i="63" a="1"/>
  <c r="BI57" i="63" s="1"/>
  <c r="AO44" i="63"/>
  <c r="AO9" i="63"/>
  <c r="I9" i="56"/>
  <c r="I42" i="56"/>
  <c r="AJ56" i="63"/>
  <c r="AJ21" i="63"/>
  <c r="H46" i="11"/>
  <c r="H43" i="11"/>
  <c r="H52" i="11"/>
  <c r="H45" i="11"/>
  <c r="H42" i="11"/>
  <c r="H40" i="11"/>
  <c r="H44" i="11"/>
  <c r="H50" i="11"/>
  <c r="H41" i="11"/>
  <c r="H54" i="11"/>
  <c r="H47" i="11"/>
  <c r="H49" i="11"/>
  <c r="H51" i="11"/>
  <c r="H38" i="11"/>
  <c r="H28" i="11"/>
  <c r="H55" i="11"/>
  <c r="H53" i="11"/>
  <c r="H37" i="11"/>
  <c r="H39" i="11"/>
  <c r="H27" i="11"/>
  <c r="AJ39" i="63"/>
  <c r="BG43" i="63" a="1"/>
  <c r="BG43" i="63" s="1"/>
  <c r="BL43" i="63" a="1"/>
  <c r="BL43" i="63" s="1"/>
  <c r="BH43" i="63" a="1"/>
  <c r="BH43" i="63" s="1"/>
  <c r="BJ43" i="63" a="1"/>
  <c r="BJ43" i="63" s="1"/>
  <c r="BK43" i="63" a="1"/>
  <c r="BK43" i="63" s="1"/>
  <c r="BO43" i="63"/>
  <c r="AY43" i="63" s="1"/>
  <c r="BM43" i="63" a="1"/>
  <c r="BM43" i="63" s="1"/>
  <c r="BI43" i="63" a="1"/>
  <c r="BI43" i="63" s="1"/>
  <c r="BU53" i="56" l="1" a="1"/>
  <c r="BU53" i="56" s="1"/>
  <c r="BT57" i="56"/>
  <c r="BT49" i="56"/>
  <c r="BT42" i="56"/>
  <c r="BT58" i="56"/>
  <c r="BT56" i="56"/>
  <c r="BT45" i="56"/>
  <c r="BT47" i="56"/>
  <c r="BT59" i="56"/>
  <c r="BT53" i="56"/>
  <c r="BT55" i="56"/>
  <c r="BT50" i="56"/>
  <c r="BT43" i="56"/>
  <c r="AR62" i="56"/>
  <c r="BG63" i="56"/>
  <c r="AE5" i="57" s="1"/>
  <c r="X55" i="11"/>
  <c r="BT21" i="56"/>
  <c r="BI29" i="56"/>
  <c r="AH29" i="56"/>
  <c r="AH30" i="56" s="1"/>
  <c r="BS62" i="56"/>
  <c r="BJ40" i="56"/>
  <c r="BJ60" i="56" s="1"/>
  <c r="AE29" i="56"/>
  <c r="BI52" i="56"/>
  <c r="BI60" i="56" s="1"/>
  <c r="AX26" i="63"/>
  <c r="AS26" i="63" s="1"/>
  <c r="AS56" i="63" s="1"/>
  <c r="R40" i="11"/>
  <c r="BG52" i="56"/>
  <c r="BG60" i="56" s="1"/>
  <c r="Q10" i="56"/>
  <c r="Q41" i="56" s="1"/>
  <c r="BF52" i="56"/>
  <c r="BF60" i="56" s="1"/>
  <c r="BF83" i="56" s="1"/>
  <c r="Q62" i="56"/>
  <c r="BG29" i="56"/>
  <c r="BQ40" i="56"/>
  <c r="P44" i="11"/>
  <c r="P52" i="11"/>
  <c r="J43" i="11"/>
  <c r="J39" i="11"/>
  <c r="BF29" i="56"/>
  <c r="J52" i="11"/>
  <c r="Q14" i="56"/>
  <c r="Q45" i="56" s="1"/>
  <c r="P38" i="11"/>
  <c r="P53" i="11"/>
  <c r="P27" i="11"/>
  <c r="AG21" i="56"/>
  <c r="BQ52" i="56"/>
  <c r="AR25" i="11"/>
  <c r="P43" i="11"/>
  <c r="P49" i="11"/>
  <c r="R9" i="56"/>
  <c r="R29" i="56" s="1"/>
  <c r="J44" i="11"/>
  <c r="J55" i="11"/>
  <c r="P39" i="11"/>
  <c r="Y49" i="11"/>
  <c r="AD14" i="56"/>
  <c r="AD45" i="56" s="1"/>
  <c r="P54" i="11"/>
  <c r="Y46" i="11"/>
  <c r="R39" i="11"/>
  <c r="AP29" i="56"/>
  <c r="P50" i="11"/>
  <c r="R45" i="11"/>
  <c r="P42" i="11"/>
  <c r="P45" i="11"/>
  <c r="S50" i="11"/>
  <c r="P28" i="11"/>
  <c r="S40" i="11"/>
  <c r="R37" i="11"/>
  <c r="AR14" i="56"/>
  <c r="AR9" i="56" s="1"/>
  <c r="Y45" i="11"/>
  <c r="P47" i="11"/>
  <c r="S55" i="11"/>
  <c r="R41" i="11"/>
  <c r="P51" i="11"/>
  <c r="P55" i="11"/>
  <c r="BM56" i="63" a="1"/>
  <c r="BM56" i="63" s="1"/>
  <c r="P37" i="11"/>
  <c r="S53" i="11"/>
  <c r="AG21" i="63"/>
  <c r="AL29" i="56"/>
  <c r="S52" i="11"/>
  <c r="P9" i="56"/>
  <c r="P29" i="56" s="1"/>
  <c r="P41" i="11"/>
  <c r="P46" i="11"/>
  <c r="AK29" i="56"/>
  <c r="AK60" i="56"/>
  <c r="BJ63" i="56"/>
  <c r="AH5" i="57" s="1"/>
  <c r="Y44" i="11"/>
  <c r="AG9" i="63"/>
  <c r="J51" i="11"/>
  <c r="X51" i="11"/>
  <c r="J9" i="56"/>
  <c r="J29" i="56" s="1"/>
  <c r="J50" i="11"/>
  <c r="Y38" i="11"/>
  <c r="AJ52" i="56"/>
  <c r="AI52" i="56"/>
  <c r="AF40" i="56"/>
  <c r="AF63" i="56"/>
  <c r="BK29" i="56"/>
  <c r="BK30" i="56" s="1"/>
  <c r="Y39" i="11"/>
  <c r="AH63" i="56"/>
  <c r="AH40" i="56"/>
  <c r="J47" i="11"/>
  <c r="Y50" i="11"/>
  <c r="Y28" i="11"/>
  <c r="J27" i="11"/>
  <c r="J37" i="11"/>
  <c r="Y37" i="11"/>
  <c r="J40" i="56"/>
  <c r="J42" i="11"/>
  <c r="Y41" i="11"/>
  <c r="BH9" i="56"/>
  <c r="AN60" i="56"/>
  <c r="AG9" i="56"/>
  <c r="AI29" i="56"/>
  <c r="AN30" i="56"/>
  <c r="AJ29" i="56"/>
  <c r="J54" i="11"/>
  <c r="J40" i="11"/>
  <c r="Y55" i="11"/>
  <c r="Y43" i="11"/>
  <c r="BH21" i="56"/>
  <c r="BH45" i="56"/>
  <c r="AF52" i="56"/>
  <c r="AG40" i="56"/>
  <c r="AG63" i="56"/>
  <c r="AL40" i="56"/>
  <c r="AL60" i="56" s="1"/>
  <c r="AL72" i="56" s="1"/>
  <c r="AI63" i="56"/>
  <c r="AI40" i="56"/>
  <c r="AE52" i="56"/>
  <c r="J49" i="11"/>
  <c r="AG52" i="56"/>
  <c r="AO63" i="56"/>
  <c r="AO40" i="56"/>
  <c r="J45" i="11"/>
  <c r="J53" i="11"/>
  <c r="Y51" i="11"/>
  <c r="J41" i="11"/>
  <c r="Y54" i="11"/>
  <c r="AH52" i="56"/>
  <c r="AP40" i="56"/>
  <c r="AP60" i="56" s="1"/>
  <c r="AP71" i="56" s="1"/>
  <c r="J46" i="11"/>
  <c r="AR26" i="56"/>
  <c r="AR21" i="56" s="1"/>
  <c r="AF29" i="56"/>
  <c r="AM60" i="56"/>
  <c r="AO29" i="56"/>
  <c r="AJ63" i="56"/>
  <c r="AJ40" i="56"/>
  <c r="J38" i="11"/>
  <c r="Y52" i="11"/>
  <c r="BJ29" i="56"/>
  <c r="Y27" i="11"/>
  <c r="AO52" i="56"/>
  <c r="AE63" i="56"/>
  <c r="AE40" i="56"/>
  <c r="BH44" i="63" a="1"/>
  <c r="BH44" i="63" s="1"/>
  <c r="BI44" i="63" a="1"/>
  <c r="BI44" i="63" s="1"/>
  <c r="BJ44" i="63" a="1"/>
  <c r="BJ44" i="63" s="1"/>
  <c r="BG44" i="63" a="1"/>
  <c r="BG44" i="63" s="1"/>
  <c r="BO44" i="63"/>
  <c r="AY44" i="63" s="1"/>
  <c r="Y53" i="11"/>
  <c r="X44" i="11"/>
  <c r="X52" i="11"/>
  <c r="BQ29" i="56"/>
  <c r="Y42" i="11"/>
  <c r="Y47" i="11"/>
  <c r="S39" i="11"/>
  <c r="S49" i="11"/>
  <c r="X39" i="11"/>
  <c r="X54" i="11"/>
  <c r="S41" i="11"/>
  <c r="AX14" i="63"/>
  <c r="AS14" i="63" s="1"/>
  <c r="AS9" i="63" s="1"/>
  <c r="X27" i="11"/>
  <c r="S44" i="11"/>
  <c r="S43" i="11"/>
  <c r="S51" i="11"/>
  <c r="X42" i="11"/>
  <c r="X40" i="11"/>
  <c r="S27" i="11"/>
  <c r="S54" i="11"/>
  <c r="X28" i="11"/>
  <c r="X47" i="11"/>
  <c r="X53" i="11"/>
  <c r="X46" i="11"/>
  <c r="X50" i="11"/>
  <c r="R46" i="11"/>
  <c r="R47" i="11"/>
  <c r="R51" i="11"/>
  <c r="R42" i="11"/>
  <c r="R27" i="11"/>
  <c r="R52" i="11"/>
  <c r="R49" i="11"/>
  <c r="R28" i="11"/>
  <c r="R43" i="11"/>
  <c r="R54" i="11"/>
  <c r="R50" i="11"/>
  <c r="R55" i="11"/>
  <c r="R44" i="11"/>
  <c r="R38" i="11"/>
  <c r="X41" i="11"/>
  <c r="X63" i="56"/>
  <c r="W5" i="57" s="1"/>
  <c r="BP29" i="56"/>
  <c r="BP30" i="56" s="1"/>
  <c r="BO29" i="56"/>
  <c r="S45" i="11"/>
  <c r="X9" i="56"/>
  <c r="X29" i="56" s="1"/>
  <c r="X30" i="56" s="1"/>
  <c r="S38" i="11"/>
  <c r="S47" i="11"/>
  <c r="X37" i="11"/>
  <c r="AF99" i="13"/>
  <c r="AF65" i="13"/>
  <c r="AF87" i="13"/>
  <c r="AF71" i="13"/>
  <c r="Y9" i="56"/>
  <c r="Y29" i="56" s="1"/>
  <c r="AF76" i="13"/>
  <c r="AH21" i="63"/>
  <c r="AH29" i="63" s="1"/>
  <c r="AH32" i="63" s="1"/>
  <c r="AF82" i="13"/>
  <c r="AF104" i="13"/>
  <c r="AF80" i="13"/>
  <c r="AE25" i="11"/>
  <c r="AE27" i="11" s="1"/>
  <c r="AF91" i="13"/>
  <c r="AF64" i="13"/>
  <c r="X45" i="11"/>
  <c r="AD13" i="56"/>
  <c r="AD44" i="56" s="1"/>
  <c r="T49" i="11"/>
  <c r="X43" i="11"/>
  <c r="R79" i="13"/>
  <c r="T55" i="11"/>
  <c r="X49" i="11"/>
  <c r="S46" i="11"/>
  <c r="S42" i="11"/>
  <c r="BV47" i="56" a="1"/>
  <c r="BV47" i="56" s="1"/>
  <c r="BV45" i="56" a="1"/>
  <c r="BV45" i="56" s="1"/>
  <c r="R71" i="13"/>
  <c r="BM55" i="63" a="1"/>
  <c r="BM55" i="63" s="1"/>
  <c r="BV59" i="56" a="1"/>
  <c r="BV59" i="56" s="1"/>
  <c r="AF109" i="13"/>
  <c r="AF94" i="13"/>
  <c r="AF85" i="13"/>
  <c r="S37" i="11"/>
  <c r="AH42" i="11"/>
  <c r="BV56" i="56" a="1"/>
  <c r="BV56" i="56" s="1"/>
  <c r="R106" i="13"/>
  <c r="R105" i="13"/>
  <c r="BN29" i="56"/>
  <c r="R80" i="13"/>
  <c r="R88" i="13"/>
  <c r="R103" i="13"/>
  <c r="BN63" i="56"/>
  <c r="AL5" i="57" s="1"/>
  <c r="R89" i="13"/>
  <c r="BN52" i="56"/>
  <c r="BU43" i="56" a="1"/>
  <c r="BU43" i="56" s="1"/>
  <c r="BV43" i="56" s="1" a="1"/>
  <c r="BV43" i="56" s="1"/>
  <c r="AG71" i="13"/>
  <c r="AG68" i="13"/>
  <c r="AG66" i="13"/>
  <c r="AG93" i="13"/>
  <c r="AG82" i="13"/>
  <c r="AG96" i="13"/>
  <c r="AG65" i="13"/>
  <c r="AG99" i="13"/>
  <c r="AG72" i="13"/>
  <c r="AG74" i="13"/>
  <c r="AG103" i="13"/>
  <c r="AG91" i="13"/>
  <c r="AG94" i="13"/>
  <c r="AG86" i="13"/>
  <c r="AG90" i="13"/>
  <c r="AG88" i="13"/>
  <c r="BV58" i="56" a="1"/>
  <c r="BV58" i="56" s="1"/>
  <c r="BN40" i="56"/>
  <c r="BV49" i="56" a="1"/>
  <c r="BV49" i="56" s="1"/>
  <c r="AA29" i="56"/>
  <c r="F40" i="11"/>
  <c r="AP29" i="63"/>
  <c r="AP31" i="63" s="1"/>
  <c r="F53" i="11"/>
  <c r="R73" i="13"/>
  <c r="R82" i="13"/>
  <c r="F38" i="11"/>
  <c r="R91" i="13"/>
  <c r="R66" i="13"/>
  <c r="R99" i="13"/>
  <c r="R77" i="13"/>
  <c r="R93" i="13"/>
  <c r="R107" i="13"/>
  <c r="F55" i="11"/>
  <c r="R92" i="13"/>
  <c r="R74" i="13"/>
  <c r="R84" i="13"/>
  <c r="R64" i="13"/>
  <c r="AQ61" i="63"/>
  <c r="R65" i="13"/>
  <c r="R87" i="13"/>
  <c r="R100" i="13"/>
  <c r="R104" i="13"/>
  <c r="R97" i="13"/>
  <c r="R94" i="13"/>
  <c r="R86" i="13"/>
  <c r="R78" i="13"/>
  <c r="R96" i="13"/>
  <c r="R85" i="13"/>
  <c r="R76" i="13"/>
  <c r="R102" i="13"/>
  <c r="R90" i="13"/>
  <c r="R72" i="13"/>
  <c r="R70" i="13"/>
  <c r="R75" i="13"/>
  <c r="R67" i="13"/>
  <c r="R101" i="13"/>
  <c r="R109" i="13"/>
  <c r="R98" i="13"/>
  <c r="R63" i="13"/>
  <c r="R95" i="13"/>
  <c r="R68" i="13"/>
  <c r="AH51" i="11"/>
  <c r="AH45" i="11"/>
  <c r="AH41" i="11"/>
  <c r="AH46" i="11"/>
  <c r="AH53" i="11"/>
  <c r="AH43" i="11"/>
  <c r="AH44" i="11"/>
  <c r="AH38" i="11"/>
  <c r="AH37" i="11"/>
  <c r="AH52" i="11"/>
  <c r="AH54" i="11"/>
  <c r="AH28" i="11"/>
  <c r="AR28" i="11" s="1"/>
  <c r="AH39" i="11"/>
  <c r="AH40" i="11"/>
  <c r="AF84" i="13"/>
  <c r="AF67" i="13"/>
  <c r="AF77" i="13"/>
  <c r="F52" i="11"/>
  <c r="AF98" i="13"/>
  <c r="AG64" i="13"/>
  <c r="AF74" i="13"/>
  <c r="AG97" i="13"/>
  <c r="AH50" i="11"/>
  <c r="F43" i="11"/>
  <c r="AG70" i="13"/>
  <c r="BG55" i="63" a="1"/>
  <c r="BG55" i="63" s="1"/>
  <c r="AF72" i="13"/>
  <c r="AF100" i="13"/>
  <c r="AF96" i="13"/>
  <c r="AG107" i="13"/>
  <c r="AF101" i="13"/>
  <c r="AF75" i="13"/>
  <c r="AG76" i="13"/>
  <c r="AG105" i="13"/>
  <c r="AG83" i="13"/>
  <c r="AG109" i="13"/>
  <c r="AF105" i="13"/>
  <c r="AG104" i="13"/>
  <c r="AF66" i="13"/>
  <c r="AG79" i="13"/>
  <c r="AG78" i="13"/>
  <c r="AF70" i="13"/>
  <c r="AG84" i="13"/>
  <c r="AF73" i="13"/>
  <c r="AF107" i="13"/>
  <c r="AG98" i="13"/>
  <c r="AG92" i="13"/>
  <c r="AG106" i="13"/>
  <c r="F51" i="11"/>
  <c r="AF90" i="13"/>
  <c r="AG89" i="13"/>
  <c r="BI55" i="63" a="1"/>
  <c r="BI55" i="63" s="1"/>
  <c r="AG63" i="13"/>
  <c r="AG101" i="13"/>
  <c r="AF68" i="13"/>
  <c r="AF63" i="13"/>
  <c r="AG75" i="13"/>
  <c r="AG80" i="13"/>
  <c r="AH49" i="11"/>
  <c r="F46" i="11"/>
  <c r="AF79" i="13"/>
  <c r="AF83" i="13"/>
  <c r="AF106" i="13"/>
  <c r="AF97" i="13"/>
  <c r="BL55" i="63" a="1"/>
  <c r="BL55" i="63" s="1"/>
  <c r="AF103" i="13"/>
  <c r="AG102" i="13"/>
  <c r="AF92" i="13"/>
  <c r="AF89" i="13"/>
  <c r="AG67" i="13"/>
  <c r="AG87" i="13"/>
  <c r="AF95" i="13"/>
  <c r="AG95" i="13"/>
  <c r="AF102" i="13"/>
  <c r="AF93" i="13"/>
  <c r="AG73" i="13"/>
  <c r="AG100" i="13"/>
  <c r="AH27" i="11"/>
  <c r="AR27" i="11" s="1"/>
  <c r="AC29" i="56"/>
  <c r="AC30" i="56" s="1"/>
  <c r="F41" i="11"/>
  <c r="AF86" i="13"/>
  <c r="Q25" i="11"/>
  <c r="Q44" i="11" s="1"/>
  <c r="AF88" i="13"/>
  <c r="AG85" i="13"/>
  <c r="AH47" i="11"/>
  <c r="AI21" i="63"/>
  <c r="AI29" i="63" s="1"/>
  <c r="AD25" i="11"/>
  <c r="AD53" i="11" s="1"/>
  <c r="F42" i="11"/>
  <c r="F37" i="11"/>
  <c r="T29" i="56"/>
  <c r="T30" i="56" s="1"/>
  <c r="BH55" i="63" a="1"/>
  <c r="BH55" i="63" s="1"/>
  <c r="F47" i="11"/>
  <c r="BJ55" i="63" a="1"/>
  <c r="BJ55" i="63" s="1"/>
  <c r="F27" i="11"/>
  <c r="F54" i="11"/>
  <c r="BO55" i="63"/>
  <c r="AY55" i="63" s="1"/>
  <c r="F44" i="11"/>
  <c r="F28" i="11"/>
  <c r="F45" i="11"/>
  <c r="F49" i="11"/>
  <c r="F39" i="11"/>
  <c r="T45" i="11"/>
  <c r="T53" i="11"/>
  <c r="O29" i="56"/>
  <c r="AB29" i="56"/>
  <c r="T50" i="11"/>
  <c r="T40" i="11"/>
  <c r="T51" i="11"/>
  <c r="Z29" i="56"/>
  <c r="AX60" i="63"/>
  <c r="T28" i="11"/>
  <c r="T38" i="11"/>
  <c r="T41" i="11"/>
  <c r="AD78" i="11"/>
  <c r="T43" i="11"/>
  <c r="T42" i="11"/>
  <c r="T46" i="11"/>
  <c r="T27" i="11"/>
  <c r="T47" i="11"/>
  <c r="T54" i="11"/>
  <c r="T39" i="11"/>
  <c r="AX25" i="63"/>
  <c r="AS25" i="63" s="1"/>
  <c r="AS55" i="63" s="1"/>
  <c r="AX55" i="63" s="1"/>
  <c r="T37" i="11"/>
  <c r="BK55" i="63" a="1"/>
  <c r="BK55" i="63" s="1"/>
  <c r="T52" i="11"/>
  <c r="AJ29" i="63"/>
  <c r="AJ31" i="63" s="1"/>
  <c r="BL52" i="63" a="1"/>
  <c r="BL52" i="63" s="1"/>
  <c r="BO52" i="63"/>
  <c r="AY52" i="63" s="1"/>
  <c r="AM29" i="63"/>
  <c r="AM32" i="63" s="1"/>
  <c r="BK52" i="63" a="1"/>
  <c r="BK52" i="63" s="1"/>
  <c r="AQ29" i="63"/>
  <c r="AQ31" i="63" s="1"/>
  <c r="AO29" i="63"/>
  <c r="AO31" i="63" s="1"/>
  <c r="W52" i="56"/>
  <c r="AK59" i="63"/>
  <c r="AK73" i="63" s="1"/>
  <c r="Z56" i="11"/>
  <c r="E29" i="56"/>
  <c r="F29" i="56"/>
  <c r="BM52" i="63" a="1"/>
  <c r="BM52" i="63" s="1"/>
  <c r="E60" i="56"/>
  <c r="E85" i="56" s="1"/>
  <c r="K60" i="56"/>
  <c r="K71" i="56" s="1"/>
  <c r="P60" i="56"/>
  <c r="P75" i="56" s="1"/>
  <c r="BM29" i="56"/>
  <c r="H29" i="56"/>
  <c r="K29" i="56"/>
  <c r="K30" i="56" s="1"/>
  <c r="N29" i="56"/>
  <c r="U29" i="56"/>
  <c r="L29" i="56"/>
  <c r="M60" i="56"/>
  <c r="M84" i="56" s="1"/>
  <c r="BL29" i="56"/>
  <c r="BV57" i="56" a="1"/>
  <c r="BV57" i="56" s="1"/>
  <c r="BL52" i="56"/>
  <c r="G29" i="56"/>
  <c r="BV55" i="56" a="1"/>
  <c r="BV55" i="56" s="1"/>
  <c r="BV53" i="56" a="1"/>
  <c r="BV53" i="56" s="1"/>
  <c r="BV50" i="56" a="1"/>
  <c r="BV50" i="56" s="1"/>
  <c r="BU54" i="56" a="1"/>
  <c r="BU54" i="56" s="1"/>
  <c r="BV54" i="56" s="1" a="1"/>
  <c r="BV54" i="56" s="1"/>
  <c r="K56" i="11"/>
  <c r="AC56" i="11"/>
  <c r="G56" i="11"/>
  <c r="O56" i="11"/>
  <c r="BK60" i="56"/>
  <c r="BK80" i="56" s="1"/>
  <c r="BS21" i="56"/>
  <c r="I29" i="56"/>
  <c r="V56" i="11"/>
  <c r="AG59" i="63"/>
  <c r="AG69" i="63" s="1"/>
  <c r="O60" i="56"/>
  <c r="O73" i="56" s="1"/>
  <c r="BE21" i="56"/>
  <c r="F40" i="56"/>
  <c r="F60" i="56" s="1"/>
  <c r="F78" i="56" s="1"/>
  <c r="M29" i="56"/>
  <c r="I56" i="11"/>
  <c r="AA60" i="56"/>
  <c r="AA76" i="56" s="1"/>
  <c r="BS9" i="56"/>
  <c r="AB60" i="56"/>
  <c r="AB89" i="56" s="1"/>
  <c r="AY9" i="63"/>
  <c r="Z60" i="56"/>
  <c r="Z73" i="56" s="1"/>
  <c r="BO58" i="63"/>
  <c r="AY58" i="63" s="1"/>
  <c r="BM58" i="63" a="1"/>
  <c r="BM58" i="63" s="1"/>
  <c r="AS41" i="63"/>
  <c r="AZ41" i="63" s="1"/>
  <c r="AP59" i="63"/>
  <c r="AP86" i="63" s="1"/>
  <c r="S29" i="56"/>
  <c r="S30" i="56" s="1"/>
  <c r="BJ40" i="63" a="1"/>
  <c r="BJ40" i="63" s="1"/>
  <c r="AS40" i="63"/>
  <c r="AX40" i="63" s="1"/>
  <c r="AS58" i="63"/>
  <c r="AX58" i="63" s="1"/>
  <c r="BK40" i="63" a="1"/>
  <c r="BK40" i="63" s="1"/>
  <c r="BI40" i="63" a="1"/>
  <c r="BI40" i="63" s="1"/>
  <c r="W29" i="56"/>
  <c r="W30" i="56" s="1"/>
  <c r="AS45" i="63"/>
  <c r="AX45" i="63" s="1"/>
  <c r="BO46" i="63"/>
  <c r="AY46" i="63" s="1"/>
  <c r="AQ39" i="63"/>
  <c r="AQ59" i="63" s="1"/>
  <c r="AQ85" i="63" s="1"/>
  <c r="AS50" i="63"/>
  <c r="AX50" i="63" s="1"/>
  <c r="AS43" i="63"/>
  <c r="AZ43" i="63" s="1"/>
  <c r="X60" i="56"/>
  <c r="X87" i="56" s="1"/>
  <c r="AS47" i="63"/>
  <c r="AX47" i="63" s="1"/>
  <c r="AS48" i="63"/>
  <c r="AX48" i="63" s="1"/>
  <c r="V29" i="56"/>
  <c r="BK42" i="63" a="1"/>
  <c r="BK42" i="63" s="1"/>
  <c r="T40" i="56"/>
  <c r="T60" i="56" s="1"/>
  <c r="T75" i="56" s="1"/>
  <c r="AH51" i="63"/>
  <c r="AL29" i="63"/>
  <c r="BJ42" i="63" a="1"/>
  <c r="BJ42" i="63" s="1"/>
  <c r="BI42" i="63" a="1"/>
  <c r="BI42" i="63" s="1"/>
  <c r="AC60" i="56"/>
  <c r="AC88" i="56" s="1"/>
  <c r="AS57" i="63"/>
  <c r="AX57" i="63" s="1"/>
  <c r="AA56" i="11"/>
  <c r="V60" i="56"/>
  <c r="V76" i="56" s="1"/>
  <c r="AM39" i="63"/>
  <c r="AM59" i="63" s="1"/>
  <c r="BM42" i="63" a="1"/>
  <c r="BM42" i="63" s="1"/>
  <c r="BO42" i="63"/>
  <c r="AY42" i="63" s="1"/>
  <c r="AZ42" i="63" s="1"/>
  <c r="Y40" i="56"/>
  <c r="Y60" i="56" s="1"/>
  <c r="Y80" i="56" s="1"/>
  <c r="AN29" i="63"/>
  <c r="AS49" i="63"/>
  <c r="AZ49" i="63" s="1"/>
  <c r="AN39" i="63"/>
  <c r="AN59" i="63" s="1"/>
  <c r="BO49" i="63"/>
  <c r="U56" i="11"/>
  <c r="Q21" i="56"/>
  <c r="K63" i="56"/>
  <c r="AL59" i="63"/>
  <c r="AL74" i="63" s="1"/>
  <c r="AK29" i="63"/>
  <c r="AK31" i="63" s="1"/>
  <c r="BL44" i="63" a="1"/>
  <c r="BL44" i="63" s="1"/>
  <c r="BL63" i="56"/>
  <c r="AJ5" i="57" s="1"/>
  <c r="BL40" i="56"/>
  <c r="AS53" i="63"/>
  <c r="AX53" i="63" s="1"/>
  <c r="AI39" i="63"/>
  <c r="BJ47" i="63" a="1"/>
  <c r="BJ47" i="63" s="1"/>
  <c r="BK47" i="63" a="1"/>
  <c r="BK47" i="63" s="1"/>
  <c r="BH47" i="63" a="1"/>
  <c r="BH47" i="63" s="1"/>
  <c r="BL47" i="63" a="1"/>
  <c r="BL47" i="63" s="1"/>
  <c r="BI47" i="63" a="1"/>
  <c r="BI47" i="63" s="1"/>
  <c r="BO47" i="63"/>
  <c r="AY47" i="63" s="1"/>
  <c r="BM47" i="63" a="1"/>
  <c r="BM47" i="63" s="1"/>
  <c r="AI61" i="63"/>
  <c r="BG47" i="63" a="1"/>
  <c r="BG47" i="63" s="1"/>
  <c r="AR51" i="63"/>
  <c r="AR59" i="63" s="1"/>
  <c r="AR82" i="63" s="1"/>
  <c r="AH61" i="63"/>
  <c r="BO40" i="63"/>
  <c r="AY40" i="63" s="1"/>
  <c r="BG56" i="63" a="1"/>
  <c r="BG56" i="63" s="1"/>
  <c r="W56" i="11"/>
  <c r="AS54" i="63"/>
  <c r="AX54" i="63" s="1"/>
  <c r="BO40" i="56"/>
  <c r="BO60" i="56" s="1"/>
  <c r="BO76" i="56" s="1"/>
  <c r="BO63" i="56"/>
  <c r="AM5" i="57" s="1"/>
  <c r="BG53" i="63" a="1"/>
  <c r="BG53" i="63" s="1"/>
  <c r="BJ53" i="63" a="1"/>
  <c r="BJ53" i="63" s="1"/>
  <c r="BH53" i="63" a="1"/>
  <c r="BH53" i="63" s="1"/>
  <c r="BK53" i="63" a="1"/>
  <c r="BK53" i="63" s="1"/>
  <c r="BI53" i="63" a="1"/>
  <c r="BI53" i="63" s="1"/>
  <c r="BM53" i="63" a="1"/>
  <c r="BM53" i="63" s="1"/>
  <c r="BO53" i="63"/>
  <c r="AY53" i="63" s="1"/>
  <c r="BL53" i="63" a="1"/>
  <c r="BL53" i="63" s="1"/>
  <c r="W63" i="56"/>
  <c r="V5" i="57" s="1"/>
  <c r="W40" i="56"/>
  <c r="BH40" i="63" a="1"/>
  <c r="BH40" i="63" s="1"/>
  <c r="AS46" i="63"/>
  <c r="BM40" i="63" a="1"/>
  <c r="BM40" i="63" s="1"/>
  <c r="BL56" i="63" a="1"/>
  <c r="BL56" i="63" s="1"/>
  <c r="AB56" i="11"/>
  <c r="BO54" i="63"/>
  <c r="AY54" i="63" s="1"/>
  <c r="BK54" i="63" a="1"/>
  <c r="BK54" i="63" s="1"/>
  <c r="BL54" i="63" a="1"/>
  <c r="BL54" i="63" s="1"/>
  <c r="BG54" i="63" a="1"/>
  <c r="BG54" i="63" s="1"/>
  <c r="BJ54" i="63" a="1"/>
  <c r="BJ54" i="63" s="1"/>
  <c r="BI54" i="63" a="1"/>
  <c r="BI54" i="63" s="1"/>
  <c r="BM54" i="63" a="1"/>
  <c r="BM54" i="63" s="1"/>
  <c r="BH54" i="63" a="1"/>
  <c r="BH54" i="63" s="1"/>
  <c r="N56" i="11"/>
  <c r="L60" i="56"/>
  <c r="BM63" i="56"/>
  <c r="AK5" i="57" s="1"/>
  <c r="BM40" i="56"/>
  <c r="BM60" i="56" s="1"/>
  <c r="BP40" i="56"/>
  <c r="BP60" i="56" s="1"/>
  <c r="BP73" i="56" s="1"/>
  <c r="BG40" i="63" a="1"/>
  <c r="BG40" i="63" s="1"/>
  <c r="AH39" i="63"/>
  <c r="BL45" i="63" a="1"/>
  <c r="BL45" i="63" s="1"/>
  <c r="BK45" i="63" a="1"/>
  <c r="BK45" i="63" s="1"/>
  <c r="BM45" i="63" a="1"/>
  <c r="BM45" i="63" s="1"/>
  <c r="BO45" i="63"/>
  <c r="AY45" i="63" s="1"/>
  <c r="BJ45" i="63" a="1"/>
  <c r="BJ45" i="63" s="1"/>
  <c r="BG45" i="63" a="1"/>
  <c r="BG45" i="63" s="1"/>
  <c r="BI45" i="63" a="1"/>
  <c r="BI45" i="63" s="1"/>
  <c r="BH45" i="63" a="1"/>
  <c r="BH45" i="63" s="1"/>
  <c r="S40" i="56"/>
  <c r="S63" i="56"/>
  <c r="R5" i="57" s="1"/>
  <c r="BV42" i="56" a="1"/>
  <c r="BV42" i="56" s="1"/>
  <c r="AI5" i="57"/>
  <c r="M56" i="11"/>
  <c r="N63" i="56"/>
  <c r="N40" i="56"/>
  <c r="N60" i="56" s="1"/>
  <c r="BH58" i="63" a="1"/>
  <c r="BH58" i="63" s="1"/>
  <c r="AI51" i="63"/>
  <c r="BG58" i="63" a="1"/>
  <c r="BG58" i="63" s="1"/>
  <c r="BK58" i="63" a="1"/>
  <c r="BK58" i="63" s="1"/>
  <c r="BI58" i="63" a="1"/>
  <c r="BI58" i="63" s="1"/>
  <c r="BJ58" i="63" a="1"/>
  <c r="BJ58" i="63" s="1"/>
  <c r="BL58" i="63" a="1"/>
  <c r="BL58" i="63" s="1"/>
  <c r="AR29" i="63"/>
  <c r="AY21" i="63"/>
  <c r="L56" i="11"/>
  <c r="E56" i="11"/>
  <c r="BK56" i="63" a="1"/>
  <c r="BK56" i="63" s="1"/>
  <c r="BI56" i="63" a="1"/>
  <c r="BI56" i="63" s="1"/>
  <c r="BM44" i="63" a="1"/>
  <c r="BM44" i="63" s="1"/>
  <c r="AJ51" i="63"/>
  <c r="AJ59" i="63" s="1"/>
  <c r="G63" i="56"/>
  <c r="BH56" i="63" a="1"/>
  <c r="BH56" i="63" s="1"/>
  <c r="H40" i="56"/>
  <c r="H60" i="56" s="1"/>
  <c r="H72" i="56" s="1"/>
  <c r="BT54" i="56"/>
  <c r="BE52" i="56"/>
  <c r="BJ56" i="63" a="1"/>
  <c r="BJ56" i="63" s="1"/>
  <c r="BO56" i="63"/>
  <c r="AY56" i="63" s="1"/>
  <c r="U52" i="56"/>
  <c r="U60" i="56" s="1"/>
  <c r="U87" i="56" s="1"/>
  <c r="AD53" i="56"/>
  <c r="AD21" i="56"/>
  <c r="J52" i="56"/>
  <c r="I40" i="56"/>
  <c r="I60" i="56" s="1"/>
  <c r="I72" i="56" s="1"/>
  <c r="R63" i="56"/>
  <c r="Q5" i="57" s="1"/>
  <c r="R40" i="56"/>
  <c r="R60" i="56" s="1"/>
  <c r="AO39" i="63"/>
  <c r="AO59" i="63" s="1"/>
  <c r="AO73" i="63" s="1"/>
  <c r="S52" i="56"/>
  <c r="H56" i="11"/>
  <c r="AS52" i="63"/>
  <c r="G40" i="56"/>
  <c r="G60" i="56" s="1"/>
  <c r="G78" i="56" s="1"/>
  <c r="Q42" i="56"/>
  <c r="Q52" i="56"/>
  <c r="BK44" i="63" a="1"/>
  <c r="BK44" i="63" s="1"/>
  <c r="BT52" i="56" l="1"/>
  <c r="BM71" i="56"/>
  <c r="BM74" i="56"/>
  <c r="Q63" i="56"/>
  <c r="P5" i="57" s="1"/>
  <c r="AD63" i="56"/>
  <c r="AC5" i="57" s="1"/>
  <c r="BF30" i="56"/>
  <c r="BI30" i="56"/>
  <c r="BG30" i="56"/>
  <c r="AG29" i="56"/>
  <c r="AQ31" i="56" s="1"/>
  <c r="BJ80" i="56"/>
  <c r="BJ78" i="56"/>
  <c r="BJ75" i="56"/>
  <c r="BJ83" i="56"/>
  <c r="BJ85" i="56"/>
  <c r="BJ72" i="56"/>
  <c r="BJ77" i="56"/>
  <c r="BJ74" i="56"/>
  <c r="BJ84" i="56"/>
  <c r="BJ89" i="56"/>
  <c r="BJ88" i="56"/>
  <c r="BJ81" i="56"/>
  <c r="BJ79" i="56"/>
  <c r="BJ87" i="56"/>
  <c r="BJ76" i="56"/>
  <c r="BJ86" i="56"/>
  <c r="BJ73" i="56"/>
  <c r="BJ71" i="56"/>
  <c r="BI61" i="56"/>
  <c r="BI89" i="56"/>
  <c r="BI72" i="56"/>
  <c r="BI79" i="56"/>
  <c r="BI86" i="56"/>
  <c r="BI85" i="56"/>
  <c r="BI78" i="56"/>
  <c r="BI75" i="56"/>
  <c r="BI74" i="56"/>
  <c r="BI77" i="56"/>
  <c r="BI84" i="56"/>
  <c r="BI88" i="56"/>
  <c r="BI73" i="56"/>
  <c r="BI71" i="56"/>
  <c r="BI83" i="56"/>
  <c r="BI80" i="56"/>
  <c r="BI76" i="56"/>
  <c r="BI81" i="56"/>
  <c r="BI87" i="56"/>
  <c r="BG75" i="56"/>
  <c r="BG74" i="56"/>
  <c r="BG88" i="56"/>
  <c r="BG85" i="56"/>
  <c r="BG86" i="56"/>
  <c r="BG73" i="56"/>
  <c r="BG84" i="56"/>
  <c r="BG77" i="56"/>
  <c r="BG78" i="56"/>
  <c r="BG76" i="56"/>
  <c r="BG72" i="56"/>
  <c r="BG79" i="56"/>
  <c r="BG81" i="56"/>
  <c r="BG89" i="56"/>
  <c r="BG83" i="56"/>
  <c r="BG80" i="56"/>
  <c r="BG71" i="56"/>
  <c r="BG87" i="56"/>
  <c r="AE30" i="56"/>
  <c r="BH40" i="56"/>
  <c r="BH60" i="56" s="1"/>
  <c r="BH75" i="56" s="1"/>
  <c r="BF71" i="56"/>
  <c r="BF89" i="56"/>
  <c r="BF78" i="56"/>
  <c r="BF77" i="56"/>
  <c r="BF74" i="56"/>
  <c r="BF88" i="56"/>
  <c r="BF75" i="56"/>
  <c r="BF84" i="56"/>
  <c r="BF72" i="56"/>
  <c r="BF86" i="56"/>
  <c r="BF85" i="56"/>
  <c r="BF81" i="56"/>
  <c r="BF79" i="56"/>
  <c r="BF80" i="56"/>
  <c r="BF76" i="56"/>
  <c r="BF73" i="56"/>
  <c r="BF87" i="56"/>
  <c r="Q9" i="56"/>
  <c r="Q29" i="56" s="1"/>
  <c r="Q30" i="56" s="1"/>
  <c r="AR42" i="11"/>
  <c r="AR52" i="11"/>
  <c r="AR45" i="11"/>
  <c r="AR46" i="11"/>
  <c r="AR47" i="11"/>
  <c r="AR50" i="11"/>
  <c r="AR55" i="11"/>
  <c r="AR43" i="11"/>
  <c r="AR44" i="11"/>
  <c r="AR38" i="11"/>
  <c r="AR37" i="11"/>
  <c r="AR40" i="11"/>
  <c r="AR41" i="11"/>
  <c r="AR51" i="11"/>
  <c r="AR53" i="11"/>
  <c r="AR54" i="11"/>
  <c r="AR49" i="11"/>
  <c r="AR39" i="11"/>
  <c r="BQ60" i="56"/>
  <c r="BQ88" i="56" s="1"/>
  <c r="BJ30" i="56"/>
  <c r="AL30" i="56"/>
  <c r="AG29" i="63"/>
  <c r="AG31" i="63" s="1"/>
  <c r="AF60" i="56"/>
  <c r="AF80" i="56" s="1"/>
  <c r="AP30" i="56"/>
  <c r="P56" i="11"/>
  <c r="BH29" i="56"/>
  <c r="AI60" i="56"/>
  <c r="AI71" i="56" s="1"/>
  <c r="AK30" i="56"/>
  <c r="AX9" i="63"/>
  <c r="AJ60" i="56"/>
  <c r="AJ71" i="56" s="1"/>
  <c r="J56" i="11"/>
  <c r="AG60" i="56"/>
  <c r="AG76" i="56" s="1"/>
  <c r="AO60" i="56"/>
  <c r="AO64" i="56" s="1"/>
  <c r="J60" i="56"/>
  <c r="J88" i="56" s="1"/>
  <c r="AE60" i="56"/>
  <c r="AK64" i="56"/>
  <c r="AK61" i="56"/>
  <c r="AK81" i="56"/>
  <c r="AK76" i="56"/>
  <c r="AK73" i="56"/>
  <c r="AK79" i="56"/>
  <c r="AK89" i="56"/>
  <c r="AK80" i="56"/>
  <c r="AK72" i="56"/>
  <c r="AK85" i="56"/>
  <c r="AK87" i="56"/>
  <c r="AK83" i="56"/>
  <c r="AK77" i="56"/>
  <c r="AK75" i="56"/>
  <c r="AK86" i="56"/>
  <c r="AK71" i="56"/>
  <c r="AK78" i="56"/>
  <c r="AK84" i="56"/>
  <c r="AK88" i="56"/>
  <c r="AK74" i="56"/>
  <c r="AR29" i="56"/>
  <c r="AR30" i="56" s="1"/>
  <c r="Y56" i="11"/>
  <c r="AP83" i="56"/>
  <c r="AP61" i="56"/>
  <c r="AP64" i="56"/>
  <c r="AP73" i="56"/>
  <c r="AP72" i="56"/>
  <c r="AP86" i="56"/>
  <c r="AP79" i="56"/>
  <c r="AP78" i="56"/>
  <c r="AP80" i="56"/>
  <c r="AP88" i="56"/>
  <c r="AP77" i="56"/>
  <c r="AP87" i="56"/>
  <c r="AP76" i="56"/>
  <c r="AP89" i="56"/>
  <c r="AP75" i="56"/>
  <c r="AP81" i="56"/>
  <c r="AP74" i="56"/>
  <c r="AP84" i="56"/>
  <c r="AP85" i="56"/>
  <c r="AI30" i="56"/>
  <c r="AM61" i="56"/>
  <c r="AM64" i="56"/>
  <c r="AM86" i="56"/>
  <c r="AM72" i="56"/>
  <c r="AM84" i="56"/>
  <c r="AM77" i="56"/>
  <c r="AM79" i="56"/>
  <c r="AM81" i="56"/>
  <c r="AM80" i="56"/>
  <c r="AM76" i="56"/>
  <c r="AM85" i="56"/>
  <c r="AM75" i="56"/>
  <c r="AM88" i="56"/>
  <c r="AM87" i="56"/>
  <c r="AM78" i="56"/>
  <c r="AM89" i="56"/>
  <c r="AM73" i="56"/>
  <c r="AM74" i="56"/>
  <c r="AM83" i="56"/>
  <c r="AM71" i="56"/>
  <c r="AF30" i="56"/>
  <c r="AL64" i="56"/>
  <c r="AL61" i="56"/>
  <c r="AL75" i="56"/>
  <c r="AL81" i="56"/>
  <c r="AL79" i="56"/>
  <c r="AL73" i="56"/>
  <c r="AL80" i="56"/>
  <c r="AL74" i="56"/>
  <c r="AL77" i="56"/>
  <c r="AL71" i="56"/>
  <c r="AL89" i="56"/>
  <c r="AL85" i="56"/>
  <c r="AL86" i="56"/>
  <c r="AL87" i="56"/>
  <c r="AL83" i="56"/>
  <c r="AL88" i="56"/>
  <c r="AL78" i="56"/>
  <c r="AL76" i="56"/>
  <c r="AH60" i="56"/>
  <c r="AN64" i="56"/>
  <c r="AN61" i="56"/>
  <c r="AN79" i="56"/>
  <c r="AN76" i="56"/>
  <c r="AN89" i="56"/>
  <c r="AN73" i="56"/>
  <c r="AN81" i="56"/>
  <c r="AN72" i="56"/>
  <c r="AN80" i="56"/>
  <c r="AN78" i="56"/>
  <c r="AN77" i="56"/>
  <c r="AN85" i="56"/>
  <c r="AN74" i="56"/>
  <c r="AN87" i="56"/>
  <c r="AN84" i="56"/>
  <c r="AN88" i="56"/>
  <c r="AN86" i="56"/>
  <c r="AN75" i="56"/>
  <c r="AN83" i="56"/>
  <c r="AN71" i="56"/>
  <c r="AO30" i="56"/>
  <c r="AJ30" i="56"/>
  <c r="AL84" i="56"/>
  <c r="BQ30" i="56"/>
  <c r="AS44" i="63"/>
  <c r="AZ44" i="63" s="1"/>
  <c r="BO30" i="56"/>
  <c r="R56" i="11"/>
  <c r="AE37" i="11"/>
  <c r="AE42" i="11"/>
  <c r="AE43" i="11"/>
  <c r="AE40" i="11"/>
  <c r="AE41" i="11"/>
  <c r="AE51" i="11"/>
  <c r="X56" i="11"/>
  <c r="AE53" i="11"/>
  <c r="AE49" i="11"/>
  <c r="AE46" i="11"/>
  <c r="AE28" i="11"/>
  <c r="AE50" i="11"/>
  <c r="AE52" i="11"/>
  <c r="AD40" i="56"/>
  <c r="AE39" i="11"/>
  <c r="Q42" i="11"/>
  <c r="AE55" i="11"/>
  <c r="Q55" i="11"/>
  <c r="AE45" i="11"/>
  <c r="Q28" i="11"/>
  <c r="AE47" i="11"/>
  <c r="Q49" i="11"/>
  <c r="AD9" i="56"/>
  <c r="AD29" i="56" s="1"/>
  <c r="AE44" i="11"/>
  <c r="AE38" i="11"/>
  <c r="AE54" i="11"/>
  <c r="S56" i="11"/>
  <c r="Q40" i="11"/>
  <c r="AD38" i="11"/>
  <c r="AD51" i="11"/>
  <c r="Q27" i="11"/>
  <c r="BN30" i="56"/>
  <c r="Q52" i="11"/>
  <c r="Q50" i="11"/>
  <c r="Q41" i="11"/>
  <c r="Q38" i="11"/>
  <c r="Q37" i="11"/>
  <c r="Q54" i="11"/>
  <c r="Q46" i="11"/>
  <c r="Q39" i="11"/>
  <c r="Q43" i="11"/>
  <c r="AK74" i="63"/>
  <c r="Q51" i="11"/>
  <c r="AK71" i="63"/>
  <c r="Q47" i="11"/>
  <c r="Q45" i="11"/>
  <c r="Q53" i="11"/>
  <c r="AD52" i="11"/>
  <c r="AD43" i="11"/>
  <c r="AP32" i="63"/>
  <c r="BN60" i="56"/>
  <c r="BN64" i="56" s="1"/>
  <c r="AL6" i="57" s="1"/>
  <c r="AL7" i="57" s="1"/>
  <c r="AD46" i="11"/>
  <c r="AK70" i="63"/>
  <c r="AA30" i="56"/>
  <c r="AK76" i="63"/>
  <c r="AM31" i="63"/>
  <c r="Z30" i="56"/>
  <c r="AD41" i="11"/>
  <c r="AD40" i="11"/>
  <c r="AD47" i="11"/>
  <c r="AO32" i="63"/>
  <c r="AD37" i="11"/>
  <c r="AD45" i="11"/>
  <c r="AY29" i="63"/>
  <c r="AB30" i="56"/>
  <c r="AK69" i="63"/>
  <c r="AD28" i="11"/>
  <c r="AD42" i="11"/>
  <c r="AD49" i="11"/>
  <c r="O30" i="56"/>
  <c r="AD27" i="11"/>
  <c r="AD54" i="11"/>
  <c r="F56" i="11"/>
  <c r="AX21" i="63"/>
  <c r="AD39" i="11"/>
  <c r="AD50" i="11"/>
  <c r="AD44" i="11"/>
  <c r="AD55" i="11"/>
  <c r="W60" i="56"/>
  <c r="W83" i="56" s="1"/>
  <c r="P79" i="56"/>
  <c r="P80" i="56"/>
  <c r="T56" i="11"/>
  <c r="AJ32" i="63"/>
  <c r="BM30" i="56"/>
  <c r="P84" i="56"/>
  <c r="P86" i="56"/>
  <c r="P72" i="56"/>
  <c r="P71" i="56"/>
  <c r="AK84" i="63"/>
  <c r="O77" i="56"/>
  <c r="AK81" i="63"/>
  <c r="F83" i="56"/>
  <c r="F30" i="56"/>
  <c r="AK72" i="63"/>
  <c r="E72" i="56"/>
  <c r="AK87" i="63"/>
  <c r="AQ32" i="63"/>
  <c r="AK78" i="63"/>
  <c r="AQ69" i="63"/>
  <c r="H30" i="56"/>
  <c r="P76" i="56"/>
  <c r="P73" i="56"/>
  <c r="E81" i="56"/>
  <c r="P64" i="56"/>
  <c r="AK75" i="63"/>
  <c r="AK79" i="63"/>
  <c r="K83" i="56"/>
  <c r="P81" i="56"/>
  <c r="P77" i="56"/>
  <c r="P83" i="56"/>
  <c r="AK77" i="63"/>
  <c r="AK82" i="63"/>
  <c r="P61" i="56"/>
  <c r="P85" i="56"/>
  <c r="AK85" i="63"/>
  <c r="P74" i="56"/>
  <c r="P78" i="56"/>
  <c r="AK86" i="63"/>
  <c r="P87" i="56"/>
  <c r="E75" i="56"/>
  <c r="AG62" i="63"/>
  <c r="P89" i="56"/>
  <c r="AK62" i="63"/>
  <c r="AK83" i="63"/>
  <c r="P88" i="56"/>
  <c r="E30" i="56"/>
  <c r="E89" i="56"/>
  <c r="K76" i="56"/>
  <c r="E80" i="56"/>
  <c r="E73" i="56"/>
  <c r="K89" i="56"/>
  <c r="M72" i="56"/>
  <c r="M64" i="56"/>
  <c r="M85" i="56"/>
  <c r="K86" i="56"/>
  <c r="E79" i="56"/>
  <c r="AP69" i="63"/>
  <c r="K73" i="56"/>
  <c r="F85" i="56"/>
  <c r="K75" i="56"/>
  <c r="M30" i="56"/>
  <c r="N30" i="56"/>
  <c r="E61" i="56"/>
  <c r="K78" i="56"/>
  <c r="E78" i="56"/>
  <c r="K64" i="56"/>
  <c r="E74" i="56"/>
  <c r="E77" i="56"/>
  <c r="E83" i="56"/>
  <c r="Z75" i="56"/>
  <c r="K85" i="56"/>
  <c r="E64" i="56"/>
  <c r="E88" i="56"/>
  <c r="K88" i="56"/>
  <c r="K87" i="56"/>
  <c r="E87" i="56"/>
  <c r="K79" i="56"/>
  <c r="Z78" i="56"/>
  <c r="U30" i="56"/>
  <c r="F80" i="56"/>
  <c r="F64" i="56"/>
  <c r="K61" i="56"/>
  <c r="E76" i="56"/>
  <c r="K77" i="56"/>
  <c r="K84" i="56"/>
  <c r="J30" i="56"/>
  <c r="K72" i="56"/>
  <c r="K74" i="56"/>
  <c r="E86" i="56"/>
  <c r="F87" i="56"/>
  <c r="K80" i="56"/>
  <c r="E71" i="56"/>
  <c r="F71" i="56"/>
  <c r="K81" i="56"/>
  <c r="E84" i="56"/>
  <c r="Z61" i="56"/>
  <c r="Z79" i="56"/>
  <c r="Z90" i="56"/>
  <c r="M73" i="56"/>
  <c r="M61" i="56"/>
  <c r="M78" i="56"/>
  <c r="AA78" i="56"/>
  <c r="M80" i="56"/>
  <c r="Z84" i="56"/>
  <c r="M81" i="56"/>
  <c r="Z81" i="56"/>
  <c r="M87" i="56"/>
  <c r="I30" i="56"/>
  <c r="F73" i="56"/>
  <c r="F84" i="56"/>
  <c r="G30" i="56"/>
  <c r="M75" i="56"/>
  <c r="M71" i="56"/>
  <c r="M88" i="56"/>
  <c r="M86" i="56"/>
  <c r="M89" i="56"/>
  <c r="M76" i="56"/>
  <c r="M74" i="56"/>
  <c r="F75" i="56"/>
  <c r="M79" i="56"/>
  <c r="M83" i="56"/>
  <c r="L30" i="56"/>
  <c r="AA88" i="56"/>
  <c r="AA74" i="56"/>
  <c r="M77" i="56"/>
  <c r="P30" i="56"/>
  <c r="Z88" i="56"/>
  <c r="BU52" i="56"/>
  <c r="BV52" i="56" s="1" a="1"/>
  <c r="BV52" i="56" s="1"/>
  <c r="F89" i="56"/>
  <c r="BF61" i="56"/>
  <c r="BF64" i="56"/>
  <c r="AD6" i="57" s="1"/>
  <c r="AD7" i="57" s="1"/>
  <c r="BL30" i="56"/>
  <c r="BL60" i="56"/>
  <c r="BL71" i="56" s="1"/>
  <c r="BJ61" i="56"/>
  <c r="BJ64" i="56"/>
  <c r="AH6" i="57" s="1"/>
  <c r="AH7" i="57" s="1"/>
  <c r="AA86" i="56"/>
  <c r="O61" i="56"/>
  <c r="AA77" i="56"/>
  <c r="AA89" i="56"/>
  <c r="AA83" i="56"/>
  <c r="AA90" i="56"/>
  <c r="AG70" i="63"/>
  <c r="O86" i="56"/>
  <c r="AG72" i="63"/>
  <c r="AG77" i="63"/>
  <c r="AG78" i="63"/>
  <c r="O83" i="56"/>
  <c r="AG86" i="63"/>
  <c r="O64" i="56"/>
  <c r="AG83" i="63"/>
  <c r="AG74" i="63"/>
  <c r="AG84" i="63"/>
  <c r="AB73" i="56"/>
  <c r="AG85" i="63"/>
  <c r="AB79" i="56"/>
  <c r="AG82" i="63"/>
  <c r="AG79" i="63"/>
  <c r="AB64" i="56"/>
  <c r="AA6" i="57" s="1"/>
  <c r="AA7" i="57" s="1"/>
  <c r="AG81" i="63"/>
  <c r="AG71" i="63"/>
  <c r="AB61" i="56"/>
  <c r="AB87" i="56"/>
  <c r="AB83" i="56"/>
  <c r="AG76" i="63"/>
  <c r="AG75" i="63"/>
  <c r="AG87" i="63"/>
  <c r="AG73" i="63"/>
  <c r="BI64" i="56"/>
  <c r="AG6" i="57" s="1"/>
  <c r="AG7" i="57" s="1"/>
  <c r="BK64" i="56"/>
  <c r="AI6" i="57" s="1"/>
  <c r="AI7" i="57" s="1"/>
  <c r="BK76" i="56"/>
  <c r="BK74" i="56"/>
  <c r="BK61" i="56"/>
  <c r="BK71" i="56"/>
  <c r="BK88" i="56"/>
  <c r="BK78" i="56"/>
  <c r="BG61" i="56"/>
  <c r="BK83" i="56"/>
  <c r="BK75" i="56"/>
  <c r="BK79" i="56"/>
  <c r="BG64" i="56"/>
  <c r="AE6" i="57" s="1"/>
  <c r="AE7" i="57" s="1"/>
  <c r="BK86" i="56"/>
  <c r="BK85" i="56"/>
  <c r="BK89" i="56"/>
  <c r="BK84" i="56"/>
  <c r="BK73" i="56"/>
  <c r="BK77" i="56"/>
  <c r="BK81" i="56"/>
  <c r="BK87" i="56"/>
  <c r="BK72" i="56"/>
  <c r="AQ82" i="63"/>
  <c r="O87" i="56"/>
  <c r="O72" i="56"/>
  <c r="O88" i="56"/>
  <c r="O76" i="56"/>
  <c r="O89" i="56"/>
  <c r="F76" i="56"/>
  <c r="AA85" i="56"/>
  <c r="O79" i="56"/>
  <c r="O75" i="56"/>
  <c r="O81" i="56"/>
  <c r="F81" i="56"/>
  <c r="AB74" i="56"/>
  <c r="O71" i="56"/>
  <c r="Z87" i="56"/>
  <c r="AB71" i="56"/>
  <c r="AB86" i="56"/>
  <c r="AB85" i="56"/>
  <c r="F86" i="56"/>
  <c r="F74" i="56"/>
  <c r="Z71" i="56"/>
  <c r="AB78" i="56"/>
  <c r="AB81" i="56"/>
  <c r="F72" i="56"/>
  <c r="Z74" i="56"/>
  <c r="X84" i="56"/>
  <c r="AB84" i="56"/>
  <c r="O84" i="56"/>
  <c r="Z76" i="56"/>
  <c r="AB88" i="56"/>
  <c r="F79" i="56"/>
  <c r="F77" i="56"/>
  <c r="Z72" i="56"/>
  <c r="AB76" i="56"/>
  <c r="O74" i="56"/>
  <c r="O85" i="56"/>
  <c r="F88" i="56"/>
  <c r="Z64" i="56"/>
  <c r="Y6" i="57" s="1"/>
  <c r="Y7" i="57" s="1"/>
  <c r="AB75" i="56"/>
  <c r="O78" i="56"/>
  <c r="O80" i="56"/>
  <c r="AB90" i="56"/>
  <c r="BS29" i="56"/>
  <c r="BU24" i="56" s="1"/>
  <c r="AB77" i="56"/>
  <c r="AB80" i="56"/>
  <c r="Z80" i="56"/>
  <c r="AA75" i="56"/>
  <c r="AA61" i="56"/>
  <c r="Z89" i="56"/>
  <c r="AA79" i="56"/>
  <c r="AA80" i="56"/>
  <c r="AA64" i="56"/>
  <c r="Z6" i="57" s="1"/>
  <c r="Z7" i="57" s="1"/>
  <c r="AA84" i="56"/>
  <c r="AA71" i="56"/>
  <c r="AA72" i="56"/>
  <c r="AA73" i="56"/>
  <c r="Z86" i="56"/>
  <c r="X88" i="56"/>
  <c r="AA81" i="56"/>
  <c r="AA87" i="56"/>
  <c r="F61" i="56"/>
  <c r="Z77" i="56"/>
  <c r="Z83" i="56"/>
  <c r="X72" i="56"/>
  <c r="Z85" i="56"/>
  <c r="AB72" i="56"/>
  <c r="AP76" i="63"/>
  <c r="AP82" i="63"/>
  <c r="AP77" i="63"/>
  <c r="AP85" i="63"/>
  <c r="AP70" i="63"/>
  <c r="AZ45" i="63"/>
  <c r="AP79" i="63"/>
  <c r="T84" i="56"/>
  <c r="AX41" i="63"/>
  <c r="AP83" i="63"/>
  <c r="T83" i="56"/>
  <c r="AP71" i="63"/>
  <c r="T72" i="56"/>
  <c r="AZ50" i="63"/>
  <c r="AP81" i="63"/>
  <c r="AP78" i="63"/>
  <c r="T78" i="56"/>
  <c r="AP75" i="63"/>
  <c r="AP62" i="63"/>
  <c r="AP88" i="63"/>
  <c r="T71" i="56"/>
  <c r="AP73" i="63"/>
  <c r="AL84" i="63"/>
  <c r="T86" i="56"/>
  <c r="AP72" i="63"/>
  <c r="T76" i="56"/>
  <c r="AZ58" i="63"/>
  <c r="AP87" i="63"/>
  <c r="AP74" i="63"/>
  <c r="T88" i="56"/>
  <c r="AZ55" i="63"/>
  <c r="AX43" i="63"/>
  <c r="T74" i="56"/>
  <c r="T79" i="56"/>
  <c r="T73" i="56"/>
  <c r="T61" i="56"/>
  <c r="AP84" i="63"/>
  <c r="T80" i="56"/>
  <c r="BK61" i="63"/>
  <c r="V83" i="56"/>
  <c r="AK32" i="63"/>
  <c r="T85" i="56"/>
  <c r="BL61" i="63"/>
  <c r="AH31" i="63"/>
  <c r="AQ74" i="63"/>
  <c r="AQ78" i="63"/>
  <c r="AQ81" i="63"/>
  <c r="AQ75" i="63"/>
  <c r="AQ73" i="63"/>
  <c r="AZ46" i="63"/>
  <c r="AQ76" i="63"/>
  <c r="AQ70" i="63"/>
  <c r="BM61" i="63"/>
  <c r="AQ84" i="63"/>
  <c r="AL81" i="63"/>
  <c r="AQ86" i="63"/>
  <c r="AS61" i="63"/>
  <c r="AX61" i="63" s="1"/>
  <c r="AQ83" i="63"/>
  <c r="AQ71" i="63"/>
  <c r="AQ77" i="63"/>
  <c r="AQ62" i="63"/>
  <c r="AQ72" i="63"/>
  <c r="AQ79" i="63"/>
  <c r="AL72" i="63"/>
  <c r="AQ88" i="63"/>
  <c r="X73" i="56"/>
  <c r="AQ87" i="63"/>
  <c r="X71" i="56"/>
  <c r="AY39" i="63"/>
  <c r="AL82" i="63"/>
  <c r="V73" i="56"/>
  <c r="BH61" i="63"/>
  <c r="V84" i="56"/>
  <c r="X74" i="56"/>
  <c r="AL62" i="63"/>
  <c r="AZ47" i="63"/>
  <c r="X80" i="56"/>
  <c r="AC81" i="56"/>
  <c r="T77" i="56"/>
  <c r="X85" i="56"/>
  <c r="AL70" i="63"/>
  <c r="T81" i="56"/>
  <c r="AH59" i="63"/>
  <c r="AH81" i="63" s="1"/>
  <c r="AC77" i="56"/>
  <c r="BK39" i="63"/>
  <c r="V61" i="56"/>
  <c r="AL69" i="63"/>
  <c r="AL83" i="63"/>
  <c r="AX46" i="63"/>
  <c r="X78" i="56"/>
  <c r="AL75" i="63"/>
  <c r="V81" i="56"/>
  <c r="AL76" i="63"/>
  <c r="X77" i="56"/>
  <c r="AL79" i="63"/>
  <c r="AZ48" i="63"/>
  <c r="T87" i="56"/>
  <c r="BJ39" i="63"/>
  <c r="AC80" i="56"/>
  <c r="AL87" i="63"/>
  <c r="AL71" i="63"/>
  <c r="AC84" i="56"/>
  <c r="AL73" i="63"/>
  <c r="AC74" i="56"/>
  <c r="AL77" i="63"/>
  <c r="V80" i="56"/>
  <c r="V71" i="56"/>
  <c r="V86" i="56"/>
  <c r="X83" i="56"/>
  <c r="AL78" i="63"/>
  <c r="T89" i="56"/>
  <c r="BL51" i="63"/>
  <c r="AC61" i="56"/>
  <c r="X89" i="56"/>
  <c r="X86" i="56"/>
  <c r="BM51" i="63"/>
  <c r="AC83" i="56"/>
  <c r="V85" i="56"/>
  <c r="X61" i="56"/>
  <c r="X79" i="56"/>
  <c r="X76" i="56"/>
  <c r="X81" i="56"/>
  <c r="AC89" i="56"/>
  <c r="X75" i="56"/>
  <c r="BI39" i="63"/>
  <c r="AC73" i="56"/>
  <c r="X64" i="56"/>
  <c r="W6" i="57" s="1"/>
  <c r="W7" i="57" s="1"/>
  <c r="T64" i="56"/>
  <c r="S6" i="57" s="1"/>
  <c r="S7" i="57" s="1"/>
  <c r="AC78" i="56"/>
  <c r="BO39" i="63"/>
  <c r="AC76" i="56"/>
  <c r="AZ57" i="63"/>
  <c r="AC64" i="56"/>
  <c r="AB6" i="57" s="1"/>
  <c r="AB7" i="57" s="1"/>
  <c r="AC79" i="56"/>
  <c r="BG61" i="63"/>
  <c r="AC90" i="56"/>
  <c r="Y30" i="56"/>
  <c r="AL31" i="63"/>
  <c r="AL32" i="63"/>
  <c r="BJ61" i="63"/>
  <c r="AC72" i="56"/>
  <c r="AC75" i="56"/>
  <c r="AC85" i="56"/>
  <c r="BO61" i="63"/>
  <c r="AY61" i="63" s="1"/>
  <c r="AZ53" i="63"/>
  <c r="AC87" i="56"/>
  <c r="AC71" i="56"/>
  <c r="AC86" i="56"/>
  <c r="BI61" i="63"/>
  <c r="V30" i="56"/>
  <c r="BG39" i="63"/>
  <c r="BH51" i="63"/>
  <c r="V88" i="56"/>
  <c r="BI51" i="63"/>
  <c r="S60" i="56"/>
  <c r="S83" i="56" s="1"/>
  <c r="BM39" i="63"/>
  <c r="V75" i="56"/>
  <c r="BG51" i="63"/>
  <c r="V77" i="56"/>
  <c r="AN75" i="63"/>
  <c r="AN69" i="63"/>
  <c r="AN72" i="63"/>
  <c r="AN86" i="63"/>
  <c r="AN85" i="63"/>
  <c r="AN79" i="63"/>
  <c r="AN73" i="63"/>
  <c r="AN77" i="63"/>
  <c r="AN84" i="63"/>
  <c r="AN87" i="63"/>
  <c r="AN62" i="63"/>
  <c r="AN83" i="63"/>
  <c r="AN81" i="63"/>
  <c r="AN70" i="63"/>
  <c r="AN74" i="63"/>
  <c r="AN76" i="63"/>
  <c r="AN78" i="63"/>
  <c r="AN82" i="63"/>
  <c r="AN71" i="63"/>
  <c r="AM70" i="63"/>
  <c r="AM83" i="63"/>
  <c r="AM87" i="63"/>
  <c r="AM84" i="63"/>
  <c r="AM72" i="63"/>
  <c r="AM73" i="63"/>
  <c r="AM76" i="63"/>
  <c r="AM82" i="63"/>
  <c r="AM71" i="63"/>
  <c r="AM79" i="63"/>
  <c r="AM85" i="63"/>
  <c r="AM69" i="63"/>
  <c r="AM81" i="63"/>
  <c r="AM78" i="63"/>
  <c r="AM62" i="63"/>
  <c r="AM74" i="63"/>
  <c r="AM75" i="63"/>
  <c r="AM77" i="63"/>
  <c r="AM86" i="63"/>
  <c r="V78" i="56"/>
  <c r="AX49" i="63"/>
  <c r="V87" i="56"/>
  <c r="V74" i="56"/>
  <c r="AN31" i="63"/>
  <c r="AN32" i="63"/>
  <c r="V72" i="56"/>
  <c r="V64" i="56"/>
  <c r="U6" i="57" s="1"/>
  <c r="U7" i="57" s="1"/>
  <c r="AL85" i="63"/>
  <c r="AL86" i="63"/>
  <c r="V79" i="56"/>
  <c r="BL39" i="63"/>
  <c r="BK51" i="63"/>
  <c r="Y87" i="56"/>
  <c r="Y72" i="56"/>
  <c r="Y79" i="56"/>
  <c r="Y75" i="56"/>
  <c r="Y71" i="56"/>
  <c r="Y74" i="56"/>
  <c r="Y88" i="56"/>
  <c r="Y81" i="56"/>
  <c r="Y73" i="56"/>
  <c r="Y61" i="56"/>
  <c r="Y85" i="56"/>
  <c r="Y84" i="56"/>
  <c r="Y89" i="56"/>
  <c r="Y86" i="56"/>
  <c r="Y76" i="56"/>
  <c r="Y83" i="56"/>
  <c r="Y78" i="56"/>
  <c r="Y77" i="56"/>
  <c r="Y64" i="56"/>
  <c r="X6" i="57" s="1"/>
  <c r="X7" i="57" s="1"/>
  <c r="V89" i="56"/>
  <c r="N86" i="56"/>
  <c r="N81" i="56"/>
  <c r="N83" i="56"/>
  <c r="N80" i="56"/>
  <c r="N75" i="56"/>
  <c r="N64" i="56"/>
  <c r="N79" i="56"/>
  <c r="N89" i="56"/>
  <c r="N71" i="56"/>
  <c r="N88" i="56"/>
  <c r="N61" i="56"/>
  <c r="N78" i="56"/>
  <c r="N87" i="56"/>
  <c r="N77" i="56"/>
  <c r="N84" i="56"/>
  <c r="N74" i="56"/>
  <c r="N72" i="56"/>
  <c r="N76" i="56"/>
  <c r="N73" i="56"/>
  <c r="N85" i="56"/>
  <c r="BJ51" i="63"/>
  <c r="AR76" i="63"/>
  <c r="AR85" i="63"/>
  <c r="AR71" i="63"/>
  <c r="AR75" i="63"/>
  <c r="AR79" i="63"/>
  <c r="AR70" i="63"/>
  <c r="AR84" i="63"/>
  <c r="AR86" i="63"/>
  <c r="AR72" i="63"/>
  <c r="AR77" i="63"/>
  <c r="AR78" i="63"/>
  <c r="AR73" i="63"/>
  <c r="AR69" i="63"/>
  <c r="AR62" i="63"/>
  <c r="AR88" i="63"/>
  <c r="AR83" i="63"/>
  <c r="AR81" i="63"/>
  <c r="AR74" i="63"/>
  <c r="AR87" i="63"/>
  <c r="AI32" i="63"/>
  <c r="AI31" i="63"/>
  <c r="AR31" i="63"/>
  <c r="AR32" i="63"/>
  <c r="BP71" i="56"/>
  <c r="BP80" i="56"/>
  <c r="BP89" i="56"/>
  <c r="BP78" i="56"/>
  <c r="BP81" i="56"/>
  <c r="BP75" i="56"/>
  <c r="BP72" i="56"/>
  <c r="BP86" i="56"/>
  <c r="BP83" i="56"/>
  <c r="BP74" i="56"/>
  <c r="BP61" i="56"/>
  <c r="BP87" i="56"/>
  <c r="BP64" i="56"/>
  <c r="AN6" i="57" s="1"/>
  <c r="AN7" i="57" s="1"/>
  <c r="BP85" i="56"/>
  <c r="BP77" i="56"/>
  <c r="BP88" i="56"/>
  <c r="BP79" i="56"/>
  <c r="BP76" i="56"/>
  <c r="BP84" i="56"/>
  <c r="AZ54" i="63"/>
  <c r="BH39" i="63"/>
  <c r="L89" i="56"/>
  <c r="L86" i="56"/>
  <c r="L76" i="56"/>
  <c r="L61" i="56"/>
  <c r="L71" i="56"/>
  <c r="L73" i="56"/>
  <c r="L83" i="56"/>
  <c r="L88" i="56"/>
  <c r="L77" i="56"/>
  <c r="L84" i="56"/>
  <c r="L80" i="56"/>
  <c r="L87" i="56"/>
  <c r="L75" i="56"/>
  <c r="L74" i="56"/>
  <c r="L78" i="56"/>
  <c r="L81" i="56"/>
  <c r="L72" i="56"/>
  <c r="L64" i="56"/>
  <c r="L79" i="56"/>
  <c r="L85" i="56"/>
  <c r="BO51" i="63"/>
  <c r="BM80" i="56"/>
  <c r="BM75" i="56"/>
  <c r="BM79" i="56"/>
  <c r="BM64" i="56"/>
  <c r="AK6" i="57" s="1"/>
  <c r="AK7" i="57" s="1"/>
  <c r="BM73" i="56"/>
  <c r="BM76" i="56"/>
  <c r="BM87" i="56"/>
  <c r="BM78" i="56"/>
  <c r="BM86" i="56"/>
  <c r="BM83" i="56"/>
  <c r="BM77" i="56"/>
  <c r="BM88" i="56"/>
  <c r="BM72" i="56"/>
  <c r="BM89" i="56"/>
  <c r="BM61" i="56"/>
  <c r="BM84" i="56"/>
  <c r="BM81" i="56"/>
  <c r="BM85" i="56"/>
  <c r="AI59" i="63"/>
  <c r="BO74" i="56"/>
  <c r="BO81" i="56"/>
  <c r="BO80" i="56"/>
  <c r="BO89" i="56"/>
  <c r="BO79" i="56"/>
  <c r="BO77" i="56"/>
  <c r="BO73" i="56"/>
  <c r="BO64" i="56"/>
  <c r="AM6" i="57" s="1"/>
  <c r="AM7" i="57" s="1"/>
  <c r="BO61" i="56"/>
  <c r="BO88" i="56"/>
  <c r="BO71" i="56"/>
  <c r="BO75" i="56"/>
  <c r="BO78" i="56"/>
  <c r="BO83" i="56"/>
  <c r="BO85" i="56"/>
  <c r="BO87" i="56"/>
  <c r="BO72" i="56"/>
  <c r="BO84" i="56"/>
  <c r="BO86" i="56"/>
  <c r="AS21" i="63"/>
  <c r="AS29" i="63" s="1"/>
  <c r="AX56" i="63"/>
  <c r="AZ56" i="63"/>
  <c r="AJ82" i="63"/>
  <c r="AJ75" i="63"/>
  <c r="AJ71" i="63"/>
  <c r="AJ87" i="63"/>
  <c r="AJ69" i="63"/>
  <c r="AJ73" i="63"/>
  <c r="AJ81" i="63"/>
  <c r="AJ83" i="63"/>
  <c r="AJ84" i="63"/>
  <c r="AJ72" i="63"/>
  <c r="AJ62" i="63"/>
  <c r="AJ76" i="63"/>
  <c r="AJ74" i="63"/>
  <c r="AJ86" i="63"/>
  <c r="AJ78" i="63"/>
  <c r="AJ77" i="63"/>
  <c r="AJ79" i="63"/>
  <c r="AJ70" i="63"/>
  <c r="AO79" i="63"/>
  <c r="AO87" i="63"/>
  <c r="AO69" i="63"/>
  <c r="AO71" i="63"/>
  <c r="AO83" i="63"/>
  <c r="AO72" i="63"/>
  <c r="AO75" i="63"/>
  <c r="AO70" i="63"/>
  <c r="AO86" i="63"/>
  <c r="AO77" i="63"/>
  <c r="AO88" i="63"/>
  <c r="AO62" i="63"/>
  <c r="AO82" i="63"/>
  <c r="AO85" i="63"/>
  <c r="AO81" i="63"/>
  <c r="AO84" i="63"/>
  <c r="AO74" i="63"/>
  <c r="AO78" i="63"/>
  <c r="AO76" i="63"/>
  <c r="G64" i="56"/>
  <c r="G83" i="56"/>
  <c r="G73" i="56"/>
  <c r="G74" i="56"/>
  <c r="G72" i="56"/>
  <c r="G79" i="56"/>
  <c r="G84" i="56"/>
  <c r="G76" i="56"/>
  <c r="G86" i="56"/>
  <c r="G81" i="56"/>
  <c r="G85" i="56"/>
  <c r="G75" i="56"/>
  <c r="G89" i="56"/>
  <c r="G61" i="56"/>
  <c r="G80" i="56"/>
  <c r="G88" i="56"/>
  <c r="G71" i="56"/>
  <c r="G87" i="56"/>
  <c r="G77" i="56"/>
  <c r="AD52" i="56"/>
  <c r="H71" i="56"/>
  <c r="H78" i="56"/>
  <c r="H83" i="56"/>
  <c r="H74" i="56"/>
  <c r="H81" i="56"/>
  <c r="H61" i="56"/>
  <c r="H79" i="56"/>
  <c r="H64" i="56"/>
  <c r="H80" i="56"/>
  <c r="H76" i="56"/>
  <c r="H84" i="56"/>
  <c r="H75" i="56"/>
  <c r="H89" i="56"/>
  <c r="H73" i="56"/>
  <c r="H77" i="56"/>
  <c r="H86" i="56"/>
  <c r="H87" i="56"/>
  <c r="H88" i="56"/>
  <c r="H85" i="56"/>
  <c r="U71" i="56"/>
  <c r="U84" i="56"/>
  <c r="U79" i="56"/>
  <c r="U80" i="56"/>
  <c r="U64" i="56"/>
  <c r="T6" i="57" s="1"/>
  <c r="T7" i="57" s="1"/>
  <c r="U77" i="56"/>
  <c r="U73" i="56"/>
  <c r="U74" i="56"/>
  <c r="U78" i="56"/>
  <c r="U86" i="56"/>
  <c r="U85" i="56"/>
  <c r="U72" i="56"/>
  <c r="U81" i="56"/>
  <c r="U61" i="56"/>
  <c r="U83" i="56"/>
  <c r="U89" i="56"/>
  <c r="U76" i="56"/>
  <c r="U88" i="56"/>
  <c r="U75" i="56"/>
  <c r="I61" i="56"/>
  <c r="I89" i="56"/>
  <c r="I64" i="56"/>
  <c r="I78" i="56"/>
  <c r="I88" i="56"/>
  <c r="I87" i="56"/>
  <c r="I84" i="56"/>
  <c r="I79" i="56"/>
  <c r="I71" i="56"/>
  <c r="I80" i="56"/>
  <c r="I76" i="56"/>
  <c r="I75" i="56"/>
  <c r="I73" i="56"/>
  <c r="I77" i="56"/>
  <c r="I74" i="56"/>
  <c r="I83" i="56"/>
  <c r="I81" i="56"/>
  <c r="I86" i="56"/>
  <c r="I85" i="56"/>
  <c r="AY51" i="63"/>
  <c r="AX52" i="63"/>
  <c r="AZ52" i="63"/>
  <c r="AS51" i="63"/>
  <c r="R80" i="56"/>
  <c r="R75" i="56"/>
  <c r="R87" i="56"/>
  <c r="R71" i="56"/>
  <c r="R79" i="56"/>
  <c r="R89" i="56"/>
  <c r="R81" i="56"/>
  <c r="R83" i="56"/>
  <c r="R64" i="56"/>
  <c r="Q6" i="57" s="1"/>
  <c r="Q7" i="57" s="1"/>
  <c r="R72" i="56"/>
  <c r="R85" i="56"/>
  <c r="R88" i="56"/>
  <c r="R86" i="56"/>
  <c r="R76" i="56"/>
  <c r="R73" i="56"/>
  <c r="R84" i="56"/>
  <c r="R77" i="56"/>
  <c r="R61" i="56"/>
  <c r="R78" i="56"/>
  <c r="R30" i="56"/>
  <c r="AJ85" i="63"/>
  <c r="Q40" i="56"/>
  <c r="R74" i="56"/>
  <c r="AZ40" i="63"/>
  <c r="BJ82" i="56" l="1"/>
  <c r="BJ70" i="56"/>
  <c r="BJ90" i="56" s="1"/>
  <c r="BI82" i="56"/>
  <c r="BI70" i="56"/>
  <c r="BG70" i="56"/>
  <c r="BG82" i="56"/>
  <c r="Q60" i="56"/>
  <c r="AQ14" i="56"/>
  <c r="AQ23" i="56"/>
  <c r="AQ12" i="56"/>
  <c r="AQ18" i="56"/>
  <c r="AQ10" i="56"/>
  <c r="AQ25" i="56"/>
  <c r="AQ15" i="56"/>
  <c r="AQ19" i="56"/>
  <c r="AQ20" i="56"/>
  <c r="AQ16" i="56"/>
  <c r="AQ13" i="56"/>
  <c r="AQ17" i="56"/>
  <c r="AQ24" i="56"/>
  <c r="AQ26" i="56"/>
  <c r="AQ28" i="56"/>
  <c r="AQ11" i="56"/>
  <c r="AQ22" i="56"/>
  <c r="AQ27" i="56"/>
  <c r="BR10" i="56"/>
  <c r="BG90" i="56"/>
  <c r="AI84" i="56"/>
  <c r="AI74" i="56"/>
  <c r="AI81" i="56"/>
  <c r="AI79" i="56"/>
  <c r="AI73" i="56"/>
  <c r="BR13" i="56"/>
  <c r="BR14" i="56"/>
  <c r="AI86" i="56"/>
  <c r="AI87" i="56"/>
  <c r="AI61" i="56"/>
  <c r="AJ79" i="56"/>
  <c r="AI88" i="56"/>
  <c r="AI64" i="56"/>
  <c r="AF79" i="56"/>
  <c r="BF82" i="56"/>
  <c r="BF70" i="56"/>
  <c r="BQ80" i="56"/>
  <c r="BQ79" i="56"/>
  <c r="BQ71" i="56"/>
  <c r="AQ43" i="56"/>
  <c r="BQ64" i="56"/>
  <c r="AO6" i="57" s="1"/>
  <c r="AO7" i="57" s="1"/>
  <c r="AI83" i="56"/>
  <c r="BI90" i="56"/>
  <c r="AJ87" i="56"/>
  <c r="BQ73" i="56"/>
  <c r="AJ88" i="56"/>
  <c r="AG32" i="63"/>
  <c r="BQ77" i="56"/>
  <c r="BQ84" i="56"/>
  <c r="BQ87" i="56"/>
  <c r="BQ74" i="56"/>
  <c r="AG30" i="56"/>
  <c r="BQ76" i="56"/>
  <c r="BQ83" i="56"/>
  <c r="BQ75" i="56"/>
  <c r="BQ85" i="56"/>
  <c r="BQ81" i="56"/>
  <c r="AJ73" i="56"/>
  <c r="BH71" i="56"/>
  <c r="BH74" i="56"/>
  <c r="BH77" i="56"/>
  <c r="BH80" i="56"/>
  <c r="BH84" i="56"/>
  <c r="BH81" i="56"/>
  <c r="BH73" i="56"/>
  <c r="BH85" i="56"/>
  <c r="BH88" i="56"/>
  <c r="BH86" i="56"/>
  <c r="BH79" i="56"/>
  <c r="BH89" i="56"/>
  <c r="BH76" i="56"/>
  <c r="BH83" i="56"/>
  <c r="BH72" i="56"/>
  <c r="BH78" i="56"/>
  <c r="BH87" i="56"/>
  <c r="J61" i="56"/>
  <c r="BQ89" i="56"/>
  <c r="AF77" i="56"/>
  <c r="AF72" i="56"/>
  <c r="AF78" i="56"/>
  <c r="AF75" i="56"/>
  <c r="AF88" i="56"/>
  <c r="BQ72" i="56"/>
  <c r="AF81" i="56"/>
  <c r="AF76" i="56"/>
  <c r="AF87" i="56"/>
  <c r="J85" i="56"/>
  <c r="AF84" i="56"/>
  <c r="AF89" i="56"/>
  <c r="BH64" i="56"/>
  <c r="AF6" i="57" s="1"/>
  <c r="AF7" i="57" s="1"/>
  <c r="AF64" i="56"/>
  <c r="AF85" i="56"/>
  <c r="AF86" i="56"/>
  <c r="AF74" i="56"/>
  <c r="AF73" i="56"/>
  <c r="AF61" i="56"/>
  <c r="BH61" i="56"/>
  <c r="BQ61" i="56"/>
  <c r="BQ78" i="56"/>
  <c r="BQ86" i="56"/>
  <c r="BR27" i="56"/>
  <c r="BR22" i="56"/>
  <c r="BR15" i="56"/>
  <c r="BR19" i="56"/>
  <c r="BR25" i="56"/>
  <c r="BR23" i="56"/>
  <c r="BR11" i="56"/>
  <c r="BR18" i="56"/>
  <c r="BR16" i="56"/>
  <c r="BH30" i="56"/>
  <c r="BR28" i="56"/>
  <c r="BR24" i="56"/>
  <c r="BR20" i="56"/>
  <c r="BR26" i="56"/>
  <c r="BR34" i="56"/>
  <c r="BR31" i="56"/>
  <c r="BR12" i="56"/>
  <c r="BR43" i="56" s="1"/>
  <c r="BR17" i="56"/>
  <c r="AO73" i="56"/>
  <c r="AJ75" i="56"/>
  <c r="AO81" i="56"/>
  <c r="AO89" i="56"/>
  <c r="AI72" i="56"/>
  <c r="AG85" i="56"/>
  <c r="AJ76" i="56"/>
  <c r="AG80" i="56"/>
  <c r="AG78" i="56"/>
  <c r="AJ85" i="56"/>
  <c r="AO77" i="56"/>
  <c r="AI89" i="56"/>
  <c r="AG77" i="56"/>
  <c r="AJ81" i="56"/>
  <c r="AJ77" i="56"/>
  <c r="AO78" i="56"/>
  <c r="AI80" i="56"/>
  <c r="AG89" i="56"/>
  <c r="AJ89" i="56"/>
  <c r="AJ61" i="56"/>
  <c r="AJ83" i="56"/>
  <c r="AJ78" i="56"/>
  <c r="AX29" i="63"/>
  <c r="AZ26" i="63" s="1"/>
  <c r="AO74" i="56"/>
  <c r="AI85" i="56"/>
  <c r="AG61" i="56"/>
  <c r="AJ72" i="56"/>
  <c r="AJ64" i="56"/>
  <c r="AF83" i="56"/>
  <c r="AF71" i="56"/>
  <c r="AO86" i="56"/>
  <c r="AI75" i="56"/>
  <c r="AG64" i="56"/>
  <c r="AJ80" i="56"/>
  <c r="AG79" i="56"/>
  <c r="AG74" i="56"/>
  <c r="AG81" i="56"/>
  <c r="AG86" i="56"/>
  <c r="AO84" i="56"/>
  <c r="AI77" i="56"/>
  <c r="AJ84" i="56"/>
  <c r="AO61" i="56"/>
  <c r="AO76" i="56"/>
  <c r="AI78" i="56"/>
  <c r="AJ74" i="56"/>
  <c r="AI76" i="56"/>
  <c r="AJ86" i="56"/>
  <c r="J89" i="56"/>
  <c r="AO83" i="56"/>
  <c r="AO71" i="56"/>
  <c r="J81" i="56"/>
  <c r="AO80" i="56"/>
  <c r="AG83" i="56"/>
  <c r="AG75" i="56"/>
  <c r="AG71" i="56"/>
  <c r="AG87" i="56"/>
  <c r="AO72" i="56"/>
  <c r="J74" i="56"/>
  <c r="AO79" i="56"/>
  <c r="AG88" i="56"/>
  <c r="J71" i="56"/>
  <c r="AO75" i="56"/>
  <c r="AG84" i="56"/>
  <c r="J79" i="56"/>
  <c r="J64" i="56"/>
  <c r="AO85" i="56"/>
  <c r="AG73" i="56"/>
  <c r="AP70" i="56"/>
  <c r="J84" i="56"/>
  <c r="AO87" i="56"/>
  <c r="AL70" i="56"/>
  <c r="J77" i="56"/>
  <c r="J80" i="56"/>
  <c r="AN70" i="56"/>
  <c r="AO88" i="56"/>
  <c r="AG72" i="56"/>
  <c r="J75" i="56"/>
  <c r="AN82" i="56"/>
  <c r="AP82" i="56"/>
  <c r="J86" i="56"/>
  <c r="AS39" i="63"/>
  <c r="AX39" i="63" s="1"/>
  <c r="AL82" i="56"/>
  <c r="AH61" i="56"/>
  <c r="AH64" i="56"/>
  <c r="AH89" i="56"/>
  <c r="AH78" i="56"/>
  <c r="AH88" i="56"/>
  <c r="AH86" i="56"/>
  <c r="AH84" i="56"/>
  <c r="AH79" i="56"/>
  <c r="AH74" i="56"/>
  <c r="AH80" i="56"/>
  <c r="AH85" i="56"/>
  <c r="AH81" i="56"/>
  <c r="AH87" i="56"/>
  <c r="AH72" i="56"/>
  <c r="AH77" i="56"/>
  <c r="AH73" i="56"/>
  <c r="AH76" i="56"/>
  <c r="AH75" i="56"/>
  <c r="AH83" i="56"/>
  <c r="AH71" i="56"/>
  <c r="AM82" i="56"/>
  <c r="AK70" i="56"/>
  <c r="AK82" i="56"/>
  <c r="J87" i="56"/>
  <c r="J83" i="56"/>
  <c r="J76" i="56"/>
  <c r="AE64" i="56"/>
  <c r="AE61" i="56"/>
  <c r="AE78" i="56"/>
  <c r="AE81" i="56"/>
  <c r="AE83" i="56"/>
  <c r="AE73" i="56"/>
  <c r="AE79" i="56"/>
  <c r="AE84" i="56"/>
  <c r="AE88" i="56"/>
  <c r="AE87" i="56"/>
  <c r="AE86" i="56"/>
  <c r="AE74" i="56"/>
  <c r="AE76" i="56"/>
  <c r="AE75" i="56"/>
  <c r="AE85" i="56"/>
  <c r="AE72" i="56"/>
  <c r="AE77" i="56"/>
  <c r="AE80" i="56"/>
  <c r="AE71" i="56"/>
  <c r="AE89" i="56"/>
  <c r="J73" i="56"/>
  <c r="J78" i="56"/>
  <c r="J72" i="56"/>
  <c r="AM70" i="56"/>
  <c r="AX44" i="63"/>
  <c r="BN73" i="56"/>
  <c r="BN88" i="56"/>
  <c r="Q56" i="11"/>
  <c r="W86" i="56"/>
  <c r="BN72" i="56"/>
  <c r="BN84" i="56"/>
  <c r="BN78" i="56"/>
  <c r="BN77" i="56"/>
  <c r="BN86" i="56"/>
  <c r="BN83" i="56"/>
  <c r="BN87" i="56"/>
  <c r="BN71" i="56"/>
  <c r="BN80" i="56"/>
  <c r="BN61" i="56"/>
  <c r="BN74" i="56"/>
  <c r="BN75" i="56"/>
  <c r="BN85" i="56"/>
  <c r="BN76" i="56"/>
  <c r="BN89" i="56"/>
  <c r="BN81" i="56"/>
  <c r="BN79" i="56"/>
  <c r="W88" i="56"/>
  <c r="W81" i="56"/>
  <c r="W89" i="56"/>
  <c r="W64" i="56"/>
  <c r="V6" i="57" s="1"/>
  <c r="V7" i="57" s="1"/>
  <c r="AD56" i="11"/>
  <c r="W79" i="56"/>
  <c r="W74" i="56"/>
  <c r="W78" i="56"/>
  <c r="W80" i="56"/>
  <c r="W72" i="56"/>
  <c r="W77" i="56"/>
  <c r="W73" i="56"/>
  <c r="W84" i="56"/>
  <c r="W75" i="56"/>
  <c r="W61" i="56"/>
  <c r="W76" i="56"/>
  <c r="W71" i="56"/>
  <c r="W85" i="56"/>
  <c r="W87" i="56"/>
  <c r="P82" i="56"/>
  <c r="K70" i="56"/>
  <c r="E82" i="56"/>
  <c r="P70" i="56"/>
  <c r="AK80" i="63"/>
  <c r="AK68" i="63"/>
  <c r="AG68" i="63"/>
  <c r="BL89" i="56"/>
  <c r="BL86" i="56"/>
  <c r="BL75" i="56"/>
  <c r="BL64" i="56"/>
  <c r="AJ6" i="57" s="1"/>
  <c r="AJ7" i="57" s="1"/>
  <c r="BL81" i="56"/>
  <c r="M70" i="56"/>
  <c r="E70" i="56"/>
  <c r="K82" i="56"/>
  <c r="BL80" i="56"/>
  <c r="BL84" i="56"/>
  <c r="M82" i="56"/>
  <c r="BL61" i="56"/>
  <c r="F82" i="56"/>
  <c r="BL74" i="56"/>
  <c r="BL76" i="56"/>
  <c r="Z70" i="56"/>
  <c r="BL78" i="56"/>
  <c r="BU26" i="56"/>
  <c r="BU20" i="56"/>
  <c r="BL88" i="56"/>
  <c r="BL79" i="56"/>
  <c r="BL73" i="56"/>
  <c r="BL85" i="56"/>
  <c r="BL87" i="56"/>
  <c r="BL72" i="56"/>
  <c r="BL83" i="56"/>
  <c r="BL77" i="56"/>
  <c r="F70" i="56"/>
  <c r="AG80" i="63"/>
  <c r="BU17" i="56"/>
  <c r="BU27" i="56"/>
  <c r="BU14" i="56"/>
  <c r="BU21" i="56"/>
  <c r="BK82" i="56"/>
  <c r="BK70" i="56"/>
  <c r="BU16" i="56"/>
  <c r="BU13" i="56"/>
  <c r="BU18" i="56"/>
  <c r="AB70" i="56"/>
  <c r="O82" i="56"/>
  <c r="AA82" i="56"/>
  <c r="O70" i="56"/>
  <c r="Z82" i="56"/>
  <c r="AB82" i="56"/>
  <c r="AA70" i="56"/>
  <c r="N82" i="56"/>
  <c r="BU28" i="56"/>
  <c r="BU19" i="56"/>
  <c r="BU15" i="56"/>
  <c r="BU12" i="56"/>
  <c r="BU10" i="56"/>
  <c r="BS30" i="56"/>
  <c r="BU22" i="56"/>
  <c r="BU11" i="56"/>
  <c r="BU23" i="56"/>
  <c r="BU25" i="56"/>
  <c r="BU9" i="56"/>
  <c r="N70" i="56"/>
  <c r="S64" i="56"/>
  <c r="R6" i="57" s="1"/>
  <c r="R7" i="57" s="1"/>
  <c r="AP68" i="63"/>
  <c r="AP80" i="63"/>
  <c r="BM59" i="63"/>
  <c r="BM62" i="63" s="1"/>
  <c r="AH86" i="63"/>
  <c r="AL68" i="63"/>
  <c r="AZ61" i="63"/>
  <c r="AQ68" i="63"/>
  <c r="AQ80" i="63"/>
  <c r="T82" i="56"/>
  <c r="X82" i="56"/>
  <c r="X70" i="56"/>
  <c r="AH79" i="63"/>
  <c r="T70" i="56"/>
  <c r="BI59" i="63"/>
  <c r="BI62" i="63" s="1"/>
  <c r="AH83" i="63"/>
  <c r="BG59" i="63"/>
  <c r="BG62" i="63" s="1"/>
  <c r="AY59" i="63"/>
  <c r="AL80" i="63"/>
  <c r="S85" i="56"/>
  <c r="S71" i="56"/>
  <c r="AH75" i="63"/>
  <c r="AC82" i="56"/>
  <c r="AH73" i="63"/>
  <c r="AH82" i="63"/>
  <c r="AH72" i="63"/>
  <c r="AH62" i="63"/>
  <c r="S72" i="56"/>
  <c r="BO59" i="63"/>
  <c r="BO62" i="63" s="1"/>
  <c r="AY62" i="63" s="1"/>
  <c r="S75" i="56"/>
  <c r="AH78" i="63"/>
  <c r="AH85" i="63"/>
  <c r="V70" i="56"/>
  <c r="AH87" i="63"/>
  <c r="S73" i="56"/>
  <c r="S88" i="56"/>
  <c r="S79" i="56"/>
  <c r="AH74" i="63"/>
  <c r="AH70" i="63"/>
  <c r="S89" i="56"/>
  <c r="S81" i="56"/>
  <c r="BJ59" i="63"/>
  <c r="BJ62" i="63" s="1"/>
  <c r="AC70" i="56"/>
  <c r="S76" i="56"/>
  <c r="BK59" i="63"/>
  <c r="BK62" i="63" s="1"/>
  <c r="S80" i="56"/>
  <c r="AH76" i="63"/>
  <c r="AH69" i="63"/>
  <c r="S87" i="56"/>
  <c r="S77" i="56"/>
  <c r="AH84" i="63"/>
  <c r="AH77" i="63"/>
  <c r="S86" i="56"/>
  <c r="BL59" i="63"/>
  <c r="BL62" i="63" s="1"/>
  <c r="S61" i="56"/>
  <c r="AH71" i="63"/>
  <c r="V82" i="56"/>
  <c r="BH59" i="63"/>
  <c r="BH62" i="63" s="1"/>
  <c r="S74" i="56"/>
  <c r="S78" i="56"/>
  <c r="S84" i="56"/>
  <c r="Y82" i="56"/>
  <c r="AD30" i="56"/>
  <c r="AR68" i="63"/>
  <c r="AN68" i="63"/>
  <c r="AJ68" i="63"/>
  <c r="Y70" i="56"/>
  <c r="AM80" i="63"/>
  <c r="AM68" i="63"/>
  <c r="AR80" i="63"/>
  <c r="AN80" i="63"/>
  <c r="BM70" i="56"/>
  <c r="BP82" i="56"/>
  <c r="BO82" i="56"/>
  <c r="R70" i="56"/>
  <c r="BM82" i="56"/>
  <c r="BO70" i="56"/>
  <c r="AI83" i="63"/>
  <c r="AI72" i="63"/>
  <c r="AI70" i="63"/>
  <c r="AI73" i="63"/>
  <c r="AI78" i="63"/>
  <c r="AI86" i="63"/>
  <c r="AI69" i="63"/>
  <c r="AI82" i="63"/>
  <c r="AI87" i="63"/>
  <c r="AI84" i="63"/>
  <c r="AI85" i="63"/>
  <c r="AI74" i="63"/>
  <c r="AI75" i="63"/>
  <c r="AI81" i="63"/>
  <c r="AI62" i="63"/>
  <c r="AI77" i="63"/>
  <c r="AI76" i="63"/>
  <c r="AI71" i="63"/>
  <c r="AI79" i="63"/>
  <c r="L82" i="56"/>
  <c r="L70" i="56"/>
  <c r="BP70" i="56"/>
  <c r="I82" i="56"/>
  <c r="AZ51" i="63"/>
  <c r="AX51" i="63"/>
  <c r="R82" i="56"/>
  <c r="H82" i="56"/>
  <c r="AD60" i="56"/>
  <c r="AO68" i="63"/>
  <c r="Q71" i="56"/>
  <c r="Q75" i="56"/>
  <c r="Q64" i="56"/>
  <c r="P6" i="57" s="1"/>
  <c r="P7" i="57" s="1"/>
  <c r="Q81" i="56"/>
  <c r="Q84" i="56"/>
  <c r="Q76" i="56"/>
  <c r="Q61" i="56"/>
  <c r="Q73" i="56"/>
  <c r="Q79" i="56"/>
  <c r="Q89" i="56"/>
  <c r="Q80" i="56"/>
  <c r="Q87" i="56"/>
  <c r="Q83" i="56"/>
  <c r="Q86" i="56"/>
  <c r="Q77" i="56"/>
  <c r="Q88" i="56"/>
  <c r="Q85" i="56"/>
  <c r="Q78" i="56"/>
  <c r="Q74" i="56"/>
  <c r="I70" i="56"/>
  <c r="H70" i="56"/>
  <c r="G82" i="56"/>
  <c r="G70" i="56"/>
  <c r="U70" i="56"/>
  <c r="AO80" i="63"/>
  <c r="AS32" i="63"/>
  <c r="AS31" i="63"/>
  <c r="AJ80" i="63"/>
  <c r="U82" i="56"/>
  <c r="BH82" i="56" l="1"/>
  <c r="BH70" i="56"/>
  <c r="BW52" i="56"/>
  <c r="Q72" i="56"/>
  <c r="AR43" i="56"/>
  <c r="AQ51" i="56"/>
  <c r="BS43" i="56"/>
  <c r="AQ58" i="56"/>
  <c r="AQ48" i="56"/>
  <c r="AQ57" i="56"/>
  <c r="AQ42" i="56"/>
  <c r="AQ49" i="56"/>
  <c r="AI82" i="56"/>
  <c r="AQ46" i="56"/>
  <c r="BF90" i="56"/>
  <c r="AQ50" i="56"/>
  <c r="AQ56" i="56"/>
  <c r="AQ54" i="56"/>
  <c r="AQ44" i="56"/>
  <c r="AQ47" i="56"/>
  <c r="AQ59" i="56"/>
  <c r="AQ53" i="56"/>
  <c r="AQ9" i="56"/>
  <c r="AQ45" i="56"/>
  <c r="AZ16" i="63"/>
  <c r="AZ15" i="63"/>
  <c r="AZ9" i="63"/>
  <c r="AZ10" i="63"/>
  <c r="AZ23" i="63"/>
  <c r="AX31" i="63"/>
  <c r="BQ82" i="56"/>
  <c r="AF70" i="56"/>
  <c r="AJ82" i="56"/>
  <c r="BR54" i="56"/>
  <c r="BQ70" i="56"/>
  <c r="AZ39" i="63"/>
  <c r="AS59" i="63"/>
  <c r="BB51" i="63" s="1"/>
  <c r="BC51" i="63" s="1"/>
  <c r="AO82" i="56"/>
  <c r="AJ70" i="56"/>
  <c r="AZ11" i="63"/>
  <c r="AZ20" i="63"/>
  <c r="AZ14" i="63"/>
  <c r="AF82" i="56"/>
  <c r="AZ13" i="63"/>
  <c r="AZ22" i="63"/>
  <c r="AZ19" i="63"/>
  <c r="AZ28" i="63"/>
  <c r="AZ27" i="63"/>
  <c r="AZ24" i="63"/>
  <c r="BR41" i="56"/>
  <c r="J70" i="56"/>
  <c r="AZ25" i="63"/>
  <c r="AZ17" i="63"/>
  <c r="AZ21" i="63"/>
  <c r="AX32" i="63"/>
  <c r="AZ12" i="63"/>
  <c r="AZ18" i="63"/>
  <c r="AI70" i="56"/>
  <c r="BH90" i="56"/>
  <c r="BR58" i="56"/>
  <c r="BR45" i="56"/>
  <c r="BR56" i="56"/>
  <c r="BR50" i="56"/>
  <c r="BR59" i="56"/>
  <c r="BR48" i="56"/>
  <c r="AQ21" i="56"/>
  <c r="BR42" i="56"/>
  <c r="AQ41" i="56"/>
  <c r="BR44" i="56"/>
  <c r="BR57" i="56"/>
  <c r="AQ55" i="56"/>
  <c r="BR9" i="56"/>
  <c r="BR49" i="56"/>
  <c r="BR47" i="56"/>
  <c r="BR46" i="56"/>
  <c r="BR53" i="56"/>
  <c r="BR55" i="56"/>
  <c r="BR21" i="56"/>
  <c r="BR51" i="56"/>
  <c r="AG82" i="56"/>
  <c r="AK90" i="56"/>
  <c r="AP90" i="56"/>
  <c r="J82" i="56"/>
  <c r="AN90" i="56"/>
  <c r="AO70" i="56"/>
  <c r="AG70" i="56"/>
  <c r="AL90" i="56"/>
  <c r="AH82" i="56"/>
  <c r="AE70" i="56"/>
  <c r="AH70" i="56"/>
  <c r="AM90" i="56"/>
  <c r="AE82" i="56"/>
  <c r="AK88" i="63"/>
  <c r="BN82" i="56"/>
  <c r="BN70" i="56"/>
  <c r="M90" i="56"/>
  <c r="W82" i="56"/>
  <c r="W70" i="56"/>
  <c r="P90" i="56"/>
  <c r="K90" i="56"/>
  <c r="E90" i="56"/>
  <c r="AG88" i="63"/>
  <c r="BL82" i="56"/>
  <c r="N90" i="56"/>
  <c r="F90" i="56"/>
  <c r="BL70" i="56"/>
  <c r="BU29" i="56"/>
  <c r="BK90" i="56"/>
  <c r="O90" i="56"/>
  <c r="L90" i="56"/>
  <c r="AM88" i="63"/>
  <c r="H90" i="56"/>
  <c r="BP90" i="56"/>
  <c r="T90" i="56"/>
  <c r="AL88" i="63"/>
  <c r="V90" i="56"/>
  <c r="AH68" i="63"/>
  <c r="AH80" i="63"/>
  <c r="X90" i="56"/>
  <c r="R90" i="56"/>
  <c r="S70" i="56"/>
  <c r="Y90" i="56"/>
  <c r="S82" i="56"/>
  <c r="BM90" i="56"/>
  <c r="AJ88" i="63"/>
  <c r="I90" i="56"/>
  <c r="AI68" i="63"/>
  <c r="AN88" i="63"/>
  <c r="BO90" i="56"/>
  <c r="AI80" i="63"/>
  <c r="Q70" i="56"/>
  <c r="BW46" i="56"/>
  <c r="AD84" i="56"/>
  <c r="AD76" i="56"/>
  <c r="BW54" i="56"/>
  <c r="AD64" i="56"/>
  <c r="BW51" i="56"/>
  <c r="BW56" i="56"/>
  <c r="AD80" i="56"/>
  <c r="AD86" i="56"/>
  <c r="BW55" i="56"/>
  <c r="AD61" i="56"/>
  <c r="BW59" i="56"/>
  <c r="AD89" i="56"/>
  <c r="BW49" i="56"/>
  <c r="AD79" i="56"/>
  <c r="AD85" i="56"/>
  <c r="AD72" i="56"/>
  <c r="BW50" i="56"/>
  <c r="AD78" i="56"/>
  <c r="BW42" i="56"/>
  <c r="AD81" i="56"/>
  <c r="AD71" i="56"/>
  <c r="BW60" i="56"/>
  <c r="BW48" i="56"/>
  <c r="BW41" i="56"/>
  <c r="AD77" i="56"/>
  <c r="BW47" i="56"/>
  <c r="BW58" i="56"/>
  <c r="AD88" i="56"/>
  <c r="AD87" i="56"/>
  <c r="BW57" i="56"/>
  <c r="BW45" i="56"/>
  <c r="AD75" i="56"/>
  <c r="AD73" i="56"/>
  <c r="BW43" i="56"/>
  <c r="BW44" i="56"/>
  <c r="AD74" i="56"/>
  <c r="BW53" i="56"/>
  <c r="BW40" i="56"/>
  <c r="BW63" i="56"/>
  <c r="AD83" i="56"/>
  <c r="G90" i="56"/>
  <c r="U90" i="56"/>
  <c r="Q82" i="56"/>
  <c r="AR46" i="56" l="1"/>
  <c r="AR49" i="56"/>
  <c r="AR42" i="56"/>
  <c r="BS42" i="56"/>
  <c r="AR45" i="56"/>
  <c r="AR55" i="56"/>
  <c r="AR59" i="56"/>
  <c r="AR41" i="56"/>
  <c r="AR48" i="56"/>
  <c r="AR58" i="56"/>
  <c r="AR53" i="56"/>
  <c r="AR51" i="56"/>
  <c r="AR47" i="56"/>
  <c r="AR44" i="56"/>
  <c r="AR57" i="56"/>
  <c r="AR54" i="56"/>
  <c r="AR56" i="56"/>
  <c r="AR50" i="56"/>
  <c r="BS51" i="56"/>
  <c r="BS58" i="56"/>
  <c r="BB43" i="63"/>
  <c r="AS72" i="63" s="1"/>
  <c r="BB45" i="63"/>
  <c r="AS74" i="63" s="1"/>
  <c r="BB44" i="63"/>
  <c r="AS73" i="63" s="1"/>
  <c r="BB41" i="63"/>
  <c r="AS70" i="63" s="1"/>
  <c r="AZ59" i="63"/>
  <c r="AS62" i="63"/>
  <c r="AX62" i="63" s="1"/>
  <c r="BB55" i="63"/>
  <c r="AS84" i="63" s="1"/>
  <c r="BB53" i="63"/>
  <c r="BC53" i="63" s="1"/>
  <c r="AZ29" i="63"/>
  <c r="AX59" i="63"/>
  <c r="BB54" i="63"/>
  <c r="BC54" i="63" s="1"/>
  <c r="AI90" i="56"/>
  <c r="BS46" i="56"/>
  <c r="BS49" i="56"/>
  <c r="BS57" i="56"/>
  <c r="BS54" i="56"/>
  <c r="BS48" i="56"/>
  <c r="AO90" i="56"/>
  <c r="J90" i="56"/>
  <c r="BB56" i="63"/>
  <c r="AS85" i="63" s="1"/>
  <c r="BB61" i="63"/>
  <c r="BC61" i="63" s="1"/>
  <c r="BS50" i="56"/>
  <c r="BB40" i="63"/>
  <c r="AS69" i="63" s="1"/>
  <c r="BB49" i="63"/>
  <c r="AS78" i="63" s="1"/>
  <c r="BS45" i="56"/>
  <c r="AQ29" i="56"/>
  <c r="AQ30" i="56" s="1"/>
  <c r="AQ52" i="56"/>
  <c r="BS56" i="56"/>
  <c r="AQ63" i="56"/>
  <c r="BS59" i="56"/>
  <c r="BS47" i="56"/>
  <c r="BS44" i="56"/>
  <c r="BQ90" i="56"/>
  <c r="BB39" i="63"/>
  <c r="BC39" i="63" s="1"/>
  <c r="BB46" i="63"/>
  <c r="AS75" i="63" s="1"/>
  <c r="BB42" i="63"/>
  <c r="BC42" i="63" s="1"/>
  <c r="BS55" i="56"/>
  <c r="BB47" i="63"/>
  <c r="BC47" i="63" s="1"/>
  <c r="BB50" i="63"/>
  <c r="BC50" i="63" s="1"/>
  <c r="BB48" i="63"/>
  <c r="BC48" i="63" s="1"/>
  <c r="BB57" i="63"/>
  <c r="AS86" i="63" s="1"/>
  <c r="AJ90" i="56"/>
  <c r="AF90" i="56"/>
  <c r="BB52" i="63"/>
  <c r="BC52" i="63" s="1"/>
  <c r="BB58" i="63"/>
  <c r="BC58" i="63" s="1"/>
  <c r="BS53" i="56"/>
  <c r="AQ40" i="56"/>
  <c r="BS41" i="56"/>
  <c r="BR29" i="56"/>
  <c r="BR52" i="56"/>
  <c r="BR40" i="56"/>
  <c r="BR63" i="56"/>
  <c r="AG90" i="56"/>
  <c r="AH90" i="56"/>
  <c r="AE90" i="56"/>
  <c r="W90" i="56"/>
  <c r="BN90" i="56"/>
  <c r="BL90" i="56"/>
  <c r="AH88" i="63"/>
  <c r="S90" i="56"/>
  <c r="AI88" i="63"/>
  <c r="Q90" i="56"/>
  <c r="AD82" i="56"/>
  <c r="AD70" i="56"/>
  <c r="AC6" i="57"/>
  <c r="AC7" i="57" s="1"/>
  <c r="BW64" i="56"/>
  <c r="AR40" i="56" l="1"/>
  <c r="AR52" i="56"/>
  <c r="AR63" i="56"/>
  <c r="BC44" i="63"/>
  <c r="AS77" i="63"/>
  <c r="BC41" i="63"/>
  <c r="BC46" i="63"/>
  <c r="AS71" i="63"/>
  <c r="BC56" i="63"/>
  <c r="BC45" i="63"/>
  <c r="BC43" i="63"/>
  <c r="BB62" i="63"/>
  <c r="BC62" i="63" s="1"/>
  <c r="AS82" i="63"/>
  <c r="AZ62" i="63"/>
  <c r="AQ60" i="56"/>
  <c r="AQ64" i="56" s="1"/>
  <c r="AS79" i="63"/>
  <c r="BC57" i="63"/>
  <c r="AS76" i="63"/>
  <c r="BC55" i="63"/>
  <c r="BC49" i="63"/>
  <c r="BB59" i="63"/>
  <c r="BC59" i="63" s="1"/>
  <c r="BC40" i="63"/>
  <c r="AS83" i="63"/>
  <c r="BS40" i="56"/>
  <c r="BS52" i="56"/>
  <c r="BR30" i="56"/>
  <c r="AS81" i="63"/>
  <c r="AS87" i="63"/>
  <c r="AP5" i="57"/>
  <c r="BS63" i="56"/>
  <c r="BR60" i="56"/>
  <c r="AD90" i="56"/>
  <c r="BZ52" i="56" l="1"/>
  <c r="BX63" i="56"/>
  <c r="AR60" i="56"/>
  <c r="BX40" i="56"/>
  <c r="AR64" i="56"/>
  <c r="BX64" i="56"/>
  <c r="AQ72" i="56"/>
  <c r="BX60" i="56"/>
  <c r="BX43" i="56"/>
  <c r="BX48" i="56"/>
  <c r="BX44" i="56"/>
  <c r="BX50" i="56"/>
  <c r="BX58" i="56"/>
  <c r="BX46" i="56"/>
  <c r="BX53" i="56"/>
  <c r="BX51" i="56"/>
  <c r="BX49" i="56"/>
  <c r="BX55" i="56"/>
  <c r="BX57" i="56"/>
  <c r="BX54" i="56"/>
  <c r="BX41" i="56"/>
  <c r="BX47" i="56"/>
  <c r="BX59" i="56"/>
  <c r="BX56" i="56"/>
  <c r="BX42" i="56"/>
  <c r="BX45" i="56"/>
  <c r="BX52" i="56"/>
  <c r="AS68" i="63"/>
  <c r="AQ87" i="56"/>
  <c r="AQ83" i="56"/>
  <c r="AQ76" i="56"/>
  <c r="AQ75" i="56"/>
  <c r="AQ81" i="56"/>
  <c r="AQ89" i="56"/>
  <c r="AQ86" i="56"/>
  <c r="AQ80" i="56"/>
  <c r="AQ77" i="56"/>
  <c r="AQ84" i="56"/>
  <c r="AQ61" i="56"/>
  <c r="AQ74" i="56"/>
  <c r="AQ73" i="56"/>
  <c r="AQ79" i="56"/>
  <c r="AQ71" i="56"/>
  <c r="AQ78" i="56"/>
  <c r="AQ88" i="56"/>
  <c r="AQ85" i="56"/>
  <c r="AS80" i="63"/>
  <c r="BZ59" i="56"/>
  <c r="BR77" i="56"/>
  <c r="BS60" i="56"/>
  <c r="BR76" i="56"/>
  <c r="BR86" i="56"/>
  <c r="BR71" i="56"/>
  <c r="BZ41" i="56"/>
  <c r="BR79" i="56"/>
  <c r="BZ50" i="56"/>
  <c r="BR80" i="56"/>
  <c r="BR89" i="56"/>
  <c r="BZ45" i="56"/>
  <c r="BZ53" i="56"/>
  <c r="BR85" i="56"/>
  <c r="BZ43" i="56"/>
  <c r="BR72" i="56"/>
  <c r="BZ63" i="56"/>
  <c r="BR84" i="56"/>
  <c r="BZ46" i="56"/>
  <c r="BR88" i="56"/>
  <c r="BR83" i="56"/>
  <c r="BR78" i="56"/>
  <c r="BR74" i="56"/>
  <c r="BZ42" i="56"/>
  <c r="BZ60" i="56"/>
  <c r="BR81" i="56"/>
  <c r="BR75" i="56"/>
  <c r="BR61" i="56"/>
  <c r="BR87" i="56"/>
  <c r="BR73" i="56"/>
  <c r="BZ57" i="56"/>
  <c r="BZ44" i="56"/>
  <c r="BZ55" i="56"/>
  <c r="BZ48" i="56"/>
  <c r="BZ58" i="56"/>
  <c r="BZ40" i="56"/>
  <c r="BZ47" i="56"/>
  <c r="BZ51" i="56"/>
  <c r="BZ54" i="56"/>
  <c r="BZ49" i="56"/>
  <c r="BR64" i="56"/>
  <c r="BZ64" i="56" s="1"/>
  <c r="BZ56" i="56"/>
  <c r="CA50" i="56" l="1"/>
  <c r="AP6" i="57"/>
  <c r="AP7" i="57" s="1"/>
  <c r="CA55" i="56"/>
  <c r="CA53" i="56"/>
  <c r="CA49" i="56"/>
  <c r="CA54" i="56"/>
  <c r="CA42" i="56"/>
  <c r="CA51" i="56"/>
  <c r="CA52" i="56"/>
  <c r="CA57" i="56"/>
  <c r="CA46" i="56"/>
  <c r="CA58" i="56"/>
  <c r="CA64" i="56"/>
  <c r="CA44" i="56"/>
  <c r="CA40" i="56"/>
  <c r="CA45" i="56"/>
  <c r="CA48" i="56"/>
  <c r="CA63" i="56"/>
  <c r="CA56" i="56"/>
  <c r="CA60" i="56"/>
  <c r="CA59" i="56"/>
  <c r="BS61" i="56"/>
  <c r="CA47" i="56"/>
  <c r="CA43" i="56"/>
  <c r="CA41" i="56"/>
  <c r="AR61" i="56"/>
  <c r="AS88" i="63"/>
  <c r="AQ82" i="56"/>
  <c r="AQ70" i="56"/>
  <c r="BS64" i="56"/>
  <c r="BR82" i="56"/>
  <c r="BR70" i="56"/>
  <c r="AQ90" i="56" l="1"/>
  <c r="BR90" i="56"/>
  <c r="BP7" i="13" l="1"/>
  <c r="BL9" i="11" s="1"/>
  <c r="AW13" i="56" s="1"/>
  <c r="AW44" i="56" s="1"/>
  <c r="BI11" i="11"/>
  <c r="AT15" i="56" s="1"/>
  <c r="AT46" i="56" s="1"/>
  <c r="BM8" i="13"/>
  <c r="BO11" i="11"/>
  <c r="AZ15" i="56" s="1"/>
  <c r="AZ46" i="56" s="1"/>
  <c r="BS8" i="13"/>
  <c r="BM13" i="13"/>
  <c r="BI13" i="11" s="1"/>
  <c r="AT17" i="56" s="1"/>
  <c r="AT48" i="56" s="1"/>
  <c r="BP13" i="13"/>
  <c r="BL13" i="11" s="1"/>
  <c r="AW17" i="56" s="1"/>
  <c r="AW48" i="56" s="1"/>
  <c r="BU13" i="13"/>
  <c r="BQ13" i="11" s="1"/>
  <c r="BB17" i="56" s="1"/>
  <c r="BB48" i="56" s="1"/>
  <c r="BS7" i="13"/>
  <c r="BO9" i="11" s="1"/>
  <c r="AZ13" i="56" s="1"/>
  <c r="AZ44" i="56" s="1"/>
  <c r="BQ13" i="13"/>
  <c r="BM13" i="11" s="1"/>
  <c r="AX17" i="56" s="1"/>
  <c r="AX48" i="56" s="1"/>
  <c r="BK16" i="11"/>
  <c r="AV20" i="56" s="1"/>
  <c r="AV51" i="56" s="1"/>
  <c r="BO21" i="13"/>
  <c r="BJ13" i="11"/>
  <c r="AU17" i="56" s="1"/>
  <c r="AU48" i="56" s="1"/>
  <c r="BN13" i="13"/>
  <c r="BQ7" i="13"/>
  <c r="BM9" i="11" s="1"/>
  <c r="AX13" i="56" s="1"/>
  <c r="AX44" i="56" s="1"/>
  <c r="BJ16" i="11"/>
  <c r="AU20" i="56" s="1"/>
  <c r="AU51" i="56" s="1"/>
  <c r="BN21" i="13"/>
  <c r="BV8" i="13"/>
  <c r="BR11" i="11" s="1"/>
  <c r="BC15" i="56" s="1"/>
  <c r="BC46" i="56" s="1"/>
  <c r="BM16" i="11"/>
  <c r="AX20" i="56" s="1"/>
  <c r="AX51" i="56" s="1"/>
  <c r="BQ21" i="13"/>
  <c r="BS13" i="13"/>
  <c r="BO13" i="11" s="1"/>
  <c r="AZ17" i="56" s="1"/>
  <c r="AZ48" i="56" s="1"/>
  <c r="BO13" i="13"/>
  <c r="BK13" i="11" s="1"/>
  <c r="AV17" i="56" s="1"/>
  <c r="AV48" i="56" s="1"/>
  <c r="BV7" i="13"/>
  <c r="BR9" i="11" s="1"/>
  <c r="BC13" i="56" s="1"/>
  <c r="BC44" i="56" s="1"/>
  <c r="BN9" i="11"/>
  <c r="AY13" i="56" s="1"/>
  <c r="AY44" i="56" s="1"/>
  <c r="BR7" i="13"/>
  <c r="BI16" i="11"/>
  <c r="AT20" i="56" s="1"/>
  <c r="AT51" i="56" s="1"/>
  <c r="BM21" i="13"/>
  <c r="BR8" i="13"/>
  <c r="BN11" i="11" s="1"/>
  <c r="AY15" i="56" s="1"/>
  <c r="AY46" i="56" s="1"/>
  <c r="BN8" i="13"/>
  <c r="BJ11" i="11" s="1"/>
  <c r="AU15" i="56" s="1"/>
  <c r="AU46" i="56" s="1"/>
  <c r="BR16" i="11"/>
  <c r="BC20" i="56" s="1"/>
  <c r="BC51" i="56" s="1"/>
  <c r="BV21" i="13"/>
  <c r="BL16" i="11"/>
  <c r="AW20" i="56" s="1"/>
  <c r="AW51" i="56" s="1"/>
  <c r="BP21" i="13"/>
  <c r="BT8" i="13"/>
  <c r="BP11" i="11" s="1"/>
  <c r="BA15" i="56" s="1"/>
  <c r="BA46" i="56" s="1"/>
  <c r="BS21" i="13"/>
  <c r="BO16" i="11" s="1"/>
  <c r="BW21" i="13"/>
  <c r="BS16" i="11" s="1"/>
  <c r="BD20" i="56" s="1"/>
  <c r="BD51" i="56" s="1"/>
  <c r="BQ16" i="11"/>
  <c r="BB20" i="56" s="1"/>
  <c r="BB51" i="56" s="1"/>
  <c r="BU21" i="13"/>
  <c r="BL11" i="11"/>
  <c r="AW15" i="56" s="1"/>
  <c r="AW46" i="56" s="1"/>
  <c r="BP8" i="13"/>
  <c r="BT13" i="13"/>
  <c r="BP13" i="11" s="1"/>
  <c r="BA17" i="56" s="1"/>
  <c r="BA48" i="56" s="1"/>
  <c r="BM11" i="11"/>
  <c r="AX15" i="56" s="1"/>
  <c r="AX46" i="56" s="1"/>
  <c r="BQ8" i="13"/>
  <c r="BU8" i="13"/>
  <c r="BQ11" i="11" s="1"/>
  <c r="BB15" i="56" s="1"/>
  <c r="BB46" i="56" s="1"/>
  <c r="BR13" i="11"/>
  <c r="BC17" i="56" s="1"/>
  <c r="BC48" i="56" s="1"/>
  <c r="BV13" i="13"/>
  <c r="BW13" i="13"/>
  <c r="BS13" i="11" s="1"/>
  <c r="BD17" i="56" s="1"/>
  <c r="BD48" i="56" s="1"/>
  <c r="BP9" i="11"/>
  <c r="BA13" i="56" s="1"/>
  <c r="BA44" i="56" s="1"/>
  <c r="BT7" i="13"/>
  <c r="BW8" i="13"/>
  <c r="BS11" i="11" s="1"/>
  <c r="BD15" i="56" s="1"/>
  <c r="BD46" i="56" s="1"/>
  <c r="BQ9" i="11"/>
  <c r="BB13" i="56" s="1"/>
  <c r="BB44" i="56" s="1"/>
  <c r="BU7" i="13"/>
  <c r="BI9" i="11"/>
  <c r="AT13" i="56" s="1"/>
  <c r="AT44" i="56" s="1"/>
  <c r="BM7" i="13"/>
  <c r="BO7" i="13"/>
  <c r="BK9" i="11" s="1"/>
  <c r="AV13" i="56" s="1"/>
  <c r="AV44" i="56" s="1"/>
  <c r="BR21" i="13"/>
  <c r="BX21" i="13" s="1"/>
  <c r="BP16" i="11"/>
  <c r="BA20" i="56" s="1"/>
  <c r="BA51" i="56" s="1"/>
  <c r="BT21" i="13"/>
  <c r="BS9" i="11"/>
  <c r="BD13" i="56" s="1"/>
  <c r="BD44" i="56" s="1"/>
  <c r="BW7" i="13"/>
  <c r="BR13" i="13"/>
  <c r="BN13" i="11" s="1"/>
  <c r="AY17" i="56" s="1"/>
  <c r="AY48" i="56" s="1"/>
  <c r="BN7" i="13"/>
  <c r="BJ9" i="11" s="1"/>
  <c r="AU13" i="56" s="1"/>
  <c r="AU44" i="56" s="1"/>
  <c r="BO8" i="13"/>
  <c r="BK11" i="11" s="1"/>
  <c r="AV15" i="56" s="1"/>
  <c r="AV46" i="56" s="1"/>
  <c r="BI21" i="13"/>
  <c r="BQ6" i="11"/>
  <c r="BB10" i="56" s="1"/>
  <c r="BI21" i="13" a="1"/>
  <c r="BJ6" i="11"/>
  <c r="AU10" i="56" s="1"/>
  <c r="BI8" i="13" a="1"/>
  <c r="BI8" i="13" s="1"/>
  <c r="BK6" i="11"/>
  <c r="BH6" i="11"/>
  <c r="BH9" i="11"/>
  <c r="AS13" i="56" s="1"/>
  <c r="AS44" i="56" s="1"/>
  <c r="CA55" i="13"/>
  <c r="CA54" i="13"/>
  <c r="CA50" i="13"/>
  <c r="BZ54" i="13"/>
  <c r="BZ55" i="13" s="1"/>
  <c r="BZ50" i="13"/>
  <c r="CC50" i="13"/>
  <c r="CC54" i="13" s="1"/>
  <c r="CC55" i="13" s="1"/>
  <c r="CH50" i="13"/>
  <c r="CH54" i="13" s="1"/>
  <c r="CH55" i="13" s="1"/>
  <c r="BS50" i="13"/>
  <c r="CE54" i="13"/>
  <c r="CE55" i="13" s="1"/>
  <c r="CE50" i="13"/>
  <c r="BT4" i="13"/>
  <c r="BP6" i="11" s="1"/>
  <c r="BT50" i="13"/>
  <c r="CB50" i="13"/>
  <c r="CB54" i="13" s="1"/>
  <c r="CB55" i="13" s="1"/>
  <c r="BS4" i="13"/>
  <c r="BO6" i="11" s="1"/>
  <c r="AZ10" i="56" s="1"/>
  <c r="AZ41" i="56" s="1"/>
  <c r="CG50" i="13"/>
  <c r="CG54" i="13" s="1"/>
  <c r="CG55" i="13" s="1"/>
  <c r="BM4" i="13"/>
  <c r="BI6" i="11" s="1"/>
  <c r="AT10" i="56" s="1"/>
  <c r="BL4" i="13"/>
  <c r="BI4" i="13" s="1" a="1"/>
  <c r="BI4" i="13" s="1"/>
  <c r="CL4" i="13"/>
  <c r="CL50" i="13" s="1"/>
  <c r="CL54" i="13" s="1"/>
  <c r="CL55" i="13" s="1"/>
  <c r="BQ4" i="13"/>
  <c r="BM6" i="11" s="1"/>
  <c r="BM25" i="11" s="1"/>
  <c r="BM28" i="11" s="1"/>
  <c r="BQ50" i="13"/>
  <c r="CF54" i="13"/>
  <c r="CF55" i="13" s="1"/>
  <c r="BR4" i="13"/>
  <c r="BR50" i="13" s="1"/>
  <c r="CF50" i="13"/>
  <c r="CJ50" i="13"/>
  <c r="CJ54" i="13"/>
  <c r="CJ55" i="13" s="1"/>
  <c r="BV4" i="13"/>
  <c r="BR6" i="11" s="1"/>
  <c r="CD50" i="13"/>
  <c r="CD54" i="13"/>
  <c r="CD55" i="13"/>
  <c r="BU4" i="13"/>
  <c r="CI50" i="13"/>
  <c r="CI54" i="13"/>
  <c r="CI55" i="13"/>
  <c r="BW4" i="13"/>
  <c r="BS6" i="11" s="1"/>
  <c r="CK50" i="13"/>
  <c r="CK54" i="13" s="1"/>
  <c r="CK55" i="13" s="1"/>
  <c r="BN4" i="13"/>
  <c r="BO4" i="13"/>
  <c r="BP4" i="13"/>
  <c r="BL13" i="13"/>
  <c r="BI13" i="13" s="1" a="1"/>
  <c r="BI13" i="13" s="1"/>
  <c r="CL13" i="13"/>
  <c r="BL21" i="13"/>
  <c r="BH16" i="11" s="1"/>
  <c r="AS20" i="56" s="1"/>
  <c r="CL21" i="13"/>
  <c r="BL7" i="13"/>
  <c r="BX7" i="13" s="1"/>
  <c r="CL7" i="13"/>
  <c r="BL8" i="13"/>
  <c r="CL8" i="13"/>
  <c r="BB9" i="56" l="1"/>
  <c r="BB29" i="56" s="1"/>
  <c r="BB30" i="56" s="1"/>
  <c r="BM27" i="11"/>
  <c r="BK25" i="11"/>
  <c r="BT13" i="56"/>
  <c r="BP25" i="11"/>
  <c r="BA10" i="56"/>
  <c r="BA41" i="56" s="1"/>
  <c r="BA40" i="56" s="1"/>
  <c r="BA60" i="56" s="1"/>
  <c r="BB41" i="56"/>
  <c r="AZ20" i="56"/>
  <c r="BO25" i="11"/>
  <c r="BS25" i="11"/>
  <c r="BF6" i="11"/>
  <c r="BP27" i="11"/>
  <c r="BP28" i="11"/>
  <c r="BK28" i="11"/>
  <c r="BK27" i="11"/>
  <c r="AU9" i="56"/>
  <c r="AU29" i="56" s="1"/>
  <c r="AU30" i="56" s="1"/>
  <c r="AU41" i="56"/>
  <c r="BU44" i="56" a="1"/>
  <c r="BU44" i="56" s="1"/>
  <c r="BV44" i="56" s="1" a="1"/>
  <c r="BV44" i="56" s="1"/>
  <c r="BF11" i="11"/>
  <c r="BR25" i="11"/>
  <c r="BC10" i="56"/>
  <c r="BF13" i="11"/>
  <c r="BB40" i="56"/>
  <c r="BB60" i="56" s="1"/>
  <c r="BB74" i="56" s="1"/>
  <c r="BH11" i="11"/>
  <c r="BH25" i="11" s="1"/>
  <c r="BX8" i="13"/>
  <c r="AV10" i="56"/>
  <c r="BI25" i="11"/>
  <c r="BA63" i="56"/>
  <c r="BW50" i="13"/>
  <c r="BI7" i="13" a="1"/>
  <c r="BI7" i="13" s="1"/>
  <c r="AS10" i="56"/>
  <c r="AS51" i="56"/>
  <c r="AX10" i="56"/>
  <c r="BF16" i="11"/>
  <c r="BP50" i="13"/>
  <c r="BL6" i="11"/>
  <c r="BV50" i="13"/>
  <c r="BM50" i="13"/>
  <c r="BN16" i="11"/>
  <c r="AY20" i="56" s="1"/>
  <c r="AY51" i="56" s="1"/>
  <c r="BX4" i="13"/>
  <c r="BX50" i="13" s="1"/>
  <c r="BL50" i="13"/>
  <c r="BU50" i="13"/>
  <c r="BJ25" i="11"/>
  <c r="BN6" i="11"/>
  <c r="BO50" i="13"/>
  <c r="BX13" i="13"/>
  <c r="AT9" i="56"/>
  <c r="AT29" i="56" s="1"/>
  <c r="AT30" i="56" s="1"/>
  <c r="AT41" i="56"/>
  <c r="BH13" i="11"/>
  <c r="BQ25" i="11"/>
  <c r="BE13" i="56"/>
  <c r="BE44" i="56" s="1"/>
  <c r="BT9" i="11"/>
  <c r="BB63" i="56"/>
  <c r="BD10" i="56"/>
  <c r="BN50" i="13"/>
  <c r="BT20" i="56"/>
  <c r="BA76" i="56" l="1"/>
  <c r="BA81" i="56"/>
  <c r="BA74" i="56"/>
  <c r="BA78" i="56"/>
  <c r="BA71" i="56"/>
  <c r="BA9" i="56"/>
  <c r="BA29" i="56" s="1"/>
  <c r="BA30" i="56" s="1"/>
  <c r="AW10" i="56"/>
  <c r="BL25" i="11"/>
  <c r="BR28" i="11"/>
  <c r="BR27" i="11"/>
  <c r="BC41" i="56"/>
  <c r="BC9" i="56"/>
  <c r="BC29" i="56" s="1"/>
  <c r="BC30" i="56" s="1"/>
  <c r="BH27" i="11"/>
  <c r="BH28" i="11"/>
  <c r="BB61" i="56"/>
  <c r="BB87" i="56"/>
  <c r="BB73" i="56"/>
  <c r="BB86" i="56"/>
  <c r="BB75" i="56"/>
  <c r="BB89" i="56"/>
  <c r="BB84" i="56"/>
  <c r="BB64" i="56"/>
  <c r="BB72" i="56"/>
  <c r="BB77" i="56"/>
  <c r="BB83" i="56"/>
  <c r="BB88" i="56"/>
  <c r="BB85" i="56"/>
  <c r="BB80" i="56"/>
  <c r="BB79" i="56"/>
  <c r="BF9" i="11"/>
  <c r="BE20" i="56"/>
  <c r="BE51" i="56" s="1"/>
  <c r="AT40" i="56"/>
  <c r="AT60" i="56" s="1"/>
  <c r="AT63" i="56"/>
  <c r="AU63" i="56"/>
  <c r="AU40" i="56"/>
  <c r="AU60" i="56" s="1"/>
  <c r="BB78" i="56"/>
  <c r="AX9" i="56"/>
  <c r="AX29" i="56" s="1"/>
  <c r="AX30" i="56" s="1"/>
  <c r="AX41" i="56"/>
  <c r="BB81" i="56"/>
  <c r="BS27" i="11"/>
  <c r="BS28" i="11"/>
  <c r="BJ27" i="11"/>
  <c r="BJ28" i="11"/>
  <c r="BT11" i="11"/>
  <c r="AS15" i="56"/>
  <c r="BO27" i="11"/>
  <c r="BO28" i="11"/>
  <c r="BT6" i="11"/>
  <c r="BU51" i="56" a="1"/>
  <c r="BU51" i="56" s="1"/>
  <c r="BV51" i="56" s="1" a="1"/>
  <c r="BV51" i="56" s="1"/>
  <c r="AZ51" i="56"/>
  <c r="AZ9" i="56"/>
  <c r="AZ29" i="56" s="1"/>
  <c r="AZ30" i="56" s="1"/>
  <c r="BN25" i="11"/>
  <c r="AY10" i="56"/>
  <c r="AV9" i="56"/>
  <c r="AV29" i="56" s="1"/>
  <c r="AV30" i="56" s="1"/>
  <c r="AV41" i="56"/>
  <c r="BI50" i="13"/>
  <c r="BI66" i="13" s="1"/>
  <c r="BT44" i="56"/>
  <c r="AS41" i="56"/>
  <c r="BT10" i="56"/>
  <c r="BA61" i="56"/>
  <c r="BA86" i="56"/>
  <c r="BA84" i="56"/>
  <c r="BA79" i="56"/>
  <c r="BA89" i="56"/>
  <c r="BA75" i="56"/>
  <c r="BA87" i="56"/>
  <c r="BA88" i="56"/>
  <c r="BA64" i="56"/>
  <c r="BA73" i="56"/>
  <c r="BA80" i="56"/>
  <c r="BA72" i="56"/>
  <c r="BA85" i="56"/>
  <c r="BA77" i="56"/>
  <c r="BA83" i="56"/>
  <c r="BQ28" i="11"/>
  <c r="BQ27" i="11"/>
  <c r="BT16" i="11"/>
  <c r="BD41" i="56"/>
  <c r="BD9" i="56"/>
  <c r="BD29" i="56" s="1"/>
  <c r="BD30" i="56" s="1"/>
  <c r="BI27" i="11"/>
  <c r="BI28" i="11"/>
  <c r="BB71" i="56"/>
  <c r="BT13" i="11"/>
  <c r="AS17" i="56"/>
  <c r="BB76" i="56"/>
  <c r="BA70" i="56" l="1"/>
  <c r="BB70" i="56"/>
  <c r="AT64" i="56"/>
  <c r="AT89" i="56"/>
  <c r="AT85" i="56"/>
  <c r="AT72" i="56"/>
  <c r="AT73" i="56"/>
  <c r="AT88" i="56"/>
  <c r="AT75" i="56"/>
  <c r="AT79" i="56"/>
  <c r="AT61" i="56"/>
  <c r="AT86" i="56"/>
  <c r="AT84" i="56"/>
  <c r="AT83" i="56"/>
  <c r="AT80" i="56"/>
  <c r="AT87" i="56"/>
  <c r="AT77" i="56"/>
  <c r="AT76" i="56"/>
  <c r="AT81" i="56"/>
  <c r="AT78" i="56"/>
  <c r="AT74" i="56"/>
  <c r="BT51" i="56"/>
  <c r="AV63" i="56"/>
  <c r="AV40" i="56"/>
  <c r="AV60" i="56" s="1"/>
  <c r="AV71" i="56" s="1"/>
  <c r="AX40" i="56"/>
  <c r="AX60" i="56" s="1"/>
  <c r="AX63" i="56"/>
  <c r="AZ63" i="56"/>
  <c r="AZ40" i="56"/>
  <c r="AZ60" i="56" s="1"/>
  <c r="BE17" i="56"/>
  <c r="BE48" i="56" s="1"/>
  <c r="AS48" i="56"/>
  <c r="BT17" i="56"/>
  <c r="BI109" i="13"/>
  <c r="BI73" i="13"/>
  <c r="BI95" i="13"/>
  <c r="BI86" i="13"/>
  <c r="BI68" i="13"/>
  <c r="BI91" i="13"/>
  <c r="BI77" i="13"/>
  <c r="BI84" i="13"/>
  <c r="BI82" i="13"/>
  <c r="BI103" i="13"/>
  <c r="BI92" i="13"/>
  <c r="BI78" i="13"/>
  <c r="BI101" i="13"/>
  <c r="BI64" i="13"/>
  <c r="BI75" i="13"/>
  <c r="BI71" i="13"/>
  <c r="BI69" i="13"/>
  <c r="BI79" i="13"/>
  <c r="BI107" i="13"/>
  <c r="BI93" i="13"/>
  <c r="BI65" i="13"/>
  <c r="BI94" i="13"/>
  <c r="BI88" i="13"/>
  <c r="BI89" i="13"/>
  <c r="BI83" i="13"/>
  <c r="BI102" i="13"/>
  <c r="BI99" i="13"/>
  <c r="BI70" i="13"/>
  <c r="BI100" i="13"/>
  <c r="BI106" i="13"/>
  <c r="BI85" i="13"/>
  <c r="BI96" i="13"/>
  <c r="BI74" i="13"/>
  <c r="BI90" i="13"/>
  <c r="BI97" i="13"/>
  <c r="BI76" i="13"/>
  <c r="BI98" i="13"/>
  <c r="BI104" i="13"/>
  <c r="BI105" i="13"/>
  <c r="BI87" i="13"/>
  <c r="BI108" i="13"/>
  <c r="BI67" i="13"/>
  <c r="BI63" i="13"/>
  <c r="BI80" i="13"/>
  <c r="BI72" i="13"/>
  <c r="BN28" i="11"/>
  <c r="BN27" i="11"/>
  <c r="AU79" i="56"/>
  <c r="AU75" i="56"/>
  <c r="AU83" i="56"/>
  <c r="AU85" i="56"/>
  <c r="AU72" i="56"/>
  <c r="AU61" i="56"/>
  <c r="AU77" i="56"/>
  <c r="AU88" i="56"/>
  <c r="AU87" i="56"/>
  <c r="AU64" i="56"/>
  <c r="AU84" i="56"/>
  <c r="AU89" i="56"/>
  <c r="AU86" i="56"/>
  <c r="AU73" i="56"/>
  <c r="AU80" i="56"/>
  <c r="AU78" i="56"/>
  <c r="AU74" i="56"/>
  <c r="AU76" i="56"/>
  <c r="AU81" i="56"/>
  <c r="BC40" i="56"/>
  <c r="BC60" i="56" s="1"/>
  <c r="BC63" i="56"/>
  <c r="BC71" i="56"/>
  <c r="AS9" i="56"/>
  <c r="AU71" i="56"/>
  <c r="BL28" i="11"/>
  <c r="BL27" i="11"/>
  <c r="BD63" i="56"/>
  <c r="BD40" i="56"/>
  <c r="BD60" i="56" s="1"/>
  <c r="BD71" i="56" s="1"/>
  <c r="BA82" i="56"/>
  <c r="BA90" i="56" s="1"/>
  <c r="AS40" i="56"/>
  <c r="AS60" i="56" s="1"/>
  <c r="AS71" i="56" s="1"/>
  <c r="BU41" i="56" a="1"/>
  <c r="BU41" i="56" s="1"/>
  <c r="AT71" i="56"/>
  <c r="AW41" i="56"/>
  <c r="AW9" i="56"/>
  <c r="AW29" i="56" s="1"/>
  <c r="AW30" i="56" s="1"/>
  <c r="AY9" i="56"/>
  <c r="AY29" i="56" s="1"/>
  <c r="AY30" i="56" s="1"/>
  <c r="AY41" i="56"/>
  <c r="BF25" i="11"/>
  <c r="BB82" i="56"/>
  <c r="BT25" i="11"/>
  <c r="BV8" i="11"/>
  <c r="BV24" i="11" s="1"/>
  <c r="BE62" i="56"/>
  <c r="BE10" i="56"/>
  <c r="AS46" i="56"/>
  <c r="BT15" i="56"/>
  <c r="BE15" i="56"/>
  <c r="BE46" i="56" s="1"/>
  <c r="AT82" i="56" l="1"/>
  <c r="AS63" i="56"/>
  <c r="AU70" i="56"/>
  <c r="AV61" i="56"/>
  <c r="AV87" i="56"/>
  <c r="AV77" i="56"/>
  <c r="AV86" i="56"/>
  <c r="AV83" i="56"/>
  <c r="AV85" i="56"/>
  <c r="AV75" i="56"/>
  <c r="AV64" i="56"/>
  <c r="AV73" i="56"/>
  <c r="AV79" i="56"/>
  <c r="AV84" i="56"/>
  <c r="AV88" i="56"/>
  <c r="AV72" i="56"/>
  <c r="AV70" i="56" s="1"/>
  <c r="AV80" i="56"/>
  <c r="AV89" i="56"/>
  <c r="AV76" i="56"/>
  <c r="AV78" i="56"/>
  <c r="AV81" i="56"/>
  <c r="AV74" i="56"/>
  <c r="AY40" i="56"/>
  <c r="AY60" i="56" s="1"/>
  <c r="AY71" i="56" s="1"/>
  <c r="AY63" i="56"/>
  <c r="AS29" i="56"/>
  <c r="BT9" i="56"/>
  <c r="BT28" i="11"/>
  <c r="BT27" i="11"/>
  <c r="AX77" i="56"/>
  <c r="AX64" i="56"/>
  <c r="AX84" i="56"/>
  <c r="AX75" i="56"/>
  <c r="AX72" i="56"/>
  <c r="AX80" i="56"/>
  <c r="AX83" i="56"/>
  <c r="AX73" i="56"/>
  <c r="AX88" i="56"/>
  <c r="AX86" i="56"/>
  <c r="AX79" i="56"/>
  <c r="AX89" i="56"/>
  <c r="AX61" i="56"/>
  <c r="AX85" i="56"/>
  <c r="AX87" i="56"/>
  <c r="AX74" i="56"/>
  <c r="AX78" i="56"/>
  <c r="AX76" i="56"/>
  <c r="AX81" i="56"/>
  <c r="AX71" i="56"/>
  <c r="BC85" i="56"/>
  <c r="BC80" i="56"/>
  <c r="BC75" i="56"/>
  <c r="BC89" i="56"/>
  <c r="BC73" i="56"/>
  <c r="BC83" i="56"/>
  <c r="BC72" i="56"/>
  <c r="BC77" i="56"/>
  <c r="BC64" i="56"/>
  <c r="BC79" i="56"/>
  <c r="BC87" i="56"/>
  <c r="BC84" i="56"/>
  <c r="BC86" i="56"/>
  <c r="BC88" i="56"/>
  <c r="BC61" i="56"/>
  <c r="BC74" i="56"/>
  <c r="BC81" i="56"/>
  <c r="BC78" i="56"/>
  <c r="BC76" i="56"/>
  <c r="BV41" i="56" a="1"/>
  <c r="BV41" i="56" s="1"/>
  <c r="BU48" i="56" a="1"/>
  <c r="BU48" i="56" s="1"/>
  <c r="BV48" i="56" s="1" a="1"/>
  <c r="BV48" i="56" s="1"/>
  <c r="AS78" i="56"/>
  <c r="BF43" i="11"/>
  <c r="BF38" i="11"/>
  <c r="BF52" i="11"/>
  <c r="BF55" i="11"/>
  <c r="BF51" i="11"/>
  <c r="BF39" i="11"/>
  <c r="BF41" i="11"/>
  <c r="BF28" i="11"/>
  <c r="BF53" i="11"/>
  <c r="BF50" i="11"/>
  <c r="BF46" i="11"/>
  <c r="BF27" i="11"/>
  <c r="BF45" i="11"/>
  <c r="BF49" i="11"/>
  <c r="BF54" i="11"/>
  <c r="BF44" i="11"/>
  <c r="BF37" i="11"/>
  <c r="BF42" i="11"/>
  <c r="BF47" i="11"/>
  <c r="BT48" i="56"/>
  <c r="AW63" i="56"/>
  <c r="AW40" i="56"/>
  <c r="AW60" i="56" s="1"/>
  <c r="AW71" i="56" s="1"/>
  <c r="BT46" i="56"/>
  <c r="AS86" i="56"/>
  <c r="AS73" i="56"/>
  <c r="AS72" i="56"/>
  <c r="AS88" i="56"/>
  <c r="AS80" i="56"/>
  <c r="AS75" i="56"/>
  <c r="AS64" i="56"/>
  <c r="AS79" i="56"/>
  <c r="AS89" i="56"/>
  <c r="AS85" i="56"/>
  <c r="AS77" i="56"/>
  <c r="AS61" i="56"/>
  <c r="AS84" i="56"/>
  <c r="AS87" i="56"/>
  <c r="AS83" i="56"/>
  <c r="AS74" i="56"/>
  <c r="AS81" i="56"/>
  <c r="BU46" i="56" a="1"/>
  <c r="BU46" i="56" s="1"/>
  <c r="BV46" i="56" s="1" a="1"/>
  <c r="BV46" i="56" s="1"/>
  <c r="AS76" i="56"/>
  <c r="AZ83" i="56"/>
  <c r="AZ72" i="56"/>
  <c r="AZ64" i="56"/>
  <c r="AZ87" i="56"/>
  <c r="AZ86" i="56"/>
  <c r="AZ88" i="56"/>
  <c r="AZ79" i="56"/>
  <c r="AZ89" i="56"/>
  <c r="AZ77" i="56"/>
  <c r="AZ84" i="56"/>
  <c r="AZ75" i="56"/>
  <c r="AZ85" i="56"/>
  <c r="AZ80" i="56"/>
  <c r="AZ61" i="56"/>
  <c r="AZ73" i="56"/>
  <c r="AZ71" i="56"/>
  <c r="AZ74" i="56"/>
  <c r="AZ78" i="56"/>
  <c r="AZ76" i="56"/>
  <c r="BB90" i="56"/>
  <c r="AU82" i="56"/>
  <c r="AU90" i="56" s="1"/>
  <c r="BE9" i="56"/>
  <c r="BE29" i="56" s="1"/>
  <c r="BE30" i="56" s="1"/>
  <c r="BE41" i="56"/>
  <c r="BF40" i="11"/>
  <c r="AT70" i="56"/>
  <c r="AT90" i="56" s="1"/>
  <c r="BT62" i="56"/>
  <c r="BD61" i="56"/>
  <c r="BD73" i="56"/>
  <c r="BD84" i="56"/>
  <c r="BD79" i="56"/>
  <c r="BD87" i="56"/>
  <c r="BD86" i="56"/>
  <c r="BD75" i="56"/>
  <c r="BD83" i="56"/>
  <c r="BD89" i="56"/>
  <c r="BD77" i="56"/>
  <c r="BD72" i="56"/>
  <c r="BD74" i="56"/>
  <c r="BD88" i="56"/>
  <c r="BD85" i="56"/>
  <c r="BD64" i="56"/>
  <c r="BD80" i="56"/>
  <c r="BD76" i="56"/>
  <c r="BD78" i="56"/>
  <c r="BD81" i="56"/>
  <c r="AZ81" i="56"/>
  <c r="AS70" i="56" l="1"/>
  <c r="BD70" i="56"/>
  <c r="AS82" i="56"/>
  <c r="BC70" i="56"/>
  <c r="BC82" i="56"/>
  <c r="AV82" i="56"/>
  <c r="AV90" i="56" s="1"/>
  <c r="AY83" i="56"/>
  <c r="AY77" i="56"/>
  <c r="AY87" i="56"/>
  <c r="AY86" i="56"/>
  <c r="AY79" i="56"/>
  <c r="AY89" i="56"/>
  <c r="AY64" i="56"/>
  <c r="AY72" i="56"/>
  <c r="AY70" i="56" s="1"/>
  <c r="AY61" i="56"/>
  <c r="AY84" i="56"/>
  <c r="AY85" i="56"/>
  <c r="AY73" i="56"/>
  <c r="AY75" i="56"/>
  <c r="AY88" i="56"/>
  <c r="AY80" i="56"/>
  <c r="AY76" i="56"/>
  <c r="AY74" i="56"/>
  <c r="AY78" i="56"/>
  <c r="AY81" i="56"/>
  <c r="BE40" i="56"/>
  <c r="BE63" i="56"/>
  <c r="BT41" i="56"/>
  <c r="AZ82" i="56"/>
  <c r="AX70" i="56"/>
  <c r="AX90" i="56" s="1"/>
  <c r="BD82" i="56"/>
  <c r="BD90" i="56" s="1"/>
  <c r="AZ70" i="56"/>
  <c r="AS30" i="56"/>
  <c r="BT29" i="56"/>
  <c r="BU40" i="56"/>
  <c r="BU63" i="56"/>
  <c r="BV63" i="56" s="1" a="1"/>
  <c r="BV63" i="56" s="1"/>
  <c r="AW89" i="56"/>
  <c r="AW61" i="56"/>
  <c r="AW83" i="56"/>
  <c r="AW73" i="56"/>
  <c r="AW84" i="56"/>
  <c r="AW64" i="56"/>
  <c r="AW77" i="56"/>
  <c r="AW79" i="56"/>
  <c r="AW86" i="56"/>
  <c r="AW85" i="56"/>
  <c r="AW72" i="56"/>
  <c r="AW70" i="56" s="1"/>
  <c r="AW87" i="56"/>
  <c r="AW88" i="56"/>
  <c r="AW80" i="56"/>
  <c r="AW75" i="56"/>
  <c r="AW74" i="56"/>
  <c r="AW76" i="56"/>
  <c r="AW78" i="56"/>
  <c r="AW81" i="56"/>
  <c r="AX82" i="56"/>
  <c r="BF56" i="11"/>
  <c r="AS90" i="56" l="1"/>
  <c r="BC90" i="56"/>
  <c r="BT40" i="56"/>
  <c r="BT60" i="56" s="1"/>
  <c r="BT63" i="56"/>
  <c r="AW82" i="56"/>
  <c r="AW90" i="56" s="1"/>
  <c r="AY82" i="56"/>
  <c r="AY90" i="56" s="1"/>
  <c r="BV40" i="56" a="1"/>
  <c r="BV40" i="56" s="1"/>
  <c r="BU60" i="56"/>
  <c r="BE60" i="56"/>
  <c r="BY40" i="56" s="1"/>
  <c r="CB40" i="56" s="1"/>
  <c r="AZ90" i="56"/>
  <c r="BY63" i="56"/>
  <c r="CB63" i="56" s="1"/>
  <c r="AQ5" i="57"/>
  <c r="BT30" i="56"/>
  <c r="BT64" i="56" l="1"/>
  <c r="BY58" i="56"/>
  <c r="CB58" i="56" s="1"/>
  <c r="BY60" i="56"/>
  <c r="CB60" i="56" s="1"/>
  <c r="BE86" i="56"/>
  <c r="BY53" i="56"/>
  <c r="CB53" i="56" s="1"/>
  <c r="BE72" i="56"/>
  <c r="BY47" i="56"/>
  <c r="CB47" i="56" s="1"/>
  <c r="BE61" i="56"/>
  <c r="BY43" i="56"/>
  <c r="CB43" i="56" s="1"/>
  <c r="BY57" i="56"/>
  <c r="CB57" i="56" s="1"/>
  <c r="BY49" i="56"/>
  <c r="CB49" i="56" s="1"/>
  <c r="BE85" i="56"/>
  <c r="BE77" i="56"/>
  <c r="BE88" i="56"/>
  <c r="BY45" i="56"/>
  <c r="CB45" i="56" s="1"/>
  <c r="BE84" i="56"/>
  <c r="BE79" i="56"/>
  <c r="BE89" i="56"/>
  <c r="BE80" i="56"/>
  <c r="BY52" i="56"/>
  <c r="CB52" i="56" s="1"/>
  <c r="BY54" i="56"/>
  <c r="CB54" i="56" s="1"/>
  <c r="BE73" i="56"/>
  <c r="BY55" i="56"/>
  <c r="CB55" i="56" s="1"/>
  <c r="BE64" i="56"/>
  <c r="BY56" i="56"/>
  <c r="CB56" i="56" s="1"/>
  <c r="BE87" i="56"/>
  <c r="BE83" i="56"/>
  <c r="BY50" i="56"/>
  <c r="CB50" i="56" s="1"/>
  <c r="BY59" i="56"/>
  <c r="CB59" i="56" s="1"/>
  <c r="BE75" i="56"/>
  <c r="BY42" i="56"/>
  <c r="CB42" i="56" s="1"/>
  <c r="BE74" i="56"/>
  <c r="BY44" i="56"/>
  <c r="CB44" i="56" s="1"/>
  <c r="BE81" i="56"/>
  <c r="BY51" i="56"/>
  <c r="CB51" i="56" s="1"/>
  <c r="BY48" i="56"/>
  <c r="CB48" i="56" s="1"/>
  <c r="BE78" i="56"/>
  <c r="BY46" i="56"/>
  <c r="CB46" i="56" s="1"/>
  <c r="BE76" i="56"/>
  <c r="BY41" i="56"/>
  <c r="CB41" i="56" s="1"/>
  <c r="BE71" i="56"/>
  <c r="BU64" i="56"/>
  <c r="BV64" i="56" s="1" a="1"/>
  <c r="BV64" i="56" s="1"/>
  <c r="BU61" i="56"/>
  <c r="BV61" i="56" s="1" a="1"/>
  <c r="BV61" i="56" s="1"/>
  <c r="BV60" i="56" a="1"/>
  <c r="BV60" i="56" s="1"/>
  <c r="BS72" i="56" l="1"/>
  <c r="BS76" i="56"/>
  <c r="AQ6" i="57"/>
  <c r="AQ7" i="57" s="1"/>
  <c r="BY64" i="56"/>
  <c r="CB64" i="56" s="1"/>
  <c r="BT61" i="56"/>
  <c r="BS78" i="56"/>
  <c r="BS79" i="56"/>
  <c r="BS84" i="56"/>
  <c r="BS73" i="56"/>
  <c r="BS81" i="56"/>
  <c r="BS74" i="56"/>
  <c r="BS75" i="56"/>
  <c r="BS89" i="56"/>
  <c r="BS86" i="56"/>
  <c r="BS85" i="56"/>
  <c r="BS88" i="56"/>
  <c r="BS80" i="56"/>
  <c r="BS77" i="56"/>
  <c r="BS83" i="56"/>
  <c r="BE82" i="56"/>
  <c r="BS71" i="56"/>
  <c r="BE70" i="56"/>
  <c r="BS87" i="56"/>
  <c r="BS82" i="56" l="1"/>
  <c r="BS70" i="56"/>
  <c r="BS90" i="56" s="1"/>
  <c r="BE90" i="5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Tâm, Lưu Thị Minh</author>
    <author>Diễm, Nguyễn Thị Thanh</author>
  </authors>
  <commentList>
    <comment ref="U10" authorId="0" shapeId="0" xr:uid="{C80232C5-08A1-459D-B3E5-A1703F279DB2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WSS03G: T04 xuất thiếu tiêu hao -&gt; qua T5 xuất bổ sung: 3,5 tỷ</t>
        </r>
      </text>
    </comment>
    <comment ref="V10" authorId="0" shapeId="0" xr:uid="{4E8E17F9-EEDB-4997-8341-D94DF945ED86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WSS03G: T04 xuất thiếu tiêu hao -&gt; qua T5 xuất bổ sung 3,5 tỷ</t>
        </r>
      </text>
    </comment>
    <comment ref="U11" authorId="0" shapeId="0" xr:uid="{3F59486F-6379-4D3F-8A9F-B4C3B19DAD82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Kỳ điện T4 tính đến 0h ngày 27/4 nên 4 ngày cuối T4 chuyển sang T5: 214.645kw điện ~380tr.</t>
        </r>
      </text>
    </comment>
    <comment ref="V11" authorId="0" shapeId="0" xr:uid="{D740F506-6473-47E1-9CC9-0122839B5F42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Kỳ điện T4 tính đến 0h ngày 27/4 nên 4 ngày cuối T4 chuyển sang T5: 214.645kw điện ~380tr.</t>
        </r>
      </text>
    </comment>
    <comment ref="U18" authorId="0" shapeId="0" xr:uid="{9A11C8E1-8D5D-4F82-84C0-775543666882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T4 xuất kho qua T5: 67tr</t>
        </r>
      </text>
    </comment>
    <comment ref="V18" authorId="0" shapeId="0" xr:uid="{4DA96902-EE2D-44E9-86E3-6D51ACCE8C40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T4 xuất kho qua T5: 67tr</t>
        </r>
      </text>
    </comment>
    <comment ref="R22" authorId="0" shapeId="0" xr:uid="{B033A672-4B6D-4132-BF76-0421AE550C51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 - T1 hạch toán CP thuê máy vào khấu hao 2,272 tỷ
 - CP thuê F7 154 tr hạch toán qua T2</t>
        </r>
      </text>
    </comment>
    <comment ref="S22" authorId="0" shapeId="0" xr:uid="{17CBA401-03B2-4975-8D73-10153AE1A108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Do T1 hạch toán chi phí thuê máy vào khấu hao 2,272 tỷ 
Hạch toán thiếu tiền thuê TĐH 1,6 tỷ</t>
        </r>
      </text>
    </comment>
    <comment ref="T22" authorId="0" shapeId="0" xr:uid="{796B704F-70DC-4B7A-91D5-3A5522B8A42D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Hạch toán 2 lần tiền thuê TĐH 1,6 tỷ</t>
        </r>
      </text>
    </comment>
    <comment ref="U22" authorId="0" shapeId="0" xr:uid="{16E49FE5-A890-49D8-96FD-B837C565AFAF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Thuế kho F7: 150 tr hạch toán qua T5</t>
        </r>
      </text>
    </comment>
    <comment ref="V22" authorId="0" shapeId="0" xr:uid="{59CC75C5-9C8A-47B0-859A-AD502247C9A3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- Thuế kho F7: 150 tr T4 hạch toán qua T5
 - Thuê kho Tân Lợi Phát giảm 100 tr-&gt; 80 tr
 - giảm thuê 1 kho Tân Lợi Phát: 154 tr</t>
        </r>
      </text>
    </comment>
    <comment ref="R24" authorId="0" shapeId="0" xr:uid="{894E4E26-4B89-4459-91BB-BE2C6EA48DF3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Do T1 hạch toán chi phí thuê máy vào khấu hao 2,272 tỷ</t>
        </r>
      </text>
    </comment>
    <comment ref="S24" authorId="0" shapeId="0" xr:uid="{24C6C33B-61D3-490B-8581-B99D4B5F2FEC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Do T2 hạch toán chi phí thuê máy vào khấu hao 2,272 tỷ</t>
        </r>
      </text>
    </comment>
    <comment ref="BT39" authorId="1" shapeId="0" xr:uid="{66634A02-4B20-4D1E-9E98-64F8487E3944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Kế hoạch 2025
</t>
        </r>
      </text>
    </comment>
    <comment ref="V41" authorId="0" shapeId="0" xr:uid="{5C624E17-A5F2-463A-8AE4-E369707A2E7D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giảm tài trợ cho 3 trạm</t>
        </r>
      </text>
    </comment>
    <comment ref="D43" authorId="0" shapeId="0" xr:uid="{71CAC784-9799-4AA7-B3B7-29918B003F37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chia cho sản lượng bán, không bao gồm CP xuất khẩu</t>
        </r>
      </text>
    </comment>
    <comment ref="D53" authorId="0" shapeId="0" xr:uid="{C159D24A-B1A5-427E-8D24-2B9CD0B0795A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Đã điều chỉnh (không bao gồm thuê xưởng, thuê máy ở 632)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Tâm, Lưu Thị Minh</author>
  </authors>
  <commentList>
    <comment ref="AJ10" authorId="0" shapeId="0" xr:uid="{FDD32247-7AA5-496A-BE5C-AC81D462D7D2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WSS03G: T04 xuất thiếu tiêu hao -&gt; qua T5 xuất bổ sung: 3,5 tỷ</t>
        </r>
      </text>
    </comment>
    <comment ref="AK10" authorId="0" shapeId="0" xr:uid="{BF3701E7-D3E0-48BF-BEBA-B3F012363302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WSS03G: T04 xuất thiếu tiêu hao -&gt; qua T5 xuất bổ sung 3,5 tỷ</t>
        </r>
      </text>
    </comment>
    <comment ref="AJ11" authorId="0" shapeId="0" xr:uid="{581D1E60-CFBA-40AA-B0F4-BBFFCACDA105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Kỳ điện T4 tính đến 0h ngày 27/4 nên 4 ngày cuối T4 chuyển sang T5: 214.645kw điện ~380tr.</t>
        </r>
      </text>
    </comment>
    <comment ref="AK11" authorId="0" shapeId="0" xr:uid="{8BE7F1FC-3357-4457-985B-062878245392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Kỳ điện T4 tính đến 0h ngày 27/4 nên 4 ngày cuối T4 chuyển sang T5: 214.645kw điện ~380tr.</t>
        </r>
      </text>
    </comment>
    <comment ref="AJ18" authorId="0" shapeId="0" xr:uid="{42BFB37D-CACC-45A9-91AF-17A57A46B6D9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T4 xuất kho qua T5: 67tr</t>
        </r>
      </text>
    </comment>
    <comment ref="AK18" authorId="0" shapeId="0" xr:uid="{11DB4ED5-6B9E-4818-896A-4C61B7F6A2C4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T4 xuất kho qua T5: 67tr</t>
        </r>
      </text>
    </comment>
    <comment ref="AG22" authorId="0" shapeId="0" xr:uid="{BAA5EBD8-8AEF-4DE9-8E03-0788A092A46F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 - T1 hạch toán CP thuê máy vào khấu hao 2,272 tỷ
 - CP thuê F7 154 tr hạch toán qua T2</t>
        </r>
      </text>
    </comment>
    <comment ref="AH22" authorId="0" shapeId="0" xr:uid="{B330CCCC-5255-40D7-924F-B6B00C8C6955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Do T1 hạch toán chi phí thuê máy vào khấu hao 2,272 tỷ 
Hạch toán thiếu tiền thuê TĐH 1,6 tỷ</t>
        </r>
      </text>
    </comment>
    <comment ref="AI22" authorId="0" shapeId="0" xr:uid="{DAC054BD-2086-41F9-B863-0EBD6FCB2EB7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Hạch toán 2 lần tiền thuê TĐH 1,6 tỷ</t>
        </r>
      </text>
    </comment>
    <comment ref="AJ22" authorId="0" shapeId="0" xr:uid="{893EBC3E-C2A6-4137-9513-0E6E6B351195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Thuế kho F7: 150 tr hạch toán qua T5</t>
        </r>
      </text>
    </comment>
    <comment ref="AK22" authorId="0" shapeId="0" xr:uid="{02DDE4EC-13A0-492C-BCE4-57961E5A13F4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- Thuế kho F7: 150 tr T4 hạch toán qua T5
 - Thuê kho Tân Lợi Phát giảm 100 tr-&gt; 80 tr
 - giảm thuê 1 kho Tân Lợi Phát: 154 tr</t>
        </r>
      </text>
    </comment>
    <comment ref="AG24" authorId="0" shapeId="0" xr:uid="{0D900C9B-9AAF-47D4-ADC6-09AE7A40A7C2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Do T1 hạch toán chi phí thuê máy vào khấu hao 2,272 tỷ</t>
        </r>
      </text>
    </comment>
    <comment ref="AH24" authorId="0" shapeId="0" xr:uid="{EC9E5526-D448-42B6-A8CE-01240D1A1B41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Do T2 hạch toán chi phí thuê máy vào khấu hao 2,272 tỷ</t>
        </r>
      </text>
    </comment>
    <comment ref="AK40" authorId="0" shapeId="0" xr:uid="{9AA2EFE4-BAD8-487A-BC4D-D997FCC0A61F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giảm tài trợ cho 3 trạm</t>
        </r>
      </text>
    </comment>
    <comment ref="AY41" authorId="0" shapeId="0" xr:uid="{18B0C7E6-8EB4-4828-86EA-33A6304EA720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780kw/tấn: 780*</t>
        </r>
      </text>
    </comment>
    <comment ref="D42" authorId="0" shapeId="0" xr:uid="{9480C914-0C12-43B6-A64D-5DF30B284308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chia cho sản lượng bán, không bao gồm CP xuất khẩu</t>
        </r>
      </text>
    </comment>
    <comment ref="AY48" authorId="0" shapeId="0" xr:uid="{3882EE3C-1D13-4E5A-884C-E7056C5DC1B6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9329/m3 nước thải, 1kg vảy rửa mất 6m3 nước, CP tấn: 0,056tr</t>
        </r>
      </text>
    </comment>
    <comment ref="AY49" authorId="0" shapeId="0" xr:uid="{76CD1BB9-58EB-4C16-94A7-A7B250F750D8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3,1 m3 nước rửa 1 tấn vảy</t>
        </r>
      </text>
    </comment>
    <comment ref="D52" authorId="0" shapeId="0" xr:uid="{DAF7E4C2-FE3F-411C-A071-8801026F884D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Đã điều chỉnh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Tâm, Lưu Thị Minh</author>
    <author>tc={CB2BDF9E-8B8A-4CA4-BCB8-7A1EA2E0E122}</author>
  </authors>
  <commentList>
    <comment ref="S18" authorId="0" shapeId="0" xr:uid="{7B1DE437-5710-41CF-8D8B-66C94B868274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Đã có 1,6 tỷ thuê kho TĐH</t>
        </r>
      </text>
    </comment>
    <comment ref="T18" authorId="0" shapeId="0" xr:uid="{25388DD3-B650-4A83-B690-EFEDD1A2C4B2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Đã trừ Thuê kho TĐH hạch toán 2 lần: 1,6 tỷ</t>
        </r>
      </text>
    </comment>
    <comment ref="F37" authorId="1" shapeId="0" xr:uid="{CB2BDF9E-8B8A-4CA4-BCB8-7A1EA2E0E122}">
      <text>
        <t>[Threaded comment]
Your version of Excel allows you to read this threaded comment; however, any edits to it will get removed if the file is opened in a newer version of Excel. Learn more: https://go.microsoft.com/fwlink/?linkid=870924
Comment:
    Cơ cấu CP lương không tăng so với T1 nên % nhựa tăng so với tổng CP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tc={A7E02C92-B36E-4E2E-AD1A-89E66777C807}</author>
    <author>tc={5FB2906F-AC7A-4F8D-973D-963AAD2F8264}</author>
    <author>Lâm, Vũ Trần Đình Tùng</author>
  </authors>
  <commentList>
    <comment ref="K4" authorId="0" shapeId="0" xr:uid="{A7E02C92-B36E-4E2E-AD1A-89E66777C807}">
      <text>
        <t>[Threaded comment]
Your version of Excel allows you to read this threaded comment; however, any edits to it will get removed if the file is opened in a newer version of Excel. Learn more: https://go.microsoft.com/fwlink/?linkid=870924
Comment:
    Cộng 966tr phí hỗ trợ trạm</t>
      </text>
    </comment>
    <comment ref="G33" authorId="1" shapeId="0" xr:uid="{5FB2906F-AC7A-4F8D-973D-963AAD2F8264}">
      <text>
        <t>[Threaded comment]
Your version of Excel allows you to read this threaded comment; however, any edits to it will get removed if the file is opened in a newer version of Excel. Learn more: https://go.microsoft.com/fwlink/?linkid=870924
Comment:
    CP bảo hiểm cháy nổ thanh toán 2 lần, mỗi lần phân bổ 6 tháng ( lần 1 từ T11.22 đến T4.23, lần 2 từ T02.23 đến T7.23</t>
      </text>
    </comment>
    <comment ref="P63" authorId="2" shapeId="0" xr:uid="{B8D9B89B-19BA-4FFE-9A13-ACF786AD5D68}">
      <text>
        <r>
          <rPr>
            <b/>
            <sz val="8"/>
            <color indexed="81"/>
            <rFont val="Tahoma"/>
            <family val="2"/>
          </rPr>
          <t>Lâm, Vũ Trần Đình Tùng: có bán vảy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BB2C8B-C63D-4913-8B6D-70D74ADEC0C6}" name="Query - 01_Formulas_KSB1_TT" description="Connection to the '01_Formulas_KSB1_TT' query in the workbook." type="100" refreshedVersion="8" minRefreshableVersion="5">
    <extLst>
      <ext xmlns:x15="http://schemas.microsoft.com/office/spreadsheetml/2010/11/main" uri="{DE250136-89BD-433C-8126-D09CA5730AF9}">
        <x15:connection id="1b8f3f75-f60f-44b9-b736-de70f3760406"/>
      </ext>
    </extLst>
  </connection>
  <connection id="2" xr16:uid="{A504CA22-B0FC-4862-8DEA-DCF736B19DF4}" name="Query - 02_Formulas_KSB1_NS" description="Connection to the '02_Formulas_KSB1_NS' query in the workbook." type="100" refreshedVersion="8" minRefreshableVersion="5">
    <extLst>
      <ext xmlns:x15="http://schemas.microsoft.com/office/spreadsheetml/2010/11/main" uri="{DE250136-89BD-433C-8126-D09CA5730AF9}">
        <x15:connection id="857bbaa3-9e80-411c-8be8-17af3d6aa4e9"/>
      </ext>
    </extLst>
  </connection>
  <connection id="3" xr16:uid="{32671F2A-5DF6-415E-A314-25C62F71058F}" name="Query - 03_+/-_TT_vs_NS" description="Connection to the '03_+/-_TT_vs_NS' query in the workbook." type="100" refreshedVersion="8" minRefreshableVersion="5">
    <extLst>
      <ext xmlns:x15="http://schemas.microsoft.com/office/spreadsheetml/2010/11/main" uri="{DE250136-89BD-433C-8126-D09CA5730AF9}">
        <x15:connection id="748e4d20-934a-4481-a16b-8cba3f70ac38"/>
      </ext>
    </extLst>
  </connection>
  <connection id="4" xr16:uid="{1DFC005B-B521-4036-A861-D19BD9F6B37C}" name="Query - Data_KSB1_NS" description="Connection to the 'Data_KSB1_NS' query in the workbook." type="100" refreshedVersion="8" minRefreshableVersion="5">
    <extLst>
      <ext xmlns:x15="http://schemas.microsoft.com/office/spreadsheetml/2010/11/main" uri="{DE250136-89BD-433C-8126-D09CA5730AF9}">
        <x15:connection id="76bda40a-58d6-4850-9277-aad94b90e928"/>
      </ext>
    </extLst>
  </connection>
  <connection id="5" xr16:uid="{A55D05D8-EC05-4AE4-833D-C793FED947EF}" name="Query - Data_KSB1_TT" description="Connection to the 'Data_KSB1_TT' query in the workbook." type="100" refreshedVersion="8" minRefreshableVersion="5">
    <extLst>
      <ext xmlns:x15="http://schemas.microsoft.com/office/spreadsheetml/2010/11/main" uri="{DE250136-89BD-433C-8126-D09CA5730AF9}">
        <x15:connection id="49595f56-1aa7-4926-b34d-3061e681a9e6"/>
      </ext>
    </extLst>
  </connection>
  <connection id="6" xr16:uid="{E3045E8E-1CD1-4D56-969E-4AF2A092FCAF}" name="Query - dim_cost_center(1)" description="Connection to the 'dim_cost_center' query in the workbook." type="100" refreshedVersion="8" minRefreshableVersion="5">
    <extLst>
      <ext xmlns:x15="http://schemas.microsoft.com/office/spreadsheetml/2010/11/main" uri="{DE250136-89BD-433C-8126-D09CA5730AF9}">
        <x15:connection id="de8723fd-ab13-41c7-b937-b15b08b271b7"/>
      </ext>
    </extLst>
  </connection>
  <connection id="7" xr16:uid="{0176874E-AD5D-4142-B299-04859B6206FC}" name="Query - dim_date" description="Connection to the 'dim_date' query in the workbook." type="100" refreshedVersion="8" minRefreshableVersion="5">
    <extLst>
      <ext xmlns:x15="http://schemas.microsoft.com/office/spreadsheetml/2010/11/main" uri="{DE250136-89BD-433C-8126-D09CA5730AF9}">
        <x15:connection id="c20dcc8a-2e10-4b91-a1c0-ed2b27534407"/>
      </ext>
    </extLst>
  </connection>
  <connection id="8" xr16:uid="{9101C76D-EA88-4C24-BA23-DE165C1932B8}" name="Query - dim_GL_Acc_KMP" description="Connection to the 'dim_GL_Acc_KMP' query in the workbook." type="100" refreshedVersion="8" minRefreshableVersion="5">
    <extLst>
      <ext xmlns:x15="http://schemas.microsoft.com/office/spreadsheetml/2010/11/main" uri="{DE250136-89BD-433C-8126-D09CA5730AF9}">
        <x15:connection id="d7ff6e30-3a27-4672-b3e3-29010eefe11d"/>
      </ext>
    </extLst>
  </connection>
  <connection id="9" xr16:uid="{DBB0D6BB-BCAA-45B0-B298-A086CF929809}" name="Query - dim_GL_Account" description="Connection to the 'dim_GL_Account' query in the workbook." type="100" refreshedVersion="8" minRefreshableVersion="5">
    <extLst>
      <ext xmlns:x15="http://schemas.microsoft.com/office/spreadsheetml/2010/11/main" uri="{DE250136-89BD-433C-8126-D09CA5730AF9}">
        <x15:connection id="d53ae021-1b34-47e4-a538-1e82368dfe69"/>
      </ext>
    </extLst>
  </connection>
  <connection id="10" xr16:uid="{A1549762-A6C8-48BB-91B9-98D6C867DE2D}" name="Query - dim_KMP" description="Connection to the 'dim_KMP' query in the workbook." type="100" refreshedVersion="8" minRefreshableVersion="5">
    <extLst>
      <ext xmlns:x15="http://schemas.microsoft.com/office/spreadsheetml/2010/11/main" uri="{DE250136-89BD-433C-8126-D09CA5730AF9}">
        <x15:connection id="78de3704-b0bc-417d-b4f0-17f2c8921848"/>
      </ext>
    </extLst>
  </connection>
  <connection id="11" xr16:uid="{ECA63066-DFE4-4397-B03F-1D6D750716F3}" name="Query - dim_version" description="Connection to the 'dim_version' query in the workbook." type="100" refreshedVersion="8" minRefreshableVersion="5">
    <extLst>
      <ext xmlns:x15="http://schemas.microsoft.com/office/spreadsheetml/2010/11/main" uri="{DE250136-89BD-433C-8126-D09CA5730AF9}">
        <x15:connection id="4f563aa7-1292-47bd-889b-e21f3129a884"/>
      </ext>
    </extLst>
  </connection>
  <connection id="12" xr16:uid="{10E60BBB-C272-48C5-9D89-7116B79C8B9E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13" xr16:uid="{58D80C9F-4AF1-420A-97CB-24255E5B6BDD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14" xr16:uid="{3B60C025-05D7-48BE-9177-5772A1DCCFA2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15" xr16:uid="{38ABBA05-17F4-4F66-BC41-C9AA030FDF65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16" xr16:uid="{081BD625-D3BC-44C9-B1A6-3C889505C90C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17" xr16:uid="{C44736F8-D61D-4EFC-83BC-077CEBD0A850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18" xr16:uid="{9697F9E9-C324-409A-8178-C7AE245F24B4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19" xr16:uid="{5DE6873D-1EFD-4A9A-B7A7-9031EC9288D7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  <connection id="20" xr16:uid="{8A5E3B95-CD6F-4C47-AA1C-ACA7025DA3E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<sst xmlns="http://schemas.openxmlformats.org/spreadsheetml/2006/main" count="1907" uniqueCount="321">
  <si>
    <t>1001203000</t>
  </si>
  <si>
    <t>Chi phí đào tạo</t>
  </si>
  <si>
    <t>Phí cầu đường xe</t>
  </si>
  <si>
    <t>Chi phí xuất khẩu</t>
  </si>
  <si>
    <t>Chi phí tiếp khách</t>
  </si>
  <si>
    <t>Chi phí tuyển dụng</t>
  </si>
  <si>
    <t>Chi phí ngân hàng</t>
  </si>
  <si>
    <t>Cost element name</t>
  </si>
  <si>
    <t>Cost Center</t>
  </si>
  <si>
    <t>Chi phí dịch vụ, tư vấn</t>
  </si>
  <si>
    <t>Chi phí Marketing</t>
  </si>
  <si>
    <t>Chi phí ủng hộ, hỗ trợ</t>
  </si>
  <si>
    <t>Công cụ dụng cụ</t>
  </si>
  <si>
    <t>Công tác</t>
  </si>
  <si>
    <t>Điện thoại +Internet</t>
  </si>
  <si>
    <t>Khác</t>
  </si>
  <si>
    <t>Khấu hao</t>
  </si>
  <si>
    <t>Sửa chữa xe nâng, xe tải, nhà xưởng</t>
  </si>
  <si>
    <t>Thử mẫu -khuôn</t>
  </si>
  <si>
    <t>Chi phí văn phòng phẩm</t>
  </si>
  <si>
    <t>Đồng phục</t>
  </si>
  <si>
    <t>Chi phí bảo hiểm tài sản</t>
  </si>
  <si>
    <t>Chi phí dịch vụ môi trường</t>
  </si>
  <si>
    <t>Chi phí mực, nhũ in</t>
  </si>
  <si>
    <t>Chi phí nước</t>
  </si>
  <si>
    <t>Điện</t>
  </si>
  <si>
    <t>Phúc lợi</t>
  </si>
  <si>
    <t>Thuê xe du lịch</t>
  </si>
  <si>
    <t>Xăng dầu</t>
  </si>
  <si>
    <t>Chi phí chiết khấu, hoa hồng</t>
  </si>
  <si>
    <t>Bảo trì sửa chữa máy</t>
  </si>
  <si>
    <t>Chi phí dao</t>
  </si>
  <si>
    <t>Chi phí khuôn</t>
  </si>
  <si>
    <t>Chi phí lưới</t>
  </si>
  <si>
    <t>Đăng ký, kiểm định</t>
  </si>
  <si>
    <t>Chi phí bao jumbo quay đầu</t>
  </si>
  <si>
    <t>Chi phí hoạt động quản lý</t>
  </si>
  <si>
    <t>CP thuế TNDN h/hành</t>
  </si>
  <si>
    <t>8211000100</t>
  </si>
  <si>
    <t>Lương</t>
  </si>
  <si>
    <t>Lãi Vay</t>
  </si>
  <si>
    <t>Thuê xe vận chuyển hàng</t>
  </si>
  <si>
    <t>Hóa chất XLNT</t>
  </si>
  <si>
    <t>Doanh thu/CP khác</t>
  </si>
  <si>
    <t>Thuế TNDN</t>
  </si>
  <si>
    <t>18 KMP</t>
  </si>
  <si>
    <t>Lũy kế</t>
  </si>
  <si>
    <t>Nhựa phế</t>
  </si>
  <si>
    <t>Tổng Lương và Phụ Cấp</t>
  </si>
  <si>
    <t>Vật liệu phục vụ SX</t>
  </si>
  <si>
    <t>Hoa hồng bán hàng</t>
  </si>
  <si>
    <t>Bảo Trì + Sữa Chữa</t>
  </si>
  <si>
    <t>Nước</t>
  </si>
  <si>
    <t>Hóa chất theo Bom</t>
  </si>
  <si>
    <t>Phụ gia theo Bom</t>
  </si>
  <si>
    <t>Màu theo Bom</t>
  </si>
  <si>
    <t>Bao bì theo Bom</t>
  </si>
  <si>
    <t>STT</t>
  </si>
  <si>
    <t>Phân loại</t>
  </si>
  <si>
    <t>Chỉ tiêu</t>
  </si>
  <si>
    <t>T01.23</t>
  </si>
  <si>
    <t>T02.23</t>
  </si>
  <si>
    <t>T03.23</t>
  </si>
  <si>
    <t>T04.23</t>
  </si>
  <si>
    <t>T05.23</t>
  </si>
  <si>
    <t>T06.23</t>
  </si>
  <si>
    <t>T07.23</t>
  </si>
  <si>
    <t>T08.23</t>
  </si>
  <si>
    <t>T09.23</t>
  </si>
  <si>
    <t>T10.23</t>
  </si>
  <si>
    <t>T11.23</t>
  </si>
  <si>
    <t>T12.23</t>
  </si>
  <si>
    <t>T1.24</t>
  </si>
  <si>
    <t>T2.24</t>
  </si>
  <si>
    <t>T3.24</t>
  </si>
  <si>
    <t>T4.24</t>
  </si>
  <si>
    <t>T5.24</t>
  </si>
  <si>
    <t>T6.24</t>
  </si>
  <si>
    <t>T7.24</t>
  </si>
  <si>
    <t>T8.24</t>
  </si>
  <si>
    <t>T9.24</t>
  </si>
  <si>
    <t>T10.24</t>
  </si>
  <si>
    <t>T11.24</t>
  </si>
  <si>
    <t>T12.24</t>
  </si>
  <si>
    <t>T1.2024</t>
  </si>
  <si>
    <t>T2.2024</t>
  </si>
  <si>
    <t>T3.2024</t>
  </si>
  <si>
    <t>T4.2024</t>
  </si>
  <si>
    <t>T5.2024</t>
  </si>
  <si>
    <t>T6.2024</t>
  </si>
  <si>
    <t>T7.2024</t>
  </si>
  <si>
    <t>T8.2024</t>
  </si>
  <si>
    <t>T9.2024</t>
  </si>
  <si>
    <t>T10.2024</t>
  </si>
  <si>
    <t>T11.2024</t>
  </si>
  <si>
    <t>T12.2024</t>
  </si>
  <si>
    <t>Biến phí</t>
  </si>
  <si>
    <t>Định phí</t>
  </si>
  <si>
    <t>Tổng</t>
  </si>
  <si>
    <t>Sản lượng TPSX</t>
  </si>
  <si>
    <t>%/ CP</t>
  </si>
  <si>
    <t>%/ DT</t>
  </si>
  <si>
    <t>Doanh thu</t>
  </si>
  <si>
    <t>Đơn vị</t>
  </si>
  <si>
    <t>Ghi chú</t>
  </si>
  <si>
    <t>Triệu VND</t>
  </si>
  <si>
    <t>Tổng chi phí</t>
  </si>
  <si>
    <t>Thuế TNDN'!A1</t>
  </si>
  <si>
    <t>DT-CP khác'!A1</t>
  </si>
  <si>
    <t>Lợi nhuận sau thuế</t>
  </si>
  <si>
    <t xml:space="preserve"> </t>
  </si>
  <si>
    <t>%/ TỔNG CHI PHÍ</t>
  </si>
  <si>
    <t xml:space="preserve"> TT-T10</t>
  </si>
  <si>
    <t xml:space="preserve"> TT-T11</t>
  </si>
  <si>
    <t xml:space="preserve"> TT-T12</t>
  </si>
  <si>
    <t>%</t>
  </si>
  <si>
    <t>T1.23</t>
  </si>
  <si>
    <t>PET</t>
  </si>
  <si>
    <t>HDPE</t>
  </si>
  <si>
    <t>T2.23</t>
  </si>
  <si>
    <t>T3.23</t>
  </si>
  <si>
    <t>T4.23</t>
  </si>
  <si>
    <t>T5.23</t>
  </si>
  <si>
    <t>T6.23</t>
  </si>
  <si>
    <t>T7.23</t>
  </si>
  <si>
    <t>T9.23</t>
  </si>
  <si>
    <t>48 KMP -Tháng'!A1</t>
  </si>
  <si>
    <t>48 KMP</t>
  </si>
  <si>
    <t>Posting Date</t>
  </si>
  <si>
    <t>Document Number</t>
  </si>
  <si>
    <t>Cost Element</t>
  </si>
  <si>
    <t>CO object name</t>
  </si>
  <si>
    <t>Name</t>
  </si>
  <si>
    <t>Document Header Text</t>
  </si>
  <si>
    <t>Period</t>
  </si>
  <si>
    <t>Fiscal Year</t>
  </si>
  <si>
    <t>Val/COArea Crcy</t>
  </si>
  <si>
    <t>Ref Document Number</t>
  </si>
  <si>
    <t>Reversal document</t>
  </si>
  <si>
    <t>User Name</t>
  </si>
  <si>
    <t>8</t>
  </si>
  <si>
    <t>2023</t>
  </si>
  <si>
    <t/>
  </si>
  <si>
    <t>HIEN.VT</t>
  </si>
  <si>
    <t>6</t>
  </si>
  <si>
    <t>9</t>
  </si>
  <si>
    <t>7</t>
  </si>
  <si>
    <t>X</t>
  </si>
  <si>
    <t>Tài chính Kế toán</t>
  </si>
  <si>
    <t>49</t>
  </si>
  <si>
    <t>1013354472</t>
  </si>
  <si>
    <t>Thuế TNDN T6.23(LK2-6)</t>
  </si>
  <si>
    <t>5100002513</t>
  </si>
  <si>
    <t>1013368237</t>
  </si>
  <si>
    <t>Thuế TNDN T8.23</t>
  </si>
  <si>
    <t>5100003673</t>
  </si>
  <si>
    <t>1013361068</t>
  </si>
  <si>
    <t>Thuế TNDN T7.23</t>
  </si>
  <si>
    <t>5100003101</t>
  </si>
  <si>
    <t>1013374962</t>
  </si>
  <si>
    <t>Thuế TNDN T9.2023</t>
  </si>
  <si>
    <t>5100004334</t>
  </si>
  <si>
    <t>I</t>
  </si>
  <si>
    <t>BIẾN PHÍ</t>
  </si>
  <si>
    <t>II</t>
  </si>
  <si>
    <t>ĐỊNH PHÍ</t>
  </si>
  <si>
    <t>Chi phí bán hàng</t>
  </si>
  <si>
    <t>CPSX/ tấn TP (ko tính CP thuê máy, xưởng)</t>
  </si>
  <si>
    <t>CPSX/ tấn TP ( tính CP thuê máy, xưởng)</t>
  </si>
  <si>
    <t>Thuê Xưởng, Kho, thuê máy</t>
  </si>
  <si>
    <t>CP thuê hạch tóan vào 632</t>
  </si>
  <si>
    <t>BQ 2023</t>
  </si>
  <si>
    <t>Sản lượng thành phẩm SX</t>
  </si>
  <si>
    <t xml:space="preserve">Tổng chi phí </t>
  </si>
  <si>
    <t>BÁO CÁO THÁNG</t>
  </si>
  <si>
    <t>BQ TT 2024</t>
  </si>
  <si>
    <t>Tỷ trọng lũy kế 2024</t>
  </si>
  <si>
    <t>Giải trình</t>
  </si>
  <si>
    <t>Vì 2023  vs 2024 nhiều biến động nên không so với cùng kỳ năm ngoái mà so với tháng trưuosc</t>
  </si>
  <si>
    <t>Tỷ trọng BQ 2024</t>
  </si>
  <si>
    <t>Tỷ trọng BQ 2023</t>
  </si>
  <si>
    <t>CHI PHÍ /TẤN THÀNH PHẨM (Đã loại trừ chênh lệch thuê xưởng + máy với khấu hao)</t>
  </si>
  <si>
    <t>Chi phí NVL/ tấn</t>
  </si>
  <si>
    <t>Chi phí sản suất / tấn</t>
  </si>
  <si>
    <t>ĐVT: %</t>
  </si>
  <si>
    <t>BQ 2024</t>
  </si>
  <si>
    <t>1/24</t>
  </si>
  <si>
    <t>Định mức</t>
  </si>
  <si>
    <t>TỔNG CHI PHÍ THÁNG (bao gồm chi phí thuê máy, thuê xưởng)</t>
  </si>
  <si>
    <t>Tổng chi phí / tấn</t>
  </si>
  <si>
    <t>Chi phí / tấn TP (tính CP thuê máy, xưởng)</t>
  </si>
  <si>
    <t>Chi phí/ tấn TP ( ko tính CP thuê máy, xưởng chỉ tính k.hao)</t>
  </si>
  <si>
    <t>CP Thuê hạch toán 632- PET</t>
  </si>
  <si>
    <t>ĐVT: triệu đồng</t>
  </si>
  <si>
    <t>ĐVT: triệu đồng / tấn</t>
  </si>
  <si>
    <t>CƠ CẤU CHI PHÍ /TẤN THÀNH PHẨM PET (Đã loại trừ chênh lệch thuê xưởng + máy với khấu hao)</t>
  </si>
  <si>
    <t>CHI PHÍ /TẤN THÀNH PHẨM rPET (Đã loại trừ chênh lệch thuê xưởng + máy với khấu hao)</t>
  </si>
  <si>
    <t>CHI PHÍ /TẤN THÀNH PHẨM rHD(Đã loại trừ chênh lệch thuê xưởng + máy với khấu hao)</t>
  </si>
  <si>
    <t>BQ 2024 sv Định mức</t>
  </si>
  <si>
    <t>Tỷ trọng 2024 sv tỷ trọng 2023</t>
  </si>
  <si>
    <t>Tổng CP/ tấn</t>
  </si>
  <si>
    <t>ĐỊNH MỨC (Bình quân 3 tháng thấp nhất)</t>
  </si>
  <si>
    <t>BQ 2024 sv BQ 2023</t>
  </si>
  <si>
    <t>Sản lượng bán thành phẩm</t>
  </si>
  <si>
    <t>Giá vốn của L ko gồm những khoản này</t>
  </si>
  <si>
    <t>BQ  -10%</t>
  </si>
  <si>
    <r>
      <t xml:space="preserve">Chỉ tiêu
</t>
    </r>
    <r>
      <rPr>
        <b/>
        <sz val="12"/>
        <color rgb="FFFFC000"/>
        <rFont val="Aptos Display"/>
        <family val="2"/>
        <scheme val="major"/>
      </rPr>
      <t>ĐVT: triệu đồng</t>
    </r>
  </si>
  <si>
    <r>
      <t xml:space="preserve">Chỉ tiêu
</t>
    </r>
    <r>
      <rPr>
        <b/>
        <i/>
        <sz val="12"/>
        <color rgb="FFFFC000"/>
        <rFont val="Aptos Display"/>
        <family val="2"/>
        <scheme val="major"/>
      </rPr>
      <t>ĐVT: triệu đồng/tấn</t>
    </r>
  </si>
  <si>
    <t>Hóa chất xử lý nước thải</t>
  </si>
  <si>
    <t>Chi phí sản xuất / tấn</t>
  </si>
  <si>
    <t>Lũy kế TT 2024</t>
  </si>
  <si>
    <t>CP thuê hạch toán vào 632</t>
  </si>
  <si>
    <t>CP thuê hạch toán vào 632 ( cũ)</t>
  </si>
  <si>
    <t>Giảm theo option 3</t>
  </si>
  <si>
    <t>Chi phí thuê xe nâng</t>
  </si>
  <si>
    <t>Tong</t>
  </si>
  <si>
    <t>KH T1.25</t>
  </si>
  <si>
    <t>KH T2.25</t>
  </si>
  <si>
    <t>KH T3.25</t>
  </si>
  <si>
    <t>KH T4.25</t>
  </si>
  <si>
    <t>KH T5.25</t>
  </si>
  <si>
    <t>KH T6.25</t>
  </si>
  <si>
    <t>KH T7.25</t>
  </si>
  <si>
    <t>KH T8.25</t>
  </si>
  <si>
    <t>KH T9.25</t>
  </si>
  <si>
    <t>KH T10.25</t>
  </si>
  <si>
    <t>KH T11.25</t>
  </si>
  <si>
    <t>KH T12.25</t>
  </si>
  <si>
    <t>TB</t>
  </si>
  <si>
    <t>T1.25</t>
  </si>
  <si>
    <t>T2.25</t>
  </si>
  <si>
    <t>T3.25</t>
  </si>
  <si>
    <t>T4.25</t>
  </si>
  <si>
    <t>T5.25</t>
  </si>
  <si>
    <t>T6.25</t>
  </si>
  <si>
    <t>T7.25</t>
  </si>
  <si>
    <t>T8.25</t>
  </si>
  <si>
    <t>T9.25</t>
  </si>
  <si>
    <t>T10.25</t>
  </si>
  <si>
    <t>T11.25</t>
  </si>
  <si>
    <t>T12.25</t>
  </si>
  <si>
    <t>BQ TT 2025</t>
  </si>
  <si>
    <t>Lũy kế 2025</t>
  </si>
  <si>
    <t>LK 2024</t>
  </si>
  <si>
    <t>LK KH 2025</t>
  </si>
  <si>
    <t>BQ KH 2025</t>
  </si>
  <si>
    <t>CA NAM</t>
  </si>
  <si>
    <t>Kế hoạch bán</t>
  </si>
  <si>
    <t>Tỷ trọng BQ 2025</t>
  </si>
  <si>
    <t>BQ 2025 sv BQ 2024</t>
  </si>
  <si>
    <t>BQ 2025</t>
  </si>
  <si>
    <t>1/25</t>
  </si>
  <si>
    <t>TT</t>
  </si>
  <si>
    <t>KH</t>
  </si>
  <si>
    <t>KH 2025</t>
  </si>
  <si>
    <t>Tổng chi phí / tấn (không gồm thuê xưởng, kho, máy và khấu hao)</t>
  </si>
  <si>
    <t>Tổng chi phí (không bao gồm thuê xưởng, kho, máy và khấu hao)</t>
  </si>
  <si>
    <t>T13.2024</t>
  </si>
  <si>
    <t>BQ TT 2023</t>
  </si>
  <si>
    <t>T8.23</t>
  </si>
  <si>
    <t>Sản lượng bán sản phẩm chính</t>
  </si>
  <si>
    <t>Nguyên liệu nhựa</t>
  </si>
  <si>
    <t>Chi phí bồi thường</t>
  </si>
  <si>
    <t>T1.26</t>
  </si>
  <si>
    <t>T2.26</t>
  </si>
  <si>
    <t>T3.26</t>
  </si>
  <si>
    <t>T4.26</t>
  </si>
  <si>
    <t>T5.26</t>
  </si>
  <si>
    <t>T6.26</t>
  </si>
  <si>
    <t>T7.26</t>
  </si>
  <si>
    <t>T8.26</t>
  </si>
  <si>
    <t>T9.26</t>
  </si>
  <si>
    <t>T10.26</t>
  </si>
  <si>
    <t>T11.26</t>
  </si>
  <si>
    <t>T12.26</t>
  </si>
  <si>
    <t>BQ TT 2026</t>
  </si>
  <si>
    <t>Lũy kế 2026</t>
  </si>
  <si>
    <t>Tỷ trọng lũy kế 2026</t>
  </si>
  <si>
    <t>KH T1.2026</t>
  </si>
  <si>
    <t>KH T2.2026</t>
  </si>
  <si>
    <t>KH T3.2026</t>
  </si>
  <si>
    <t>KH T4.2026</t>
  </si>
  <si>
    <t>KH T5.2026</t>
  </si>
  <si>
    <t>KH T6.2026</t>
  </si>
  <si>
    <t>KH T7.2026</t>
  </si>
  <si>
    <t>KH T8.2026</t>
  </si>
  <si>
    <t>KH T9.2026</t>
  </si>
  <si>
    <t>KH T10.2026</t>
  </si>
  <si>
    <t>KH T11.2026</t>
  </si>
  <si>
    <t>KH T12.2026</t>
  </si>
  <si>
    <t>BQ KH 2026</t>
  </si>
  <si>
    <t>BQ 2026 sv BQ 2025</t>
  </si>
  <si>
    <t>NS 2026</t>
  </si>
  <si>
    <t>Tỷ trọng 2026 sv KH 2026</t>
  </si>
  <si>
    <t>NS1.2026</t>
  </si>
  <si>
    <t>NS2.2026</t>
  </si>
  <si>
    <t>NS3.2026</t>
  </si>
  <si>
    <t>NS4.2026</t>
  </si>
  <si>
    <t>NS5.2026</t>
  </si>
  <si>
    <t>NS6.2026</t>
  </si>
  <si>
    <t>NS7.2026</t>
  </si>
  <si>
    <t>NS8.2026</t>
  </si>
  <si>
    <t>NS9.2026</t>
  </si>
  <si>
    <t>NS10.2026</t>
  </si>
  <si>
    <t>NS11.2026</t>
  </si>
  <si>
    <t>NS12.2026</t>
  </si>
  <si>
    <t>CỘNG NS.2026</t>
  </si>
  <si>
    <t>BQ 2026</t>
  </si>
  <si>
    <t>SLSX</t>
  </si>
  <si>
    <t>T13.25</t>
  </si>
  <si>
    <t>Tỷ trọng BQ 2026</t>
  </si>
  <si>
    <t>Tỷ trọng KH 2026</t>
  </si>
  <si>
    <t>Tỷ trọng 2026 sv tỷ trọng 2025</t>
  </si>
  <si>
    <t>CHI PHÍ /TẤN THÀNH PHẨM</t>
  </si>
  <si>
    <t>TK621</t>
  </si>
  <si>
    <t>TK622</t>
  </si>
  <si>
    <t>TK627</t>
  </si>
  <si>
    <t>TK635</t>
  </si>
  <si>
    <t>TK641</t>
  </si>
  <si>
    <t>TK642</t>
  </si>
  <si>
    <t>TK811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</si>
</sst>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_-* #,##0_-;\-* #,##0_-;_-* &quot;-&quot;??_-;_-@_-"/>
    <numFmt numFmtId="168" formatCode="0.0%"/>
    <numFmt numFmtId="169" formatCode="_-* #,##0.00\ _₫_-;\-* #,##0.00\ _₫_-;_-* &quot;-&quot;??\ _₫_-;_-@_-"/>
    <numFmt numFmtId="170" formatCode="_-* #,##0.0_-;\-* #,##0.0_-;_-* &quot;-&quot;??_-;_-@_-"/>
    <numFmt numFmtId="171" formatCode="_(* #,##0.0_);_(* \(#,##0.0\);_(* &quot;-&quot;??_);_(@_)"/>
    <numFmt numFmtId="172" formatCode="_(* #,##0.000_);_(* \(#,##0.000\);_(* &quot;-&quot;??_);_(@_)"/>
    <numFmt numFmtId="173" formatCode="#,##0.0"/>
    <numFmt numFmtId="174" formatCode="0.0"/>
    <numFmt numFmtId="175" formatCode="_-* #,##0.0\ _₫_-;\-* #,##0.0\ _₫_-;_-* &quot;-&quot;?\ _₫_-;_-@_-"/>
    <numFmt numFmtId="176" formatCode="0.0%;\-0.0%;;"/>
    <numFmt numFmtId="177" formatCode="_-* #,##0.000_-;\-* #,##0.000_-;_-* &quot;-&quot;??_-;_-@_-"/>
  </numFmts>
  <fonts count="66" x14ac:knownFonts="1">
    <font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Times New Roman"/>
      <family val="1"/>
    </font>
    <font>
      <sz val="10"/>
      <color theme="1"/>
      <name val="Times New Roman"/>
      <family val="1"/>
    </font>
    <font>
      <b/>
      <sz val="10"/>
      <color theme="0"/>
      <name val="Times New Roman"/>
      <family val="1"/>
    </font>
    <font>
      <b/>
      <sz val="11"/>
      <color theme="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sz val="11"/>
      <name val="Aptos Narrow"/>
      <family val="2"/>
      <scheme val="minor"/>
    </font>
    <font>
      <sz val="11"/>
      <color theme="0"/>
      <name val="Times New Roman"/>
      <family val="1"/>
    </font>
    <font>
      <b/>
      <sz val="11"/>
      <name val="Times New Roman"/>
      <family val="1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charset val="163"/>
      <scheme val="minor"/>
    </font>
    <font>
      <sz val="10"/>
      <name val="Times New Roman"/>
      <family val="1"/>
    </font>
    <font>
      <u/>
      <sz val="11"/>
      <color theme="10"/>
      <name val="Times New Roman"/>
      <family val="1"/>
    </font>
    <font>
      <sz val="11"/>
      <color rgb="FFFF0000"/>
      <name val="Times New Roman"/>
      <family val="1"/>
    </font>
    <font>
      <b/>
      <sz val="8"/>
      <color indexed="81"/>
      <name val="Tahoma"/>
      <family val="2"/>
    </font>
    <font>
      <sz val="10"/>
      <name val="Arial"/>
      <family val="2"/>
    </font>
    <font>
      <u/>
      <sz val="10"/>
      <color theme="1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Times New Roman"/>
      <family val="1"/>
    </font>
    <font>
      <b/>
      <sz val="12"/>
      <name val="Times New Roman"/>
      <family val="1"/>
    </font>
    <font>
      <sz val="12"/>
      <name val="Aptos Narrow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Aptos Narrow"/>
      <family val="2"/>
      <scheme val="minor"/>
    </font>
    <font>
      <b/>
      <sz val="16"/>
      <color rgb="FF0000FF"/>
      <name val="Aptos Narrow"/>
      <family val="2"/>
      <scheme val="minor"/>
    </font>
    <font>
      <i/>
      <sz val="11"/>
      <color theme="5" tint="-0.249977111117893"/>
      <name val="Aptos Narrow"/>
      <family val="2"/>
      <scheme val="minor"/>
    </font>
    <font>
      <i/>
      <u/>
      <sz val="12"/>
      <color theme="5" tint="-0.249977111117893"/>
      <name val="Aptos Narrow"/>
      <family val="2"/>
      <scheme val="minor"/>
    </font>
    <font>
      <b/>
      <sz val="12"/>
      <color rgb="FF0000FF"/>
      <name val="Times New Roman"/>
      <family val="1"/>
    </font>
    <font>
      <sz val="12"/>
      <color rgb="FF0000FF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sz val="12"/>
      <color theme="1"/>
      <name val="Aptos Display"/>
      <family val="2"/>
      <scheme val="major"/>
    </font>
    <font>
      <sz val="12"/>
      <color rgb="FFFF0000"/>
      <name val="Aptos Display"/>
      <family val="2"/>
      <scheme val="major"/>
    </font>
    <font>
      <b/>
      <sz val="16"/>
      <color rgb="FF0000FF"/>
      <name val="Aptos Display"/>
      <family val="2"/>
      <scheme val="major"/>
    </font>
    <font>
      <i/>
      <u/>
      <sz val="12"/>
      <color theme="5" tint="-0.249977111117893"/>
      <name val="Aptos Display"/>
      <family val="2"/>
      <scheme val="major"/>
    </font>
    <font>
      <i/>
      <sz val="12"/>
      <color theme="5" tint="-0.249977111117893"/>
      <name val="Aptos Display"/>
      <family val="2"/>
      <scheme val="major"/>
    </font>
    <font>
      <i/>
      <sz val="11"/>
      <color theme="5" tint="-0.249977111117893"/>
      <name val="Aptos Display"/>
      <family val="2"/>
      <scheme val="major"/>
    </font>
    <font>
      <b/>
      <sz val="12"/>
      <color theme="0"/>
      <name val="Aptos Display"/>
      <family val="2"/>
      <scheme val="major"/>
    </font>
    <font>
      <b/>
      <sz val="12"/>
      <color rgb="FFFFC000"/>
      <name val="Aptos Display"/>
      <family val="2"/>
      <scheme val="major"/>
    </font>
    <font>
      <sz val="12"/>
      <color theme="0"/>
      <name val="Aptos Display"/>
      <family val="2"/>
      <scheme val="major"/>
    </font>
    <font>
      <b/>
      <sz val="12"/>
      <name val="Aptos Display"/>
      <family val="2"/>
      <scheme val="major"/>
    </font>
    <font>
      <sz val="12"/>
      <name val="Aptos Display"/>
      <family val="2"/>
      <scheme val="major"/>
    </font>
    <font>
      <b/>
      <sz val="12"/>
      <color rgb="FF0000FF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b/>
      <i/>
      <sz val="11"/>
      <color theme="5" tint="-0.249977111117893"/>
      <name val="Aptos Display"/>
      <family val="2"/>
      <scheme val="major"/>
    </font>
    <font>
      <b/>
      <sz val="11"/>
      <color rgb="FF0000FF"/>
      <name val="Aptos Display"/>
      <family val="2"/>
      <scheme val="major"/>
    </font>
    <font>
      <b/>
      <sz val="12"/>
      <color theme="5" tint="-0.249977111117893"/>
      <name val="Aptos Display"/>
      <family val="2"/>
      <scheme val="major"/>
    </font>
    <font>
      <b/>
      <i/>
      <sz val="12"/>
      <color rgb="FFFFC000"/>
      <name val="Aptos Display"/>
      <family val="2"/>
      <scheme val="major"/>
    </font>
    <font>
      <sz val="12"/>
      <color rgb="FF0000FF"/>
      <name val="Aptos Display"/>
      <family val="2"/>
      <scheme val="major"/>
    </font>
    <font>
      <i/>
      <sz val="12"/>
      <color theme="0" tint="-0.249977111117893"/>
      <name val="Aptos Display"/>
      <family val="2"/>
      <scheme val="major"/>
    </font>
    <font>
      <i/>
      <u/>
      <sz val="12"/>
      <color theme="0" tint="-0.249977111117893"/>
      <name val="Aptos Display"/>
      <family val="2"/>
      <scheme val="major"/>
    </font>
    <font>
      <sz val="12"/>
      <color theme="0" tint="-0.249977111117893"/>
      <name val="Aptos Display"/>
      <family val="2"/>
      <scheme val="major"/>
    </font>
    <font>
      <sz val="12"/>
      <name val="Aptos Display"/>
      <family val="2"/>
      <scheme val="major"/>
    </font>
    <font>
      <b/>
      <sz val="12"/>
      <name val="Aptos Display"/>
      <family val="2"/>
      <scheme val="major"/>
    </font>
    <font>
      <b/>
      <sz val="12"/>
      <color theme="0"/>
      <name val="Aptos Display"/>
      <family val="2"/>
      <scheme val="major"/>
    </font>
    <font>
      <sz val="10"/>
      <color theme="1"/>
      <name val="Aptos Narrow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499984740745262"/>
        <bgColor theme="4"/>
      </patternFill>
    </fill>
    <fill>
      <patternFill patternType="solid">
        <fgColor theme="9" tint="0.79998168889431442"/>
        <bgColor theme="4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119303"/>
        <bgColor theme="4"/>
      </patternFill>
    </fill>
    <fill>
      <patternFill patternType="solid">
        <fgColor theme="5" tint="0.79998168889431442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1" tint="0.249977111117893"/>
        <bgColor theme="4"/>
      </patternFill>
    </fill>
    <fill>
      <patternFill patternType="solid">
        <fgColor theme="0" tint="-0.499984740745262"/>
        <bgColor theme="4"/>
      </patternFill>
    </fill>
    <fill>
      <patternFill patternType="solid">
        <fgColor rgb="FFBE3455"/>
        <bgColor theme="4"/>
      </patternFill>
    </fill>
    <fill>
      <patternFill patternType="solid">
        <fgColor rgb="FFFFFF99"/>
        <bgColor indexed="64"/>
      </patternFill>
    </fill>
    <fill>
      <patternFill patternType="solid">
        <fgColor rgb="FFFFC000"/>
        <bgColor theme="4"/>
      </patternFill>
    </fill>
    <fill>
      <patternFill patternType="solid">
        <fgColor rgb="FFDDDDDD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34998626667073579"/>
        <bgColor theme="4"/>
      </patternFill>
    </fill>
    <fill>
      <patternFill patternType="solid">
        <fgColor theme="0" tint="-0.249977111117893"/>
        <bgColor theme="4"/>
      </patternFill>
    </fill>
    <fill>
      <patternFill patternType="solid">
        <fgColor rgb="FFC00000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hair">
        <color indexed="64"/>
      </bottom>
      <diagonal/>
    </border>
    <border>
      <left style="thick">
        <color indexed="64"/>
      </left>
      <right style="thick">
        <color indexed="64"/>
      </right>
      <top/>
      <bottom style="hair">
        <color indexed="64"/>
      </bottom>
      <diagonal/>
    </border>
    <border>
      <left style="thick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ck">
        <color indexed="64"/>
      </right>
      <top style="hair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 style="thick">
        <color indexed="64"/>
      </right>
      <top style="hair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ck">
        <color indexed="64"/>
      </bottom>
      <diagonal/>
    </border>
  </borders>
  <cellStyleXfs count="10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/>
    <xf numFmtId="0" fontId="21" fillId="0" borderId="0"/>
    <xf numFmtId="165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664">
    <xf numFmtId="0" fontId="0" fillId="0" borderId="0" xfId="0"/>
    <xf numFmtId="0" fontId="4" fillId="0" borderId="0" xfId="0" applyFont="1"/>
    <xf numFmtId="0" fontId="7" fillId="2" borderId="1" xfId="0" applyFont="1" applyFill="1" applyBorder="1" applyAlignment="1">
      <alignment horizontal="center" vertical="center"/>
    </xf>
    <xf numFmtId="0" fontId="9" fillId="0" borderId="1" xfId="0" applyFont="1" applyBorder="1"/>
    <xf numFmtId="167" fontId="9" fillId="0" borderId="1" xfId="2" applyNumberFormat="1" applyFont="1" applyBorder="1"/>
    <xf numFmtId="167" fontId="10" fillId="0" borderId="1" xfId="2" applyNumberFormat="1" applyFont="1" applyBorder="1"/>
    <xf numFmtId="167" fontId="10" fillId="0" borderId="1" xfId="2" applyNumberFormat="1" applyFont="1" applyFill="1" applyBorder="1"/>
    <xf numFmtId="167" fontId="11" fillId="0" borderId="1" xfId="0" applyNumberFormat="1" applyFont="1" applyBorder="1"/>
    <xf numFmtId="167" fontId="0" fillId="0" borderId="0" xfId="2" applyNumberFormat="1" applyFont="1"/>
    <xf numFmtId="167" fontId="0" fillId="0" borderId="0" xfId="0" applyNumberFormat="1"/>
    <xf numFmtId="0" fontId="3" fillId="0" borderId="0" xfId="0" applyFont="1"/>
    <xf numFmtId="0" fontId="11" fillId="0" borderId="1" xfId="0" applyFont="1" applyBorder="1"/>
    <xf numFmtId="0" fontId="12" fillId="0" borderId="0" xfId="0" applyFont="1"/>
    <xf numFmtId="0" fontId="11" fillId="3" borderId="0" xfId="0" applyFont="1" applyFill="1"/>
    <xf numFmtId="9" fontId="10" fillId="0" borderId="1" xfId="1" applyFont="1" applyBorder="1"/>
    <xf numFmtId="168" fontId="10" fillId="0" borderId="1" xfId="1" applyNumberFormat="1" applyFont="1" applyBorder="1"/>
    <xf numFmtId="0" fontId="11" fillId="0" borderId="0" xfId="0" applyFont="1"/>
    <xf numFmtId="0" fontId="8" fillId="0" borderId="0" xfId="0" applyFont="1"/>
    <xf numFmtId="9" fontId="14" fillId="0" borderId="0" xfId="1" applyFont="1" applyBorder="1"/>
    <xf numFmtId="167" fontId="11" fillId="0" borderId="1" xfId="2" applyNumberFormat="1" applyFont="1" applyBorder="1"/>
    <xf numFmtId="167" fontId="9" fillId="0" borderId="1" xfId="2" applyNumberFormat="1" applyFont="1" applyFill="1" applyBorder="1"/>
    <xf numFmtId="0" fontId="9" fillId="0" borderId="0" xfId="0" applyFont="1"/>
    <xf numFmtId="167" fontId="9" fillId="0" borderId="0" xfId="2" applyNumberFormat="1" applyFont="1" applyAlignment="1">
      <alignment horizontal="center"/>
    </xf>
    <xf numFmtId="167" fontId="9" fillId="0" borderId="0" xfId="2" applyNumberFormat="1" applyFont="1"/>
    <xf numFmtId="0" fontId="13" fillId="5" borderId="0" xfId="0" applyFont="1" applyFill="1"/>
    <xf numFmtId="0" fontId="10" fillId="0" borderId="1" xfId="4" applyFont="1" applyBorder="1"/>
    <xf numFmtId="0" fontId="17" fillId="0" borderId="1" xfId="0" applyFont="1" applyBorder="1" applyAlignment="1">
      <alignment horizontal="left"/>
    </xf>
    <xf numFmtId="9" fontId="15" fillId="0" borderId="1" xfId="3" quotePrefix="1" applyNumberFormat="1" applyFill="1" applyBorder="1"/>
    <xf numFmtId="167" fontId="9" fillId="0" borderId="1" xfId="0" applyNumberFormat="1" applyFont="1" applyBorder="1"/>
    <xf numFmtId="167" fontId="9" fillId="0" borderId="0" xfId="0" applyNumberFormat="1" applyFont="1"/>
    <xf numFmtId="9" fontId="18" fillId="0" borderId="1" xfId="3" quotePrefix="1" applyNumberFormat="1" applyFont="1" applyFill="1" applyBorder="1"/>
    <xf numFmtId="9" fontId="9" fillId="0" borderId="1" xfId="1" applyFont="1" applyFill="1" applyBorder="1"/>
    <xf numFmtId="0" fontId="10" fillId="0" borderId="1" xfId="4" applyFont="1" applyBorder="1" applyAlignment="1">
      <alignment wrapText="1"/>
    </xf>
    <xf numFmtId="0" fontId="15" fillId="0" borderId="1" xfId="3" quotePrefix="1" applyFill="1" applyBorder="1"/>
    <xf numFmtId="9" fontId="18" fillId="0" borderId="1" xfId="3" applyNumberFormat="1" applyFont="1" applyFill="1" applyBorder="1"/>
    <xf numFmtId="0" fontId="9" fillId="0" borderId="3" xfId="0" applyFont="1" applyBorder="1"/>
    <xf numFmtId="0" fontId="10" fillId="0" borderId="3" xfId="4" applyFont="1" applyBorder="1"/>
    <xf numFmtId="0" fontId="17" fillId="0" borderId="3" xfId="0" applyFont="1" applyBorder="1" applyAlignment="1">
      <alignment horizontal="left"/>
    </xf>
    <xf numFmtId="9" fontId="18" fillId="0" borderId="3" xfId="3" quotePrefix="1" applyNumberFormat="1" applyFont="1" applyFill="1" applyBorder="1"/>
    <xf numFmtId="0" fontId="14" fillId="0" borderId="1" xfId="0" applyFont="1" applyBorder="1"/>
    <xf numFmtId="167" fontId="14" fillId="0" borderId="1" xfId="0" applyNumberFormat="1" applyFont="1" applyBorder="1"/>
    <xf numFmtId="167" fontId="11" fillId="0" borderId="1" xfId="2" applyNumberFormat="1" applyFont="1" applyFill="1" applyBorder="1"/>
    <xf numFmtId="167" fontId="14" fillId="0" borderId="1" xfId="2" applyNumberFormat="1" applyFont="1" applyBorder="1"/>
    <xf numFmtId="0" fontId="14" fillId="0" borderId="0" xfId="0" applyFont="1"/>
    <xf numFmtId="9" fontId="18" fillId="0" borderId="1" xfId="3" quotePrefix="1" applyNumberFormat="1" applyFont="1" applyBorder="1"/>
    <xf numFmtId="0" fontId="14" fillId="0" borderId="1" xfId="4" applyFont="1" applyBorder="1"/>
    <xf numFmtId="0" fontId="5" fillId="0" borderId="1" xfId="0" applyFont="1" applyBorder="1" applyAlignment="1">
      <alignment horizontal="left"/>
    </xf>
    <xf numFmtId="3" fontId="11" fillId="0" borderId="1" xfId="2" applyNumberFormat="1" applyFont="1" applyBorder="1"/>
    <xf numFmtId="9" fontId="11" fillId="0" borderId="1" xfId="1" applyFont="1" applyBorder="1"/>
    <xf numFmtId="167" fontId="19" fillId="0" borderId="0" xfId="2" applyNumberFormat="1" applyFont="1"/>
    <xf numFmtId="0" fontId="13" fillId="0" borderId="0" xfId="0" applyFont="1" applyAlignment="1">
      <alignment vertical="center"/>
    </xf>
    <xf numFmtId="168" fontId="11" fillId="0" borderId="1" xfId="1" applyNumberFormat="1" applyFont="1" applyBorder="1"/>
    <xf numFmtId="0" fontId="14" fillId="0" borderId="0" xfId="4" applyFont="1"/>
    <xf numFmtId="9" fontId="11" fillId="0" borderId="0" xfId="1" applyFont="1" applyBorder="1"/>
    <xf numFmtId="167" fontId="11" fillId="0" borderId="0" xfId="2" applyNumberFormat="1" applyFont="1"/>
    <xf numFmtId="0" fontId="6" fillId="0" borderId="0" xfId="0" applyFont="1"/>
    <xf numFmtId="0" fontId="17" fillId="0" borderId="0" xfId="0" applyFont="1" applyAlignment="1">
      <alignment vertical="top"/>
    </xf>
    <xf numFmtId="0" fontId="22" fillId="0" borderId="0" xfId="3" quotePrefix="1" applyFont="1"/>
    <xf numFmtId="167" fontId="6" fillId="0" borderId="0" xfId="2" applyNumberFormat="1" applyFont="1"/>
    <xf numFmtId="0" fontId="6" fillId="8" borderId="1" xfId="0" applyFont="1" applyFill="1" applyBorder="1" applyAlignment="1">
      <alignment vertical="top"/>
    </xf>
    <xf numFmtId="0" fontId="6" fillId="8" borderId="1" xfId="0" applyFont="1" applyFill="1" applyBorder="1" applyAlignment="1">
      <alignment vertical="top" wrapText="1"/>
    </xf>
    <xf numFmtId="167" fontId="6" fillId="8" borderId="1" xfId="2" applyNumberFormat="1" applyFont="1" applyFill="1" applyBorder="1" applyAlignment="1">
      <alignment vertical="top"/>
    </xf>
    <xf numFmtId="0" fontId="6" fillId="0" borderId="0" xfId="0" applyFont="1" applyAlignment="1">
      <alignment vertical="top"/>
    </xf>
    <xf numFmtId="14" fontId="6" fillId="0" borderId="0" xfId="0" applyNumberFormat="1" applyFont="1" applyAlignment="1">
      <alignment horizontal="right" vertical="top"/>
    </xf>
    <xf numFmtId="167" fontId="6" fillId="0" borderId="0" xfId="2" applyNumberFormat="1" applyFont="1" applyAlignment="1">
      <alignment horizontal="right" vertical="top"/>
    </xf>
    <xf numFmtId="166" fontId="9" fillId="0" borderId="0" xfId="7" applyNumberFormat="1" applyFont="1"/>
    <xf numFmtId="0" fontId="9" fillId="3" borderId="2" xfId="0" applyFont="1" applyFill="1" applyBorder="1"/>
    <xf numFmtId="0" fontId="7" fillId="9" borderId="1" xfId="0" applyFont="1" applyFill="1" applyBorder="1" applyAlignment="1">
      <alignment horizontal="left"/>
    </xf>
    <xf numFmtId="167" fontId="7" fillId="9" borderId="1" xfId="2" applyNumberFormat="1" applyFont="1" applyFill="1" applyBorder="1" applyAlignment="1">
      <alignment horizontal="left"/>
    </xf>
    <xf numFmtId="167" fontId="7" fillId="9" borderId="1" xfId="2" applyNumberFormat="1" applyFont="1" applyFill="1" applyBorder="1" applyAlignment="1">
      <alignment horizontal="left" wrapText="1"/>
    </xf>
    <xf numFmtId="0" fontId="7" fillId="9" borderId="1" xfId="0" applyFont="1" applyFill="1" applyBorder="1" applyAlignment="1">
      <alignment horizontal="center" vertical="center"/>
    </xf>
    <xf numFmtId="49" fontId="7" fillId="9" borderId="1" xfId="0" applyNumberFormat="1" applyFont="1" applyFill="1" applyBorder="1" applyAlignment="1">
      <alignment horizontal="center" vertical="center"/>
    </xf>
    <xf numFmtId="167" fontId="7" fillId="9" borderId="1" xfId="2" applyNumberFormat="1" applyFont="1" applyFill="1" applyBorder="1" applyAlignment="1">
      <alignment horizontal="center" vertical="center"/>
    </xf>
    <xf numFmtId="167" fontId="7" fillId="9" borderId="1" xfId="2" applyNumberFormat="1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/>
    </xf>
    <xf numFmtId="167" fontId="8" fillId="9" borderId="1" xfId="2" applyNumberFormat="1" applyFont="1" applyFill="1" applyBorder="1" applyAlignment="1">
      <alignment horizontal="left" vertical="center"/>
    </xf>
    <xf numFmtId="167" fontId="7" fillId="9" borderId="1" xfId="2" applyNumberFormat="1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left"/>
    </xf>
    <xf numFmtId="167" fontId="5" fillId="10" borderId="1" xfId="2" applyNumberFormat="1" applyFont="1" applyFill="1" applyBorder="1" applyAlignment="1">
      <alignment horizontal="left"/>
    </xf>
    <xf numFmtId="167" fontId="5" fillId="10" borderId="1" xfId="2" applyNumberFormat="1" applyFont="1" applyFill="1" applyBorder="1" applyAlignment="1">
      <alignment horizontal="left" wrapText="1"/>
    </xf>
    <xf numFmtId="0" fontId="5" fillId="2" borderId="0" xfId="0" applyFont="1" applyFill="1" applyAlignment="1">
      <alignment horizontal="center" vertical="center"/>
    </xf>
    <xf numFmtId="0" fontId="5" fillId="10" borderId="1" xfId="0" applyFont="1" applyFill="1" applyBorder="1" applyAlignment="1">
      <alignment horizontal="right"/>
    </xf>
    <xf numFmtId="0" fontId="14" fillId="0" borderId="4" xfId="0" applyFont="1" applyBorder="1"/>
    <xf numFmtId="0" fontId="14" fillId="0" borderId="5" xfId="0" applyFont="1" applyBorder="1"/>
    <xf numFmtId="167" fontId="12" fillId="0" borderId="0" xfId="0" applyNumberFormat="1" applyFont="1"/>
    <xf numFmtId="167" fontId="7" fillId="10" borderId="1" xfId="0" applyNumberFormat="1" applyFont="1" applyFill="1" applyBorder="1" applyAlignment="1">
      <alignment horizontal="left"/>
    </xf>
    <xf numFmtId="167" fontId="11" fillId="0" borderId="0" xfId="0" applyNumberFormat="1" applyFont="1"/>
    <xf numFmtId="166" fontId="12" fillId="0" borderId="0" xfId="7" applyNumberFormat="1" applyFont="1"/>
    <xf numFmtId="0" fontId="11" fillId="0" borderId="1" xfId="0" applyFont="1" applyBorder="1" applyAlignment="1">
      <alignment wrapText="1"/>
    </xf>
    <xf numFmtId="0" fontId="4" fillId="0" borderId="0" xfId="0" applyFont="1" applyAlignment="1">
      <alignment vertical="center"/>
    </xf>
    <xf numFmtId="0" fontId="10" fillId="0" borderId="0" xfId="0" applyFont="1"/>
    <xf numFmtId="167" fontId="10" fillId="0" borderId="0" xfId="0" applyNumberFormat="1" applyFont="1"/>
    <xf numFmtId="166" fontId="10" fillId="0" borderId="0" xfId="7" applyNumberFormat="1" applyFont="1"/>
    <xf numFmtId="0" fontId="26" fillId="0" borderId="0" xfId="0" applyFont="1"/>
    <xf numFmtId="0" fontId="27" fillId="11" borderId="1" xfId="0" applyFont="1" applyFill="1" applyBorder="1" applyAlignment="1">
      <alignment horizontal="center" vertical="center"/>
    </xf>
    <xf numFmtId="167" fontId="27" fillId="11" borderId="1" xfId="2" applyNumberFormat="1" applyFont="1" applyFill="1" applyBorder="1" applyAlignment="1">
      <alignment horizontal="center" vertical="center"/>
    </xf>
    <xf numFmtId="167" fontId="27" fillId="11" borderId="1" xfId="2" applyNumberFormat="1" applyFont="1" applyFill="1" applyBorder="1" applyAlignment="1">
      <alignment horizontal="center" vertical="center" wrapText="1"/>
    </xf>
    <xf numFmtId="0" fontId="29" fillId="0" borderId="0" xfId="0" applyFont="1"/>
    <xf numFmtId="0" fontId="28" fillId="10" borderId="1" xfId="0" applyFont="1" applyFill="1" applyBorder="1" applyAlignment="1">
      <alignment horizontal="left"/>
    </xf>
    <xf numFmtId="0" fontId="30" fillId="0" borderId="7" xfId="0" applyFont="1" applyBorder="1"/>
    <xf numFmtId="167" fontId="32" fillId="0" borderId="7" xfId="0" applyNumberFormat="1" applyFont="1" applyBorder="1"/>
    <xf numFmtId="0" fontId="30" fillId="0" borderId="8" xfId="0" applyFont="1" applyBorder="1"/>
    <xf numFmtId="0" fontId="30" fillId="0" borderId="9" xfId="0" applyFont="1" applyBorder="1"/>
    <xf numFmtId="0" fontId="31" fillId="0" borderId="0" xfId="0" applyFont="1"/>
    <xf numFmtId="0" fontId="34" fillId="0" borderId="0" xfId="0" applyFont="1" applyAlignment="1">
      <alignment horizontal="left"/>
    </xf>
    <xf numFmtId="0" fontId="35" fillId="0" borderId="0" xfId="0" applyFont="1" applyAlignment="1">
      <alignment horizontal="center"/>
    </xf>
    <xf numFmtId="0" fontId="36" fillId="0" borderId="0" xfId="0" applyFont="1" applyAlignment="1">
      <alignment horizontal="left"/>
    </xf>
    <xf numFmtId="168" fontId="31" fillId="0" borderId="7" xfId="1" applyNumberFormat="1" applyFont="1" applyBorder="1"/>
    <xf numFmtId="0" fontId="37" fillId="10" borderId="1" xfId="0" applyFont="1" applyFill="1" applyBorder="1" applyAlignment="1">
      <alignment horizontal="left"/>
    </xf>
    <xf numFmtId="0" fontId="38" fillId="0" borderId="0" xfId="0" applyFont="1"/>
    <xf numFmtId="170" fontId="32" fillId="0" borderId="9" xfId="0" applyNumberFormat="1" applyFont="1" applyBorder="1" applyAlignment="1">
      <alignment horizontal="center" vertical="center"/>
    </xf>
    <xf numFmtId="9" fontId="32" fillId="0" borderId="9" xfId="1" applyFont="1" applyBorder="1"/>
    <xf numFmtId="0" fontId="28" fillId="10" borderId="1" xfId="0" applyFont="1" applyFill="1" applyBorder="1" applyAlignment="1">
      <alignment horizontal="center"/>
    </xf>
    <xf numFmtId="0" fontId="30" fillId="0" borderId="7" xfId="0" applyFont="1" applyBorder="1" applyAlignment="1">
      <alignment horizontal="center"/>
    </xf>
    <xf numFmtId="0" fontId="30" fillId="0" borderId="8" xfId="0" applyFont="1" applyBorder="1" applyAlignment="1">
      <alignment horizontal="center"/>
    </xf>
    <xf numFmtId="9" fontId="37" fillId="10" borderId="1" xfId="1" applyFont="1" applyFill="1" applyBorder="1" applyAlignment="1">
      <alignment horizontal="center"/>
    </xf>
    <xf numFmtId="9" fontId="28" fillId="10" borderId="1" xfId="1" applyFont="1" applyFill="1" applyBorder="1" applyAlignment="1">
      <alignment horizontal="center"/>
    </xf>
    <xf numFmtId="167" fontId="32" fillId="0" borderId="7" xfId="0" applyNumberFormat="1" applyFont="1" applyBorder="1" applyAlignment="1">
      <alignment vertical="top"/>
    </xf>
    <xf numFmtId="168" fontId="31" fillId="0" borderId="8" xfId="1" applyNumberFormat="1" applyFont="1" applyBorder="1"/>
    <xf numFmtId="168" fontId="31" fillId="0" borderId="9" xfId="1" applyNumberFormat="1" applyFont="1" applyBorder="1"/>
    <xf numFmtId="167" fontId="27" fillId="11" borderId="1" xfId="2" quotePrefix="1" applyNumberFormat="1" applyFont="1" applyFill="1" applyBorder="1" applyAlignment="1">
      <alignment horizontal="center" vertical="center" wrapText="1"/>
    </xf>
    <xf numFmtId="43" fontId="31" fillId="0" borderId="8" xfId="7" applyFont="1" applyBorder="1"/>
    <xf numFmtId="43" fontId="31" fillId="0" borderId="9" xfId="7" applyFont="1" applyBorder="1"/>
    <xf numFmtId="166" fontId="0" fillId="0" borderId="0" xfId="7" applyNumberFormat="1" applyFont="1"/>
    <xf numFmtId="3" fontId="10" fillId="0" borderId="0" xfId="0" applyNumberFormat="1" applyFont="1"/>
    <xf numFmtId="166" fontId="9" fillId="0" borderId="0" xfId="0" applyNumberFormat="1" applyFont="1"/>
    <xf numFmtId="166" fontId="9" fillId="0" borderId="1" xfId="7" applyNumberFormat="1" applyFont="1" applyBorder="1"/>
    <xf numFmtId="171" fontId="31" fillId="0" borderId="7" xfId="7" applyNumberFormat="1" applyFont="1" applyBorder="1"/>
    <xf numFmtId="171" fontId="37" fillId="10" borderId="1" xfId="7" applyNumberFormat="1" applyFont="1" applyFill="1" applyBorder="1" applyAlignment="1">
      <alignment horizontal="center"/>
    </xf>
    <xf numFmtId="171" fontId="28" fillId="10" borderId="1" xfId="7" applyNumberFormat="1" applyFont="1" applyFill="1" applyBorder="1" applyAlignment="1">
      <alignment horizontal="center"/>
    </xf>
    <xf numFmtId="171" fontId="31" fillId="0" borderId="8" xfId="7" applyNumberFormat="1" applyFont="1" applyBorder="1"/>
    <xf numFmtId="172" fontId="31" fillId="0" borderId="7" xfId="7" applyNumberFormat="1" applyFont="1" applyBorder="1"/>
    <xf numFmtId="172" fontId="31" fillId="0" borderId="8" xfId="7" applyNumberFormat="1" applyFont="1" applyBorder="1"/>
    <xf numFmtId="171" fontId="31" fillId="0" borderId="9" xfId="7" applyNumberFormat="1" applyFont="1" applyBorder="1"/>
    <xf numFmtId="0" fontId="32" fillId="0" borderId="7" xfId="0" applyFont="1" applyBorder="1"/>
    <xf numFmtId="0" fontId="33" fillId="0" borderId="7" xfId="0" applyFont="1" applyBorder="1"/>
    <xf numFmtId="167" fontId="28" fillId="0" borderId="7" xfId="2" applyNumberFormat="1" applyFont="1" applyBorder="1"/>
    <xf numFmtId="9" fontId="28" fillId="0" borderId="7" xfId="1" applyFont="1" applyBorder="1" applyAlignment="1">
      <alignment horizontal="right"/>
    </xf>
    <xf numFmtId="170" fontId="32" fillId="0" borderId="8" xfId="0" applyNumberFormat="1" applyFont="1" applyBorder="1" applyAlignment="1">
      <alignment horizontal="center" vertical="center"/>
    </xf>
    <xf numFmtId="9" fontId="32" fillId="0" borderId="8" xfId="1" applyFont="1" applyBorder="1"/>
    <xf numFmtId="9" fontId="31" fillId="0" borderId="8" xfId="1" applyFont="1" applyBorder="1"/>
    <xf numFmtId="0" fontId="32" fillId="0" borderId="1" xfId="0" applyFont="1" applyBorder="1" applyAlignment="1">
      <alignment vertical="top" wrapText="1"/>
    </xf>
    <xf numFmtId="171" fontId="31" fillId="0" borderId="1" xfId="7" applyNumberFormat="1" applyFont="1" applyBorder="1"/>
    <xf numFmtId="171" fontId="37" fillId="0" borderId="1" xfId="7" applyNumberFormat="1" applyFont="1" applyBorder="1"/>
    <xf numFmtId="174" fontId="39" fillId="0" borderId="1" xfId="0" applyNumberFormat="1" applyFont="1" applyBorder="1"/>
    <xf numFmtId="0" fontId="39" fillId="0" borderId="1" xfId="0" applyFont="1" applyBorder="1"/>
    <xf numFmtId="167" fontId="7" fillId="0" borderId="1" xfId="2" applyNumberFormat="1" applyFont="1" applyFill="1" applyBorder="1" applyAlignment="1">
      <alignment horizontal="center" vertical="center" wrapText="1"/>
    </xf>
    <xf numFmtId="167" fontId="5" fillId="0" borderId="0" xfId="2" applyNumberFormat="1" applyFont="1" applyFill="1" applyBorder="1" applyAlignment="1">
      <alignment horizontal="left" wrapText="1"/>
    </xf>
    <xf numFmtId="167" fontId="14" fillId="0" borderId="0" xfId="0" applyNumberFormat="1" applyFont="1"/>
    <xf numFmtId="167" fontId="7" fillId="0" borderId="0" xfId="2" applyNumberFormat="1" applyFont="1" applyFill="1" applyBorder="1" applyAlignment="1">
      <alignment horizontal="center" vertical="center" wrapText="1"/>
    </xf>
    <xf numFmtId="168" fontId="10" fillId="0" borderId="0" xfId="1" applyNumberFormat="1" applyFont="1" applyFill="1" applyBorder="1"/>
    <xf numFmtId="9" fontId="14" fillId="0" borderId="0" xfId="1" applyFont="1" applyFill="1" applyBorder="1"/>
    <xf numFmtId="167" fontId="7" fillId="0" borderId="0" xfId="2" applyNumberFormat="1" applyFont="1" applyFill="1" applyBorder="1" applyAlignment="1">
      <alignment horizontal="left" wrapText="1"/>
    </xf>
    <xf numFmtId="167" fontId="0" fillId="0" borderId="0" xfId="2" applyNumberFormat="1" applyFont="1" applyFill="1"/>
    <xf numFmtId="175" fontId="0" fillId="0" borderId="0" xfId="0" applyNumberFormat="1"/>
    <xf numFmtId="170" fontId="11" fillId="0" borderId="1" xfId="0" applyNumberFormat="1" applyFont="1" applyBorder="1"/>
    <xf numFmtId="167" fontId="3" fillId="0" borderId="1" xfId="2" applyNumberFormat="1" applyFont="1" applyBorder="1"/>
    <xf numFmtId="1" fontId="12" fillId="0" borderId="0" xfId="0" applyNumberFormat="1" applyFont="1"/>
    <xf numFmtId="0" fontId="41" fillId="0" borderId="0" xfId="0" applyFont="1"/>
    <xf numFmtId="0" fontId="42" fillId="0" borderId="0" xfId="0" applyFont="1"/>
    <xf numFmtId="49" fontId="41" fillId="0" borderId="0" xfId="0" applyNumberFormat="1" applyFont="1"/>
    <xf numFmtId="0" fontId="43" fillId="0" borderId="0" xfId="0" applyFont="1" applyAlignment="1">
      <alignment horizontal="right"/>
    </xf>
    <xf numFmtId="0" fontId="43" fillId="0" borderId="0" xfId="0" applyFont="1" applyAlignment="1">
      <alignment horizontal="left"/>
    </xf>
    <xf numFmtId="167" fontId="41" fillId="0" borderId="0" xfId="0" applyNumberFormat="1" applyFont="1"/>
    <xf numFmtId="0" fontId="44" fillId="0" borderId="0" xfId="0" applyFont="1" applyAlignment="1">
      <alignment horizontal="left"/>
    </xf>
    <xf numFmtId="0" fontId="1" fillId="0" borderId="0" xfId="0" applyFont="1" applyAlignment="1">
      <alignment vertical="center" wrapText="1"/>
    </xf>
    <xf numFmtId="9" fontId="41" fillId="0" borderId="0" xfId="1" applyFont="1"/>
    <xf numFmtId="49" fontId="44" fillId="0" borderId="0" xfId="0" applyNumberFormat="1" applyFont="1" applyAlignment="1">
      <alignment horizontal="left"/>
    </xf>
    <xf numFmtId="165" fontId="41" fillId="0" borderId="0" xfId="0" applyNumberFormat="1" applyFont="1"/>
    <xf numFmtId="0" fontId="45" fillId="0" borderId="0" xfId="0" applyFont="1" applyAlignment="1">
      <alignment horizontal="center"/>
    </xf>
    <xf numFmtId="0" fontId="46" fillId="0" borderId="0" xfId="0" applyFont="1" applyAlignment="1">
      <alignment horizontal="center"/>
    </xf>
    <xf numFmtId="0" fontId="47" fillId="11" borderId="1" xfId="0" applyFont="1" applyFill="1" applyBorder="1" applyAlignment="1">
      <alignment horizontal="center" vertical="center"/>
    </xf>
    <xf numFmtId="167" fontId="49" fillId="0" borderId="0" xfId="0" applyNumberFormat="1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50" fillId="10" borderId="1" xfId="0" applyFont="1" applyFill="1" applyBorder="1" applyAlignment="1">
      <alignment horizontal="center" vertical="center"/>
    </xf>
    <xf numFmtId="0" fontId="51" fillId="0" borderId="0" xfId="0" applyFont="1" applyAlignment="1">
      <alignment vertical="center"/>
    </xf>
    <xf numFmtId="0" fontId="50" fillId="10" borderId="1" xfId="0" applyFont="1" applyFill="1" applyBorder="1" applyAlignment="1">
      <alignment horizontal="left" vertical="center"/>
    </xf>
    <xf numFmtId="167" fontId="50" fillId="10" borderId="1" xfId="2" applyNumberFormat="1" applyFont="1" applyFill="1" applyBorder="1" applyAlignment="1">
      <alignment horizontal="left" vertical="center"/>
    </xf>
    <xf numFmtId="9" fontId="50" fillId="10" borderId="1" xfId="1" applyFont="1" applyFill="1" applyBorder="1" applyAlignment="1">
      <alignment horizontal="right" vertical="center"/>
    </xf>
    <xf numFmtId="168" fontId="50" fillId="10" borderId="1" xfId="1" applyNumberFormat="1" applyFont="1" applyFill="1" applyBorder="1" applyAlignment="1">
      <alignment vertical="center"/>
    </xf>
    <xf numFmtId="0" fontId="41" fillId="0" borderId="7" xfId="0" applyFont="1" applyBorder="1" applyAlignment="1">
      <alignment horizontal="center" vertical="center"/>
    </xf>
    <xf numFmtId="0" fontId="41" fillId="0" borderId="7" xfId="0" applyFont="1" applyBorder="1" applyAlignment="1">
      <alignment vertical="center"/>
    </xf>
    <xf numFmtId="167" fontId="51" fillId="0" borderId="7" xfId="2" applyNumberFormat="1" applyFont="1" applyBorder="1" applyAlignment="1">
      <alignment vertical="center"/>
    </xf>
    <xf numFmtId="9" fontId="51" fillId="0" borderId="8" xfId="1" applyFont="1" applyFill="1" applyBorder="1" applyAlignment="1">
      <alignment horizontal="right" vertical="center"/>
    </xf>
    <xf numFmtId="168" fontId="51" fillId="0" borderId="7" xfId="1" applyNumberFormat="1" applyFont="1" applyBorder="1" applyAlignment="1">
      <alignment vertical="center"/>
    </xf>
    <xf numFmtId="0" fontId="41" fillId="0" borderId="0" xfId="0" applyFont="1" applyAlignment="1">
      <alignment vertical="center"/>
    </xf>
    <xf numFmtId="0" fontId="41" fillId="0" borderId="8" xfId="0" applyFont="1" applyBorder="1" applyAlignment="1">
      <alignment horizontal="center" vertical="center"/>
    </xf>
    <xf numFmtId="0" fontId="41" fillId="0" borderId="8" xfId="0" applyFont="1" applyBorder="1" applyAlignment="1">
      <alignment vertical="center"/>
    </xf>
    <xf numFmtId="167" fontId="51" fillId="0" borderId="8" xfId="2" applyNumberFormat="1" applyFont="1" applyBorder="1" applyAlignment="1">
      <alignment vertical="center"/>
    </xf>
    <xf numFmtId="168" fontId="51" fillId="0" borderId="8" xfId="1" applyNumberFormat="1" applyFont="1" applyBorder="1" applyAlignment="1">
      <alignment vertical="center"/>
    </xf>
    <xf numFmtId="167" fontId="41" fillId="0" borderId="0" xfId="0" applyNumberFormat="1" applyFont="1" applyAlignment="1">
      <alignment vertical="center"/>
    </xf>
    <xf numFmtId="167" fontId="51" fillId="0" borderId="8" xfId="2" applyNumberFormat="1" applyFont="1" applyFill="1" applyBorder="1" applyAlignment="1">
      <alignment vertical="center"/>
    </xf>
    <xf numFmtId="0" fontId="41" fillId="0" borderId="9" xfId="0" applyFont="1" applyBorder="1" applyAlignment="1">
      <alignment vertical="center"/>
    </xf>
    <xf numFmtId="167" fontId="51" fillId="0" borderId="9" xfId="2" applyNumberFormat="1" applyFont="1" applyBorder="1" applyAlignment="1">
      <alignment vertical="center"/>
    </xf>
    <xf numFmtId="168" fontId="51" fillId="0" borderId="9" xfId="1" applyNumberFormat="1" applyFont="1" applyBorder="1" applyAlignment="1">
      <alignment vertical="center"/>
    </xf>
    <xf numFmtId="9" fontId="51" fillId="0" borderId="8" xfId="1" applyFont="1" applyBorder="1" applyAlignment="1">
      <alignment horizontal="right" vertical="center"/>
    </xf>
    <xf numFmtId="9" fontId="51" fillId="0" borderId="12" xfId="1" applyFont="1" applyBorder="1" applyAlignment="1">
      <alignment horizontal="right" vertical="center"/>
    </xf>
    <xf numFmtId="0" fontId="52" fillId="0" borderId="1" xfId="0" applyFont="1" applyBorder="1" applyAlignment="1">
      <alignment vertical="center"/>
    </xf>
    <xf numFmtId="167" fontId="52" fillId="0" borderId="1" xfId="2" applyNumberFormat="1" applyFont="1" applyBorder="1" applyAlignment="1">
      <alignment vertical="center"/>
    </xf>
    <xf numFmtId="9" fontId="52" fillId="0" borderId="1" xfId="1" applyFont="1" applyBorder="1" applyAlignment="1">
      <alignment horizontal="right" vertical="center"/>
    </xf>
    <xf numFmtId="9" fontId="52" fillId="0" borderId="1" xfId="1" applyFont="1" applyBorder="1" applyAlignment="1">
      <alignment vertical="center"/>
    </xf>
    <xf numFmtId="0" fontId="53" fillId="0" borderId="0" xfId="0" applyFont="1" applyAlignment="1">
      <alignment vertical="center"/>
    </xf>
    <xf numFmtId="0" fontId="54" fillId="0" borderId="0" xfId="0" applyFont="1" applyAlignment="1">
      <alignment horizontal="center" vertical="center"/>
    </xf>
    <xf numFmtId="0" fontId="53" fillId="0" borderId="1" xfId="0" applyFont="1" applyBorder="1" applyAlignment="1">
      <alignment vertical="center"/>
    </xf>
    <xf numFmtId="167" fontId="50" fillId="0" borderId="9" xfId="2" applyNumberFormat="1" applyFont="1" applyBorder="1" applyAlignment="1">
      <alignment vertical="center"/>
    </xf>
    <xf numFmtId="167" fontId="53" fillId="0" borderId="1" xfId="0" applyNumberFormat="1" applyFont="1" applyBorder="1" applyAlignment="1">
      <alignment vertical="center"/>
    </xf>
    <xf numFmtId="167" fontId="50" fillId="0" borderId="1" xfId="2" applyNumberFormat="1" applyFont="1" applyBorder="1" applyAlignment="1">
      <alignment vertical="center"/>
    </xf>
    <xf numFmtId="9" fontId="50" fillId="0" borderId="13" xfId="1" applyFont="1" applyBorder="1" applyAlignment="1">
      <alignment horizontal="right" vertical="center"/>
    </xf>
    <xf numFmtId="167" fontId="53" fillId="0" borderId="1" xfId="0" applyNumberFormat="1" applyFont="1" applyBorder="1" applyAlignment="1">
      <alignment horizontal="center" vertical="center"/>
    </xf>
    <xf numFmtId="167" fontId="53" fillId="0" borderId="0" xfId="0" applyNumberFormat="1" applyFont="1" applyAlignment="1">
      <alignment vertical="center"/>
    </xf>
    <xf numFmtId="166" fontId="51" fillId="0" borderId="1" xfId="7" applyNumberFormat="1" applyFont="1" applyBorder="1" applyAlignment="1">
      <alignment vertical="center"/>
    </xf>
    <xf numFmtId="0" fontId="51" fillId="0" borderId="1" xfId="0" applyFont="1" applyBorder="1" applyAlignment="1">
      <alignment vertical="center"/>
    </xf>
    <xf numFmtId="0" fontId="51" fillId="0" borderId="0" xfId="0" applyFont="1"/>
    <xf numFmtId="167" fontId="51" fillId="0" borderId="0" xfId="0" applyNumberFormat="1" applyFont="1"/>
    <xf numFmtId="166" fontId="51" fillId="0" borderId="0" xfId="7" applyNumberFormat="1" applyFont="1"/>
    <xf numFmtId="49" fontId="51" fillId="0" borderId="0" xfId="0" applyNumberFormat="1" applyFont="1"/>
    <xf numFmtId="0" fontId="47" fillId="0" borderId="0" xfId="0" applyFont="1"/>
    <xf numFmtId="0" fontId="53" fillId="0" borderId="0" xfId="0" applyFont="1"/>
    <xf numFmtId="9" fontId="50" fillId="0" borderId="0" xfId="1" applyFont="1" applyBorder="1"/>
    <xf numFmtId="167" fontId="50" fillId="0" borderId="0" xfId="1" applyNumberFormat="1" applyFont="1" applyBorder="1"/>
    <xf numFmtId="0" fontId="43" fillId="0" borderId="0" xfId="0" applyFont="1" applyAlignment="1">
      <alignment horizontal="center"/>
    </xf>
    <xf numFmtId="49" fontId="50" fillId="0" borderId="0" xfId="1" applyNumberFormat="1" applyFont="1" applyBorder="1"/>
    <xf numFmtId="0" fontId="53" fillId="6" borderId="1" xfId="0" applyFont="1" applyFill="1" applyBorder="1"/>
    <xf numFmtId="166" fontId="40" fillId="6" borderId="1" xfId="7" applyNumberFormat="1" applyFont="1" applyFill="1" applyBorder="1" applyAlignment="1">
      <alignment vertical="center" wrapText="1"/>
    </xf>
    <xf numFmtId="166" fontId="55" fillId="0" borderId="0" xfId="0" applyNumberFormat="1" applyFont="1" applyAlignment="1">
      <alignment horizontal="center"/>
    </xf>
    <xf numFmtId="0" fontId="56" fillId="12" borderId="0" xfId="0" applyFont="1" applyFill="1" applyAlignment="1">
      <alignment vertical="center"/>
    </xf>
    <xf numFmtId="0" fontId="41" fillId="12" borderId="0" xfId="0" applyFont="1" applyFill="1" applyAlignment="1">
      <alignment vertical="center"/>
    </xf>
    <xf numFmtId="0" fontId="47" fillId="14" borderId="1" xfId="0" applyFont="1" applyFill="1" applyBorder="1" applyAlignment="1">
      <alignment horizontal="center" vertical="center"/>
    </xf>
    <xf numFmtId="0" fontId="47" fillId="14" borderId="1" xfId="0" applyFont="1" applyFill="1" applyBorder="1" applyAlignment="1">
      <alignment horizontal="center" vertical="center" wrapText="1"/>
    </xf>
    <xf numFmtId="167" fontId="47" fillId="14" borderId="1" xfId="2" applyNumberFormat="1" applyFont="1" applyFill="1" applyBorder="1" applyAlignment="1">
      <alignment horizontal="center" vertical="center"/>
    </xf>
    <xf numFmtId="167" fontId="47" fillId="14" borderId="1" xfId="2" applyNumberFormat="1" applyFont="1" applyFill="1" applyBorder="1" applyAlignment="1">
      <alignment horizontal="center" vertical="center" wrapText="1"/>
    </xf>
    <xf numFmtId="49" fontId="47" fillId="14" borderId="1" xfId="2" applyNumberFormat="1" applyFont="1" applyFill="1" applyBorder="1" applyAlignment="1">
      <alignment horizontal="center" vertical="center" wrapText="1"/>
    </xf>
    <xf numFmtId="0" fontId="41" fillId="0" borderId="0" xfId="0" applyFont="1" applyAlignment="1">
      <alignment vertical="center" wrapText="1"/>
    </xf>
    <xf numFmtId="0" fontId="53" fillId="4" borderId="0" xfId="0" applyFont="1" applyFill="1" applyAlignment="1">
      <alignment horizontal="center" vertical="center"/>
    </xf>
    <xf numFmtId="0" fontId="41" fillId="13" borderId="7" xfId="0" applyFont="1" applyFill="1" applyBorder="1" applyAlignment="1">
      <alignment vertical="center" wrapText="1"/>
    </xf>
    <xf numFmtId="0" fontId="50" fillId="10" borderId="1" xfId="0" applyFont="1" applyFill="1" applyBorder="1" applyAlignment="1">
      <alignment horizontal="center"/>
    </xf>
    <xf numFmtId="0" fontId="50" fillId="10" borderId="1" xfId="0" applyFont="1" applyFill="1" applyBorder="1" applyAlignment="1">
      <alignment horizontal="left"/>
    </xf>
    <xf numFmtId="171" fontId="50" fillId="10" borderId="1" xfId="7" applyNumberFormat="1" applyFont="1" applyFill="1" applyBorder="1" applyAlignment="1">
      <alignment horizontal="left"/>
    </xf>
    <xf numFmtId="173" fontId="50" fillId="7" borderId="1" xfId="7" applyNumberFormat="1" applyFont="1" applyFill="1" applyBorder="1" applyAlignment="1">
      <alignment horizontal="right"/>
    </xf>
    <xf numFmtId="4" fontId="51" fillId="7" borderId="7" xfId="7" applyNumberFormat="1" applyFont="1" applyFill="1" applyBorder="1" applyAlignment="1">
      <alignment horizontal="right"/>
    </xf>
    <xf numFmtId="9" fontId="50" fillId="10" borderId="1" xfId="1" applyFont="1" applyFill="1" applyBorder="1" applyAlignment="1">
      <alignment horizontal="right"/>
    </xf>
    <xf numFmtId="168" fontId="50" fillId="10" borderId="1" xfId="1" applyNumberFormat="1" applyFont="1" applyFill="1" applyBorder="1" applyAlignment="1">
      <alignment horizontal="right"/>
    </xf>
    <xf numFmtId="167" fontId="50" fillId="10" borderId="1" xfId="2" applyNumberFormat="1" applyFont="1" applyFill="1" applyBorder="1" applyAlignment="1">
      <alignment horizontal="left" wrapText="1"/>
    </xf>
    <xf numFmtId="171" fontId="50" fillId="10" borderId="8" xfId="7" applyNumberFormat="1" applyFont="1" applyFill="1" applyBorder="1" applyAlignment="1">
      <alignment horizontal="left"/>
    </xf>
    <xf numFmtId="0" fontId="41" fillId="0" borderId="7" xfId="0" applyFont="1" applyBorder="1" applyAlignment="1">
      <alignment horizontal="center"/>
    </xf>
    <xf numFmtId="0" fontId="41" fillId="0" borderId="7" xfId="0" applyFont="1" applyBorder="1"/>
    <xf numFmtId="43" fontId="51" fillId="0" borderId="8" xfId="7" applyFont="1" applyBorder="1"/>
    <xf numFmtId="43" fontId="51" fillId="0" borderId="7" xfId="7" applyFont="1" applyBorder="1"/>
    <xf numFmtId="4" fontId="51" fillId="0" borderId="8" xfId="7" applyNumberFormat="1" applyFont="1" applyBorder="1" applyAlignment="1">
      <alignment horizontal="right"/>
    </xf>
    <xf numFmtId="4" fontId="51" fillId="0" borderId="7" xfId="7" applyNumberFormat="1" applyFont="1" applyBorder="1" applyAlignment="1">
      <alignment horizontal="right"/>
    </xf>
    <xf numFmtId="9" fontId="51" fillId="0" borderId="7" xfId="1" applyFont="1" applyBorder="1" applyAlignment="1">
      <alignment horizontal="right"/>
    </xf>
    <xf numFmtId="168" fontId="51" fillId="0" borderId="7" xfId="1" applyNumberFormat="1" applyFont="1" applyBorder="1" applyAlignment="1">
      <alignment horizontal="right"/>
    </xf>
    <xf numFmtId="167" fontId="41" fillId="0" borderId="7" xfId="0" applyNumberFormat="1" applyFont="1" applyBorder="1"/>
    <xf numFmtId="43" fontId="41" fillId="12" borderId="0" xfId="7" applyFont="1" applyFill="1" applyBorder="1"/>
    <xf numFmtId="169" fontId="41" fillId="0" borderId="8" xfId="0" applyNumberFormat="1" applyFont="1" applyBorder="1"/>
    <xf numFmtId="0" fontId="41" fillId="0" borderId="8" xfId="0" applyFont="1" applyBorder="1" applyAlignment="1">
      <alignment horizontal="center"/>
    </xf>
    <xf numFmtId="0" fontId="41" fillId="0" borderId="8" xfId="0" applyFont="1" applyBorder="1"/>
    <xf numFmtId="43" fontId="51" fillId="0" borderId="8" xfId="7" applyFont="1" applyFill="1" applyBorder="1"/>
    <xf numFmtId="9" fontId="51" fillId="0" borderId="8" xfId="1" applyFont="1" applyBorder="1" applyAlignment="1">
      <alignment horizontal="right"/>
    </xf>
    <xf numFmtId="168" fontId="51" fillId="0" borderId="8" xfId="1" applyNumberFormat="1" applyFont="1" applyBorder="1" applyAlignment="1">
      <alignment horizontal="right"/>
    </xf>
    <xf numFmtId="167" fontId="53" fillId="0" borderId="8" xfId="0" applyNumberFormat="1" applyFont="1" applyBorder="1"/>
    <xf numFmtId="0" fontId="41" fillId="0" borderId="9" xfId="0" applyFont="1" applyBorder="1"/>
    <xf numFmtId="43" fontId="51" fillId="0" borderId="9" xfId="7" applyFont="1" applyBorder="1"/>
    <xf numFmtId="4" fontId="51" fillId="0" borderId="12" xfId="7" applyNumberFormat="1" applyFont="1" applyBorder="1" applyAlignment="1">
      <alignment horizontal="right"/>
    </xf>
    <xf numFmtId="4" fontId="51" fillId="0" borderId="9" xfId="7" applyNumberFormat="1" applyFont="1" applyBorder="1" applyAlignment="1">
      <alignment horizontal="right"/>
    </xf>
    <xf numFmtId="9" fontId="51" fillId="0" borderId="9" xfId="1" applyFont="1" applyBorder="1" applyAlignment="1">
      <alignment horizontal="right"/>
    </xf>
    <xf numFmtId="168" fontId="51" fillId="0" borderId="9" xfId="1" applyNumberFormat="1" applyFont="1" applyBorder="1" applyAlignment="1">
      <alignment horizontal="right"/>
    </xf>
    <xf numFmtId="167" fontId="53" fillId="0" borderId="9" xfId="0" applyNumberFormat="1" applyFont="1" applyBorder="1"/>
    <xf numFmtId="167" fontId="53" fillId="0" borderId="7" xfId="0" applyNumberFormat="1" applyFont="1" applyBorder="1"/>
    <xf numFmtId="0" fontId="52" fillId="10" borderId="1" xfId="0" applyFont="1" applyFill="1" applyBorder="1" applyAlignment="1">
      <alignment horizontal="left"/>
    </xf>
    <xf numFmtId="0" fontId="58" fillId="0" borderId="0" xfId="0" applyFont="1"/>
    <xf numFmtId="171" fontId="52" fillId="10" borderId="1" xfId="7" applyNumberFormat="1" applyFont="1" applyFill="1" applyBorder="1" applyAlignment="1">
      <alignment horizontal="left"/>
    </xf>
    <xf numFmtId="4" fontId="52" fillId="10" borderId="1" xfId="7" applyNumberFormat="1" applyFont="1" applyFill="1" applyBorder="1" applyAlignment="1">
      <alignment horizontal="right"/>
    </xf>
    <xf numFmtId="9" fontId="52" fillId="10" borderId="1" xfId="1" applyFont="1" applyFill="1" applyBorder="1" applyAlignment="1">
      <alignment horizontal="right"/>
    </xf>
    <xf numFmtId="168" fontId="52" fillId="10" borderId="1" xfId="1" applyNumberFormat="1" applyFont="1" applyFill="1" applyBorder="1" applyAlignment="1">
      <alignment horizontal="right"/>
    </xf>
    <xf numFmtId="167" fontId="52" fillId="10" borderId="1" xfId="2" applyNumberFormat="1" applyFont="1" applyFill="1" applyBorder="1" applyAlignment="1">
      <alignment horizontal="left" wrapText="1"/>
    </xf>
    <xf numFmtId="171" fontId="52" fillId="10" borderId="8" xfId="7" applyNumberFormat="1" applyFont="1" applyFill="1" applyBorder="1" applyAlignment="1">
      <alignment horizontal="left"/>
    </xf>
    <xf numFmtId="0" fontId="54" fillId="0" borderId="0" xfId="0" applyFont="1" applyAlignment="1">
      <alignment horizontal="center"/>
    </xf>
    <xf numFmtId="0" fontId="53" fillId="0" borderId="1" xfId="0" applyFont="1" applyBorder="1"/>
    <xf numFmtId="167" fontId="50" fillId="0" borderId="9" xfId="2" applyNumberFormat="1" applyFont="1" applyBorder="1"/>
    <xf numFmtId="167" fontId="50" fillId="0" borderId="11" xfId="2" applyNumberFormat="1" applyFont="1" applyBorder="1"/>
    <xf numFmtId="167" fontId="53" fillId="0" borderId="1" xfId="0" applyNumberFormat="1" applyFont="1" applyBorder="1" applyAlignment="1">
      <alignment vertical="top"/>
    </xf>
    <xf numFmtId="167" fontId="50" fillId="0" borderId="1" xfId="2" applyNumberFormat="1" applyFont="1" applyBorder="1"/>
    <xf numFmtId="3" fontId="53" fillId="0" borderId="1" xfId="0" applyNumberFormat="1" applyFont="1" applyBorder="1" applyAlignment="1">
      <alignment horizontal="right" vertical="top"/>
    </xf>
    <xf numFmtId="9" fontId="50" fillId="0" borderId="10" xfId="1" applyFont="1" applyBorder="1" applyAlignment="1">
      <alignment horizontal="right"/>
    </xf>
    <xf numFmtId="167" fontId="53" fillId="0" borderId="1" xfId="0" applyNumberFormat="1" applyFont="1" applyBorder="1"/>
    <xf numFmtId="167" fontId="53" fillId="0" borderId="7" xfId="0" applyNumberFormat="1" applyFont="1" applyBorder="1" applyAlignment="1">
      <alignment horizontal="center" vertical="center"/>
    </xf>
    <xf numFmtId="166" fontId="53" fillId="0" borderId="8" xfId="7" applyNumberFormat="1" applyFont="1" applyBorder="1"/>
    <xf numFmtId="170" fontId="53" fillId="0" borderId="7" xfId="0" applyNumberFormat="1" applyFont="1" applyBorder="1" applyAlignment="1">
      <alignment horizontal="center" vertical="center"/>
    </xf>
    <xf numFmtId="173" fontId="50" fillId="0" borderId="13" xfId="7" applyNumberFormat="1" applyFont="1" applyBorder="1" applyAlignment="1">
      <alignment horizontal="right"/>
    </xf>
    <xf numFmtId="9" fontId="53" fillId="0" borderId="7" xfId="1" applyFont="1" applyBorder="1"/>
    <xf numFmtId="170" fontId="53" fillId="0" borderId="8" xfId="0" applyNumberFormat="1" applyFont="1" applyBorder="1" applyAlignment="1">
      <alignment horizontal="center" vertical="center"/>
    </xf>
    <xf numFmtId="170" fontId="53" fillId="0" borderId="9" xfId="0" applyNumberFormat="1" applyFont="1" applyBorder="1" applyAlignment="1">
      <alignment horizontal="center" vertical="center"/>
    </xf>
    <xf numFmtId="173" fontId="50" fillId="0" borderId="9" xfId="7" applyNumberFormat="1" applyFont="1" applyBorder="1" applyAlignment="1">
      <alignment horizontal="right"/>
    </xf>
    <xf numFmtId="9" fontId="53" fillId="0" borderId="9" xfId="1" applyFont="1" applyBorder="1"/>
    <xf numFmtId="4" fontId="51" fillId="0" borderId="1" xfId="7" applyNumberFormat="1" applyFont="1" applyBorder="1" applyAlignment="1">
      <alignment horizontal="right"/>
    </xf>
    <xf numFmtId="167" fontId="50" fillId="0" borderId="0" xfId="2" applyNumberFormat="1" applyFont="1" applyBorder="1"/>
    <xf numFmtId="166" fontId="51" fillId="0" borderId="0" xfId="7" applyNumberFormat="1" applyFont="1" applyBorder="1"/>
    <xf numFmtId="9" fontId="51" fillId="0" borderId="0" xfId="1" applyFont="1" applyBorder="1"/>
    <xf numFmtId="9" fontId="50" fillId="10" borderId="1" xfId="1" applyFont="1" applyFill="1" applyBorder="1" applyAlignment="1">
      <alignment horizontal="center"/>
    </xf>
    <xf numFmtId="168" fontId="51" fillId="0" borderId="7" xfId="1" applyNumberFormat="1" applyFont="1" applyBorder="1"/>
    <xf numFmtId="168" fontId="51" fillId="0" borderId="8" xfId="1" applyNumberFormat="1" applyFont="1" applyBorder="1"/>
    <xf numFmtId="10" fontId="51" fillId="0" borderId="8" xfId="1" applyNumberFormat="1" applyFont="1" applyBorder="1"/>
    <xf numFmtId="168" fontId="51" fillId="0" borderId="9" xfId="1" applyNumberFormat="1" applyFont="1" applyBorder="1"/>
    <xf numFmtId="9" fontId="52" fillId="10" borderId="1" xfId="1" applyFont="1" applyFill="1" applyBorder="1" applyAlignment="1">
      <alignment horizontal="center"/>
    </xf>
    <xf numFmtId="167" fontId="47" fillId="14" borderId="1" xfId="2" quotePrefix="1" applyNumberFormat="1" applyFont="1" applyFill="1" applyBorder="1" applyAlignment="1">
      <alignment horizontal="center" vertical="center" wrapText="1"/>
    </xf>
    <xf numFmtId="167" fontId="7" fillId="2" borderId="1" xfId="2" applyNumberFormat="1" applyFont="1" applyFill="1" applyBorder="1" applyAlignment="1">
      <alignment horizontal="center" vertical="center"/>
    </xf>
    <xf numFmtId="167" fontId="10" fillId="4" borderId="1" xfId="2" applyNumberFormat="1" applyFont="1" applyFill="1" applyBorder="1"/>
    <xf numFmtId="0" fontId="30" fillId="0" borderId="0" xfId="0" applyFont="1" applyAlignment="1">
      <alignment vertical="center"/>
    </xf>
    <xf numFmtId="171" fontId="50" fillId="15" borderId="1" xfId="7" applyNumberFormat="1" applyFont="1" applyFill="1" applyBorder="1" applyAlignment="1">
      <alignment horizontal="left"/>
    </xf>
    <xf numFmtId="43" fontId="51" fillId="6" borderId="8" xfId="7" applyFont="1" applyFill="1" applyBorder="1"/>
    <xf numFmtId="43" fontId="51" fillId="6" borderId="9" xfId="7" applyFont="1" applyFill="1" applyBorder="1"/>
    <xf numFmtId="171" fontId="52" fillId="15" borderId="1" xfId="7" applyNumberFormat="1" applyFont="1" applyFill="1" applyBorder="1" applyAlignment="1">
      <alignment horizontal="left"/>
    </xf>
    <xf numFmtId="167" fontId="50" fillId="6" borderId="11" xfId="2" applyNumberFormat="1" applyFont="1" applyFill="1" applyBorder="1"/>
    <xf numFmtId="170" fontId="53" fillId="6" borderId="7" xfId="0" applyNumberFormat="1" applyFont="1" applyFill="1" applyBorder="1" applyAlignment="1">
      <alignment horizontal="center" vertical="center"/>
    </xf>
    <xf numFmtId="170" fontId="53" fillId="6" borderId="9" xfId="0" applyNumberFormat="1" applyFont="1" applyFill="1" applyBorder="1" applyAlignment="1">
      <alignment horizontal="center" vertical="center"/>
    </xf>
    <xf numFmtId="0" fontId="53" fillId="0" borderId="1" xfId="0" applyFont="1" applyBorder="1" applyAlignment="1">
      <alignment horizontal="left" vertical="center" wrapText="1"/>
    </xf>
    <xf numFmtId="0" fontId="53" fillId="0" borderId="7" xfId="0" applyFont="1" applyBorder="1" applyAlignment="1">
      <alignment horizontal="left" vertical="top" wrapText="1"/>
    </xf>
    <xf numFmtId="0" fontId="53" fillId="0" borderId="9" xfId="0" applyFont="1" applyBorder="1" applyAlignment="1">
      <alignment horizontal="left" vertical="top" wrapText="1"/>
    </xf>
    <xf numFmtId="167" fontId="47" fillId="14" borderId="0" xfId="2" applyNumberFormat="1" applyFont="1" applyFill="1" applyBorder="1" applyAlignment="1">
      <alignment horizontal="center" vertical="center" wrapText="1"/>
    </xf>
    <xf numFmtId="0" fontId="10" fillId="0" borderId="15" xfId="4" applyFont="1" applyBorder="1"/>
    <xf numFmtId="0" fontId="41" fillId="0" borderId="12" xfId="0" applyFont="1" applyBorder="1" applyAlignment="1">
      <alignment vertical="center"/>
    </xf>
    <xf numFmtId="0" fontId="53" fillId="0" borderId="11" xfId="0" applyFont="1" applyBorder="1" applyAlignment="1">
      <alignment vertical="center"/>
    </xf>
    <xf numFmtId="0" fontId="41" fillId="0" borderId="13" xfId="0" applyFont="1" applyBorder="1"/>
    <xf numFmtId="0" fontId="41" fillId="0" borderId="12" xfId="0" applyFont="1" applyBorder="1"/>
    <xf numFmtId="0" fontId="53" fillId="0" borderId="11" xfId="0" applyFont="1" applyBorder="1"/>
    <xf numFmtId="167" fontId="47" fillId="16" borderId="1" xfId="2" applyNumberFormat="1" applyFont="1" applyFill="1" applyBorder="1" applyAlignment="1">
      <alignment horizontal="center" vertical="center"/>
    </xf>
    <xf numFmtId="167" fontId="47" fillId="17" borderId="1" xfId="2" applyNumberFormat="1" applyFont="1" applyFill="1" applyBorder="1" applyAlignment="1">
      <alignment horizontal="center" vertical="center"/>
    </xf>
    <xf numFmtId="167" fontId="50" fillId="0" borderId="11" xfId="2" applyNumberFormat="1" applyFont="1" applyBorder="1" applyAlignment="1">
      <alignment vertical="center"/>
    </xf>
    <xf numFmtId="43" fontId="51" fillId="0" borderId="13" xfId="7" applyFont="1" applyBorder="1"/>
    <xf numFmtId="43" fontId="51" fillId="0" borderId="12" xfId="7" applyFont="1" applyBorder="1"/>
    <xf numFmtId="170" fontId="53" fillId="0" borderId="13" xfId="0" applyNumberFormat="1" applyFont="1" applyBorder="1" applyAlignment="1">
      <alignment horizontal="center" vertical="center"/>
    </xf>
    <xf numFmtId="9" fontId="50" fillId="10" borderId="0" xfId="1" applyFont="1" applyFill="1" applyBorder="1" applyAlignment="1">
      <alignment horizontal="center"/>
    </xf>
    <xf numFmtId="168" fontId="51" fillId="0" borderId="0" xfId="1" applyNumberFormat="1" applyFont="1" applyBorder="1"/>
    <xf numFmtId="10" fontId="51" fillId="0" borderId="0" xfId="1" applyNumberFormat="1" applyFont="1" applyBorder="1"/>
    <xf numFmtId="9" fontId="52" fillId="10" borderId="0" xfId="1" applyFont="1" applyFill="1" applyBorder="1" applyAlignment="1">
      <alignment horizontal="center"/>
    </xf>
    <xf numFmtId="167" fontId="51" fillId="0" borderId="13" xfId="2" applyNumberFormat="1" applyFont="1" applyBorder="1" applyAlignment="1">
      <alignment vertical="center"/>
    </xf>
    <xf numFmtId="9" fontId="41" fillId="0" borderId="0" xfId="1" applyFont="1" applyAlignment="1">
      <alignment vertical="center"/>
    </xf>
    <xf numFmtId="167" fontId="47" fillId="16" borderId="1" xfId="2" applyNumberFormat="1" applyFont="1" applyFill="1" applyBorder="1" applyAlignment="1">
      <alignment horizontal="center" vertical="center" wrapText="1"/>
    </xf>
    <xf numFmtId="167" fontId="47" fillId="14" borderId="4" xfId="2" applyNumberFormat="1" applyFont="1" applyFill="1" applyBorder="1" applyAlignment="1">
      <alignment horizontal="center" vertical="center" wrapText="1"/>
    </xf>
    <xf numFmtId="167" fontId="50" fillId="10" borderId="4" xfId="2" applyNumberFormat="1" applyFont="1" applyFill="1" applyBorder="1" applyAlignment="1">
      <alignment horizontal="left" vertical="center"/>
    </xf>
    <xf numFmtId="167" fontId="51" fillId="0" borderId="16" xfId="2" applyNumberFormat="1" applyFont="1" applyBorder="1" applyAlignment="1">
      <alignment vertical="center"/>
    </xf>
    <xf numFmtId="167" fontId="51" fillId="0" borderId="17" xfId="2" applyNumberFormat="1" applyFont="1" applyBorder="1" applyAlignment="1">
      <alignment vertical="center"/>
    </xf>
    <xf numFmtId="167" fontId="51" fillId="0" borderId="18" xfId="2" applyNumberFormat="1" applyFont="1" applyBorder="1" applyAlignment="1">
      <alignment vertical="center"/>
    </xf>
    <xf numFmtId="167" fontId="51" fillId="0" borderId="19" xfId="2" applyNumberFormat="1" applyFont="1" applyBorder="1" applyAlignment="1">
      <alignment vertical="center"/>
    </xf>
    <xf numFmtId="167" fontId="52" fillId="0" borderId="4" xfId="2" applyNumberFormat="1" applyFont="1" applyBorder="1" applyAlignment="1">
      <alignment vertical="center"/>
    </xf>
    <xf numFmtId="167" fontId="53" fillId="0" borderId="4" xfId="0" applyNumberFormat="1" applyFont="1" applyBorder="1" applyAlignment="1">
      <alignment vertical="center"/>
    </xf>
    <xf numFmtId="167" fontId="53" fillId="0" borderId="4" xfId="0" applyNumberFormat="1" applyFont="1" applyBorder="1" applyAlignment="1">
      <alignment horizontal="center" vertical="center"/>
    </xf>
    <xf numFmtId="167" fontId="50" fillId="0" borderId="19" xfId="2" applyNumberFormat="1" applyFont="1" applyBorder="1" applyAlignment="1">
      <alignment vertical="center"/>
    </xf>
    <xf numFmtId="167" fontId="47" fillId="16" borderId="6" xfId="2" applyNumberFormat="1" applyFont="1" applyFill="1" applyBorder="1" applyAlignment="1">
      <alignment horizontal="center" vertical="center" wrapText="1"/>
    </xf>
    <xf numFmtId="167" fontId="50" fillId="10" borderId="6" xfId="2" applyNumberFormat="1" applyFont="1" applyFill="1" applyBorder="1" applyAlignment="1">
      <alignment horizontal="left" vertical="center"/>
    </xf>
    <xf numFmtId="167" fontId="51" fillId="0" borderId="20" xfId="2" applyNumberFormat="1" applyFont="1" applyBorder="1" applyAlignment="1">
      <alignment vertical="center"/>
    </xf>
    <xf numFmtId="167" fontId="51" fillId="0" borderId="21" xfId="2" applyNumberFormat="1" applyFont="1" applyBorder="1" applyAlignment="1">
      <alignment vertical="center"/>
    </xf>
    <xf numFmtId="167" fontId="51" fillId="0" borderId="22" xfId="2" applyNumberFormat="1" applyFont="1" applyBorder="1" applyAlignment="1">
      <alignment vertical="center"/>
    </xf>
    <xf numFmtId="167" fontId="52" fillId="0" borderId="6" xfId="2" applyNumberFormat="1" applyFont="1" applyBorder="1" applyAlignment="1">
      <alignment vertical="center"/>
    </xf>
    <xf numFmtId="167" fontId="50" fillId="0" borderId="6" xfId="2" applyNumberFormat="1" applyFont="1" applyBorder="1" applyAlignment="1">
      <alignment vertical="center"/>
    </xf>
    <xf numFmtId="167" fontId="50" fillId="0" borderId="22" xfId="2" applyNumberFormat="1" applyFont="1" applyBorder="1" applyAlignment="1">
      <alignment vertical="center"/>
    </xf>
    <xf numFmtId="167" fontId="47" fillId="14" borderId="23" xfId="2" applyNumberFormat="1" applyFont="1" applyFill="1" applyBorder="1" applyAlignment="1">
      <alignment horizontal="center" vertical="center" wrapText="1"/>
    </xf>
    <xf numFmtId="167" fontId="50" fillId="10" borderId="24" xfId="2" applyNumberFormat="1" applyFont="1" applyFill="1" applyBorder="1" applyAlignment="1">
      <alignment horizontal="left" vertical="center"/>
    </xf>
    <xf numFmtId="167" fontId="51" fillId="0" borderId="25" xfId="2" applyNumberFormat="1" applyFont="1" applyBorder="1" applyAlignment="1">
      <alignment vertical="center"/>
    </xf>
    <xf numFmtId="167" fontId="51" fillId="0" borderId="26" xfId="2" applyNumberFormat="1" applyFont="1" applyBorder="1" applyAlignment="1">
      <alignment vertical="center"/>
    </xf>
    <xf numFmtId="167" fontId="51" fillId="0" borderId="27" xfId="2" applyNumberFormat="1" applyFont="1" applyBorder="1" applyAlignment="1">
      <alignment vertical="center"/>
    </xf>
    <xf numFmtId="167" fontId="51" fillId="0" borderId="28" xfId="2" applyNumberFormat="1" applyFont="1" applyBorder="1" applyAlignment="1">
      <alignment vertical="center"/>
    </xf>
    <xf numFmtId="167" fontId="52" fillId="0" borderId="24" xfId="2" applyNumberFormat="1" applyFont="1" applyBorder="1" applyAlignment="1">
      <alignment vertical="center"/>
    </xf>
    <xf numFmtId="167" fontId="50" fillId="0" borderId="24" xfId="2" applyNumberFormat="1" applyFont="1" applyBorder="1" applyAlignment="1">
      <alignment vertical="center"/>
    </xf>
    <xf numFmtId="167" fontId="50" fillId="0" borderId="29" xfId="2" applyNumberFormat="1" applyFont="1" applyBorder="1" applyAlignment="1">
      <alignment vertical="center"/>
    </xf>
    <xf numFmtId="167" fontId="47" fillId="14" borderId="6" xfId="2" applyNumberFormat="1" applyFont="1" applyFill="1" applyBorder="1" applyAlignment="1">
      <alignment horizontal="center" vertical="center" wrapText="1"/>
    </xf>
    <xf numFmtId="167" fontId="51" fillId="0" borderId="30" xfId="2" applyNumberFormat="1" applyFont="1" applyBorder="1" applyAlignment="1">
      <alignment vertical="center"/>
    </xf>
    <xf numFmtId="167" fontId="53" fillId="0" borderId="6" xfId="0" applyNumberFormat="1" applyFont="1" applyBorder="1" applyAlignment="1">
      <alignment vertical="center"/>
    </xf>
    <xf numFmtId="167" fontId="47" fillId="18" borderId="23" xfId="2" applyNumberFormat="1" applyFont="1" applyFill="1" applyBorder="1" applyAlignment="1">
      <alignment horizontal="center" vertical="center" wrapText="1"/>
    </xf>
    <xf numFmtId="167" fontId="53" fillId="0" borderId="24" xfId="0" applyNumberFormat="1" applyFont="1" applyBorder="1" applyAlignment="1">
      <alignment vertical="center"/>
    </xf>
    <xf numFmtId="170" fontId="53" fillId="0" borderId="20" xfId="0" applyNumberFormat="1" applyFont="1" applyBorder="1" applyAlignment="1">
      <alignment horizontal="center" vertical="center"/>
    </xf>
    <xf numFmtId="170" fontId="53" fillId="0" borderId="22" xfId="0" applyNumberFormat="1" applyFont="1" applyBorder="1" applyAlignment="1">
      <alignment horizontal="center" vertical="center"/>
    </xf>
    <xf numFmtId="170" fontId="53" fillId="0" borderId="25" xfId="0" applyNumberFormat="1" applyFont="1" applyBorder="1" applyAlignment="1">
      <alignment horizontal="center" vertical="center"/>
    </xf>
    <xf numFmtId="170" fontId="53" fillId="0" borderId="29" xfId="0" applyNumberFormat="1" applyFont="1" applyBorder="1" applyAlignment="1">
      <alignment horizontal="center" vertical="center"/>
    </xf>
    <xf numFmtId="167" fontId="47" fillId="16" borderId="4" xfId="2" applyNumberFormat="1" applyFont="1" applyFill="1" applyBorder="1" applyAlignment="1">
      <alignment horizontal="center" vertical="center" wrapText="1"/>
    </xf>
    <xf numFmtId="167" fontId="50" fillId="0" borderId="4" xfId="2" applyNumberFormat="1" applyFont="1" applyBorder="1" applyAlignment="1">
      <alignment vertical="center"/>
    </xf>
    <xf numFmtId="167" fontId="50" fillId="0" borderId="31" xfId="2" applyNumberFormat="1" applyFont="1" applyBorder="1" applyAlignment="1">
      <alignment vertical="center"/>
    </xf>
    <xf numFmtId="167" fontId="47" fillId="16" borderId="23" xfId="2" applyNumberFormat="1" applyFont="1" applyFill="1" applyBorder="1" applyAlignment="1">
      <alignment horizontal="center" vertical="center" wrapText="1"/>
    </xf>
    <xf numFmtId="167" fontId="50" fillId="0" borderId="32" xfId="2" applyNumberFormat="1" applyFont="1" applyBorder="1" applyAlignment="1">
      <alignment vertical="center"/>
    </xf>
    <xf numFmtId="170" fontId="53" fillId="0" borderId="17" xfId="0" applyNumberFormat="1" applyFont="1" applyBorder="1" applyAlignment="1">
      <alignment horizontal="center" vertical="center"/>
    </xf>
    <xf numFmtId="170" fontId="53" fillId="0" borderId="19" xfId="0" applyNumberFormat="1" applyFont="1" applyBorder="1" applyAlignment="1">
      <alignment horizontal="center" vertical="center"/>
    </xf>
    <xf numFmtId="170" fontId="53" fillId="0" borderId="26" xfId="0" applyNumberFormat="1" applyFont="1" applyBorder="1" applyAlignment="1">
      <alignment horizontal="center" vertical="center"/>
    </xf>
    <xf numFmtId="170" fontId="53" fillId="0" borderId="16" xfId="0" applyNumberFormat="1" applyFont="1" applyBorder="1" applyAlignment="1">
      <alignment horizontal="center" vertical="center"/>
    </xf>
    <xf numFmtId="0" fontId="59" fillId="0" borderId="0" xfId="0" applyFont="1"/>
    <xf numFmtId="0" fontId="60" fillId="0" borderId="0" xfId="0" applyFont="1" applyAlignment="1">
      <alignment horizontal="left"/>
    </xf>
    <xf numFmtId="0" fontId="59" fillId="0" borderId="0" xfId="0" applyFont="1" applyAlignment="1">
      <alignment horizontal="center"/>
    </xf>
    <xf numFmtId="167" fontId="59" fillId="0" borderId="0" xfId="0" applyNumberFormat="1" applyFont="1"/>
    <xf numFmtId="49" fontId="60" fillId="0" borderId="0" xfId="0" applyNumberFormat="1" applyFont="1" applyAlignment="1">
      <alignment horizontal="left"/>
    </xf>
    <xf numFmtId="0" fontId="61" fillId="0" borderId="0" xfId="0" applyFont="1"/>
    <xf numFmtId="167" fontId="61" fillId="0" borderId="0" xfId="0" applyNumberFormat="1" applyFont="1"/>
    <xf numFmtId="176" fontId="50" fillId="10" borderId="1" xfId="1" applyNumberFormat="1" applyFont="1" applyFill="1" applyBorder="1" applyAlignment="1">
      <alignment horizontal="center"/>
    </xf>
    <xf numFmtId="176" fontId="50" fillId="10" borderId="4" xfId="1" applyNumberFormat="1" applyFont="1" applyFill="1" applyBorder="1" applyAlignment="1">
      <alignment horizontal="center"/>
    </xf>
    <xf numFmtId="176" fontId="50" fillId="10" borderId="24" xfId="1" applyNumberFormat="1" applyFont="1" applyFill="1" applyBorder="1" applyAlignment="1">
      <alignment horizontal="center"/>
    </xf>
    <xf numFmtId="176" fontId="51" fillId="0" borderId="7" xfId="1" applyNumberFormat="1" applyFont="1" applyBorder="1"/>
    <xf numFmtId="176" fontId="51" fillId="0" borderId="16" xfId="1" applyNumberFormat="1" applyFont="1" applyBorder="1"/>
    <xf numFmtId="176" fontId="51" fillId="0" borderId="25" xfId="1" applyNumberFormat="1" applyFont="1" applyBorder="1"/>
    <xf numFmtId="176" fontId="51" fillId="0" borderId="8" xfId="1" applyNumberFormat="1" applyFont="1" applyBorder="1"/>
    <xf numFmtId="176" fontId="51" fillId="0" borderId="18" xfId="1" applyNumberFormat="1" applyFont="1" applyBorder="1"/>
    <xf numFmtId="176" fontId="51" fillId="0" borderId="27" xfId="1" applyNumberFormat="1" applyFont="1" applyBorder="1"/>
    <xf numFmtId="176" fontId="51" fillId="0" borderId="9" xfId="1" applyNumberFormat="1" applyFont="1" applyBorder="1"/>
    <xf numFmtId="176" fontId="51" fillId="0" borderId="19" xfId="1" applyNumberFormat="1" applyFont="1" applyBorder="1"/>
    <xf numFmtId="176" fontId="51" fillId="0" borderId="28" xfId="1" applyNumberFormat="1" applyFont="1" applyBorder="1"/>
    <xf numFmtId="176" fontId="52" fillId="10" borderId="1" xfId="1" applyNumberFormat="1" applyFont="1" applyFill="1" applyBorder="1" applyAlignment="1">
      <alignment horizontal="center"/>
    </xf>
    <xf numFmtId="176" fontId="52" fillId="10" borderId="4" xfId="1" applyNumberFormat="1" applyFont="1" applyFill="1" applyBorder="1" applyAlignment="1">
      <alignment horizontal="center"/>
    </xf>
    <xf numFmtId="176" fontId="52" fillId="10" borderId="36" xfId="1" applyNumberFormat="1" applyFont="1" applyFill="1" applyBorder="1" applyAlignment="1">
      <alignment horizontal="center"/>
    </xf>
    <xf numFmtId="49" fontId="47" fillId="19" borderId="37" xfId="2" applyNumberFormat="1" applyFont="1" applyFill="1" applyBorder="1" applyAlignment="1">
      <alignment horizontal="center" vertical="center" wrapText="1"/>
    </xf>
    <xf numFmtId="49" fontId="47" fillId="19" borderId="38" xfId="2" applyNumberFormat="1" applyFont="1" applyFill="1" applyBorder="1" applyAlignment="1">
      <alignment horizontal="center" vertical="center" wrapText="1"/>
    </xf>
    <xf numFmtId="167" fontId="47" fillId="19" borderId="39" xfId="2" applyNumberFormat="1" applyFont="1" applyFill="1" applyBorder="1" applyAlignment="1">
      <alignment horizontal="center" vertical="center" wrapText="1"/>
    </xf>
    <xf numFmtId="171" fontId="50" fillId="10" borderId="1" xfId="7" applyNumberFormat="1" applyFont="1" applyFill="1" applyBorder="1" applyAlignment="1">
      <alignment horizontal="left" vertical="center"/>
    </xf>
    <xf numFmtId="171" fontId="50" fillId="10" borderId="24" xfId="7" applyNumberFormat="1" applyFont="1" applyFill="1" applyBorder="1" applyAlignment="1">
      <alignment horizontal="left" vertical="center"/>
    </xf>
    <xf numFmtId="171" fontId="50" fillId="10" borderId="6" xfId="7" applyNumberFormat="1" applyFont="1" applyFill="1" applyBorder="1" applyAlignment="1">
      <alignment horizontal="left" vertical="center"/>
    </xf>
    <xf numFmtId="171" fontId="50" fillId="10" borderId="4" xfId="7" applyNumberFormat="1" applyFont="1" applyFill="1" applyBorder="1" applyAlignment="1">
      <alignment horizontal="left" vertical="center"/>
    </xf>
    <xf numFmtId="173" fontId="50" fillId="7" borderId="6" xfId="7" applyNumberFormat="1" applyFont="1" applyFill="1" applyBorder="1" applyAlignment="1">
      <alignment horizontal="right" vertical="center"/>
    </xf>
    <xf numFmtId="4" fontId="51" fillId="7" borderId="16" xfId="7" applyNumberFormat="1" applyFont="1" applyFill="1" applyBorder="1" applyAlignment="1">
      <alignment horizontal="right" vertical="center"/>
    </xf>
    <xf numFmtId="168" fontId="50" fillId="10" borderId="40" xfId="1" applyNumberFormat="1" applyFont="1" applyFill="1" applyBorder="1" applyAlignment="1">
      <alignment horizontal="right" vertical="center"/>
    </xf>
    <xf numFmtId="168" fontId="50" fillId="10" borderId="1" xfId="1" applyNumberFormat="1" applyFont="1" applyFill="1" applyBorder="1" applyAlignment="1">
      <alignment horizontal="right" vertical="center"/>
    </xf>
    <xf numFmtId="168" fontId="50" fillId="10" borderId="41" xfId="1" applyNumberFormat="1" applyFont="1" applyFill="1" applyBorder="1" applyAlignment="1">
      <alignment horizontal="right" vertical="center"/>
    </xf>
    <xf numFmtId="168" fontId="51" fillId="7" borderId="20" xfId="7" applyNumberFormat="1" applyFont="1" applyFill="1" applyBorder="1" applyAlignment="1">
      <alignment horizontal="right" vertical="center"/>
    </xf>
    <xf numFmtId="168" fontId="51" fillId="7" borderId="52" xfId="7" applyNumberFormat="1" applyFont="1" applyFill="1" applyBorder="1" applyAlignment="1">
      <alignment horizontal="right" vertical="center"/>
    </xf>
    <xf numFmtId="167" fontId="50" fillId="10" borderId="1" xfId="2" applyNumberFormat="1" applyFont="1" applyFill="1" applyBorder="1" applyAlignment="1">
      <alignment horizontal="left" vertical="center" wrapText="1"/>
    </xf>
    <xf numFmtId="43" fontId="51" fillId="0" borderId="8" xfId="7" applyFont="1" applyBorder="1" applyAlignment="1">
      <alignment vertical="center"/>
    </xf>
    <xf numFmtId="43" fontId="51" fillId="0" borderId="25" xfId="7" applyFont="1" applyBorder="1" applyAlignment="1">
      <alignment vertical="center"/>
    </xf>
    <xf numFmtId="43" fontId="51" fillId="0" borderId="20" xfId="7" applyFont="1" applyBorder="1" applyAlignment="1">
      <alignment vertical="center"/>
    </xf>
    <xf numFmtId="43" fontId="51" fillId="0" borderId="13" xfId="7" applyFont="1" applyBorder="1" applyAlignment="1">
      <alignment vertical="center"/>
    </xf>
    <xf numFmtId="43" fontId="51" fillId="0" borderId="17" xfId="7" applyFont="1" applyBorder="1" applyAlignment="1">
      <alignment vertical="center"/>
    </xf>
    <xf numFmtId="43" fontId="51" fillId="0" borderId="26" xfId="7" applyFont="1" applyBorder="1" applyAlignment="1">
      <alignment vertical="center"/>
    </xf>
    <xf numFmtId="43" fontId="51" fillId="0" borderId="7" xfId="7" applyFont="1" applyBorder="1" applyAlignment="1">
      <alignment vertical="center"/>
    </xf>
    <xf numFmtId="43" fontId="51" fillId="0" borderId="16" xfId="7" applyFont="1" applyBorder="1" applyAlignment="1">
      <alignment vertical="center"/>
    </xf>
    <xf numFmtId="4" fontId="51" fillId="0" borderId="21" xfId="7" applyNumberFormat="1" applyFont="1" applyBorder="1" applyAlignment="1">
      <alignment horizontal="right" vertical="center"/>
    </xf>
    <xf numFmtId="4" fontId="51" fillId="0" borderId="16" xfId="7" applyNumberFormat="1" applyFont="1" applyBorder="1" applyAlignment="1">
      <alignment horizontal="right" vertical="center"/>
    </xf>
    <xf numFmtId="168" fontId="51" fillId="0" borderId="42" xfId="1" applyNumberFormat="1" applyFont="1" applyBorder="1" applyAlignment="1">
      <alignment horizontal="right" vertical="center"/>
    </xf>
    <xf numFmtId="168" fontId="51" fillId="0" borderId="7" xfId="1" applyNumberFormat="1" applyFont="1" applyBorder="1" applyAlignment="1">
      <alignment horizontal="right" vertical="center"/>
    </xf>
    <xf numFmtId="168" fontId="51" fillId="0" borderId="43" xfId="1" applyNumberFormat="1" applyFont="1" applyBorder="1" applyAlignment="1">
      <alignment horizontal="right" vertical="center"/>
    </xf>
    <xf numFmtId="168" fontId="51" fillId="0" borderId="20" xfId="7" applyNumberFormat="1" applyFont="1" applyBorder="1" applyAlignment="1">
      <alignment horizontal="right" vertical="center"/>
    </xf>
    <xf numFmtId="167" fontId="41" fillId="0" borderId="7" xfId="0" applyNumberFormat="1" applyFont="1" applyBorder="1" applyAlignment="1">
      <alignment vertical="center"/>
    </xf>
    <xf numFmtId="43" fontId="51" fillId="0" borderId="8" xfId="7" applyFont="1" applyFill="1" applyBorder="1" applyAlignment="1">
      <alignment vertical="center"/>
    </xf>
    <xf numFmtId="43" fontId="51" fillId="0" borderId="27" xfId="7" applyFont="1" applyBorder="1" applyAlignment="1">
      <alignment vertical="center"/>
    </xf>
    <xf numFmtId="43" fontId="51" fillId="0" borderId="21" xfId="7" applyFont="1" applyBorder="1" applyAlignment="1">
      <alignment vertical="center"/>
    </xf>
    <xf numFmtId="43" fontId="51" fillId="0" borderId="18" xfId="7" applyFont="1" applyBorder="1" applyAlignment="1">
      <alignment vertical="center"/>
    </xf>
    <xf numFmtId="4" fontId="51" fillId="0" borderId="18" xfId="7" applyNumberFormat="1" applyFont="1" applyBorder="1" applyAlignment="1">
      <alignment horizontal="right" vertical="center"/>
    </xf>
    <xf numFmtId="168" fontId="51" fillId="0" borderId="44" xfId="1" applyNumberFormat="1" applyFont="1" applyBorder="1" applyAlignment="1">
      <alignment horizontal="right" vertical="center"/>
    </xf>
    <xf numFmtId="168" fontId="51" fillId="0" borderId="8" xfId="1" applyNumberFormat="1" applyFont="1" applyBorder="1" applyAlignment="1">
      <alignment horizontal="right" vertical="center"/>
    </xf>
    <xf numFmtId="168" fontId="51" fillId="0" borderId="45" xfId="1" applyNumberFormat="1" applyFont="1" applyBorder="1" applyAlignment="1">
      <alignment horizontal="right" vertical="center"/>
    </xf>
    <xf numFmtId="168" fontId="51" fillId="0" borderId="21" xfId="7" applyNumberFormat="1" applyFont="1" applyBorder="1" applyAlignment="1">
      <alignment horizontal="right" vertical="center"/>
    </xf>
    <xf numFmtId="167" fontId="53" fillId="0" borderId="8" xfId="0" applyNumberFormat="1" applyFont="1" applyBorder="1" applyAlignment="1">
      <alignment vertical="center"/>
    </xf>
    <xf numFmtId="43" fontId="51" fillId="0" borderId="9" xfId="7" applyFont="1" applyBorder="1" applyAlignment="1">
      <alignment vertical="center"/>
    </xf>
    <xf numFmtId="43" fontId="51" fillId="0" borderId="28" xfId="7" applyFont="1" applyBorder="1" applyAlignment="1">
      <alignment vertical="center"/>
    </xf>
    <xf numFmtId="43" fontId="51" fillId="0" borderId="22" xfId="7" applyFont="1" applyBorder="1" applyAlignment="1">
      <alignment vertical="center"/>
    </xf>
    <xf numFmtId="43" fontId="51" fillId="0" borderId="12" xfId="7" applyFont="1" applyBorder="1" applyAlignment="1">
      <alignment vertical="center"/>
    </xf>
    <xf numFmtId="43" fontId="51" fillId="0" borderId="33" xfId="7" applyFont="1" applyBorder="1" applyAlignment="1">
      <alignment vertical="center"/>
    </xf>
    <xf numFmtId="43" fontId="51" fillId="0" borderId="35" xfId="7" applyFont="1" applyBorder="1" applyAlignment="1">
      <alignment vertical="center"/>
    </xf>
    <xf numFmtId="43" fontId="51" fillId="0" borderId="19" xfId="7" applyFont="1" applyBorder="1" applyAlignment="1">
      <alignment vertical="center"/>
    </xf>
    <xf numFmtId="4" fontId="51" fillId="0" borderId="34" xfId="7" applyNumberFormat="1" applyFont="1" applyBorder="1" applyAlignment="1">
      <alignment horizontal="right" vertical="center"/>
    </xf>
    <xf numFmtId="4" fontId="51" fillId="0" borderId="19" xfId="7" applyNumberFormat="1" applyFont="1" applyBorder="1" applyAlignment="1">
      <alignment horizontal="right" vertical="center"/>
    </xf>
    <xf numFmtId="168" fontId="51" fillId="0" borderId="46" xfId="1" applyNumberFormat="1" applyFont="1" applyBorder="1" applyAlignment="1">
      <alignment horizontal="right" vertical="center"/>
    </xf>
    <xf numFmtId="168" fontId="51" fillId="0" borderId="9" xfId="1" applyNumberFormat="1" applyFont="1" applyBorder="1" applyAlignment="1">
      <alignment horizontal="right" vertical="center"/>
    </xf>
    <xf numFmtId="168" fontId="51" fillId="0" borderId="47" xfId="1" applyNumberFormat="1" applyFont="1" applyBorder="1" applyAlignment="1">
      <alignment horizontal="right" vertical="center"/>
    </xf>
    <xf numFmtId="168" fontId="51" fillId="0" borderId="22" xfId="7" applyNumberFormat="1" applyFont="1" applyBorder="1" applyAlignment="1">
      <alignment horizontal="right" vertical="center"/>
    </xf>
    <xf numFmtId="167" fontId="53" fillId="0" borderId="9" xfId="0" applyNumberFormat="1" applyFont="1" applyBorder="1" applyAlignment="1">
      <alignment vertical="center"/>
    </xf>
    <xf numFmtId="4" fontId="51" fillId="0" borderId="20" xfId="7" applyNumberFormat="1" applyFont="1" applyBorder="1" applyAlignment="1">
      <alignment horizontal="right" vertical="center"/>
    </xf>
    <xf numFmtId="167" fontId="53" fillId="0" borderId="7" xfId="0" applyNumberFormat="1" applyFont="1" applyBorder="1" applyAlignment="1">
      <alignment vertical="center"/>
    </xf>
    <xf numFmtId="4" fontId="51" fillId="0" borderId="22" xfId="7" applyNumberFormat="1" applyFont="1" applyBorder="1" applyAlignment="1">
      <alignment horizontal="right" vertical="center"/>
    </xf>
    <xf numFmtId="0" fontId="52" fillId="10" borderId="1" xfId="0" applyFont="1" applyFill="1" applyBorder="1" applyAlignment="1">
      <alignment horizontal="left" vertical="center"/>
    </xf>
    <xf numFmtId="0" fontId="58" fillId="0" borderId="0" xfId="0" applyFont="1" applyAlignment="1">
      <alignment vertical="center"/>
    </xf>
    <xf numFmtId="171" fontId="52" fillId="10" borderId="1" xfId="7" applyNumberFormat="1" applyFont="1" applyFill="1" applyBorder="1" applyAlignment="1">
      <alignment horizontal="left" vertical="center"/>
    </xf>
    <xf numFmtId="171" fontId="52" fillId="10" borderId="24" xfId="7" applyNumberFormat="1" applyFont="1" applyFill="1" applyBorder="1" applyAlignment="1">
      <alignment horizontal="left" vertical="center"/>
    </xf>
    <xf numFmtId="171" fontId="52" fillId="10" borderId="6" xfId="7" applyNumberFormat="1" applyFont="1" applyFill="1" applyBorder="1" applyAlignment="1">
      <alignment horizontal="left" vertical="center"/>
    </xf>
    <xf numFmtId="171" fontId="52" fillId="10" borderId="4" xfId="7" applyNumberFormat="1" applyFont="1" applyFill="1" applyBorder="1" applyAlignment="1">
      <alignment horizontal="left" vertical="center"/>
    </xf>
    <xf numFmtId="4" fontId="52" fillId="10" borderId="6" xfId="7" applyNumberFormat="1" applyFont="1" applyFill="1" applyBorder="1" applyAlignment="1">
      <alignment horizontal="right" vertical="center"/>
    </xf>
    <xf numFmtId="168" fontId="52" fillId="10" borderId="40" xfId="1" applyNumberFormat="1" applyFont="1" applyFill="1" applyBorder="1" applyAlignment="1">
      <alignment horizontal="right" vertical="center"/>
    </xf>
    <xf numFmtId="168" fontId="52" fillId="10" borderId="1" xfId="1" applyNumberFormat="1" applyFont="1" applyFill="1" applyBorder="1" applyAlignment="1">
      <alignment horizontal="right" vertical="center"/>
    </xf>
    <xf numFmtId="168" fontId="52" fillId="10" borderId="41" xfId="1" applyNumberFormat="1" applyFont="1" applyFill="1" applyBorder="1" applyAlignment="1">
      <alignment horizontal="right" vertical="center"/>
    </xf>
    <xf numFmtId="167" fontId="52" fillId="10" borderId="1" xfId="2" applyNumberFormat="1" applyFont="1" applyFill="1" applyBorder="1" applyAlignment="1">
      <alignment horizontal="left" vertical="center" wrapText="1"/>
    </xf>
    <xf numFmtId="9" fontId="50" fillId="0" borderId="48" xfId="1" applyFont="1" applyBorder="1" applyAlignment="1">
      <alignment horizontal="right" vertical="center"/>
    </xf>
    <xf numFmtId="9" fontId="50" fillId="0" borderId="10" xfId="1" applyFont="1" applyBorder="1" applyAlignment="1">
      <alignment horizontal="right" vertical="center"/>
    </xf>
    <xf numFmtId="173" fontId="50" fillId="0" borderId="30" xfId="7" applyNumberFormat="1" applyFont="1" applyBorder="1" applyAlignment="1">
      <alignment horizontal="right" vertical="center"/>
    </xf>
    <xf numFmtId="9" fontId="53" fillId="0" borderId="42" xfId="1" applyFont="1" applyBorder="1" applyAlignment="1">
      <alignment vertical="center"/>
    </xf>
    <xf numFmtId="9" fontId="53" fillId="0" borderId="7" xfId="1" applyFont="1" applyBorder="1" applyAlignment="1">
      <alignment vertical="center"/>
    </xf>
    <xf numFmtId="9" fontId="53" fillId="0" borderId="43" xfId="1" applyFont="1" applyBorder="1" applyAlignment="1">
      <alignment vertical="center"/>
    </xf>
    <xf numFmtId="173" fontId="50" fillId="0" borderId="22" xfId="7" applyNumberFormat="1" applyFont="1" applyBorder="1" applyAlignment="1">
      <alignment horizontal="right" vertical="center"/>
    </xf>
    <xf numFmtId="9" fontId="53" fillId="0" borderId="49" xfId="1" applyFont="1" applyBorder="1" applyAlignment="1">
      <alignment vertical="center"/>
    </xf>
    <xf numFmtId="9" fontId="53" fillId="0" borderId="50" xfId="1" applyFont="1" applyBorder="1" applyAlignment="1">
      <alignment vertical="center"/>
    </xf>
    <xf numFmtId="9" fontId="53" fillId="0" borderId="51" xfId="1" applyFont="1" applyBorder="1" applyAlignment="1">
      <alignment vertical="center"/>
    </xf>
    <xf numFmtId="168" fontId="51" fillId="0" borderId="6" xfId="7" applyNumberFormat="1" applyFont="1" applyBorder="1" applyAlignment="1">
      <alignment horizontal="right" vertical="center"/>
    </xf>
    <xf numFmtId="168" fontId="51" fillId="0" borderId="53" xfId="7" applyNumberFormat="1" applyFont="1" applyBorder="1" applyAlignment="1">
      <alignment horizontal="right" vertical="center"/>
    </xf>
    <xf numFmtId="171" fontId="52" fillId="10" borderId="11" xfId="7" applyNumberFormat="1" applyFont="1" applyFill="1" applyBorder="1" applyAlignment="1">
      <alignment horizontal="left" vertical="center"/>
    </xf>
    <xf numFmtId="167" fontId="53" fillId="0" borderId="54" xfId="0" applyNumberFormat="1" applyFont="1" applyBorder="1" applyAlignment="1">
      <alignment vertical="center"/>
    </xf>
    <xf numFmtId="167" fontId="50" fillId="0" borderId="53" xfId="2" applyNumberFormat="1" applyFont="1" applyBorder="1" applyAlignment="1">
      <alignment vertical="center"/>
    </xf>
    <xf numFmtId="167" fontId="50" fillId="0" borderId="54" xfId="2" applyNumberFormat="1" applyFont="1" applyBorder="1" applyAlignment="1">
      <alignment vertical="center"/>
    </xf>
    <xf numFmtId="167" fontId="53" fillId="0" borderId="53" xfId="0" applyNumberFormat="1" applyFont="1" applyBorder="1" applyAlignment="1">
      <alignment vertical="center"/>
    </xf>
    <xf numFmtId="167" fontId="53" fillId="0" borderId="11" xfId="0" applyNumberFormat="1" applyFont="1" applyBorder="1" applyAlignment="1">
      <alignment vertical="center"/>
    </xf>
    <xf numFmtId="167" fontId="53" fillId="0" borderId="31" xfId="0" applyNumberFormat="1" applyFont="1" applyBorder="1" applyAlignment="1">
      <alignment vertical="center"/>
    </xf>
    <xf numFmtId="3" fontId="53" fillId="0" borderId="53" xfId="0" applyNumberFormat="1" applyFont="1" applyBorder="1" applyAlignment="1">
      <alignment horizontal="right" vertical="center"/>
    </xf>
    <xf numFmtId="3" fontId="53" fillId="0" borderId="31" xfId="0" applyNumberFormat="1" applyFont="1" applyBorder="1" applyAlignment="1">
      <alignment horizontal="right" vertical="center"/>
    </xf>
    <xf numFmtId="167" fontId="53" fillId="0" borderId="55" xfId="0" applyNumberFormat="1" applyFont="1" applyBorder="1" applyAlignment="1">
      <alignment vertical="center"/>
    </xf>
    <xf numFmtId="168" fontId="51" fillId="0" borderId="30" xfId="7" applyNumberFormat="1" applyFont="1" applyBorder="1" applyAlignment="1">
      <alignment horizontal="right" vertical="center"/>
    </xf>
    <xf numFmtId="168" fontId="51" fillId="0" borderId="56" xfId="7" applyNumberFormat="1" applyFont="1" applyBorder="1" applyAlignment="1">
      <alignment horizontal="right" vertical="center"/>
    </xf>
    <xf numFmtId="0" fontId="58" fillId="0" borderId="2" xfId="0" applyFont="1" applyBorder="1" applyAlignment="1">
      <alignment vertical="center"/>
    </xf>
    <xf numFmtId="4" fontId="51" fillId="7" borderId="4" xfId="7" applyNumberFormat="1" applyFont="1" applyFill="1" applyBorder="1" applyAlignment="1">
      <alignment horizontal="right" vertical="center"/>
    </xf>
    <xf numFmtId="168" fontId="52" fillId="10" borderId="57" xfId="1" applyNumberFormat="1" applyFont="1" applyFill="1" applyBorder="1" applyAlignment="1">
      <alignment horizontal="right" vertical="center"/>
    </xf>
    <xf numFmtId="168" fontId="52" fillId="10" borderId="11" xfId="1" applyNumberFormat="1" applyFont="1" applyFill="1" applyBorder="1" applyAlignment="1">
      <alignment horizontal="right" vertical="center"/>
    </xf>
    <xf numFmtId="168" fontId="51" fillId="7" borderId="6" xfId="7" applyNumberFormat="1" applyFont="1" applyFill="1" applyBorder="1" applyAlignment="1">
      <alignment horizontal="right" vertical="center"/>
    </xf>
    <xf numFmtId="167" fontId="52" fillId="0" borderId="11" xfId="2" applyNumberFormat="1" applyFont="1" applyBorder="1" applyAlignment="1">
      <alignment vertical="center"/>
    </xf>
    <xf numFmtId="167" fontId="52" fillId="0" borderId="31" xfId="2" applyNumberFormat="1" applyFont="1" applyBorder="1" applyAlignment="1">
      <alignment vertical="center"/>
    </xf>
    <xf numFmtId="9" fontId="41" fillId="0" borderId="4" xfId="1" applyFont="1" applyBorder="1" applyAlignment="1">
      <alignment horizontal="left" vertical="top" wrapText="1"/>
    </xf>
    <xf numFmtId="9" fontId="41" fillId="0" borderId="5" xfId="1" applyFont="1" applyBorder="1" applyAlignment="1">
      <alignment horizontal="left" vertical="top" wrapText="1"/>
    </xf>
    <xf numFmtId="9" fontId="41" fillId="0" borderId="6" xfId="1" applyFont="1" applyBorder="1" applyAlignment="1">
      <alignment horizontal="left" vertical="top" wrapText="1"/>
    </xf>
    <xf numFmtId="0" fontId="46" fillId="3" borderId="0" xfId="0" applyFont="1" applyFill="1" applyAlignment="1">
      <alignment horizontal="center"/>
    </xf>
    <xf numFmtId="11" fontId="53" fillId="0" borderId="0" xfId="0" applyNumberFormat="1" applyFont="1"/>
    <xf numFmtId="166" fontId="40" fillId="6" borderId="4" xfId="7" applyNumberFormat="1" applyFont="1" applyFill="1" applyBorder="1" applyAlignment="1">
      <alignment vertical="center" wrapText="1"/>
    </xf>
    <xf numFmtId="166" fontId="40" fillId="6" borderId="6" xfId="7" applyNumberFormat="1" applyFont="1" applyFill="1" applyBorder="1" applyAlignment="1">
      <alignment vertical="center" wrapText="1"/>
    </xf>
    <xf numFmtId="166" fontId="40" fillId="6" borderId="58" xfId="7" applyNumberFormat="1" applyFont="1" applyFill="1" applyBorder="1" applyAlignment="1">
      <alignment vertical="center" wrapText="1"/>
    </xf>
    <xf numFmtId="167" fontId="62" fillId="0" borderId="0" xfId="0" applyNumberFormat="1" applyFont="1"/>
    <xf numFmtId="166" fontId="50" fillId="0" borderId="0" xfId="7" applyNumberFormat="1" applyFont="1"/>
    <xf numFmtId="43" fontId="63" fillId="0" borderId="0" xfId="7" applyFont="1"/>
    <xf numFmtId="43" fontId="62" fillId="0" borderId="0" xfId="7" applyFont="1"/>
    <xf numFmtId="166" fontId="63" fillId="0" borderId="0" xfId="7" applyNumberFormat="1" applyFont="1"/>
    <xf numFmtId="167" fontId="51" fillId="0" borderId="7" xfId="2" applyNumberFormat="1" applyFont="1" applyFill="1" applyBorder="1" applyAlignment="1">
      <alignment vertical="center"/>
    </xf>
    <xf numFmtId="0" fontId="30" fillId="0" borderId="9" xfId="0" applyFont="1" applyBorder="1" applyAlignment="1">
      <alignment horizontal="center"/>
    </xf>
    <xf numFmtId="172" fontId="31" fillId="0" borderId="13" xfId="7" applyNumberFormat="1" applyFont="1" applyBorder="1"/>
    <xf numFmtId="167" fontId="27" fillId="11" borderId="0" xfId="2" applyNumberFormat="1" applyFont="1" applyFill="1" applyBorder="1" applyAlignment="1">
      <alignment horizontal="center" vertical="center" wrapText="1"/>
    </xf>
    <xf numFmtId="9" fontId="31" fillId="0" borderId="0" xfId="1" applyFont="1" applyBorder="1"/>
    <xf numFmtId="0" fontId="65" fillId="0" borderId="0" xfId="0" applyFont="1"/>
    <xf numFmtId="0" fontId="7" fillId="11" borderId="1" xfId="0" applyFont="1" applyFill="1" applyBorder="1" applyAlignment="1">
      <alignment horizontal="center" vertical="center"/>
    </xf>
    <xf numFmtId="167" fontId="7" fillId="11" borderId="1" xfId="2" applyNumberFormat="1" applyFont="1" applyFill="1" applyBorder="1" applyAlignment="1">
      <alignment horizontal="center" vertical="center" wrapText="1"/>
    </xf>
    <xf numFmtId="167" fontId="7" fillId="11" borderId="1" xfId="2" quotePrefix="1" applyNumberFormat="1" applyFont="1" applyFill="1" applyBorder="1" applyAlignment="1">
      <alignment horizontal="center" vertical="center" wrapText="1"/>
    </xf>
    <xf numFmtId="167" fontId="7" fillId="11" borderId="1" xfId="2" applyNumberFormat="1" applyFont="1" applyFill="1" applyBorder="1" applyAlignment="1">
      <alignment horizontal="center" vertical="center"/>
    </xf>
    <xf numFmtId="9" fontId="31" fillId="0" borderId="7" xfId="1" applyFont="1" applyBorder="1"/>
    <xf numFmtId="9" fontId="31" fillId="0" borderId="9" xfId="1" applyFont="1" applyBorder="1"/>
    <xf numFmtId="9" fontId="28" fillId="0" borderId="7" xfId="1" applyFont="1" applyBorder="1"/>
    <xf numFmtId="9" fontId="32" fillId="0" borderId="8" xfId="1" applyFont="1" applyBorder="1" applyAlignment="1">
      <alignment horizontal="center" vertical="center"/>
    </xf>
    <xf numFmtId="9" fontId="32" fillId="0" borderId="9" xfId="1" applyFont="1" applyBorder="1" applyAlignment="1">
      <alignment horizontal="center" vertical="center"/>
    </xf>
    <xf numFmtId="170" fontId="53" fillId="0" borderId="24" xfId="0" applyNumberFormat="1" applyFont="1" applyBorder="1" applyAlignment="1">
      <alignment vertical="center"/>
    </xf>
    <xf numFmtId="170" fontId="50" fillId="0" borderId="9" xfId="2" applyNumberFormat="1" applyFont="1" applyBorder="1" applyAlignment="1">
      <alignment vertical="center"/>
    </xf>
    <xf numFmtId="170" fontId="50" fillId="0" borderId="19" xfId="2" applyNumberFormat="1" applyFont="1" applyBorder="1" applyAlignment="1">
      <alignment vertical="center"/>
    </xf>
    <xf numFmtId="167" fontId="47" fillId="18" borderId="4" xfId="2" applyNumberFormat="1" applyFont="1" applyFill="1" applyBorder="1" applyAlignment="1">
      <alignment horizontal="center" vertical="center" wrapText="1"/>
    </xf>
    <xf numFmtId="167" fontId="47" fillId="18" borderId="1" xfId="2" applyNumberFormat="1" applyFont="1" applyFill="1" applyBorder="1" applyAlignment="1">
      <alignment horizontal="center" vertical="center" wrapText="1"/>
    </xf>
    <xf numFmtId="0" fontId="43" fillId="20" borderId="0" xfId="0" applyFont="1" applyFill="1" applyAlignment="1">
      <alignment horizontal="left"/>
    </xf>
    <xf numFmtId="43" fontId="51" fillId="0" borderId="0" xfId="0" applyNumberFormat="1" applyFont="1"/>
    <xf numFmtId="177" fontId="62" fillId="0" borderId="0" xfId="0" applyNumberFormat="1" applyFont="1"/>
    <xf numFmtId="165" fontId="53" fillId="0" borderId="24" xfId="0" applyNumberFormat="1" applyFont="1" applyBorder="1" applyAlignment="1">
      <alignment horizontal="center" vertical="center"/>
    </xf>
    <xf numFmtId="165" fontId="53" fillId="0" borderId="1" xfId="0" applyNumberFormat="1" applyFont="1" applyBorder="1" applyAlignment="1">
      <alignment horizontal="center" vertical="center"/>
    </xf>
    <xf numFmtId="165" fontId="53" fillId="0" borderId="4" xfId="0" applyNumberFormat="1" applyFont="1" applyBorder="1" applyAlignment="1">
      <alignment horizontal="center" vertical="center"/>
    </xf>
    <xf numFmtId="165" fontId="53" fillId="0" borderId="6" xfId="0" applyNumberFormat="1" applyFont="1" applyBorder="1" applyAlignment="1">
      <alignment horizontal="center" vertical="center"/>
    </xf>
    <xf numFmtId="165" fontId="53" fillId="0" borderId="1" xfId="0" applyNumberFormat="1" applyFont="1" applyBorder="1" applyAlignment="1">
      <alignment vertical="center"/>
    </xf>
    <xf numFmtId="0" fontId="5" fillId="10" borderId="4" xfId="0" applyFont="1" applyFill="1" applyBorder="1" applyAlignment="1">
      <alignment horizontal="left"/>
    </xf>
    <xf numFmtId="167" fontId="9" fillId="0" borderId="4" xfId="2" applyNumberFormat="1" applyFont="1" applyFill="1" applyBorder="1"/>
    <xf numFmtId="167" fontId="14" fillId="0" borderId="4" xfId="0" applyNumberFormat="1" applyFont="1" applyBorder="1"/>
    <xf numFmtId="0" fontId="5" fillId="10" borderId="6" xfId="0" applyFont="1" applyFill="1" applyBorder="1" applyAlignment="1">
      <alignment horizontal="left"/>
    </xf>
    <xf numFmtId="167" fontId="9" fillId="0" borderId="6" xfId="2" applyNumberFormat="1" applyFont="1" applyFill="1" applyBorder="1"/>
    <xf numFmtId="167" fontId="14" fillId="0" borderId="6" xfId="0" applyNumberFormat="1" applyFont="1" applyBorder="1"/>
    <xf numFmtId="167" fontId="9" fillId="0" borderId="11" xfId="2" applyNumberFormat="1" applyFont="1" applyFill="1" applyBorder="1"/>
    <xf numFmtId="0" fontId="5" fillId="10" borderId="24" xfId="0" applyFont="1" applyFill="1" applyBorder="1" applyAlignment="1">
      <alignment horizontal="left"/>
    </xf>
    <xf numFmtId="167" fontId="14" fillId="0" borderId="36" xfId="0" applyNumberFormat="1" applyFont="1" applyBorder="1"/>
    <xf numFmtId="167" fontId="11" fillId="0" borderId="4" xfId="2" applyNumberFormat="1" applyFont="1" applyFill="1" applyBorder="1"/>
    <xf numFmtId="167" fontId="11" fillId="0" borderId="24" xfId="2" applyNumberFormat="1" applyFont="1" applyFill="1" applyBorder="1"/>
    <xf numFmtId="165" fontId="50" fillId="0" borderId="0" xfId="2" applyFont="1" applyBorder="1"/>
    <xf numFmtId="43" fontId="51" fillId="0" borderId="0" xfId="7" applyFont="1"/>
    <xf numFmtId="167" fontId="10" fillId="3" borderId="1" xfId="2" applyNumberFormat="1" applyFont="1" applyFill="1" applyBorder="1"/>
    <xf numFmtId="43" fontId="50" fillId="0" borderId="0" xfId="7" applyFont="1" applyBorder="1"/>
    <xf numFmtId="167" fontId="35" fillId="0" borderId="0" xfId="0" applyNumberFormat="1" applyFont="1" applyAlignment="1">
      <alignment horizontal="center"/>
    </xf>
    <xf numFmtId="2" fontId="60" fillId="0" borderId="0" xfId="0" applyNumberFormat="1" applyFont="1" applyAlignment="1">
      <alignment horizontal="left"/>
    </xf>
    <xf numFmtId="169" fontId="41" fillId="0" borderId="0" xfId="0" applyNumberFormat="1" applyFont="1"/>
    <xf numFmtId="167" fontId="5" fillId="10" borderId="1" xfId="0" applyNumberFormat="1" applyFont="1" applyFill="1" applyBorder="1" applyAlignment="1">
      <alignment horizontal="left"/>
    </xf>
    <xf numFmtId="11" fontId="0" fillId="0" borderId="0" xfId="0" applyNumberFormat="1"/>
    <xf numFmtId="167" fontId="11" fillId="0" borderId="0" xfId="1" applyNumberFormat="1" applyFont="1" applyBorder="1"/>
    <xf numFmtId="166" fontId="42" fillId="0" borderId="0" xfId="7" applyNumberFormat="1" applyFont="1"/>
    <xf numFmtId="166" fontId="41" fillId="0" borderId="0" xfId="7" applyNumberFormat="1" applyFont="1"/>
    <xf numFmtId="167" fontId="11" fillId="3" borderId="1" xfId="0" applyNumberFormat="1" applyFont="1" applyFill="1" applyBorder="1"/>
    <xf numFmtId="167" fontId="9" fillId="3" borderId="1" xfId="2" applyNumberFormat="1" applyFont="1" applyFill="1" applyBorder="1"/>
    <xf numFmtId="167" fontId="50" fillId="0" borderId="9" xfId="2" applyNumberFormat="1" applyFont="1" applyFill="1" applyBorder="1" applyAlignment="1">
      <alignment vertical="center"/>
    </xf>
    <xf numFmtId="43" fontId="52" fillId="21" borderId="24" xfId="7" applyFont="1" applyFill="1" applyBorder="1" applyAlignment="1">
      <alignment horizontal="left" vertical="center"/>
    </xf>
    <xf numFmtId="43" fontId="51" fillId="3" borderId="27" xfId="7" applyFont="1" applyFill="1" applyBorder="1" applyAlignment="1">
      <alignment vertical="center"/>
    </xf>
    <xf numFmtId="43" fontId="51" fillId="3" borderId="25" xfId="7" applyFont="1" applyFill="1" applyBorder="1" applyAlignment="1">
      <alignment vertical="center"/>
    </xf>
    <xf numFmtId="164" fontId="9" fillId="0" borderId="0" xfId="9" applyFont="1"/>
    <xf numFmtId="164" fontId="14" fillId="0" borderId="0" xfId="4" applyNumberFormat="1" applyFont="1"/>
    <xf numFmtId="0" fontId="11" fillId="0" borderId="0" xfId="0" applyFont="1" applyAlignment="1">
      <alignment horizontal="right"/>
    </xf>
    <xf numFmtId="167" fontId="9" fillId="22" borderId="6" xfId="2" applyNumberFormat="1" applyFont="1" applyFill="1" applyBorder="1"/>
    <xf numFmtId="165" fontId="11" fillId="0" borderId="1" xfId="0" applyNumberFormat="1" applyFont="1" applyBorder="1"/>
    <xf numFmtId="0" fontId="9" fillId="4" borderId="1" xfId="0" applyFont="1" applyFill="1" applyBorder="1"/>
    <xf numFmtId="0" fontId="17" fillId="4" borderId="1" xfId="0" applyFont="1" applyFill="1" applyBorder="1" applyAlignment="1">
      <alignment horizontal="left"/>
    </xf>
    <xf numFmtId="167" fontId="51" fillId="0" borderId="27" xfId="2" applyNumberFormat="1" applyFont="1" applyFill="1" applyBorder="1" applyAlignment="1">
      <alignment vertical="center"/>
    </xf>
    <xf numFmtId="0" fontId="7" fillId="9" borderId="1" xfId="0" applyFont="1" applyFill="1" applyBorder="1" applyAlignment="1">
      <alignment horizontal="center" vertical="top"/>
    </xf>
    <xf numFmtId="49" fontId="7" fillId="9" borderId="1" xfId="0" applyNumberFormat="1" applyFont="1" applyFill="1" applyBorder="1" applyAlignment="1">
      <alignment horizontal="center" vertical="top"/>
    </xf>
    <xf numFmtId="167" fontId="8" fillId="9" borderId="1" xfId="2" applyNumberFormat="1" applyFont="1" applyFill="1" applyBorder="1" applyAlignment="1">
      <alignment horizontal="center" vertical="top"/>
    </xf>
    <xf numFmtId="167" fontId="7" fillId="9" borderId="1" xfId="2" applyNumberFormat="1" applyFont="1" applyFill="1" applyBorder="1" applyAlignment="1">
      <alignment horizontal="center" vertical="top"/>
    </xf>
    <xf numFmtId="167" fontId="7" fillId="9" borderId="1" xfId="2" applyNumberFormat="1" applyFont="1" applyFill="1" applyBorder="1" applyAlignment="1">
      <alignment horizontal="center" vertical="top" wrapText="1"/>
    </xf>
    <xf numFmtId="167" fontId="7" fillId="9" borderId="4" xfId="2" applyNumberFormat="1" applyFont="1" applyFill="1" applyBorder="1" applyAlignment="1">
      <alignment horizontal="center" vertical="top"/>
    </xf>
    <xf numFmtId="167" fontId="7" fillId="9" borderId="23" xfId="2" applyNumberFormat="1" applyFont="1" applyFill="1" applyBorder="1" applyAlignment="1">
      <alignment horizontal="center" vertical="top"/>
    </xf>
    <xf numFmtId="0" fontId="7" fillId="9" borderId="6" xfId="0" applyFont="1" applyFill="1" applyBorder="1" applyAlignment="1">
      <alignment horizontal="center" vertical="top"/>
    </xf>
    <xf numFmtId="167" fontId="7" fillId="9" borderId="4" xfId="2" applyNumberFormat="1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center" vertical="top"/>
    </xf>
    <xf numFmtId="0" fontId="13" fillId="5" borderId="0" xfId="0" applyFont="1" applyFill="1" applyAlignment="1">
      <alignment vertical="top"/>
    </xf>
    <xf numFmtId="164" fontId="9" fillId="0" borderId="0" xfId="9" applyFont="1" applyAlignment="1">
      <alignment horizontal="left"/>
    </xf>
    <xf numFmtId="164" fontId="13" fillId="5" borderId="0" xfId="9" applyFont="1" applyFill="1" applyAlignment="1">
      <alignment horizontal="left" vertical="top"/>
    </xf>
    <xf numFmtId="164" fontId="13" fillId="5" borderId="0" xfId="9" applyFont="1" applyFill="1" applyAlignment="1">
      <alignment horizontal="left"/>
    </xf>
    <xf numFmtId="164" fontId="9" fillId="0" borderId="0" xfId="9" quotePrefix="1" applyFont="1" applyAlignment="1">
      <alignment horizontal="left"/>
    </xf>
    <xf numFmtId="164" fontId="11" fillId="0" borderId="0" xfId="9" applyFont="1" applyAlignment="1">
      <alignment horizontal="left"/>
    </xf>
    <xf numFmtId="164" fontId="13" fillId="0" borderId="0" xfId="9" applyFont="1" applyAlignment="1">
      <alignment horizontal="left" vertical="center"/>
    </xf>
    <xf numFmtId="38" fontId="14" fillId="3" borderId="1" xfId="0" applyNumberFormat="1" applyFont="1" applyFill="1" applyBorder="1"/>
    <xf numFmtId="167" fontId="9" fillId="23" borderId="1" xfId="2" applyNumberFormat="1" applyFont="1" applyFill="1" applyBorder="1"/>
    <xf numFmtId="0" fontId="7" fillId="0" borderId="0" xfId="0" applyFont="1" applyAlignment="1">
      <alignment horizontal="center" vertical="center"/>
    </xf>
    <xf numFmtId="0" fontId="13" fillId="0" borderId="0" xfId="0" applyFont="1"/>
    <xf numFmtId="165" fontId="50" fillId="0" borderId="6" xfId="2" applyFont="1" applyBorder="1" applyAlignment="1">
      <alignment vertical="center"/>
    </xf>
    <xf numFmtId="167" fontId="3" fillId="0" borderId="0" xfId="0" applyNumberFormat="1" applyFont="1"/>
    <xf numFmtId="2" fontId="0" fillId="0" borderId="0" xfId="0" applyNumberFormat="1"/>
    <xf numFmtId="2" fontId="51" fillId="0" borderId="21" xfId="7" applyNumberFormat="1" applyFont="1" applyBorder="1" applyAlignment="1">
      <alignment horizontal="right" vertical="center"/>
    </xf>
    <xf numFmtId="49" fontId="47" fillId="19" borderId="59" xfId="2" applyNumberFormat="1" applyFont="1" applyFill="1" applyBorder="1" applyAlignment="1">
      <alignment horizontal="center" vertical="center" wrapText="1"/>
    </xf>
    <xf numFmtId="168" fontId="50" fillId="10" borderId="6" xfId="1" applyNumberFormat="1" applyFont="1" applyFill="1" applyBorder="1" applyAlignment="1">
      <alignment horizontal="right" vertical="center"/>
    </xf>
    <xf numFmtId="168" fontId="51" fillId="0" borderId="20" xfId="1" applyNumberFormat="1" applyFont="1" applyBorder="1" applyAlignment="1">
      <alignment horizontal="right" vertical="center"/>
    </xf>
    <xf numFmtId="168" fontId="51" fillId="0" borderId="21" xfId="1" applyNumberFormat="1" applyFont="1" applyBorder="1" applyAlignment="1">
      <alignment horizontal="right" vertical="center"/>
    </xf>
    <xf numFmtId="168" fontId="51" fillId="0" borderId="22" xfId="1" applyNumberFormat="1" applyFont="1" applyBorder="1" applyAlignment="1">
      <alignment horizontal="right" vertical="center"/>
    </xf>
    <xf numFmtId="168" fontId="52" fillId="10" borderId="6" xfId="1" applyNumberFormat="1" applyFont="1" applyFill="1" applyBorder="1" applyAlignment="1">
      <alignment horizontal="right" vertical="center"/>
    </xf>
    <xf numFmtId="168" fontId="52" fillId="10" borderId="53" xfId="1" applyNumberFormat="1" applyFont="1" applyFill="1" applyBorder="1" applyAlignment="1">
      <alignment horizontal="right" vertical="center"/>
    </xf>
    <xf numFmtId="9" fontId="50" fillId="0" borderId="56" xfId="1" applyFont="1" applyBorder="1" applyAlignment="1">
      <alignment horizontal="right" vertical="center"/>
    </xf>
    <xf numFmtId="9" fontId="53" fillId="0" borderId="20" xfId="1" applyFont="1" applyBorder="1" applyAlignment="1">
      <alignment vertical="center"/>
    </xf>
    <xf numFmtId="9" fontId="53" fillId="0" borderId="60" xfId="1" applyFont="1" applyBorder="1" applyAlignment="1">
      <alignment vertical="center"/>
    </xf>
    <xf numFmtId="167" fontId="47" fillId="24" borderId="23" xfId="2" applyNumberFormat="1" applyFont="1" applyFill="1" applyBorder="1" applyAlignment="1">
      <alignment horizontal="center" vertical="center" wrapText="1"/>
    </xf>
    <xf numFmtId="167" fontId="47" fillId="25" borderId="23" xfId="2" applyNumberFormat="1" applyFont="1" applyFill="1" applyBorder="1" applyAlignment="1">
      <alignment horizontal="center" vertical="center" wrapText="1"/>
    </xf>
    <xf numFmtId="167" fontId="47" fillId="25" borderId="1" xfId="2" applyNumberFormat="1" applyFont="1" applyFill="1" applyBorder="1" applyAlignment="1">
      <alignment horizontal="center" vertical="center"/>
    </xf>
    <xf numFmtId="167" fontId="47" fillId="25" borderId="4" xfId="2" applyNumberFormat="1" applyFont="1" applyFill="1" applyBorder="1" applyAlignment="1">
      <alignment horizontal="center" vertical="center"/>
    </xf>
    <xf numFmtId="167" fontId="47" fillId="24" borderId="1" xfId="2" applyNumberFormat="1" applyFont="1" applyFill="1" applyBorder="1" applyAlignment="1">
      <alignment horizontal="center" vertical="center"/>
    </xf>
    <xf numFmtId="167" fontId="47" fillId="24" borderId="4" xfId="2" applyNumberFormat="1" applyFont="1" applyFill="1" applyBorder="1" applyAlignment="1">
      <alignment horizontal="center" vertical="center"/>
    </xf>
    <xf numFmtId="167" fontId="64" fillId="18" borderId="6" xfId="2" applyNumberFormat="1" applyFont="1" applyFill="1" applyBorder="1" applyAlignment="1">
      <alignment horizontal="center" vertical="center" wrapText="1"/>
    </xf>
    <xf numFmtId="167" fontId="47" fillId="18" borderId="6" xfId="2" applyNumberFormat="1" applyFont="1" applyFill="1" applyBorder="1" applyAlignment="1">
      <alignment horizontal="center" vertical="center" wrapText="1"/>
    </xf>
    <xf numFmtId="11" fontId="9" fillId="0" borderId="0" xfId="0" applyNumberFormat="1" applyFont="1"/>
    <xf numFmtId="43" fontId="9" fillId="0" borderId="0" xfId="7" applyFont="1"/>
    <xf numFmtId="43" fontId="14" fillId="0" borderId="0" xfId="7" applyFont="1"/>
    <xf numFmtId="43" fontId="9" fillId="3" borderId="0" xfId="7" applyFont="1" applyFill="1"/>
    <xf numFmtId="167" fontId="13" fillId="26" borderId="6" xfId="2" applyNumberFormat="1" applyFont="1" applyFill="1" applyBorder="1"/>
    <xf numFmtId="167" fontId="13" fillId="26" borderId="1" xfId="2" applyNumberFormat="1" applyFont="1" applyFill="1" applyBorder="1"/>
    <xf numFmtId="166" fontId="10" fillId="3" borderId="0" xfId="7" applyNumberFormat="1" applyFont="1" applyFill="1"/>
    <xf numFmtId="167" fontId="8" fillId="26" borderId="4" xfId="2" applyNumberFormat="1" applyFont="1" applyFill="1" applyBorder="1"/>
    <xf numFmtId="167" fontId="13" fillId="26" borderId="0" xfId="2" applyNumberFormat="1" applyFont="1" applyFill="1" applyAlignment="1">
      <alignment horizontal="center"/>
    </xf>
    <xf numFmtId="0" fontId="9" fillId="3" borderId="1" xfId="0" applyFont="1" applyFill="1" applyBorder="1"/>
    <xf numFmtId="0" fontId="10" fillId="3" borderId="1" xfId="4" applyFont="1" applyFill="1" applyBorder="1"/>
    <xf numFmtId="167" fontId="9" fillId="3" borderId="6" xfId="2" applyNumberFormat="1" applyFont="1" applyFill="1" applyBorder="1"/>
    <xf numFmtId="0" fontId="53" fillId="0" borderId="1" xfId="0" applyFont="1" applyBorder="1" applyAlignment="1">
      <alignment horizontal="left" vertical="center" wrapText="1"/>
    </xf>
    <xf numFmtId="0" fontId="53" fillId="0" borderId="7" xfId="0" applyFont="1" applyBorder="1" applyAlignment="1">
      <alignment horizontal="left" vertical="center" wrapText="1"/>
    </xf>
    <xf numFmtId="0" fontId="53" fillId="0" borderId="9" xfId="0" applyFont="1" applyBorder="1" applyAlignment="1">
      <alignment horizontal="left" vertical="center" wrapText="1"/>
    </xf>
    <xf numFmtId="167" fontId="47" fillId="14" borderId="14" xfId="2" applyNumberFormat="1" applyFont="1" applyFill="1" applyBorder="1" applyAlignment="1">
      <alignment horizontal="center" vertical="center" wrapText="1"/>
    </xf>
    <xf numFmtId="167" fontId="47" fillId="14" borderId="0" xfId="2" applyNumberFormat="1" applyFont="1" applyFill="1" applyBorder="1" applyAlignment="1">
      <alignment horizontal="center" vertical="center" wrapText="1"/>
    </xf>
    <xf numFmtId="167" fontId="50" fillId="10" borderId="1" xfId="2" applyNumberFormat="1" applyFont="1" applyFill="1" applyBorder="1" applyAlignment="1">
      <alignment horizontal="center" vertical="center" wrapText="1"/>
    </xf>
    <xf numFmtId="164" fontId="41" fillId="0" borderId="7" xfId="9" quotePrefix="1" applyFont="1" applyBorder="1" applyAlignment="1">
      <alignment horizontal="left" vertical="top" wrapText="1"/>
    </xf>
    <xf numFmtId="164" fontId="41" fillId="0" borderId="7" xfId="9" applyFont="1" applyBorder="1" applyAlignment="1">
      <alignment horizontal="left" vertical="top" wrapText="1"/>
    </xf>
    <xf numFmtId="9" fontId="41" fillId="0" borderId="8" xfId="1" quotePrefix="1" applyFont="1" applyBorder="1" applyAlignment="1">
      <alignment horizontal="left" vertical="top" wrapText="1"/>
    </xf>
    <xf numFmtId="9" fontId="41" fillId="0" borderId="8" xfId="1" applyFont="1" applyBorder="1" applyAlignment="1">
      <alignment horizontal="left" vertical="top" wrapText="1"/>
    </xf>
    <xf numFmtId="9" fontId="41" fillId="0" borderId="8" xfId="1" quotePrefix="1" applyFont="1" applyFill="1" applyBorder="1" applyAlignment="1">
      <alignment horizontal="left" vertical="top" wrapText="1"/>
    </xf>
    <xf numFmtId="9" fontId="41" fillId="0" borderId="8" xfId="1" applyFont="1" applyFill="1" applyBorder="1" applyAlignment="1">
      <alignment horizontal="left" vertical="top" wrapText="1"/>
    </xf>
    <xf numFmtId="9" fontId="41" fillId="0" borderId="9" xfId="1" quotePrefix="1" applyFont="1" applyBorder="1" applyAlignment="1">
      <alignment horizontal="left" vertical="top" wrapText="1"/>
    </xf>
    <xf numFmtId="9" fontId="41" fillId="0" borderId="9" xfId="1" applyFont="1" applyBorder="1" applyAlignment="1">
      <alignment horizontal="left" vertical="top" wrapText="1"/>
    </xf>
    <xf numFmtId="9" fontId="41" fillId="0" borderId="7" xfId="1" applyFont="1" applyBorder="1" applyAlignment="1">
      <alignment horizontal="left" vertical="top" wrapText="1"/>
    </xf>
    <xf numFmtId="9" fontId="41" fillId="0" borderId="1" xfId="1" applyFont="1" applyBorder="1" applyAlignment="1">
      <alignment horizontal="left" vertical="top" wrapText="1"/>
    </xf>
    <xf numFmtId="49" fontId="41" fillId="0" borderId="8" xfId="1" quotePrefix="1" applyNumberFormat="1" applyFont="1" applyBorder="1" applyAlignment="1">
      <alignment horizontal="left" vertical="top" wrapText="1"/>
    </xf>
    <xf numFmtId="49" fontId="41" fillId="0" borderId="8" xfId="1" applyNumberFormat="1" applyFont="1" applyBorder="1" applyAlignment="1">
      <alignment horizontal="left" vertical="top"/>
    </xf>
    <xf numFmtId="167" fontId="41" fillId="0" borderId="8" xfId="1" applyNumberFormat="1" applyFont="1" applyBorder="1" applyAlignment="1">
      <alignment horizontal="left" vertical="top" wrapText="1"/>
    </xf>
    <xf numFmtId="167" fontId="41" fillId="0" borderId="8" xfId="1" quotePrefix="1" applyNumberFormat="1" applyFont="1" applyBorder="1" applyAlignment="1">
      <alignment horizontal="left" vertical="top" wrapText="1"/>
    </xf>
    <xf numFmtId="9" fontId="41" fillId="0" borderId="7" xfId="1" quotePrefix="1" applyFont="1" applyBorder="1" applyAlignment="1">
      <alignment horizontal="left" vertical="top" wrapText="1"/>
    </xf>
    <xf numFmtId="0" fontId="53" fillId="0" borderId="7" xfId="0" applyFont="1" applyBorder="1" applyAlignment="1">
      <alignment horizontal="left" vertical="top" wrapText="1"/>
    </xf>
    <xf numFmtId="0" fontId="53" fillId="0" borderId="9" xfId="0" applyFont="1" applyBorder="1" applyAlignment="1">
      <alignment horizontal="left" vertical="top" wrapText="1"/>
    </xf>
    <xf numFmtId="0" fontId="32" fillId="0" borderId="8" xfId="0" applyFont="1" applyBorder="1" applyAlignment="1">
      <alignment horizontal="left" vertical="top" wrapText="1"/>
    </xf>
    <xf numFmtId="0" fontId="32" fillId="0" borderId="9" xfId="0" applyFont="1" applyBorder="1" applyAlignment="1">
      <alignment horizontal="left" vertical="top" wrapText="1"/>
    </xf>
  </cellXfs>
  <cellStyles count="10">
    <cellStyle name="Comma" xfId="7" builtinId="3"/>
    <cellStyle name="Comma [0]" xfId="9" builtinId="6"/>
    <cellStyle name="Comma 2" xfId="2" xr:uid="{F0DA9C27-AEBD-4D0E-883F-2A974DF9DCF3}"/>
    <cellStyle name="Comma 3" xfId="6" xr:uid="{82A934A4-AC13-4FBD-936F-41C823148388}"/>
    <cellStyle name="Comma 4" xfId="8" xr:uid="{56E3BB53-6CB1-450A-A54F-5DB95797701F}"/>
    <cellStyle name="Hyperlink" xfId="3" builtinId="8"/>
    <cellStyle name="Normal" xfId="0" builtinId="0"/>
    <cellStyle name="Normal 2 2" xfId="5" xr:uid="{78BCEF76-A73F-43A2-9AEC-B55DA526C608}"/>
    <cellStyle name="Normal 3" xfId="4" xr:uid="{C5B0DC1D-5AFA-433C-9D8E-63D0BD945E8C}"/>
    <cellStyle name="Percent" xfId="1" builtinId="5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DDDDDD"/>
      <color rgb="FFBE3455"/>
      <color rgb="FF0000FF"/>
      <color rgb="FF119303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eetMetadata" Target="metadata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39" Type="http://schemas.openxmlformats.org/officeDocument/2006/relationships/customXml" Target="../customXml/item23.xml"/><Relationship Id="rId21" Type="http://schemas.openxmlformats.org/officeDocument/2006/relationships/customXml" Target="../customXml/item5.xml"/><Relationship Id="rId34" Type="http://schemas.openxmlformats.org/officeDocument/2006/relationships/customXml" Target="../customXml/item18.xml"/><Relationship Id="rId42" Type="http://schemas.openxmlformats.org/officeDocument/2006/relationships/customXml" Target="../customXml/item26.xml"/><Relationship Id="rId47" Type="http://schemas.openxmlformats.org/officeDocument/2006/relationships/customXml" Target="../customXml/item31.xml"/><Relationship Id="rId50" Type="http://schemas.openxmlformats.org/officeDocument/2006/relationships/customXml" Target="../customXml/item34.xml"/><Relationship Id="rId55" Type="http://schemas.openxmlformats.org/officeDocument/2006/relationships/customXml" Target="../customXml/item3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9" Type="http://schemas.openxmlformats.org/officeDocument/2006/relationships/customXml" Target="../customXml/item13.xml"/><Relationship Id="rId11" Type="http://schemas.openxmlformats.org/officeDocument/2006/relationships/styles" Target="styles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37" Type="http://schemas.openxmlformats.org/officeDocument/2006/relationships/customXml" Target="../customXml/item21.xml"/><Relationship Id="rId40" Type="http://schemas.openxmlformats.org/officeDocument/2006/relationships/customXml" Target="../customXml/item24.xml"/><Relationship Id="rId45" Type="http://schemas.openxmlformats.org/officeDocument/2006/relationships/customXml" Target="../customXml/item29.xml"/><Relationship Id="rId53" Type="http://schemas.openxmlformats.org/officeDocument/2006/relationships/customXml" Target="../customXml/item37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4" Type="http://schemas.openxmlformats.org/officeDocument/2006/relationships/customXml" Target="../customXml/item28.xml"/><Relationship Id="rId52" Type="http://schemas.openxmlformats.org/officeDocument/2006/relationships/customXml" Target="../customXml/item36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35" Type="http://schemas.openxmlformats.org/officeDocument/2006/relationships/customXml" Target="../customXml/item19.xml"/><Relationship Id="rId43" Type="http://schemas.openxmlformats.org/officeDocument/2006/relationships/customXml" Target="../customXml/item27.xml"/><Relationship Id="rId48" Type="http://schemas.openxmlformats.org/officeDocument/2006/relationships/customXml" Target="../customXml/item32.xml"/><Relationship Id="rId56" Type="http://schemas.openxmlformats.org/officeDocument/2006/relationships/customXml" Target="../customXml/item40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35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38" Type="http://schemas.openxmlformats.org/officeDocument/2006/relationships/customXml" Target="../customXml/item22.xml"/><Relationship Id="rId46" Type="http://schemas.openxmlformats.org/officeDocument/2006/relationships/customXml" Target="../customXml/item30.xml"/><Relationship Id="rId20" Type="http://schemas.openxmlformats.org/officeDocument/2006/relationships/customXml" Target="../customXml/item4.xml"/><Relationship Id="rId41" Type="http://schemas.openxmlformats.org/officeDocument/2006/relationships/customXml" Target="../customXml/item25.xml"/><Relationship Id="rId54" Type="http://schemas.openxmlformats.org/officeDocument/2006/relationships/customXml" Target="../customXml/item3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microsoft.com/office/2017/10/relationships/person" Target="persons/person.xml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36" Type="http://schemas.openxmlformats.org/officeDocument/2006/relationships/customXml" Target="../customXml/item20.xml"/><Relationship Id="rId49" Type="http://schemas.openxmlformats.org/officeDocument/2006/relationships/customXml" Target="../customXml/item3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CƠ CẤU % CHI PHÍ/ TẤN </a:t>
            </a:r>
            <a:r>
              <a:rPr lang="en-US" sz="2000" b="1" i="0" u="none" strike="noStrike" kern="1200" spc="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rHDPE</a:t>
            </a:r>
            <a:r>
              <a:rPr lang="en-US" sz="20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'KMP- HDPE'!$D$62</c:f>
              <c:strCache>
                <c:ptCount val="1"/>
                <c:pt idx="0">
                  <c:v>Nguyên liệu nhựa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solidFill>
                <a:schemeClr val="tx2">
                  <a:lumMod val="50000"/>
                  <a:lumOff val="5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'KMP- HDPE'!$E$60:$AE$60</c15:sqref>
                  </c15:fullRef>
                </c:ext>
              </c:extLst>
              <c:f>('KMP- HDPE'!$E$60:$X$60,'KMP- HDPE'!$Z$60:$AE$60)</c:f>
              <c:strCache>
                <c:ptCount val="8"/>
                <c:pt idx="0">
                  <c:v> BQ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HDPE'!$E$62:$AE$62</c15:sqref>
                  </c15:fullRef>
                </c:ext>
              </c:extLst>
              <c:f>('KMP- HDPE'!$E$62:$X$62,'KMP- HDPE'!$Z$62:$AE$62)</c:f>
              <c:numCache>
                <c:formatCode>0.0%</c:formatCode>
                <c:ptCount val="8"/>
                <c:pt idx="0">
                  <c:v>0.60038901967306957</c:v>
                </c:pt>
                <c:pt idx="1">
                  <c:v>0.53496001218464184</c:v>
                </c:pt>
                <c:pt idx="2">
                  <c:v>0.64162427897983887</c:v>
                </c:pt>
                <c:pt idx="3">
                  <c:v>0.72554595557985346</c:v>
                </c:pt>
                <c:pt idx="4">
                  <c:v>0.69023297270982031</c:v>
                </c:pt>
                <c:pt idx="5">
                  <c:v>0</c:v>
                </c:pt>
                <c:pt idx="6">
                  <c:v>0</c:v>
                </c:pt>
                <c:pt idx="7">
                  <c:v>0.65685487063810355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F6-4319-A86E-2515796FDC77}"/>
            </c:ext>
          </c:extLst>
        </c:ser>
        <c:ser>
          <c:idx val="15"/>
          <c:order val="1"/>
          <c:tx>
            <c:strRef>
              <c:f>'KMP- HDPE'!$D$75</c:f>
              <c:strCache>
                <c:ptCount val="1"/>
                <c:pt idx="0">
                  <c:v>Tổng Lương và Phụ Cấp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'KMP- HDPE'!$E$60:$AE$60</c15:sqref>
                  </c15:fullRef>
                </c:ext>
              </c:extLst>
              <c:f>('KMP- HDPE'!$E$60:$X$60,'KMP- HDPE'!$Z$60:$AE$60)</c:f>
              <c:strCache>
                <c:ptCount val="8"/>
                <c:pt idx="0">
                  <c:v> BQ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HDPE'!$E$75:$AE$75</c15:sqref>
                  </c15:fullRef>
                </c:ext>
              </c:extLst>
              <c:f>('KMP- HDPE'!$E$75:$X$75,'KMP- HDPE'!$Z$75:$AE$75)</c:f>
              <c:numCache>
                <c:formatCode>0.0%</c:formatCode>
                <c:ptCount val="8"/>
                <c:pt idx="0">
                  <c:v>9.9771981773716031E-2</c:v>
                </c:pt>
                <c:pt idx="1">
                  <c:v>0.17032246129228693</c:v>
                </c:pt>
                <c:pt idx="2">
                  <c:v>0.12868916396722921</c:v>
                </c:pt>
                <c:pt idx="3">
                  <c:v>8.7676011966974082E-2</c:v>
                </c:pt>
                <c:pt idx="4">
                  <c:v>0.11060470256779753</c:v>
                </c:pt>
                <c:pt idx="5">
                  <c:v>0</c:v>
                </c:pt>
                <c:pt idx="6">
                  <c:v>0</c:v>
                </c:pt>
                <c:pt idx="7">
                  <c:v>0.12058993382069781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F6-4319-A86E-2515796FDC77}"/>
            </c:ext>
          </c:extLst>
        </c:ser>
        <c:ser>
          <c:idx val="2"/>
          <c:order val="2"/>
          <c:tx>
            <c:strRef>
              <c:f>'KMP- HDPE'!$D$63</c:f>
              <c:strCache>
                <c:ptCount val="1"/>
                <c:pt idx="0">
                  <c:v>Điện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'KMP- HDPE'!$E$60:$AE$60</c15:sqref>
                  </c15:fullRef>
                </c:ext>
              </c:extLst>
              <c:f>('KMP- HDPE'!$E$60:$X$60,'KMP- HDPE'!$Z$60:$AE$60)</c:f>
              <c:strCache>
                <c:ptCount val="8"/>
                <c:pt idx="0">
                  <c:v> BQ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HDPE'!$E$63:$AE$63</c15:sqref>
                  </c15:fullRef>
                </c:ext>
              </c:extLst>
              <c:f>('KMP- HDPE'!$E$63:$X$63,'KMP- HDPE'!$Z$63:$AE$63)</c:f>
              <c:numCache>
                <c:formatCode>0.0%</c:formatCode>
                <c:ptCount val="8"/>
                <c:pt idx="0">
                  <c:v>4.4106487584985962E-2</c:v>
                </c:pt>
                <c:pt idx="1">
                  <c:v>4.3935405219294968E-2</c:v>
                </c:pt>
                <c:pt idx="2">
                  <c:v>4.3488549841291815E-2</c:v>
                </c:pt>
                <c:pt idx="3">
                  <c:v>4.6128803456163242E-2</c:v>
                </c:pt>
                <c:pt idx="4">
                  <c:v>4.9828168036447219E-2</c:v>
                </c:pt>
                <c:pt idx="5">
                  <c:v>0</c:v>
                </c:pt>
                <c:pt idx="6">
                  <c:v>0</c:v>
                </c:pt>
                <c:pt idx="7">
                  <c:v>4.6055147197352916E-2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F6-4319-A86E-2515796FDC77}"/>
            </c:ext>
          </c:extLst>
        </c:ser>
        <c:ser>
          <c:idx val="14"/>
          <c:order val="3"/>
          <c:tx>
            <c:strRef>
              <c:f>'KMP- HDPE'!$D$74</c:f>
              <c:strCache>
                <c:ptCount val="1"/>
                <c:pt idx="0">
                  <c:v>Thuê Xưởng, Kho, thuê máy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'KMP- HDPE'!$E$60:$AE$60</c15:sqref>
                  </c15:fullRef>
                </c:ext>
              </c:extLst>
              <c:f>('KMP- HDPE'!$E$60:$X$60,'KMP- HDPE'!$Z$60:$AE$60)</c:f>
              <c:strCache>
                <c:ptCount val="8"/>
                <c:pt idx="0">
                  <c:v> BQ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HDPE'!$E$74:$AE$74</c15:sqref>
                  </c15:fullRef>
                </c:ext>
              </c:extLst>
              <c:f>('KMP- HDPE'!$E$74:$X$74,'KMP- HDPE'!$Z$74:$AE$74)</c:f>
              <c:numCache>
                <c:formatCode>0.0%</c:formatCode>
                <c:ptCount val="8"/>
                <c:pt idx="0">
                  <c:v>0.14753412985349729</c:v>
                </c:pt>
                <c:pt idx="1">
                  <c:v>7.3572072905629934E-2</c:v>
                </c:pt>
                <c:pt idx="2">
                  <c:v>5.4545563283499521E-2</c:v>
                </c:pt>
                <c:pt idx="3">
                  <c:v>3.804046271354284E-2</c:v>
                </c:pt>
                <c:pt idx="4">
                  <c:v>4.3522274911278774E-2</c:v>
                </c:pt>
                <c:pt idx="5">
                  <c:v>0</c:v>
                </c:pt>
                <c:pt idx="6">
                  <c:v>0</c:v>
                </c:pt>
                <c:pt idx="7">
                  <c:v>5.0749755548613461E-2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9F6-4319-A86E-2515796FDC77}"/>
            </c:ext>
          </c:extLst>
        </c:ser>
        <c:ser>
          <c:idx val="3"/>
          <c:order val="4"/>
          <c:tx>
            <c:strRef>
              <c:f>'KMP- HDPE'!$D$76</c:f>
              <c:strCache>
                <c:ptCount val="1"/>
                <c:pt idx="0">
                  <c:v>Khấu hao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HDPE'!$E$60:$AE$60</c15:sqref>
                  </c15:fullRef>
                </c:ext>
              </c:extLst>
              <c:f>('KMP- HDPE'!$E$60:$X$60,'KMP- HDPE'!$Z$60:$AE$60)</c:f>
              <c:strCache>
                <c:ptCount val="8"/>
                <c:pt idx="0">
                  <c:v> BQ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HDPE'!$E$76:$AE$76</c15:sqref>
                  </c15:fullRef>
                </c:ext>
              </c:extLst>
              <c:f>('KMP- HDPE'!$E$76:$X$76,'KMP- HDPE'!$Z$76:$AE$76)</c:f>
              <c:numCache>
                <c:formatCode>0.0%</c:formatCode>
                <c:ptCount val="8"/>
                <c:pt idx="0">
                  <c:v>3.202095112883821E-2</c:v>
                </c:pt>
                <c:pt idx="1">
                  <c:v>5.4986235214396634E-2</c:v>
                </c:pt>
                <c:pt idx="2">
                  <c:v>4.1709952637383682E-2</c:v>
                </c:pt>
                <c:pt idx="3">
                  <c:v>2.9567370080119837E-2</c:v>
                </c:pt>
                <c:pt idx="4">
                  <c:v>3.3245535087561902E-2</c:v>
                </c:pt>
                <c:pt idx="5">
                  <c:v>0</c:v>
                </c:pt>
                <c:pt idx="6">
                  <c:v>0</c:v>
                </c:pt>
                <c:pt idx="7">
                  <c:v>3.8671751093073775E-2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9F6-4319-A86E-2515796FDC77}"/>
            </c:ext>
          </c:extLst>
        </c:ser>
        <c:ser>
          <c:idx val="4"/>
          <c:order val="5"/>
          <c:tx>
            <c:strRef>
              <c:f>'KMP- HDPE'!$D$64</c:f>
              <c:strCache>
                <c:ptCount val="1"/>
                <c:pt idx="0">
                  <c:v>Chi phí bán hàng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HDPE'!$E$60:$AE$60</c15:sqref>
                  </c15:fullRef>
                </c:ext>
              </c:extLst>
              <c:f>('KMP- HDPE'!$E$60:$X$60,'KMP- HDPE'!$Z$60:$AE$60)</c:f>
              <c:strCache>
                <c:ptCount val="8"/>
                <c:pt idx="0">
                  <c:v> BQ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HDPE'!$E$64:$AE$64</c15:sqref>
                  </c15:fullRef>
                </c:ext>
              </c:extLst>
              <c:f>('KMP- HDPE'!$E$64:$X$64,'KMP- HDPE'!$Z$64:$AE$64)</c:f>
              <c:numCache>
                <c:formatCode>0.0%</c:formatCode>
                <c:ptCount val="8"/>
                <c:pt idx="0">
                  <c:v>1.3371423700177232E-3</c:v>
                </c:pt>
                <c:pt idx="1">
                  <c:v>1.3051574781289715E-3</c:v>
                </c:pt>
                <c:pt idx="2">
                  <c:v>2.5735431000435847E-3</c:v>
                </c:pt>
                <c:pt idx="3">
                  <c:v>2.4377275458722846E-3</c:v>
                </c:pt>
                <c:pt idx="4">
                  <c:v>1.7734056571344203E-3</c:v>
                </c:pt>
                <c:pt idx="5">
                  <c:v>0</c:v>
                </c:pt>
                <c:pt idx="6">
                  <c:v>0</c:v>
                </c:pt>
                <c:pt idx="7">
                  <c:v>2.0546239641803759E-3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9F6-4319-A86E-2515796FDC77}"/>
            </c:ext>
          </c:extLst>
        </c:ser>
        <c:ser>
          <c:idx val="5"/>
          <c:order val="6"/>
          <c:tx>
            <c:strRef>
              <c:f>'KMP- HDPE'!$D$65</c:f>
              <c:strCache>
                <c:ptCount val="1"/>
                <c:pt idx="0">
                  <c:v>Phụ gia theo Bom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HDPE'!$E$60:$AE$60</c15:sqref>
                  </c15:fullRef>
                </c:ext>
              </c:extLst>
              <c:f>('KMP- HDPE'!$E$60:$X$60,'KMP- HDPE'!$Z$60:$AE$60)</c:f>
              <c:strCache>
                <c:ptCount val="8"/>
                <c:pt idx="0">
                  <c:v> BQ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HDPE'!$E$65:$AE$65</c15:sqref>
                  </c15:fullRef>
                </c:ext>
              </c:extLst>
              <c:f>('KMP- HDPE'!$E$65:$X$65,'KMP- HDPE'!$Z$65:$AE$65)</c:f>
              <c:numCache>
                <c:formatCode>0.0%</c:formatCode>
                <c:ptCount val="8"/>
                <c:pt idx="0">
                  <c:v>4.6683833059678135E-3</c:v>
                </c:pt>
                <c:pt idx="1">
                  <c:v>8.8830851345152416E-3</c:v>
                </c:pt>
                <c:pt idx="2">
                  <c:v>8.018630452263786E-3</c:v>
                </c:pt>
                <c:pt idx="3">
                  <c:v>5.3310575545665127E-3</c:v>
                </c:pt>
                <c:pt idx="4">
                  <c:v>2.3754945715752226E-3</c:v>
                </c:pt>
                <c:pt idx="5">
                  <c:v>0</c:v>
                </c:pt>
                <c:pt idx="6">
                  <c:v>0</c:v>
                </c:pt>
                <c:pt idx="7">
                  <c:v>5.8988614771963649E-3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9F6-4319-A86E-2515796FDC77}"/>
            </c:ext>
          </c:extLst>
        </c:ser>
        <c:ser>
          <c:idx val="6"/>
          <c:order val="7"/>
          <c:tx>
            <c:strRef>
              <c:f>'KMP- HDPE'!$D$66</c:f>
              <c:strCache>
                <c:ptCount val="1"/>
                <c:pt idx="0">
                  <c:v>Vật liệu phục vụ SX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HDPE'!$E$60:$AE$60</c15:sqref>
                  </c15:fullRef>
                </c:ext>
              </c:extLst>
              <c:f>('KMP- HDPE'!$E$60:$X$60,'KMP- HDPE'!$Z$60:$AE$60)</c:f>
              <c:strCache>
                <c:ptCount val="8"/>
                <c:pt idx="0">
                  <c:v> BQ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HDPE'!$E$66:$AE$66</c15:sqref>
                  </c15:fullRef>
                </c:ext>
              </c:extLst>
              <c:f>('KMP- HDPE'!$E$66:$X$66,'KMP- HDPE'!$Z$66:$AE$66)</c:f>
              <c:numCache>
                <c:formatCode>0.0%</c:formatCode>
                <c:ptCount val="8"/>
                <c:pt idx="0">
                  <c:v>5.5542501201765243E-3</c:v>
                </c:pt>
                <c:pt idx="1">
                  <c:v>6.0565510315383833E-3</c:v>
                </c:pt>
                <c:pt idx="2">
                  <c:v>5.153249578068995E-3</c:v>
                </c:pt>
                <c:pt idx="3">
                  <c:v>5.3400849094260927E-3</c:v>
                </c:pt>
                <c:pt idx="4">
                  <c:v>9.0043267528917437E-3</c:v>
                </c:pt>
                <c:pt idx="5">
                  <c:v>0</c:v>
                </c:pt>
                <c:pt idx="6">
                  <c:v>0</c:v>
                </c:pt>
                <c:pt idx="7">
                  <c:v>6.4330263632708887E-3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9F6-4319-A86E-2515796FDC77}"/>
            </c:ext>
          </c:extLst>
        </c:ser>
        <c:ser>
          <c:idx val="7"/>
          <c:order val="8"/>
          <c:tx>
            <c:strRef>
              <c:f>'KMP- HDPE'!$D$67</c:f>
              <c:strCache>
                <c:ptCount val="1"/>
                <c:pt idx="0">
                  <c:v>Bao bì theo Bom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HDPE'!$E$60:$AE$60</c15:sqref>
                  </c15:fullRef>
                </c:ext>
              </c:extLst>
              <c:f>('KMP- HDPE'!$E$60:$X$60,'KMP- HDPE'!$Z$60:$AE$60)</c:f>
              <c:strCache>
                <c:ptCount val="8"/>
                <c:pt idx="0">
                  <c:v> BQ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HDPE'!$E$67:$AE$67</c15:sqref>
                  </c15:fullRef>
                </c:ext>
              </c:extLst>
              <c:f>('KMP- HDPE'!$E$67:$X$67,'KMP- HDPE'!$Z$67:$AE$67)</c:f>
              <c:numCache>
                <c:formatCode>0.0%</c:formatCode>
                <c:ptCount val="8"/>
                <c:pt idx="0">
                  <c:v>7.7760316598097208E-3</c:v>
                </c:pt>
                <c:pt idx="1">
                  <c:v>6.4807601748547786E-3</c:v>
                </c:pt>
                <c:pt idx="2">
                  <c:v>1.0441612584914248E-2</c:v>
                </c:pt>
                <c:pt idx="3">
                  <c:v>8.9169909294815608E-3</c:v>
                </c:pt>
                <c:pt idx="4">
                  <c:v>7.9769474942061307E-3</c:v>
                </c:pt>
                <c:pt idx="5">
                  <c:v>0</c:v>
                </c:pt>
                <c:pt idx="6">
                  <c:v>0</c:v>
                </c:pt>
                <c:pt idx="7">
                  <c:v>8.5112488973152663E-3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9F6-4319-A86E-2515796FDC77}"/>
            </c:ext>
          </c:extLst>
        </c:ser>
        <c:ser>
          <c:idx val="8"/>
          <c:order val="9"/>
          <c:tx>
            <c:strRef>
              <c:f>'KMP- HDPE'!$D$68</c:f>
              <c:strCache>
                <c:ptCount val="1"/>
                <c:pt idx="0">
                  <c:v>Xăng dầu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HDPE'!$E$60:$AE$60</c15:sqref>
                  </c15:fullRef>
                </c:ext>
              </c:extLst>
              <c:f>('KMP- HDPE'!$E$60:$X$60,'KMP- HDPE'!$Z$60:$AE$60)</c:f>
              <c:strCache>
                <c:ptCount val="8"/>
                <c:pt idx="0">
                  <c:v> BQ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HDPE'!$E$68:$AE$68</c15:sqref>
                  </c15:fullRef>
                </c:ext>
              </c:extLst>
              <c:f>('KMP- HDPE'!$E$68:$X$68,'KMP- HDPE'!$Z$68:$AE$68)</c:f>
              <c:numCache>
                <c:formatCode>0.0%</c:formatCode>
                <c:ptCount val="8"/>
                <c:pt idx="0">
                  <c:v>3.1175085491211342E-3</c:v>
                </c:pt>
                <c:pt idx="1">
                  <c:v>2.3711268324235063E-3</c:v>
                </c:pt>
                <c:pt idx="2">
                  <c:v>2.2918261447039501E-3</c:v>
                </c:pt>
                <c:pt idx="3">
                  <c:v>1.9891644825192592E-3</c:v>
                </c:pt>
                <c:pt idx="4">
                  <c:v>1.9113865339119296E-3</c:v>
                </c:pt>
                <c:pt idx="5">
                  <c:v>0</c:v>
                </c:pt>
                <c:pt idx="6">
                  <c:v>0</c:v>
                </c:pt>
                <c:pt idx="7">
                  <c:v>2.1180755389376095E-3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9F6-4319-A86E-2515796FDC77}"/>
            </c:ext>
          </c:extLst>
        </c:ser>
        <c:ser>
          <c:idx val="9"/>
          <c:order val="10"/>
          <c:tx>
            <c:strRef>
              <c:f>'KMP- HDPE'!$D$69</c:f>
              <c:strCache>
                <c:ptCount val="1"/>
                <c:pt idx="0">
                  <c:v>Hóa chất theo Bom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HDPE'!$E$60:$AE$60</c15:sqref>
                  </c15:fullRef>
                </c:ext>
              </c:extLst>
              <c:f>('KMP- HDPE'!$E$60:$X$60,'KMP- HDPE'!$Z$60:$AE$60)</c:f>
              <c:strCache>
                <c:ptCount val="8"/>
                <c:pt idx="0">
                  <c:v> BQ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HDPE'!$E$69:$AE$69</c15:sqref>
                  </c15:fullRef>
                </c:ext>
              </c:extLst>
              <c:f>('KMP- HDPE'!$E$69:$X$69,'KMP- HDPE'!$Z$69:$AE$69)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9F6-4319-A86E-2515796FDC77}"/>
            </c:ext>
          </c:extLst>
        </c:ser>
        <c:ser>
          <c:idx val="10"/>
          <c:order val="11"/>
          <c:tx>
            <c:strRef>
              <c:f>'KMP- HDPE'!$D$70</c:f>
              <c:strCache>
                <c:ptCount val="1"/>
                <c:pt idx="0">
                  <c:v>Hóa chất XLNT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HDPE'!$E$60:$AE$60</c15:sqref>
                  </c15:fullRef>
                </c:ext>
              </c:extLst>
              <c:f>('KMP- HDPE'!$E$60:$X$60,'KMP- HDPE'!$Z$60:$AE$60)</c:f>
              <c:strCache>
                <c:ptCount val="8"/>
                <c:pt idx="0">
                  <c:v> BQ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HDPE'!$E$70:$AE$70</c15:sqref>
                  </c15:fullRef>
                </c:ext>
              </c:extLst>
              <c:f>('KMP- HDPE'!$E$70:$X$70,'KMP- HDPE'!$Z$70:$AE$70)</c:f>
              <c:numCache>
                <c:formatCode>0.0%</c:formatCode>
                <c:ptCount val="8"/>
                <c:pt idx="0">
                  <c:v>7.8314695681947204E-4</c:v>
                </c:pt>
                <c:pt idx="1">
                  <c:v>6.2383454689616093E-4</c:v>
                </c:pt>
                <c:pt idx="2">
                  <c:v>5.4870543408543212E-4</c:v>
                </c:pt>
                <c:pt idx="3">
                  <c:v>4.8125680286929091E-4</c:v>
                </c:pt>
                <c:pt idx="4">
                  <c:v>7.9897197963769138E-4</c:v>
                </c:pt>
                <c:pt idx="5">
                  <c:v>0</c:v>
                </c:pt>
                <c:pt idx="6">
                  <c:v>0</c:v>
                </c:pt>
                <c:pt idx="7">
                  <c:v>6.1221671251860288E-4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9F6-4319-A86E-2515796FDC77}"/>
            </c:ext>
          </c:extLst>
        </c:ser>
        <c:ser>
          <c:idx val="11"/>
          <c:order val="12"/>
          <c:tx>
            <c:strRef>
              <c:f>'KMP- HDPE'!$D$71</c:f>
              <c:strCache>
                <c:ptCount val="1"/>
                <c:pt idx="0">
                  <c:v>Nước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HDPE'!$E$60:$AE$60</c15:sqref>
                  </c15:fullRef>
                </c:ext>
              </c:extLst>
              <c:f>('KMP- HDPE'!$E$60:$X$60,'KMP- HDPE'!$Z$60:$AE$60)</c:f>
              <c:strCache>
                <c:ptCount val="8"/>
                <c:pt idx="0">
                  <c:v> BQ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HDPE'!$E$71:$AE$71</c15:sqref>
                  </c15:fullRef>
                </c:ext>
              </c:extLst>
              <c:f>('KMP- HDPE'!$E$71:$X$71,'KMP- HDPE'!$Z$71:$AE$71)</c:f>
              <c:numCache>
                <c:formatCode>0.0%</c:formatCode>
                <c:ptCount val="8"/>
                <c:pt idx="0">
                  <c:v>1.1466562962402418E-3</c:v>
                </c:pt>
                <c:pt idx="1">
                  <c:v>1.2516832003016457E-3</c:v>
                </c:pt>
                <c:pt idx="2">
                  <c:v>1.4512809958284977E-3</c:v>
                </c:pt>
                <c:pt idx="3">
                  <c:v>8.5078777956683371E-4</c:v>
                </c:pt>
                <c:pt idx="4">
                  <c:v>9.9436864739321177E-4</c:v>
                </c:pt>
                <c:pt idx="5">
                  <c:v>0</c:v>
                </c:pt>
                <c:pt idx="6">
                  <c:v>0</c:v>
                </c:pt>
                <c:pt idx="7">
                  <c:v>1.1125381237003678E-3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9F6-4319-A86E-2515796FDC77}"/>
            </c:ext>
          </c:extLst>
        </c:ser>
        <c:ser>
          <c:idx val="12"/>
          <c:order val="13"/>
          <c:tx>
            <c:strRef>
              <c:f>'KMP- HDPE'!$D$72</c:f>
              <c:strCache>
                <c:ptCount val="1"/>
                <c:pt idx="0">
                  <c:v>Màu theo Bom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HDPE'!$E$60:$AE$60</c15:sqref>
                  </c15:fullRef>
                </c:ext>
              </c:extLst>
              <c:f>('KMP- HDPE'!$E$60:$X$60,'KMP- HDPE'!$Z$60:$AE$60)</c:f>
              <c:strCache>
                <c:ptCount val="8"/>
                <c:pt idx="0">
                  <c:v> BQ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HDPE'!$E$72:$AE$72</c15:sqref>
                  </c15:fullRef>
                </c:ext>
              </c:extLst>
              <c:f>('KMP- HDPE'!$E$72:$X$72,'KMP- HDPE'!$Z$72:$AE$72)</c:f>
              <c:numCache>
                <c:formatCode>0.0%</c:formatCode>
                <c:ptCount val="8"/>
                <c:pt idx="0">
                  <c:v>8.0472376897018215E-4</c:v>
                </c:pt>
                <c:pt idx="1">
                  <c:v>6.9904139210643932E-3</c:v>
                </c:pt>
                <c:pt idx="2">
                  <c:v>2.2318748877175939E-3</c:v>
                </c:pt>
                <c:pt idx="3">
                  <c:v>1.9579121883738877E-3</c:v>
                </c:pt>
                <c:pt idx="4">
                  <c:v>4.6247965101266211E-3</c:v>
                </c:pt>
                <c:pt idx="5">
                  <c:v>0</c:v>
                </c:pt>
                <c:pt idx="6">
                  <c:v>0</c:v>
                </c:pt>
                <c:pt idx="7">
                  <c:v>3.7874606219335878E-3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9F6-4319-A86E-2515796FDC77}"/>
            </c:ext>
          </c:extLst>
        </c:ser>
        <c:ser>
          <c:idx val="16"/>
          <c:order val="14"/>
          <c:tx>
            <c:strRef>
              <c:f>'KMP- HDPE'!$D$77</c:f>
              <c:strCache>
                <c:ptCount val="1"/>
                <c:pt idx="0">
                  <c:v>Chi phí hoạt động quản lý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HDPE'!$E$60:$AE$60</c15:sqref>
                  </c15:fullRef>
                </c:ext>
              </c:extLst>
              <c:f>('KMP- HDPE'!$E$60:$X$60,'KMP- HDPE'!$Z$60:$AE$60)</c:f>
              <c:strCache>
                <c:ptCount val="8"/>
                <c:pt idx="0">
                  <c:v> BQ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HDPE'!$E$77:$AE$77</c15:sqref>
                  </c15:fullRef>
                </c:ext>
              </c:extLst>
              <c:f>('KMP- HDPE'!$E$77:$X$77,'KMP- HDPE'!$Z$77:$AE$77)</c:f>
              <c:numCache>
                <c:formatCode>0.0%</c:formatCode>
                <c:ptCount val="8"/>
                <c:pt idx="0">
                  <c:v>2.6549396256692014E-2</c:v>
                </c:pt>
                <c:pt idx="1">
                  <c:v>4.857240572254027E-2</c:v>
                </c:pt>
                <c:pt idx="2">
                  <c:v>2.5384929690602409E-2</c:v>
                </c:pt>
                <c:pt idx="3">
                  <c:v>2.7135333896909346E-2</c:v>
                </c:pt>
                <c:pt idx="4">
                  <c:v>1.8156043457891766E-2</c:v>
                </c:pt>
                <c:pt idx="5">
                  <c:v>0</c:v>
                </c:pt>
                <c:pt idx="6">
                  <c:v>0</c:v>
                </c:pt>
                <c:pt idx="7">
                  <c:v>2.8770059672618586E-2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9F6-4319-A86E-2515796FDC77}"/>
            </c:ext>
          </c:extLst>
        </c:ser>
        <c:ser>
          <c:idx val="17"/>
          <c:order val="15"/>
          <c:tx>
            <c:strRef>
              <c:f>'KMP- HDPE'!$D$78</c:f>
              <c:strCache>
                <c:ptCount val="1"/>
                <c:pt idx="0">
                  <c:v>Công cụ dụng cụ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HDPE'!$E$60:$AE$60</c15:sqref>
                  </c15:fullRef>
                </c:ext>
              </c:extLst>
              <c:f>('KMP- HDPE'!$E$60:$X$60,'KMP- HDPE'!$Z$60:$AE$60)</c:f>
              <c:strCache>
                <c:ptCount val="8"/>
                <c:pt idx="0">
                  <c:v> BQ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HDPE'!$E$78:$AE$78</c15:sqref>
                  </c15:fullRef>
                </c:ext>
              </c:extLst>
              <c:f>('KMP- HDPE'!$E$78:$X$78,'KMP- HDPE'!$Z$78:$AE$78)</c:f>
              <c:numCache>
                <c:formatCode>0.0%</c:formatCode>
                <c:ptCount val="8"/>
                <c:pt idx="0">
                  <c:v>7.8748084862491127E-3</c:v>
                </c:pt>
                <c:pt idx="1">
                  <c:v>1.1453449382731233E-2</c:v>
                </c:pt>
                <c:pt idx="2">
                  <c:v>1.0278108209055928E-2</c:v>
                </c:pt>
                <c:pt idx="3">
                  <c:v>6.6065143825369188E-3</c:v>
                </c:pt>
                <c:pt idx="4">
                  <c:v>8.771303668363423E-3</c:v>
                </c:pt>
                <c:pt idx="5">
                  <c:v>0</c:v>
                </c:pt>
                <c:pt idx="6">
                  <c:v>0</c:v>
                </c:pt>
                <c:pt idx="7">
                  <c:v>9.0522342836940623E-3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9F6-4319-A86E-2515796FDC77}"/>
            </c:ext>
          </c:extLst>
        </c:ser>
        <c:ser>
          <c:idx val="18"/>
          <c:order val="16"/>
          <c:tx>
            <c:strRef>
              <c:f>'KMP- HDPE'!$D$79</c:f>
              <c:strCache>
                <c:ptCount val="1"/>
                <c:pt idx="0">
                  <c:v>Bảo Trì + Sữa Chữa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HDPE'!$E$60:$AE$60</c15:sqref>
                  </c15:fullRef>
                </c:ext>
              </c:extLst>
              <c:f>('KMP- HDPE'!$E$60:$X$60,'KMP- HDPE'!$Z$60:$AE$60)</c:f>
              <c:strCache>
                <c:ptCount val="8"/>
                <c:pt idx="0">
                  <c:v> BQ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HDPE'!$E$79:$AE$79</c15:sqref>
                  </c15:fullRef>
                </c:ext>
              </c:extLst>
              <c:f>('KMP- HDPE'!$E$79:$X$79,'KMP- HDPE'!$Z$79:$AE$79)</c:f>
              <c:numCache>
                <c:formatCode>0.0%</c:formatCode>
                <c:ptCount val="8"/>
                <c:pt idx="0">
                  <c:v>7.7403873616061917E-3</c:v>
                </c:pt>
                <c:pt idx="1">
                  <c:v>1.3026386341675427E-2</c:v>
                </c:pt>
                <c:pt idx="2">
                  <c:v>1.1965046467651334E-2</c:v>
                </c:pt>
                <c:pt idx="3">
                  <c:v>7.2564913608706098E-3</c:v>
                </c:pt>
                <c:pt idx="4">
                  <c:v>9.0337701669491264E-3</c:v>
                </c:pt>
                <c:pt idx="5">
                  <c:v>0</c:v>
                </c:pt>
                <c:pt idx="6">
                  <c:v>0</c:v>
                </c:pt>
                <c:pt idx="7">
                  <c:v>1.0031003078113663E-2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9F6-4319-A86E-2515796FDC77}"/>
            </c:ext>
          </c:extLst>
        </c:ser>
        <c:ser>
          <c:idx val="19"/>
          <c:order val="17"/>
          <c:tx>
            <c:strRef>
              <c:f>'KMP- HDPE'!$D$80</c:f>
              <c:strCache>
                <c:ptCount val="1"/>
                <c:pt idx="0">
                  <c:v>Lãi Vay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HDPE'!$E$60:$AE$60</c15:sqref>
                  </c15:fullRef>
                </c:ext>
              </c:extLst>
              <c:f>('KMP- HDPE'!$E$60:$X$60,'KMP- HDPE'!$Z$60:$AE$60)</c:f>
              <c:strCache>
                <c:ptCount val="8"/>
                <c:pt idx="0">
                  <c:v> BQ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HDPE'!$E$80:$AE$80</c15:sqref>
                  </c15:fullRef>
                </c:ext>
              </c:extLst>
              <c:f>('KMP- HDPE'!$E$80:$X$80,'KMP- HDPE'!$Z$80:$AE$80)</c:f>
              <c:numCache>
                <c:formatCode>0.0%</c:formatCode>
                <c:ptCount val="8"/>
                <c:pt idx="0">
                  <c:v>8.8249948542226675E-3</c:v>
                </c:pt>
                <c:pt idx="1">
                  <c:v>1.52089594170797E-2</c:v>
                </c:pt>
                <c:pt idx="2">
                  <c:v>9.6036837458210924E-3</c:v>
                </c:pt>
                <c:pt idx="3">
                  <c:v>4.7380743703538631E-3</c:v>
                </c:pt>
                <c:pt idx="4">
                  <c:v>7.1455312470130351E-3</c:v>
                </c:pt>
                <c:pt idx="5">
                  <c:v>0</c:v>
                </c:pt>
                <c:pt idx="6">
                  <c:v>0</c:v>
                </c:pt>
                <c:pt idx="7">
                  <c:v>8.6971929686787981E-3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9F6-4319-A86E-2515796FD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098149536"/>
        <c:axId val="1098161056"/>
      </c:barChart>
      <c:catAx>
        <c:axId val="109814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98161056"/>
        <c:crosses val="autoZero"/>
        <c:auto val="1"/>
        <c:lblAlgn val="ctr"/>
        <c:lblOffset val="100"/>
        <c:noMultiLvlLbl val="0"/>
      </c:catAx>
      <c:valAx>
        <c:axId val="1098161056"/>
        <c:scaling>
          <c:orientation val="minMax"/>
          <c:max val="1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98149536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529772137951995"/>
          <c:y val="0.11319679023598511"/>
          <c:w val="0.18288979220557719"/>
          <c:h val="0.8848148926439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CƠ CẤU % CHI PHÍ/ TẤN </a:t>
            </a:r>
            <a:r>
              <a:rPr lang="en-US" sz="2000" b="1" i="0" u="none" strike="noStrike" kern="1200" spc="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rPET</a:t>
            </a:r>
            <a:r>
              <a:rPr lang="en-US" sz="20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13"/>
          <c:order val="0"/>
          <c:tx>
            <c:strRef>
              <c:f>'KMP- PET'!$D$67</c:f>
              <c:strCache>
                <c:ptCount val="1"/>
                <c:pt idx="0">
                  <c:v>Nguyên liệu nhựa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>
                    <a:solidFill>
                      <a:schemeClr val="bg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('KMP- PET'!$F$65:$X$65,'KMP- PET'!$Z$65:$AE$65)</c:f>
              <c:strCache>
                <c:ptCount val="8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PET'!$E$67:$AE$67</c15:sqref>
                  </c15:fullRef>
                </c:ext>
              </c:extLst>
              <c:f>('KMP- PET'!$F$67:$X$67,'KMP- PET'!$Z$67:$AE$67)</c:f>
              <c:numCache>
                <c:formatCode>0.0%</c:formatCode>
                <c:ptCount val="8"/>
                <c:pt idx="0">
                  <c:v>0.60924157232773357</c:v>
                </c:pt>
                <c:pt idx="1">
                  <c:v>0.48393085652880063</c:v>
                </c:pt>
                <c:pt idx="2">
                  <c:v>0.5988186184805252</c:v>
                </c:pt>
                <c:pt idx="3">
                  <c:v>0.69744788716154948</c:v>
                </c:pt>
                <c:pt idx="4">
                  <c:v>0.66901438536094293</c:v>
                </c:pt>
                <c:pt idx="5">
                  <c:v>0</c:v>
                </c:pt>
                <c:pt idx="6">
                  <c:v>0</c:v>
                </c:pt>
                <c:pt idx="7">
                  <c:v>0.63344358471797557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0CAC-4E99-9D78-EC99F6605A3E}"/>
            </c:ext>
          </c:extLst>
        </c:ser>
        <c:ser>
          <c:idx val="32"/>
          <c:order val="1"/>
          <c:tx>
            <c:strRef>
              <c:f>'KMP- PET'!$D$80</c:f>
              <c:strCache>
                <c:ptCount val="1"/>
                <c:pt idx="0">
                  <c:v>Tổng Lương và Phụ Cấp</c:v>
                </c:pt>
              </c:strCache>
            </c:strRef>
          </c:tx>
          <c:spPr>
            <a:solidFill>
              <a:schemeClr val="accent2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('KMP- PET'!$F$65:$X$65,'KMP- PET'!$Z$65:$AE$65)</c:f>
              <c:strCache>
                <c:ptCount val="8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PET'!$E$80:$AE$80</c15:sqref>
                  </c15:fullRef>
                </c:ext>
              </c:extLst>
              <c:f>('KMP- PET'!$F$80:$X$80,'KMP- PET'!$Z$80:$AE$80)</c:f>
              <c:numCache>
                <c:formatCode>0.0%</c:formatCode>
                <c:ptCount val="8"/>
                <c:pt idx="0">
                  <c:v>9.2286422781622177E-2</c:v>
                </c:pt>
                <c:pt idx="1">
                  <c:v>0.18405528166344351</c:v>
                </c:pt>
                <c:pt idx="2">
                  <c:v>0.13776721456513719</c:v>
                </c:pt>
                <c:pt idx="3">
                  <c:v>9.4087058975973012E-2</c:v>
                </c:pt>
                <c:pt idx="4">
                  <c:v>0.11311616603236865</c:v>
                </c:pt>
                <c:pt idx="5">
                  <c:v>0</c:v>
                </c:pt>
                <c:pt idx="6">
                  <c:v>0</c:v>
                </c:pt>
                <c:pt idx="7">
                  <c:v>0.12360982540666716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0CAC-4E99-9D78-EC99F6605A3E}"/>
            </c:ext>
          </c:extLst>
        </c:ser>
        <c:ser>
          <c:idx val="20"/>
          <c:order val="2"/>
          <c:tx>
            <c:strRef>
              <c:f>'KMP- PET'!$D$68</c:f>
              <c:strCache>
                <c:ptCount val="1"/>
                <c:pt idx="0">
                  <c:v>Điện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('KMP- PET'!$F$65:$X$65,'KMP- PET'!$Z$65:$AE$65)</c:f>
              <c:strCache>
                <c:ptCount val="8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PET'!$E$68:$AE$68</c15:sqref>
                  </c15:fullRef>
                </c:ext>
              </c:extLst>
              <c:f>('KMP- PET'!$F$68:$X$68,'KMP- PET'!$Z$68:$AE$68)</c:f>
              <c:numCache>
                <c:formatCode>0.0%</c:formatCode>
                <c:ptCount val="8"/>
                <c:pt idx="0">
                  <c:v>4.3993431086743424E-2</c:v>
                </c:pt>
                <c:pt idx="1">
                  <c:v>4.7477844796745328E-2</c:v>
                </c:pt>
                <c:pt idx="2">
                  <c:v>4.6556339262858223E-2</c:v>
                </c:pt>
                <c:pt idx="3">
                  <c:v>4.950183469688315E-2</c:v>
                </c:pt>
                <c:pt idx="4">
                  <c:v>5.0959599346552142E-2</c:v>
                </c:pt>
                <c:pt idx="5">
                  <c:v>0</c:v>
                </c:pt>
                <c:pt idx="6">
                  <c:v>0</c:v>
                </c:pt>
                <c:pt idx="7">
                  <c:v>4.897015126222002E-2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0CAC-4E99-9D78-EC99F6605A3E}"/>
            </c:ext>
          </c:extLst>
        </c:ser>
        <c:ser>
          <c:idx val="31"/>
          <c:order val="3"/>
          <c:tx>
            <c:strRef>
              <c:f>'KMP- PET'!$D$79</c:f>
              <c:strCache>
                <c:ptCount val="1"/>
                <c:pt idx="0">
                  <c:v>Thuê Xưởng, Kho, thuê máy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('KMP- PET'!$F$65:$X$65,'KMP- PET'!$Z$65:$AE$65)</c:f>
              <c:strCache>
                <c:ptCount val="8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PET'!$E$79:$AE$79</c15:sqref>
                  </c15:fullRef>
                </c:ext>
              </c:extLst>
              <c:f>('KMP- PET'!$F$79:$X$79,'KMP- PET'!$Z$79:$AE$79)</c:f>
              <c:numCache>
                <c:formatCode>0.0%</c:formatCode>
                <c:ptCount val="8"/>
                <c:pt idx="0">
                  <c:v>0.13567588033964956</c:v>
                </c:pt>
                <c:pt idx="1">
                  <c:v>7.950406833289661E-2</c:v>
                </c:pt>
                <c:pt idx="2">
                  <c:v>5.8393341667583941E-2</c:v>
                </c:pt>
                <c:pt idx="3">
                  <c:v>4.0822058149161643E-2</c:v>
                </c:pt>
                <c:pt idx="4">
                  <c:v>4.4510520445122111E-2</c:v>
                </c:pt>
                <c:pt idx="5">
                  <c:v>0</c:v>
                </c:pt>
                <c:pt idx="6">
                  <c:v>0</c:v>
                </c:pt>
                <c:pt idx="7">
                  <c:v>5.1918675277937323E-2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0CAC-4E99-9D78-EC99F6605A3E}"/>
            </c:ext>
          </c:extLst>
        </c:ser>
        <c:ser>
          <c:idx val="21"/>
          <c:order val="4"/>
          <c:tx>
            <c:strRef>
              <c:f>'KMP- PET'!$D$81</c:f>
              <c:strCache>
                <c:ptCount val="1"/>
                <c:pt idx="0">
                  <c:v>Khấu hao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('KMP- PET'!$F$65:$X$65,'KMP- PET'!$Z$65:$AE$65)</c:f>
              <c:strCache>
                <c:ptCount val="8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PET'!$E$81:$AE$81</c15:sqref>
                  </c15:fullRef>
                </c:ext>
              </c:extLst>
              <c:f>('KMP- PET'!$F$81:$X$81,'KMP- PET'!$Z$81:$AE$81)</c:f>
              <c:numCache>
                <c:formatCode>0.0%</c:formatCode>
                <c:ptCount val="8"/>
                <c:pt idx="0">
                  <c:v>2.9697661091518376E-2</c:v>
                </c:pt>
                <c:pt idx="1">
                  <c:v>5.9419685068022421E-2</c:v>
                </c:pt>
                <c:pt idx="2">
                  <c:v>4.4652275431359849E-2</c:v>
                </c:pt>
                <c:pt idx="3">
                  <c:v>3.172939587558507E-2</c:v>
                </c:pt>
                <c:pt idx="4">
                  <c:v>3.4000430176053718E-2</c:v>
                </c:pt>
                <c:pt idx="5">
                  <c:v>0</c:v>
                </c:pt>
                <c:pt idx="6">
                  <c:v>0</c:v>
                </c:pt>
                <c:pt idx="7">
                  <c:v>3.963822967249836E-2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0CAC-4E99-9D78-EC99F6605A3E}"/>
            </c:ext>
          </c:extLst>
        </c:ser>
        <c:ser>
          <c:idx val="22"/>
          <c:order val="5"/>
          <c:tx>
            <c:strRef>
              <c:f>'KMP- PET'!$D$69</c:f>
              <c:strCache>
                <c:ptCount val="1"/>
                <c:pt idx="0">
                  <c:v>Chi phí bán hàng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('KMP- PET'!$F$65:$X$65,'KMP- PET'!$Z$65:$AE$65)</c:f>
              <c:strCache>
                <c:ptCount val="8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PET'!$E$69:$AE$69</c15:sqref>
                  </c15:fullRef>
                </c:ext>
              </c:extLst>
              <c:f>('KMP- PET'!$F$69:$X$69,'KMP- PET'!$Z$69:$AE$69)</c:f>
              <c:numCache>
                <c:formatCode>0.0%</c:formatCode>
                <c:ptCount val="8"/>
                <c:pt idx="0">
                  <c:v>1.0082569244708925E-2</c:v>
                </c:pt>
                <c:pt idx="1">
                  <c:v>2.3758058493139965E-2</c:v>
                </c:pt>
                <c:pt idx="2">
                  <c:v>2.3365913121844269E-2</c:v>
                </c:pt>
                <c:pt idx="3">
                  <c:v>8.1693132300661216E-3</c:v>
                </c:pt>
                <c:pt idx="4">
                  <c:v>1.0726888717066887E-2</c:v>
                </c:pt>
                <c:pt idx="5">
                  <c:v>0</c:v>
                </c:pt>
                <c:pt idx="6">
                  <c:v>0</c:v>
                </c:pt>
                <c:pt idx="7">
                  <c:v>1.4725597833578038E-2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0CAC-4E99-9D78-EC99F6605A3E}"/>
            </c:ext>
          </c:extLst>
        </c:ser>
        <c:ser>
          <c:idx val="23"/>
          <c:order val="6"/>
          <c:tx>
            <c:strRef>
              <c:f>'KMP- PET'!$D$70</c:f>
              <c:strCache>
                <c:ptCount val="1"/>
                <c:pt idx="0">
                  <c:v>Phụ gia theo Bom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('KMP- PET'!$F$65:$X$65,'KMP- PET'!$Z$65:$AE$65)</c:f>
              <c:strCache>
                <c:ptCount val="8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PET'!$E$70:$AE$70</c15:sqref>
                  </c15:fullRef>
                </c:ext>
              </c:extLst>
              <c:f>('KMP- PET'!$F$70:$X$70,'KMP- PET'!$Z$70:$AE$70)</c:f>
              <c:numCache>
                <c:formatCode>0.0%</c:formatCode>
                <c:ptCount val="8"/>
                <c:pt idx="0">
                  <c:v>1.1413912038633667E-2</c:v>
                </c:pt>
                <c:pt idx="1">
                  <c:v>4.1751241566919247E-3</c:v>
                </c:pt>
                <c:pt idx="2">
                  <c:v>9.9076257564704052E-3</c:v>
                </c:pt>
                <c:pt idx="3">
                  <c:v>1.2507096161949682E-2</c:v>
                </c:pt>
                <c:pt idx="4">
                  <c:v>1.4742973777702914E-2</c:v>
                </c:pt>
                <c:pt idx="5">
                  <c:v>0</c:v>
                </c:pt>
                <c:pt idx="6">
                  <c:v>0</c:v>
                </c:pt>
                <c:pt idx="7">
                  <c:v>1.1274347741514678E-2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0CAC-4E99-9D78-EC99F6605A3E}"/>
            </c:ext>
          </c:extLst>
        </c:ser>
        <c:ser>
          <c:idx val="24"/>
          <c:order val="7"/>
          <c:tx>
            <c:strRef>
              <c:f>'KMP- PET'!$D$71</c:f>
              <c:strCache>
                <c:ptCount val="1"/>
                <c:pt idx="0">
                  <c:v>Vật liệu phục vụ SX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('KMP- PET'!$F$65:$X$65,'KMP- PET'!$Z$65:$AE$65)</c:f>
              <c:strCache>
                <c:ptCount val="8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PET'!$E$71:$AE$71</c15:sqref>
                  </c15:fullRef>
                </c:ext>
              </c:extLst>
              <c:f>('KMP- PET'!$F$71:$X$71,'KMP- PET'!$Z$71:$AE$71)</c:f>
              <c:numCache>
                <c:formatCode>0.0%</c:formatCode>
                <c:ptCount val="8"/>
                <c:pt idx="0">
                  <c:v>6.8571937716200067E-3</c:v>
                </c:pt>
                <c:pt idx="1">
                  <c:v>1.0090927208170243E-2</c:v>
                </c:pt>
                <c:pt idx="2">
                  <c:v>7.4165941002251306E-3</c:v>
                </c:pt>
                <c:pt idx="3">
                  <c:v>5.1547646216821893E-3</c:v>
                </c:pt>
                <c:pt idx="4">
                  <c:v>8.122877473741387E-3</c:v>
                </c:pt>
                <c:pt idx="5">
                  <c:v>0</c:v>
                </c:pt>
                <c:pt idx="6">
                  <c:v>0</c:v>
                </c:pt>
                <c:pt idx="7">
                  <c:v>7.3162963096949788E-3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0CAC-4E99-9D78-EC99F6605A3E}"/>
            </c:ext>
          </c:extLst>
        </c:ser>
        <c:ser>
          <c:idx val="25"/>
          <c:order val="8"/>
          <c:tx>
            <c:strRef>
              <c:f>'KMP- PET'!$D$72</c:f>
              <c:strCache>
                <c:ptCount val="1"/>
                <c:pt idx="0">
                  <c:v>Bao bì theo Bom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('KMP- PET'!$F$65:$X$65,'KMP- PET'!$Z$65:$AE$65)</c:f>
              <c:strCache>
                <c:ptCount val="8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PET'!$E$72:$AE$72</c15:sqref>
                  </c15:fullRef>
                </c:ext>
              </c:extLst>
              <c:f>('KMP- PET'!$F$72:$X$72,'KMP- PET'!$Z$72:$AE$72)</c:f>
              <c:numCache>
                <c:formatCode>0.0%</c:formatCode>
                <c:ptCount val="8"/>
                <c:pt idx="0">
                  <c:v>5.3257608338723537E-3</c:v>
                </c:pt>
                <c:pt idx="1">
                  <c:v>4.0280230272884262E-3</c:v>
                </c:pt>
                <c:pt idx="2">
                  <c:v>4.9018016116085875E-3</c:v>
                </c:pt>
                <c:pt idx="3">
                  <c:v>5.5718668899427913E-3</c:v>
                </c:pt>
                <c:pt idx="4">
                  <c:v>5.1368420910931816E-3</c:v>
                </c:pt>
                <c:pt idx="5">
                  <c:v>0</c:v>
                </c:pt>
                <c:pt idx="6">
                  <c:v>0</c:v>
                </c:pt>
                <c:pt idx="7">
                  <c:v>5.0503607817497893E-3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0CAC-4E99-9D78-EC99F6605A3E}"/>
            </c:ext>
          </c:extLst>
        </c:ser>
        <c:ser>
          <c:idx val="15"/>
          <c:order val="9"/>
          <c:tx>
            <c:strRef>
              <c:f>'KMP- PET'!$D$73</c:f>
              <c:strCache>
                <c:ptCount val="1"/>
                <c:pt idx="0">
                  <c:v>Xăng dầu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('KMP- PET'!$F$65:$X$65,'KMP- PET'!$Z$65:$AE$65)</c:f>
              <c:strCache>
                <c:ptCount val="8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PET'!$E$73:$AE$73</c15:sqref>
                  </c15:fullRef>
                </c:ext>
              </c:extLst>
              <c:f>('KMP- PET'!$F$73:$X$73,'KMP- PET'!$Z$73:$AE$73)</c:f>
              <c:numCache>
                <c:formatCode>0.0%</c:formatCode>
                <c:ptCount val="8"/>
                <c:pt idx="0">
                  <c:v>2.9201444247470773E-3</c:v>
                </c:pt>
                <c:pt idx="1">
                  <c:v>2.5623068953455779E-3</c:v>
                </c:pt>
                <c:pt idx="2">
                  <c:v>2.4534972059016818E-3</c:v>
                </c:pt>
                <c:pt idx="3">
                  <c:v>2.1346162055158029E-3</c:v>
                </c:pt>
                <c:pt idx="4">
                  <c:v>1.9547877396034375E-3</c:v>
                </c:pt>
                <c:pt idx="5">
                  <c:v>0</c:v>
                </c:pt>
                <c:pt idx="6">
                  <c:v>0</c:v>
                </c:pt>
                <c:pt idx="7">
                  <c:v>2.2189510960427764E-3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0CAC-4E99-9D78-EC99F6605A3E}"/>
            </c:ext>
          </c:extLst>
        </c:ser>
        <c:ser>
          <c:idx val="26"/>
          <c:order val="10"/>
          <c:tx>
            <c:strRef>
              <c:f>'KMP- PET'!$D$74</c:f>
              <c:strCache>
                <c:ptCount val="1"/>
                <c:pt idx="0">
                  <c:v>Hóa chất theo Bom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('KMP- PET'!$F$65:$X$65,'KMP- PET'!$Z$65:$AE$65)</c:f>
              <c:strCache>
                <c:ptCount val="8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PET'!$E$74:$AE$74</c15:sqref>
                  </c15:fullRef>
                </c:ext>
              </c:extLst>
              <c:f>('KMP- PET'!$F$74:$X$74,'KMP- PET'!$Z$74:$AE$74)</c:f>
              <c:numCache>
                <c:formatCode>0.0%</c:formatCode>
                <c:ptCount val="8"/>
                <c:pt idx="0">
                  <c:v>2.2629745443158707E-3</c:v>
                </c:pt>
                <c:pt idx="1">
                  <c:v>3.5935296081695601E-3</c:v>
                </c:pt>
                <c:pt idx="2">
                  <c:v>2.3566703954457785E-3</c:v>
                </c:pt>
                <c:pt idx="3">
                  <c:v>2.3639087171292194E-3</c:v>
                </c:pt>
                <c:pt idx="4">
                  <c:v>1.7950108483656023E-3</c:v>
                </c:pt>
                <c:pt idx="5">
                  <c:v>0</c:v>
                </c:pt>
                <c:pt idx="6">
                  <c:v>0</c:v>
                </c:pt>
                <c:pt idx="7">
                  <c:v>2.3898424790056425E-3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0CAC-4E99-9D78-EC99F6605A3E}"/>
            </c:ext>
          </c:extLst>
        </c:ser>
        <c:ser>
          <c:idx val="27"/>
          <c:order val="11"/>
          <c:tx>
            <c:strRef>
              <c:f>'KMP- PET'!$D$75</c:f>
              <c:strCache>
                <c:ptCount val="1"/>
                <c:pt idx="0">
                  <c:v>Hóa chất XLNT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('KMP- PET'!$F$65:$X$65,'KMP- PET'!$Z$65:$AE$65)</c:f>
              <c:strCache>
                <c:ptCount val="8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PET'!$E$75:$AE$75</c15:sqref>
                  </c15:fullRef>
                </c:ext>
              </c:extLst>
              <c:f>('KMP- PET'!$F$75:$X$75,'KMP- PET'!$Z$75:$AE$75)</c:f>
              <c:numCache>
                <c:formatCode>0.0%</c:formatCode>
                <c:ptCount val="8"/>
                <c:pt idx="0">
                  <c:v>7.3945781229356878E-4</c:v>
                </c:pt>
                <c:pt idx="1">
                  <c:v>6.741333020271426E-4</c:v>
                </c:pt>
                <c:pt idx="2">
                  <c:v>5.8741246691100155E-4</c:v>
                </c:pt>
                <c:pt idx="3">
                  <c:v>5.1644727193120212E-4</c:v>
                </c:pt>
                <c:pt idx="4">
                  <c:v>8.1711396537149071E-4</c:v>
                </c:pt>
                <c:pt idx="5">
                  <c:v>0</c:v>
                </c:pt>
                <c:pt idx="6">
                  <c:v>0</c:v>
                </c:pt>
                <c:pt idx="7">
                  <c:v>6.4631379026110203E-4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0CAC-4E99-9D78-EC99F6605A3E}"/>
            </c:ext>
          </c:extLst>
        </c:ser>
        <c:ser>
          <c:idx val="28"/>
          <c:order val="12"/>
          <c:tx>
            <c:strRef>
              <c:f>'KMP- PET'!$D$76</c:f>
              <c:strCache>
                <c:ptCount val="1"/>
                <c:pt idx="0">
                  <c:v>Nước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('KMP- PET'!$F$65:$X$65,'KMP- PET'!$Z$65:$AE$65)</c:f>
              <c:strCache>
                <c:ptCount val="8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PET'!$E$76:$AE$76</c15:sqref>
                  </c15:fullRef>
                </c:ext>
              </c:extLst>
              <c:f>('KMP- PET'!$F$76:$X$76,'KMP- PET'!$Z$76:$AE$76)</c:f>
              <c:numCache>
                <c:formatCode>0.0%</c:formatCode>
                <c:ptCount val="8"/>
                <c:pt idx="0">
                  <c:v>1.1035052881865502E-3</c:v>
                </c:pt>
                <c:pt idx="1">
                  <c:v>1.3526043613799779E-3</c:v>
                </c:pt>
                <c:pt idx="2">
                  <c:v>1.5536579318949123E-3</c:v>
                </c:pt>
                <c:pt idx="3">
                  <c:v>9.1299909971149736E-4</c:v>
                </c:pt>
                <c:pt idx="4">
                  <c:v>1.0169474389840328E-3</c:v>
                </c:pt>
                <c:pt idx="5">
                  <c:v>0</c:v>
                </c:pt>
                <c:pt idx="6">
                  <c:v>0</c:v>
                </c:pt>
                <c:pt idx="7">
                  <c:v>1.1535028590043326E-3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0CAC-4E99-9D78-EC99F6605A3E}"/>
            </c:ext>
          </c:extLst>
        </c:ser>
        <c:ser>
          <c:idx val="29"/>
          <c:order val="13"/>
          <c:tx>
            <c:strRef>
              <c:f>'KMP- PET'!$D$77</c:f>
              <c:strCache>
                <c:ptCount val="1"/>
                <c:pt idx="0">
                  <c:v>Màu theo Bom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('KMP- PET'!$F$65:$X$65,'KMP- PET'!$Z$65:$AE$65)</c:f>
              <c:strCache>
                <c:ptCount val="8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PET'!$E$77:$AE$77</c15:sqref>
                  </c15:fullRef>
                </c:ext>
              </c:extLst>
              <c:f>('KMP- PET'!$F$77:$X$77,'KMP- PET'!$Z$77:$AE$77)</c:f>
              <c:numCache>
                <c:formatCode>0.0%</c:formatCode>
                <c:ptCount val="8"/>
                <c:pt idx="0">
                  <c:v>2.5074115685358978E-5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0CAC-4E99-9D78-EC99F6605A3E}"/>
            </c:ext>
          </c:extLst>
        </c:ser>
        <c:ser>
          <c:idx val="33"/>
          <c:order val="14"/>
          <c:tx>
            <c:strRef>
              <c:f>'KMP- PET'!$D$82</c:f>
              <c:strCache>
                <c:ptCount val="1"/>
                <c:pt idx="0">
                  <c:v>Chi phí hoạt động quản lý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('KMP- PET'!$F$65:$X$65,'KMP- PET'!$Z$65:$AE$65)</c:f>
              <c:strCache>
                <c:ptCount val="8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PET'!$E$82:$AE$82</c15:sqref>
                  </c15:fullRef>
                </c:ext>
              </c:extLst>
              <c:f>('KMP- PET'!$F$82:$X$82,'KMP- PET'!$Z$82:$AE$82)</c:f>
              <c:numCache>
                <c:formatCode>0.0%</c:formatCode>
                <c:ptCount val="8"/>
                <c:pt idx="0">
                  <c:v>2.5872063260325866E-2</c:v>
                </c:pt>
                <c:pt idx="1">
                  <c:v>5.248871903624875E-2</c:v>
                </c:pt>
                <c:pt idx="2">
                  <c:v>2.7175645156080983E-2</c:v>
                </c:pt>
                <c:pt idx="3">
                  <c:v>2.9119524296485195E-2</c:v>
                </c:pt>
                <c:pt idx="4">
                  <c:v>1.8568306578238842E-2</c:v>
                </c:pt>
                <c:pt idx="5">
                  <c:v>0</c:v>
                </c:pt>
                <c:pt idx="6">
                  <c:v>0</c:v>
                </c:pt>
                <c:pt idx="7">
                  <c:v>2.9296631831715519E-2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0CAC-4E99-9D78-EC99F6605A3E}"/>
            </c:ext>
          </c:extLst>
        </c:ser>
        <c:ser>
          <c:idx val="34"/>
          <c:order val="15"/>
          <c:tx>
            <c:strRef>
              <c:f>'KMP- PET'!$D$83</c:f>
              <c:strCache>
                <c:ptCount val="1"/>
                <c:pt idx="0">
                  <c:v>Công cụ dụng cụ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('KMP- PET'!$F$65:$X$65,'KMP- PET'!$Z$65:$AE$65)</c:f>
              <c:strCache>
                <c:ptCount val="8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PET'!$E$83:$AE$83</c15:sqref>
                  </c15:fullRef>
                </c:ext>
              </c:extLst>
              <c:f>('KMP- PET'!$F$83:$X$83,'KMP- PET'!$Z$83:$AE$83)</c:f>
              <c:numCache>
                <c:formatCode>0.0%</c:formatCode>
                <c:ptCount val="8"/>
                <c:pt idx="0">
                  <c:v>7.504347501904699E-3</c:v>
                </c:pt>
                <c:pt idx="1">
                  <c:v>1.2376922198998629E-2</c:v>
                </c:pt>
                <c:pt idx="2">
                  <c:v>1.1003151277921799E-2</c:v>
                </c:pt>
                <c:pt idx="3">
                  <c:v>7.0895960524471101E-3</c:v>
                </c:pt>
                <c:pt idx="4">
                  <c:v>8.9704706855727526E-3</c:v>
                </c:pt>
                <c:pt idx="5">
                  <c:v>0</c:v>
                </c:pt>
                <c:pt idx="6">
                  <c:v>0</c:v>
                </c:pt>
                <c:pt idx="7">
                  <c:v>9.3440372393788548E-3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0CAC-4E99-9D78-EC99F6605A3E}"/>
            </c:ext>
          </c:extLst>
        </c:ser>
        <c:ser>
          <c:idx val="35"/>
          <c:order val="16"/>
          <c:tx>
            <c:strRef>
              <c:f>'KMP- PET'!$D$84</c:f>
              <c:strCache>
                <c:ptCount val="1"/>
                <c:pt idx="0">
                  <c:v>Bảo Trì + Sữa Chữa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('KMP- PET'!$F$65:$X$65,'KMP- PET'!$Z$65:$AE$65)</c:f>
              <c:strCache>
                <c:ptCount val="8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PET'!$E$84:$AE$84</c15:sqref>
                  </c15:fullRef>
                </c:ext>
              </c:extLst>
              <c:f>('KMP- PET'!$F$84:$X$84,'KMP- PET'!$Z$84:$AE$84)</c:f>
              <c:numCache>
                <c:formatCode>0.0%</c:formatCode>
                <c:ptCount val="8"/>
                <c:pt idx="0">
                  <c:v>7.5086753068207088E-3</c:v>
                </c:pt>
                <c:pt idx="1">
                  <c:v>1.4076682482056634E-2</c:v>
                </c:pt>
                <c:pt idx="2">
                  <c:v>1.2809090316341804E-2</c:v>
                </c:pt>
                <c:pt idx="3">
                  <c:v>7.7871006597112075E-3</c:v>
                </c:pt>
                <c:pt idx="4">
                  <c:v>9.2388969219143417E-3</c:v>
                </c:pt>
                <c:pt idx="5">
                  <c:v>0</c:v>
                </c:pt>
                <c:pt idx="6">
                  <c:v>0</c:v>
                </c:pt>
                <c:pt idx="7">
                  <c:v>1.0315511740368336E-2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9-0CAC-4E99-9D78-EC99F6605A3E}"/>
            </c:ext>
          </c:extLst>
        </c:ser>
        <c:ser>
          <c:idx val="1"/>
          <c:order val="17"/>
          <c:tx>
            <c:strRef>
              <c:f>'KMP- PET'!$D$85</c:f>
              <c:strCache>
                <c:ptCount val="1"/>
                <c:pt idx="0">
                  <c:v>Lãi Vay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solidFill>
                <a:schemeClr val="tx2">
                  <a:lumMod val="50000"/>
                  <a:lumOff val="50000"/>
                </a:schemeClr>
              </a:solidFill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('KMP- PET'!$F$65:$X$65,'KMP- PET'!$Z$65:$AE$65)</c:f>
              <c:strCache>
                <c:ptCount val="8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PET'!$E$85:$AE$85</c15:sqref>
                  </c15:fullRef>
                </c:ext>
              </c:extLst>
              <c:f>('KMP- PET'!$F$85:$X$85,'KMP- PET'!$Z$85:$AE$85)</c:f>
              <c:numCache>
                <c:formatCode>0.0%</c:formatCode>
                <c:ptCount val="8"/>
                <c:pt idx="0">
                  <c:v>7.4893542296183731E-3</c:v>
                </c:pt>
                <c:pt idx="1">
                  <c:v>1.6435232840574573E-2</c:v>
                </c:pt>
                <c:pt idx="2">
                  <c:v>1.0281151251889215E-2</c:v>
                </c:pt>
                <c:pt idx="3">
                  <c:v>5.084531934275837E-3</c:v>
                </c:pt>
                <c:pt idx="4">
                  <c:v>7.3077824013057227E-3</c:v>
                </c:pt>
                <c:pt idx="5">
                  <c:v>0</c:v>
                </c:pt>
                <c:pt idx="6">
                  <c:v>0</c:v>
                </c:pt>
                <c:pt idx="7">
                  <c:v>8.6881399603875708E-3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0CAC-4E99-9D78-EC99F6605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098149536"/>
        <c:axId val="1098161056"/>
      </c:barChart>
      <c:catAx>
        <c:axId val="109814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98161056"/>
        <c:crosses val="autoZero"/>
        <c:auto val="1"/>
        <c:lblAlgn val="ctr"/>
        <c:lblOffset val="100"/>
        <c:noMultiLvlLbl val="0"/>
      </c:catAx>
      <c:valAx>
        <c:axId val="1098161056"/>
        <c:scaling>
          <c:orientation val="minMax"/>
          <c:max val="1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98149536"/>
        <c:crosses val="autoZero"/>
        <c:crossBetween val="between"/>
        <c:majorUnit val="0.2"/>
      </c:valAx>
    </c:plotArea>
    <c:legend>
      <c:legendPos val="r"/>
      <c:layout>
        <c:manualLayout>
          <c:xMode val="edge"/>
          <c:yMode val="edge"/>
          <c:x val="0.82020086487400146"/>
          <c:y val="2.6351637774797002E-2"/>
          <c:w val="0.16954281877556004"/>
          <c:h val="0.958203004208349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000" b="0" i="0" u="none" strike="noStrike" kern="1200" spc="0" baseline="0">
                <a:solidFill>
                  <a:srgbClr val="119303"/>
                </a:solidFill>
                <a:latin typeface="+mn-lt"/>
                <a:ea typeface="+mn-ea"/>
                <a:cs typeface="+mn-cs"/>
              </a:defRPr>
            </a:pPr>
            <a:r>
              <a:rPr lang="en-US" sz="3000" b="1" i="0" u="none" strike="noStrike" kern="1200" spc="0" baseline="0">
                <a:solidFill>
                  <a:srgbClr val="119303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BIỂU ĐỒ CHI PHÍ / TẤN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000" b="0" i="0" u="none" strike="noStrike" kern="1200" spc="0" baseline="0">
              <a:solidFill>
                <a:srgbClr val="119303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'Chart - Tâm'!$O$5</c:f>
              <c:strCache>
                <c:ptCount val="1"/>
                <c:pt idx="0">
                  <c:v>Chi phí NVL/ tấn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D10-489A-B532-F5879258FAD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F06-4049-9CA6-4F382272648B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F06-4049-9CA6-4F382272648B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500" b="0" i="0" u="none" strike="noStrike" kern="1200" baseline="0">
                      <a:solidFill>
                        <a:schemeClr val="bg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5D10-489A-B532-F5879258FAD1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500" b="0" i="0" u="none" strike="noStrike" kern="1200" baseline="0">
                      <a:solidFill>
                        <a:schemeClr val="bg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FF06-4049-9CA6-4F382272648B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500" b="0" i="0" u="none" strike="noStrike" kern="1200" baseline="0">
                      <a:solidFill>
                        <a:schemeClr val="bg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FF06-4049-9CA6-4F38227264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'Chart - Tâm'!$P$4:$AQ$4</c15:sqref>
                  </c15:fullRef>
                </c:ext>
              </c:extLst>
              <c:f>('Chart - Tâm'!$P$4,'Chart - Tâm'!$AC$4:$AN$4,'Chart - Tâm'!$AQ$4)</c:f>
              <c:strCache>
                <c:ptCount val="14"/>
                <c:pt idx="0">
                  <c:v> BQ 2023 </c:v>
                </c:pt>
                <c:pt idx="1">
                  <c:v> BQ 2024 </c:v>
                </c:pt>
                <c:pt idx="2">
                  <c:v> 1/25 </c:v>
                </c:pt>
                <c:pt idx="3">
                  <c:v> 2 </c:v>
                </c:pt>
                <c:pt idx="4">
                  <c:v> 3 </c:v>
                </c:pt>
                <c:pt idx="5">
                  <c:v> 4 </c:v>
                </c:pt>
                <c:pt idx="6">
                  <c:v> 5 </c:v>
                </c:pt>
                <c:pt idx="7">
                  <c:v> 6 </c:v>
                </c:pt>
                <c:pt idx="8">
                  <c:v> 7 </c:v>
                </c:pt>
                <c:pt idx="9">
                  <c:v> 8 </c:v>
                </c:pt>
                <c:pt idx="10">
                  <c:v> 9 </c:v>
                </c:pt>
                <c:pt idx="11">
                  <c:v> 10 </c:v>
                </c:pt>
                <c:pt idx="12">
                  <c:v> 11 </c:v>
                </c:pt>
                <c:pt idx="13">
                  <c:v> KH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 - Tâm'!$P$5:$AQ$5</c15:sqref>
                  </c15:fullRef>
                </c:ext>
              </c:extLst>
              <c:f>('Chart - Tâm'!$P$5,'Chart - Tâm'!$AC$5:$AN$5,'Chart - Tâm'!$AQ$5)</c:f>
              <c:numCache>
                <c:formatCode>_(* #,##0.0_);_(* \(#,##0.0\);_(* "-"??_);_(@_)</c:formatCode>
                <c:ptCount val="14"/>
                <c:pt idx="0">
                  <c:v>19.760467905924752</c:v>
                </c:pt>
                <c:pt idx="1">
                  <c:v>19.06531599293432</c:v>
                </c:pt>
                <c:pt idx="2">
                  <c:v>19.575337209777519</c:v>
                </c:pt>
                <c:pt idx="3">
                  <c:v>18.521581012658768</c:v>
                </c:pt>
                <c:pt idx="4">
                  <c:v>19.19105057386151</c:v>
                </c:pt>
                <c:pt idx="5">
                  <c:v>18.446340251474307</c:v>
                </c:pt>
                <c:pt idx="6">
                  <c:v>19.589332330935022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18.443916461714945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BA-4D19-B402-22D6453374EF}"/>
            </c:ext>
          </c:extLst>
        </c:ser>
        <c:ser>
          <c:idx val="1"/>
          <c:order val="1"/>
          <c:tx>
            <c:strRef>
              <c:f>'Chart - Tâm'!$O$6</c:f>
              <c:strCache>
                <c:ptCount val="1"/>
                <c:pt idx="0">
                  <c:v>Chi phí sản xuất / tấn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5D10-489A-B532-F5879258FAD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F06-4049-9CA6-4F382272648B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F06-4049-9CA6-4F382272648B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500" b="0" i="0" u="none" strike="noStrike" kern="1200" baseline="0">
                      <a:solidFill>
                        <a:schemeClr val="bg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5D10-489A-B532-F5879258FAD1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500" b="0" i="0" u="none" strike="noStrike" kern="1200" baseline="0">
                      <a:solidFill>
                        <a:schemeClr val="bg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FF06-4049-9CA6-4F382272648B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500" b="0" i="0" u="none" strike="noStrike" kern="1200" baseline="0">
                      <a:solidFill>
                        <a:schemeClr val="bg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FF06-4049-9CA6-4F38227264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'Chart - Tâm'!$P$4:$AQ$4</c15:sqref>
                  </c15:fullRef>
                </c:ext>
              </c:extLst>
              <c:f>('Chart - Tâm'!$P$4,'Chart - Tâm'!$AC$4:$AN$4,'Chart - Tâm'!$AQ$4)</c:f>
              <c:strCache>
                <c:ptCount val="14"/>
                <c:pt idx="0">
                  <c:v> BQ 2023 </c:v>
                </c:pt>
                <c:pt idx="1">
                  <c:v> BQ 2024 </c:v>
                </c:pt>
                <c:pt idx="2">
                  <c:v> 1/25 </c:v>
                </c:pt>
                <c:pt idx="3">
                  <c:v> 2 </c:v>
                </c:pt>
                <c:pt idx="4">
                  <c:v> 3 </c:v>
                </c:pt>
                <c:pt idx="5">
                  <c:v> 4 </c:v>
                </c:pt>
                <c:pt idx="6">
                  <c:v> 5 </c:v>
                </c:pt>
                <c:pt idx="7">
                  <c:v> 6 </c:v>
                </c:pt>
                <c:pt idx="8">
                  <c:v> 7 </c:v>
                </c:pt>
                <c:pt idx="9">
                  <c:v> 8 </c:v>
                </c:pt>
                <c:pt idx="10">
                  <c:v> 9 </c:v>
                </c:pt>
                <c:pt idx="11">
                  <c:v> 10 </c:v>
                </c:pt>
                <c:pt idx="12">
                  <c:v> 11 </c:v>
                </c:pt>
                <c:pt idx="13">
                  <c:v> KH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 - Tâm'!$P$6:$AQ$6</c15:sqref>
                  </c15:fullRef>
                </c:ext>
              </c:extLst>
              <c:f>('Chart - Tâm'!$P$6,'Chart - Tâm'!$AC$6:$AN$6,'Chart - Tâm'!$AQ$6)</c:f>
              <c:numCache>
                <c:formatCode>_(* #,##0.0_);_(* \(#,##0.0\);_(* "-"??_);_(@_)</c:formatCode>
                <c:ptCount val="14"/>
                <c:pt idx="0">
                  <c:v>4.9017272604390136</c:v>
                </c:pt>
                <c:pt idx="1">
                  <c:v>6.6789089803874866</c:v>
                </c:pt>
                <c:pt idx="2">
                  <c:v>9.2754693560213006</c:v>
                </c:pt>
                <c:pt idx="3">
                  <c:v>12.673245003588978</c:v>
                </c:pt>
                <c:pt idx="4">
                  <c:v>5.8044003260669683</c:v>
                </c:pt>
                <c:pt idx="5">
                  <c:v>6.6580628942448463</c:v>
                </c:pt>
                <c:pt idx="6">
                  <c:v>8.0844349165887763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7.2271605825349923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BA-4D19-B402-22D645337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1312063072"/>
        <c:axId val="1312061632"/>
      </c:barChart>
      <c:lineChart>
        <c:grouping val="standard"/>
        <c:varyColors val="0"/>
        <c:ser>
          <c:idx val="2"/>
          <c:order val="2"/>
          <c:tx>
            <c:strRef>
              <c:f>'Chart - Tâm'!$O$7</c:f>
              <c:strCache>
                <c:ptCount val="1"/>
                <c:pt idx="0">
                  <c:v>Tổng CP/ tấn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'Chart - Tâm'!$P$4:$AQ$4</c15:sqref>
                  </c15:fullRef>
                </c:ext>
              </c:extLst>
              <c:f>('Chart - Tâm'!$P$4,'Chart - Tâm'!$AC$4:$AN$4,'Chart - Tâm'!$AQ$4)</c:f>
              <c:strCache>
                <c:ptCount val="14"/>
                <c:pt idx="0">
                  <c:v> BQ 2023 </c:v>
                </c:pt>
                <c:pt idx="1">
                  <c:v> BQ 2024 </c:v>
                </c:pt>
                <c:pt idx="2">
                  <c:v> 1/25 </c:v>
                </c:pt>
                <c:pt idx="3">
                  <c:v> 2 </c:v>
                </c:pt>
                <c:pt idx="4">
                  <c:v> 3 </c:v>
                </c:pt>
                <c:pt idx="5">
                  <c:v> 4 </c:v>
                </c:pt>
                <c:pt idx="6">
                  <c:v> 5 </c:v>
                </c:pt>
                <c:pt idx="7">
                  <c:v> 6 </c:v>
                </c:pt>
                <c:pt idx="8">
                  <c:v> 7 </c:v>
                </c:pt>
                <c:pt idx="9">
                  <c:v> 8 </c:v>
                </c:pt>
                <c:pt idx="10">
                  <c:v> 9 </c:v>
                </c:pt>
                <c:pt idx="11">
                  <c:v> 10 </c:v>
                </c:pt>
                <c:pt idx="12">
                  <c:v> 11 </c:v>
                </c:pt>
                <c:pt idx="13">
                  <c:v> KH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 - Tâm'!$P$7:$AQ$7</c15:sqref>
                  </c15:fullRef>
                </c:ext>
              </c:extLst>
              <c:f>('Chart - Tâm'!$P$7,'Chart - Tâm'!$AC$7:$AN$7,'Chart - Tâm'!$AQ$7)</c:f>
              <c:numCache>
                <c:formatCode>0.0</c:formatCode>
                <c:ptCount val="14"/>
                <c:pt idx="0">
                  <c:v>24.662195166363766</c:v>
                </c:pt>
                <c:pt idx="1">
                  <c:v>25.744224973321806</c:v>
                </c:pt>
                <c:pt idx="2">
                  <c:v>28.85080656579882</c:v>
                </c:pt>
                <c:pt idx="3">
                  <c:v>31.194826016247745</c:v>
                </c:pt>
                <c:pt idx="4">
                  <c:v>24.995450899928478</c:v>
                </c:pt>
                <c:pt idx="5">
                  <c:v>25.104403145719154</c:v>
                </c:pt>
                <c:pt idx="6">
                  <c:v>27.673767247523799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25.671077044249937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25-4D7B-8A41-004DE3D5F6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2063072"/>
        <c:axId val="1312061632"/>
      </c:lineChart>
      <c:catAx>
        <c:axId val="1312063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12061632"/>
        <c:crosses val="autoZero"/>
        <c:auto val="1"/>
        <c:lblAlgn val="ctr"/>
        <c:lblOffset val="100"/>
        <c:noMultiLvlLbl val="0"/>
      </c:catAx>
      <c:valAx>
        <c:axId val="131206163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12063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119303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0" i="0" u="none" strike="noStrike" kern="1200" spc="0" baseline="0">
                <a:solidFill>
                  <a:srgbClr val="119303"/>
                </a:solidFill>
                <a:latin typeface="+mn-lt"/>
                <a:ea typeface="+mn-ea"/>
                <a:cs typeface="+mn-cs"/>
              </a:defRPr>
            </a:pPr>
            <a:r>
              <a:rPr lang="en-US" sz="2200" b="1" i="0" u="none" strike="noStrike" kern="1200" spc="0" baseline="0">
                <a:solidFill>
                  <a:srgbClr val="119303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BIỂU ĐỒ CHI PHÍ / TẤN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0" i="0" u="none" strike="noStrike" kern="1200" spc="0" baseline="0">
              <a:solidFill>
                <a:srgbClr val="119303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'Chart - Tâm'!$O$5</c:f>
              <c:strCache>
                <c:ptCount val="1"/>
                <c:pt idx="0">
                  <c:v>Chi phí NVL/ tấn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'Chart - Tâm'!$P$4:$AO$4</c15:sqref>
                  </c15:fullRef>
                </c:ext>
              </c:extLst>
              <c:f>('Chart - Tâm'!$P$4,'Chart - Tâm'!$AC$4:$AN$4)</c:f>
              <c:strCache>
                <c:ptCount val="13"/>
                <c:pt idx="0">
                  <c:v> BQ 2023 </c:v>
                </c:pt>
                <c:pt idx="1">
                  <c:v> BQ 2024 </c:v>
                </c:pt>
                <c:pt idx="2">
                  <c:v> 1/25 </c:v>
                </c:pt>
                <c:pt idx="3">
                  <c:v> 2 </c:v>
                </c:pt>
                <c:pt idx="4">
                  <c:v> 3 </c:v>
                </c:pt>
                <c:pt idx="5">
                  <c:v> 4 </c:v>
                </c:pt>
                <c:pt idx="6">
                  <c:v> 5 </c:v>
                </c:pt>
                <c:pt idx="7">
                  <c:v> 6 </c:v>
                </c:pt>
                <c:pt idx="8">
                  <c:v> 7 </c:v>
                </c:pt>
                <c:pt idx="9">
                  <c:v> 8 </c:v>
                </c:pt>
                <c:pt idx="10">
                  <c:v> 9 </c:v>
                </c:pt>
                <c:pt idx="11">
                  <c:v> 10 </c:v>
                </c:pt>
                <c:pt idx="12">
                  <c:v> 11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 - Tâm'!$P$5:$AO$5</c15:sqref>
                  </c15:fullRef>
                </c:ext>
              </c:extLst>
              <c:f>('Chart - Tâm'!$P$5,'Chart - Tâm'!$AC$5:$AN$5)</c:f>
              <c:numCache>
                <c:formatCode>_(* #,##0.0_);_(* \(#,##0.0\);_(* "-"??_);_(@_)</c:formatCode>
                <c:ptCount val="13"/>
                <c:pt idx="0">
                  <c:v>19.760467905924752</c:v>
                </c:pt>
                <c:pt idx="1">
                  <c:v>19.06531599293432</c:v>
                </c:pt>
                <c:pt idx="2">
                  <c:v>19.575337209777519</c:v>
                </c:pt>
                <c:pt idx="3">
                  <c:v>18.521581012658768</c:v>
                </c:pt>
                <c:pt idx="4">
                  <c:v>19.19105057386151</c:v>
                </c:pt>
                <c:pt idx="5">
                  <c:v>18.446340251474307</c:v>
                </c:pt>
                <c:pt idx="6">
                  <c:v>19.589332330935022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AB-4B87-AF09-9A65C2B81B22}"/>
            </c:ext>
          </c:extLst>
        </c:ser>
        <c:ser>
          <c:idx val="1"/>
          <c:order val="1"/>
          <c:tx>
            <c:strRef>
              <c:f>'Chart - Tâm'!$O$6</c:f>
              <c:strCache>
                <c:ptCount val="1"/>
                <c:pt idx="0">
                  <c:v>Chi phí sản xuất / tấn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'Chart - Tâm'!$P$4:$AO$4</c15:sqref>
                  </c15:fullRef>
                </c:ext>
              </c:extLst>
              <c:f>('Chart - Tâm'!$P$4,'Chart - Tâm'!$AC$4:$AN$4)</c:f>
              <c:strCache>
                <c:ptCount val="13"/>
                <c:pt idx="0">
                  <c:v> BQ 2023 </c:v>
                </c:pt>
                <c:pt idx="1">
                  <c:v> BQ 2024 </c:v>
                </c:pt>
                <c:pt idx="2">
                  <c:v> 1/25 </c:v>
                </c:pt>
                <c:pt idx="3">
                  <c:v> 2 </c:v>
                </c:pt>
                <c:pt idx="4">
                  <c:v> 3 </c:v>
                </c:pt>
                <c:pt idx="5">
                  <c:v> 4 </c:v>
                </c:pt>
                <c:pt idx="6">
                  <c:v> 5 </c:v>
                </c:pt>
                <c:pt idx="7">
                  <c:v> 6 </c:v>
                </c:pt>
                <c:pt idx="8">
                  <c:v> 7 </c:v>
                </c:pt>
                <c:pt idx="9">
                  <c:v> 8 </c:v>
                </c:pt>
                <c:pt idx="10">
                  <c:v> 9 </c:v>
                </c:pt>
                <c:pt idx="11">
                  <c:v> 10 </c:v>
                </c:pt>
                <c:pt idx="12">
                  <c:v> 11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 - Tâm'!$P$6:$AO$6</c15:sqref>
                  </c15:fullRef>
                </c:ext>
              </c:extLst>
              <c:f>('Chart - Tâm'!$P$6,'Chart - Tâm'!$AC$6:$AN$6)</c:f>
              <c:numCache>
                <c:formatCode>_(* #,##0.0_);_(* \(#,##0.0\);_(* "-"??_);_(@_)</c:formatCode>
                <c:ptCount val="13"/>
                <c:pt idx="0">
                  <c:v>4.9017272604390136</c:v>
                </c:pt>
                <c:pt idx="1">
                  <c:v>6.6789089803874866</c:v>
                </c:pt>
                <c:pt idx="2">
                  <c:v>9.2754693560213006</c:v>
                </c:pt>
                <c:pt idx="3">
                  <c:v>12.673245003588978</c:v>
                </c:pt>
                <c:pt idx="4">
                  <c:v>5.8044003260669683</c:v>
                </c:pt>
                <c:pt idx="5">
                  <c:v>6.6580628942448463</c:v>
                </c:pt>
                <c:pt idx="6">
                  <c:v>8.0844349165887763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AB-4B87-AF09-9A65C2B81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312063072"/>
        <c:axId val="1312061632"/>
      </c:barChart>
      <c:lineChart>
        <c:grouping val="standard"/>
        <c:varyColors val="0"/>
        <c:ser>
          <c:idx val="2"/>
          <c:order val="2"/>
          <c:tx>
            <c:strRef>
              <c:f>'Chart - Tâm'!$O$7</c:f>
              <c:strCache>
                <c:ptCount val="1"/>
                <c:pt idx="0">
                  <c:v>Tổng CP/ tấn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'Chart - Tâm'!$P$4:$AD$4</c15:sqref>
                  </c15:fullRef>
                </c:ext>
              </c:extLst>
              <c:f>('Chart - Tâm'!$P$4,'Chart - Tâm'!$AC$4:$AD$4)</c:f>
              <c:strCache>
                <c:ptCount val="3"/>
                <c:pt idx="0">
                  <c:v> BQ 2023 </c:v>
                </c:pt>
                <c:pt idx="1">
                  <c:v> BQ 2024 </c:v>
                </c:pt>
                <c:pt idx="2">
                  <c:v> 1/25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 - Tâm'!$P$7:$AO$7</c15:sqref>
                  </c15:fullRef>
                </c:ext>
              </c:extLst>
              <c:f>('Chart - Tâm'!$P$7,'Chart - Tâm'!$AC$7:$AN$7)</c:f>
              <c:numCache>
                <c:formatCode>0.0</c:formatCode>
                <c:ptCount val="13"/>
                <c:pt idx="0">
                  <c:v>24.662195166363766</c:v>
                </c:pt>
                <c:pt idx="1">
                  <c:v>25.744224973321806</c:v>
                </c:pt>
                <c:pt idx="2">
                  <c:v>28.85080656579882</c:v>
                </c:pt>
                <c:pt idx="3">
                  <c:v>31.194826016247745</c:v>
                </c:pt>
                <c:pt idx="4">
                  <c:v>24.995450899928478</c:v>
                </c:pt>
                <c:pt idx="5">
                  <c:v>25.104403145719154</c:v>
                </c:pt>
                <c:pt idx="6">
                  <c:v>27.673767247523799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AB-4B87-AF09-9A65C2B81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2063072"/>
        <c:axId val="1312061632"/>
      </c:lineChart>
      <c:catAx>
        <c:axId val="1312063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12061632"/>
        <c:crosses val="autoZero"/>
        <c:auto val="1"/>
        <c:lblAlgn val="ctr"/>
        <c:lblOffset val="100"/>
        <c:noMultiLvlLbl val="0"/>
      </c:catAx>
      <c:valAx>
        <c:axId val="131206163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12063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119303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1" i="0" u="none" strike="noStrike" kern="1200" spc="0" baseline="0">
                <a:solidFill>
                  <a:srgbClr val="119303"/>
                </a:solidFill>
                <a:latin typeface="+mj-lt"/>
                <a:ea typeface="+mn-ea"/>
                <a:cs typeface="+mn-cs"/>
              </a:defRPr>
            </a:pPr>
            <a:r>
              <a:rPr lang="en-US" sz="2200" b="1">
                <a:solidFill>
                  <a:srgbClr val="119303"/>
                </a:solidFill>
              </a:rPr>
              <a:t>CƠ CẤU % CHI PHÍ/ TẤN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1" i="0" u="none" strike="noStrike" kern="1200" spc="0" baseline="0">
              <a:solidFill>
                <a:srgbClr val="119303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'18 KMP- Tháng (Tâm)'!$D$71</c:f>
              <c:strCache>
                <c:ptCount val="1"/>
                <c:pt idx="0">
                  <c:v>Nguyên liệu nhựa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'18 KMP- Tháng (Tâm)'!$R$69:$BS$69</c:f>
              <c:strCache>
                <c:ptCount val="54"/>
                <c:pt idx="0">
                  <c:v> T1.24 </c:v>
                </c:pt>
                <c:pt idx="1">
                  <c:v> T2.24 </c:v>
                </c:pt>
                <c:pt idx="2">
                  <c:v> T3.24 </c:v>
                </c:pt>
                <c:pt idx="3">
                  <c:v> T4.24 </c:v>
                </c:pt>
                <c:pt idx="4">
                  <c:v> T5.24 </c:v>
                </c:pt>
                <c:pt idx="5">
                  <c:v> T6.24 </c:v>
                </c:pt>
                <c:pt idx="6">
                  <c:v> T7.24 </c:v>
                </c:pt>
                <c:pt idx="7">
                  <c:v> T8.24 </c:v>
                </c:pt>
                <c:pt idx="8">
                  <c:v> T9.24 </c:v>
                </c:pt>
                <c:pt idx="9">
                  <c:v> T10.24 </c:v>
                </c:pt>
                <c:pt idx="10">
                  <c:v> T11.24 </c:v>
                </c:pt>
                <c:pt idx="11">
                  <c:v> T12.24 </c:v>
                </c:pt>
                <c:pt idx="12">
                  <c:v> BQ TT 2024 </c:v>
                </c:pt>
                <c:pt idx="13">
                  <c:v> T1.25 </c:v>
                </c:pt>
                <c:pt idx="14">
                  <c:v> T2.25 </c:v>
                </c:pt>
                <c:pt idx="15">
                  <c:v> T3.25 </c:v>
                </c:pt>
                <c:pt idx="16">
                  <c:v> T4.25 </c:v>
                </c:pt>
                <c:pt idx="17">
                  <c:v> T5.25 </c:v>
                </c:pt>
                <c:pt idx="18">
                  <c:v> T6.25 </c:v>
                </c:pt>
                <c:pt idx="19">
                  <c:v> T7.25 </c:v>
                </c:pt>
                <c:pt idx="20">
                  <c:v> T8.25 </c:v>
                </c:pt>
                <c:pt idx="21">
                  <c:v> T9.25 </c:v>
                </c:pt>
                <c:pt idx="22">
                  <c:v> T10.25 </c:v>
                </c:pt>
                <c:pt idx="23">
                  <c:v> T11.25 </c:v>
                </c:pt>
                <c:pt idx="24">
                  <c:v> T12.25 </c:v>
                </c:pt>
                <c:pt idx="25">
                  <c:v> BQ TT 2025 </c:v>
                </c:pt>
                <c:pt idx="27">
                  <c:v> KH T1.2026 </c:v>
                </c:pt>
                <c:pt idx="28">
                  <c:v> KH T2.2026 </c:v>
                </c:pt>
                <c:pt idx="29">
                  <c:v> KH T3.2026 </c:v>
                </c:pt>
                <c:pt idx="30">
                  <c:v> KH T4.2026 </c:v>
                </c:pt>
                <c:pt idx="31">
                  <c:v> KH T5.2026 </c:v>
                </c:pt>
                <c:pt idx="32">
                  <c:v> KH T6.2026 </c:v>
                </c:pt>
                <c:pt idx="33">
                  <c:v> KH T7.2026 </c:v>
                </c:pt>
                <c:pt idx="34">
                  <c:v> KH T8.2026 </c:v>
                </c:pt>
                <c:pt idx="35">
                  <c:v> KH T9.2026 </c:v>
                </c:pt>
                <c:pt idx="36">
                  <c:v> KH T10.2026 </c:v>
                </c:pt>
                <c:pt idx="37">
                  <c:v> KH T11.2026 </c:v>
                </c:pt>
                <c:pt idx="38">
                  <c:v> KH T12.2026 </c:v>
                </c:pt>
                <c:pt idx="39">
                  <c:v> BQ KH 2026 </c:v>
                </c:pt>
                <c:pt idx="40">
                  <c:v> T1.26 </c:v>
                </c:pt>
                <c:pt idx="41">
                  <c:v> T2.26 </c:v>
                </c:pt>
                <c:pt idx="42">
                  <c:v> T3.26 </c:v>
                </c:pt>
                <c:pt idx="43">
                  <c:v> T4.26 </c:v>
                </c:pt>
                <c:pt idx="44">
                  <c:v> T5.26 </c:v>
                </c:pt>
                <c:pt idx="45">
                  <c:v> T6.26 </c:v>
                </c:pt>
                <c:pt idx="46">
                  <c:v> T7.26 </c:v>
                </c:pt>
                <c:pt idx="47">
                  <c:v> T8.26 </c:v>
                </c:pt>
                <c:pt idx="48">
                  <c:v> T9.26 </c:v>
                </c:pt>
                <c:pt idx="49">
                  <c:v> T10.26 </c:v>
                </c:pt>
                <c:pt idx="50">
                  <c:v> T11.26 </c:v>
                </c:pt>
                <c:pt idx="51">
                  <c:v> T12.26 </c:v>
                </c:pt>
                <c:pt idx="52">
                  <c:v> BQ TT 2026 </c:v>
                </c:pt>
                <c:pt idx="53">
                  <c:v> BQ KH 2026 </c:v>
                </c:pt>
              </c:strCache>
            </c:strRef>
          </c:cat>
          <c:val>
            <c:numRef>
              <c:f>'18 KMP- Tháng (Tâm)'!$R$71:$BS$71</c:f>
              <c:numCache>
                <c:formatCode>0.0%;\-0.0%;;</c:formatCode>
                <c:ptCount val="54"/>
                <c:pt idx="0">
                  <c:v>0.76013521961616537</c:v>
                </c:pt>
                <c:pt idx="1">
                  <c:v>0.69334832401402491</c:v>
                </c:pt>
                <c:pt idx="2">
                  <c:v>0.77491696879616112</c:v>
                </c:pt>
                <c:pt idx="3">
                  <c:v>0.75754134239936888</c:v>
                </c:pt>
                <c:pt idx="4">
                  <c:v>0.74693486847140744</c:v>
                </c:pt>
                <c:pt idx="5">
                  <c:v>0.70443637817365046</c:v>
                </c:pt>
                <c:pt idx="6">
                  <c:v>0.59125083283202562</c:v>
                </c:pt>
                <c:pt idx="7">
                  <c:v>0.62201245766764413</c:v>
                </c:pt>
                <c:pt idx="8">
                  <c:v>0.66573661512789317</c:v>
                </c:pt>
                <c:pt idx="9">
                  <c:v>0.73828483213305041</c:v>
                </c:pt>
                <c:pt idx="10">
                  <c:v>0.74830303339139259</c:v>
                </c:pt>
                <c:pt idx="11">
                  <c:v>0.6830888946347865</c:v>
                </c:pt>
                <c:pt idx="12">
                  <c:v>0.71889435612884234</c:v>
                </c:pt>
                <c:pt idx="13">
                  <c:v>0.56675296479787496</c:v>
                </c:pt>
                <c:pt idx="14">
                  <c:v>0.66692529626759733</c:v>
                </c:pt>
                <c:pt idx="15">
                  <c:v>0.75025382612095581</c:v>
                </c:pt>
                <c:pt idx="16">
                  <c:v>0.72169706571674552</c:v>
                </c:pt>
                <c:pt idx="17">
                  <c:v>0.74803570058240976</c:v>
                </c:pt>
                <c:pt idx="18">
                  <c:v>0.71538782408672541</c:v>
                </c:pt>
                <c:pt idx="19">
                  <c:v>0.71906835234908584</c:v>
                </c:pt>
                <c:pt idx="20">
                  <c:v>0.71982719111543281</c:v>
                </c:pt>
                <c:pt idx="21">
                  <c:v>0.71406764830858693</c:v>
                </c:pt>
                <c:pt idx="22">
                  <c:v>0.64387776763049853</c:v>
                </c:pt>
                <c:pt idx="23">
                  <c:v>0.58011945532336151</c:v>
                </c:pt>
                <c:pt idx="24">
                  <c:v>0.67539796017079023</c:v>
                </c:pt>
                <c:pt idx="25">
                  <c:v>0.69741456837357907</c:v>
                </c:pt>
                <c:pt idx="27">
                  <c:v>0.69017532749386157</c:v>
                </c:pt>
                <c:pt idx="28">
                  <c:v>0.66069977463783758</c:v>
                </c:pt>
                <c:pt idx="29">
                  <c:v>0.69669624654565998</c:v>
                </c:pt>
                <c:pt idx="30">
                  <c:v>0.69260214839713896</c:v>
                </c:pt>
                <c:pt idx="31">
                  <c:v>0.6964687095821156</c:v>
                </c:pt>
                <c:pt idx="32">
                  <c:v>0.6928266234906878</c:v>
                </c:pt>
                <c:pt idx="33">
                  <c:v>0.69837519505667345</c:v>
                </c:pt>
                <c:pt idx="34">
                  <c:v>0.70117650041537394</c:v>
                </c:pt>
                <c:pt idx="35">
                  <c:v>0.69719455051333856</c:v>
                </c:pt>
                <c:pt idx="36">
                  <c:v>0.70063355578027864</c:v>
                </c:pt>
                <c:pt idx="37">
                  <c:v>0.69723067628206814</c:v>
                </c:pt>
                <c:pt idx="38">
                  <c:v>0.69968102445919722</c:v>
                </c:pt>
                <c:pt idx="39">
                  <c:v>0.69425731189287743</c:v>
                </c:pt>
                <c:pt idx="40">
                  <c:v>0.65590386577560367</c:v>
                </c:pt>
                <c:pt idx="41">
                  <c:v>0.58035924927606375</c:v>
                </c:pt>
                <c:pt idx="42">
                  <c:v>0.73855994075006814</c:v>
                </c:pt>
                <c:pt idx="43">
                  <c:v>0.70826357702853837</c:v>
                </c:pt>
                <c:pt idx="44">
                  <c:v>0.67780558921699174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0.68334489352897743</c:v>
                </c:pt>
                <c:pt idx="53">
                  <c:v>0.69425731189287743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80-4F4A-98AE-EFA541856494}"/>
            </c:ext>
          </c:extLst>
        </c:ser>
        <c:ser>
          <c:idx val="15"/>
          <c:order val="2"/>
          <c:tx>
            <c:strRef>
              <c:f>'18 KMP- Tháng (Tâm)'!$D$84</c:f>
              <c:strCache>
                <c:ptCount val="1"/>
                <c:pt idx="0">
                  <c:v>Tổng Lương và Phụ Cấp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'18 KMP- Tháng (Tâm)'!$R$69:$BS$69</c:f>
              <c:strCache>
                <c:ptCount val="54"/>
                <c:pt idx="0">
                  <c:v> T1.24 </c:v>
                </c:pt>
                <c:pt idx="1">
                  <c:v> T2.24 </c:v>
                </c:pt>
                <c:pt idx="2">
                  <c:v> T3.24 </c:v>
                </c:pt>
                <c:pt idx="3">
                  <c:v> T4.24 </c:v>
                </c:pt>
                <c:pt idx="4">
                  <c:v> T5.24 </c:v>
                </c:pt>
                <c:pt idx="5">
                  <c:v> T6.24 </c:v>
                </c:pt>
                <c:pt idx="6">
                  <c:v> T7.24 </c:v>
                </c:pt>
                <c:pt idx="7">
                  <c:v> T8.24 </c:v>
                </c:pt>
                <c:pt idx="8">
                  <c:v> T9.24 </c:v>
                </c:pt>
                <c:pt idx="9">
                  <c:v> T10.24 </c:v>
                </c:pt>
                <c:pt idx="10">
                  <c:v> T11.24 </c:v>
                </c:pt>
                <c:pt idx="11">
                  <c:v> T12.24 </c:v>
                </c:pt>
                <c:pt idx="12">
                  <c:v> BQ TT 2024 </c:v>
                </c:pt>
                <c:pt idx="13">
                  <c:v> T1.25 </c:v>
                </c:pt>
                <c:pt idx="14">
                  <c:v> T2.25 </c:v>
                </c:pt>
                <c:pt idx="15">
                  <c:v> T3.25 </c:v>
                </c:pt>
                <c:pt idx="16">
                  <c:v> T4.25 </c:v>
                </c:pt>
                <c:pt idx="17">
                  <c:v> T5.25 </c:v>
                </c:pt>
                <c:pt idx="18">
                  <c:v> T6.25 </c:v>
                </c:pt>
                <c:pt idx="19">
                  <c:v> T7.25 </c:v>
                </c:pt>
                <c:pt idx="20">
                  <c:v> T8.25 </c:v>
                </c:pt>
                <c:pt idx="21">
                  <c:v> T9.25 </c:v>
                </c:pt>
                <c:pt idx="22">
                  <c:v> T10.25 </c:v>
                </c:pt>
                <c:pt idx="23">
                  <c:v> T11.25 </c:v>
                </c:pt>
                <c:pt idx="24">
                  <c:v> T12.25 </c:v>
                </c:pt>
                <c:pt idx="25">
                  <c:v> BQ TT 2025 </c:v>
                </c:pt>
                <c:pt idx="27">
                  <c:v> KH T1.2026 </c:v>
                </c:pt>
                <c:pt idx="28">
                  <c:v> KH T2.2026 </c:v>
                </c:pt>
                <c:pt idx="29">
                  <c:v> KH T3.2026 </c:v>
                </c:pt>
                <c:pt idx="30">
                  <c:v> KH T4.2026 </c:v>
                </c:pt>
                <c:pt idx="31">
                  <c:v> KH T5.2026 </c:v>
                </c:pt>
                <c:pt idx="32">
                  <c:v> KH T6.2026 </c:v>
                </c:pt>
                <c:pt idx="33">
                  <c:v> KH T7.2026 </c:v>
                </c:pt>
                <c:pt idx="34">
                  <c:v> KH T8.2026 </c:v>
                </c:pt>
                <c:pt idx="35">
                  <c:v> KH T9.2026 </c:v>
                </c:pt>
                <c:pt idx="36">
                  <c:v> KH T10.2026 </c:v>
                </c:pt>
                <c:pt idx="37">
                  <c:v> KH T11.2026 </c:v>
                </c:pt>
                <c:pt idx="38">
                  <c:v> KH T12.2026 </c:v>
                </c:pt>
                <c:pt idx="39">
                  <c:v> BQ KH 2026 </c:v>
                </c:pt>
                <c:pt idx="40">
                  <c:v> T1.26 </c:v>
                </c:pt>
                <c:pt idx="41">
                  <c:v> T2.26 </c:v>
                </c:pt>
                <c:pt idx="42">
                  <c:v> T3.26 </c:v>
                </c:pt>
                <c:pt idx="43">
                  <c:v> T4.26 </c:v>
                </c:pt>
                <c:pt idx="44">
                  <c:v> T5.26 </c:v>
                </c:pt>
                <c:pt idx="45">
                  <c:v> T6.26 </c:v>
                </c:pt>
                <c:pt idx="46">
                  <c:v> T7.26 </c:v>
                </c:pt>
                <c:pt idx="47">
                  <c:v> T8.26 </c:v>
                </c:pt>
                <c:pt idx="48">
                  <c:v> T9.26 </c:v>
                </c:pt>
                <c:pt idx="49">
                  <c:v> T10.26 </c:v>
                </c:pt>
                <c:pt idx="50">
                  <c:v> T11.26 </c:v>
                </c:pt>
                <c:pt idx="51">
                  <c:v> T12.26 </c:v>
                </c:pt>
                <c:pt idx="52">
                  <c:v> BQ TT 2026 </c:v>
                </c:pt>
                <c:pt idx="53">
                  <c:v> BQ KH 2026 </c:v>
                </c:pt>
              </c:strCache>
            </c:strRef>
          </c:cat>
          <c:val>
            <c:numRef>
              <c:f>'18 KMP- Tháng (Tâm)'!$R$84:$BS$84</c:f>
              <c:numCache>
                <c:formatCode>0.0%;\-0.0%;;</c:formatCode>
                <c:ptCount val="54"/>
                <c:pt idx="0">
                  <c:v>5.6035770653490087E-2</c:v>
                </c:pt>
                <c:pt idx="1">
                  <c:v>6.7553911022709745E-2</c:v>
                </c:pt>
                <c:pt idx="2">
                  <c:v>4.7254526794942769E-2</c:v>
                </c:pt>
                <c:pt idx="3">
                  <c:v>5.4298074931261528E-2</c:v>
                </c:pt>
                <c:pt idx="4">
                  <c:v>5.9583074735721754E-2</c:v>
                </c:pt>
                <c:pt idx="5">
                  <c:v>7.2201975475636865E-2</c:v>
                </c:pt>
                <c:pt idx="6">
                  <c:v>0.1075779423020036</c:v>
                </c:pt>
                <c:pt idx="7">
                  <c:v>9.7931607275811461E-2</c:v>
                </c:pt>
                <c:pt idx="8">
                  <c:v>8.3100621101931046E-2</c:v>
                </c:pt>
                <c:pt idx="9">
                  <c:v>6.3436977371711223E-2</c:v>
                </c:pt>
                <c:pt idx="10">
                  <c:v>6.0598588698100427E-2</c:v>
                </c:pt>
                <c:pt idx="11">
                  <c:v>8.7315841165948066E-2</c:v>
                </c:pt>
                <c:pt idx="12">
                  <c:v>6.7837090486929208E-2</c:v>
                </c:pt>
                <c:pt idx="13">
                  <c:v>0.12836341231749762</c:v>
                </c:pt>
                <c:pt idx="14">
                  <c:v>8.9979117487925114E-2</c:v>
                </c:pt>
                <c:pt idx="15">
                  <c:v>5.848318873839254E-2</c:v>
                </c:pt>
                <c:pt idx="16">
                  <c:v>7.0421590202353501E-2</c:v>
                </c:pt>
                <c:pt idx="17">
                  <c:v>6.3122294747444532E-2</c:v>
                </c:pt>
                <c:pt idx="18">
                  <c:v>7.0554746246448308E-2</c:v>
                </c:pt>
                <c:pt idx="19">
                  <c:v>7.1017624211578881E-2</c:v>
                </c:pt>
                <c:pt idx="20">
                  <c:v>6.7951736469794077E-2</c:v>
                </c:pt>
                <c:pt idx="21">
                  <c:v>7.4188025237868216E-2</c:v>
                </c:pt>
                <c:pt idx="22">
                  <c:v>9.1945136314473985E-2</c:v>
                </c:pt>
                <c:pt idx="23">
                  <c:v>0.1112191900994427</c:v>
                </c:pt>
                <c:pt idx="24">
                  <c:v>9.4077875908254407E-2</c:v>
                </c:pt>
                <c:pt idx="25">
                  <c:v>7.835216613662338E-2</c:v>
                </c:pt>
                <c:pt idx="27">
                  <c:v>9.3451022934686795E-2</c:v>
                </c:pt>
                <c:pt idx="28">
                  <c:v>0.10598068404637026</c:v>
                </c:pt>
                <c:pt idx="29">
                  <c:v>8.4991035098426815E-2</c:v>
                </c:pt>
                <c:pt idx="30">
                  <c:v>9.1717174009745828E-2</c:v>
                </c:pt>
                <c:pt idx="31">
                  <c:v>8.8355588002383634E-2</c:v>
                </c:pt>
                <c:pt idx="32">
                  <c:v>9.0496522918444858E-2</c:v>
                </c:pt>
                <c:pt idx="33">
                  <c:v>8.6852532673006924E-2</c:v>
                </c:pt>
                <c:pt idx="34">
                  <c:v>8.6411254167107585E-2</c:v>
                </c:pt>
                <c:pt idx="35">
                  <c:v>8.8640407841777291E-2</c:v>
                </c:pt>
                <c:pt idx="36">
                  <c:v>8.4326029259192817E-2</c:v>
                </c:pt>
                <c:pt idx="37">
                  <c:v>8.9534179127801219E-2</c:v>
                </c:pt>
                <c:pt idx="38">
                  <c:v>8.6616466921630428E-2</c:v>
                </c:pt>
                <c:pt idx="39">
                  <c:v>8.9474002406752726E-2</c:v>
                </c:pt>
                <c:pt idx="40">
                  <c:v>9.8940323783674511E-2</c:v>
                </c:pt>
                <c:pt idx="41">
                  <c:v>0.1242213461926349</c:v>
                </c:pt>
                <c:pt idx="42">
                  <c:v>4.2838692143916078E-2</c:v>
                </c:pt>
                <c:pt idx="43">
                  <c:v>7.7538584144052722E-2</c:v>
                </c:pt>
                <c:pt idx="44">
                  <c:v>8.2332266306389748E-2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8.0115625585034017E-2</c:v>
                </c:pt>
                <c:pt idx="53">
                  <c:v>8.9474002406752726E-2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80-4F4A-98AE-EFA541856494}"/>
            </c:ext>
          </c:extLst>
        </c:ser>
        <c:ser>
          <c:idx val="2"/>
          <c:order val="3"/>
          <c:tx>
            <c:strRef>
              <c:f>'18 KMP- Tháng (Tâm)'!$D$72</c:f>
              <c:strCache>
                <c:ptCount val="1"/>
                <c:pt idx="0">
                  <c:v>Điện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bg1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'18 KMP- Tháng (Tâm)'!$R$69:$BS$69</c:f>
              <c:strCache>
                <c:ptCount val="54"/>
                <c:pt idx="0">
                  <c:v> T1.24 </c:v>
                </c:pt>
                <c:pt idx="1">
                  <c:v> T2.24 </c:v>
                </c:pt>
                <c:pt idx="2">
                  <c:v> T3.24 </c:v>
                </c:pt>
                <c:pt idx="3">
                  <c:v> T4.24 </c:v>
                </c:pt>
                <c:pt idx="4">
                  <c:v> T5.24 </c:v>
                </c:pt>
                <c:pt idx="5">
                  <c:v> T6.24 </c:v>
                </c:pt>
                <c:pt idx="6">
                  <c:v> T7.24 </c:v>
                </c:pt>
                <c:pt idx="7">
                  <c:v> T8.24 </c:v>
                </c:pt>
                <c:pt idx="8">
                  <c:v> T9.24 </c:v>
                </c:pt>
                <c:pt idx="9">
                  <c:v> T10.24 </c:v>
                </c:pt>
                <c:pt idx="10">
                  <c:v> T11.24 </c:v>
                </c:pt>
                <c:pt idx="11">
                  <c:v> T12.24 </c:v>
                </c:pt>
                <c:pt idx="12">
                  <c:v> BQ TT 2024 </c:v>
                </c:pt>
                <c:pt idx="13">
                  <c:v> T1.25 </c:v>
                </c:pt>
                <c:pt idx="14">
                  <c:v> T2.25 </c:v>
                </c:pt>
                <c:pt idx="15">
                  <c:v> T3.25 </c:v>
                </c:pt>
                <c:pt idx="16">
                  <c:v> T4.25 </c:v>
                </c:pt>
                <c:pt idx="17">
                  <c:v> T5.25 </c:v>
                </c:pt>
                <c:pt idx="18">
                  <c:v> T6.25 </c:v>
                </c:pt>
                <c:pt idx="19">
                  <c:v> T7.25 </c:v>
                </c:pt>
                <c:pt idx="20">
                  <c:v> T8.25 </c:v>
                </c:pt>
                <c:pt idx="21">
                  <c:v> T9.25 </c:v>
                </c:pt>
                <c:pt idx="22">
                  <c:v> T10.25 </c:v>
                </c:pt>
                <c:pt idx="23">
                  <c:v> T11.25 </c:v>
                </c:pt>
                <c:pt idx="24">
                  <c:v> T12.25 </c:v>
                </c:pt>
                <c:pt idx="25">
                  <c:v> BQ TT 2025 </c:v>
                </c:pt>
                <c:pt idx="27">
                  <c:v> KH T1.2026 </c:v>
                </c:pt>
                <c:pt idx="28">
                  <c:v> KH T2.2026 </c:v>
                </c:pt>
                <c:pt idx="29">
                  <c:v> KH T3.2026 </c:v>
                </c:pt>
                <c:pt idx="30">
                  <c:v> KH T4.2026 </c:v>
                </c:pt>
                <c:pt idx="31">
                  <c:v> KH T5.2026 </c:v>
                </c:pt>
                <c:pt idx="32">
                  <c:v> KH T6.2026 </c:v>
                </c:pt>
                <c:pt idx="33">
                  <c:v> KH T7.2026 </c:v>
                </c:pt>
                <c:pt idx="34">
                  <c:v> KH T8.2026 </c:v>
                </c:pt>
                <c:pt idx="35">
                  <c:v> KH T9.2026 </c:v>
                </c:pt>
                <c:pt idx="36">
                  <c:v> KH T10.2026 </c:v>
                </c:pt>
                <c:pt idx="37">
                  <c:v> KH T11.2026 </c:v>
                </c:pt>
                <c:pt idx="38">
                  <c:v> KH T12.2026 </c:v>
                </c:pt>
                <c:pt idx="39">
                  <c:v> BQ KH 2026 </c:v>
                </c:pt>
                <c:pt idx="40">
                  <c:v> T1.26 </c:v>
                </c:pt>
                <c:pt idx="41">
                  <c:v> T2.26 </c:v>
                </c:pt>
                <c:pt idx="42">
                  <c:v> T3.26 </c:v>
                </c:pt>
                <c:pt idx="43">
                  <c:v> T4.26 </c:v>
                </c:pt>
                <c:pt idx="44">
                  <c:v> T5.26 </c:v>
                </c:pt>
                <c:pt idx="45">
                  <c:v> T6.26 </c:v>
                </c:pt>
                <c:pt idx="46">
                  <c:v> T7.26 </c:v>
                </c:pt>
                <c:pt idx="47">
                  <c:v> T8.26 </c:v>
                </c:pt>
                <c:pt idx="48">
                  <c:v> T9.26 </c:v>
                </c:pt>
                <c:pt idx="49">
                  <c:v> T10.26 </c:v>
                </c:pt>
                <c:pt idx="50">
                  <c:v> T11.26 </c:v>
                </c:pt>
                <c:pt idx="51">
                  <c:v> T12.26 </c:v>
                </c:pt>
                <c:pt idx="52">
                  <c:v> BQ TT 2026 </c:v>
                </c:pt>
                <c:pt idx="53">
                  <c:v> BQ KH 2026 </c:v>
                </c:pt>
              </c:strCache>
            </c:strRef>
          </c:cat>
          <c:val>
            <c:numRef>
              <c:f>'18 KMP- Tháng (Tâm)'!$R$72:$BS$72</c:f>
              <c:numCache>
                <c:formatCode>0.0%;\-0.0%;;</c:formatCode>
                <c:ptCount val="54"/>
                <c:pt idx="0">
                  <c:v>5.0466366610560691E-2</c:v>
                </c:pt>
                <c:pt idx="1">
                  <c:v>5.2293995837781077E-2</c:v>
                </c:pt>
                <c:pt idx="2">
                  <c:v>4.2706602053780032E-2</c:v>
                </c:pt>
                <c:pt idx="3">
                  <c:v>5.0482582842108971E-2</c:v>
                </c:pt>
                <c:pt idx="4">
                  <c:v>5.0353117140882683E-2</c:v>
                </c:pt>
                <c:pt idx="5">
                  <c:v>5.3141986355352604E-2</c:v>
                </c:pt>
                <c:pt idx="6">
                  <c:v>5.2043820634979636E-2</c:v>
                </c:pt>
                <c:pt idx="7">
                  <c:v>5.4408756306695033E-2</c:v>
                </c:pt>
                <c:pt idx="8">
                  <c:v>5.7957552278198078E-2</c:v>
                </c:pt>
                <c:pt idx="9">
                  <c:v>5.0662788131025926E-2</c:v>
                </c:pt>
                <c:pt idx="10">
                  <c:v>5.4489774000224367E-2</c:v>
                </c:pt>
                <c:pt idx="11">
                  <c:v>5.4809579794744732E-2</c:v>
                </c:pt>
                <c:pt idx="12">
                  <c:v>5.1582973488587695E-2</c:v>
                </c:pt>
                <c:pt idx="13">
                  <c:v>5.2653317922712904E-2</c:v>
                </c:pt>
                <c:pt idx="14">
                  <c:v>5.0325752552508103E-2</c:v>
                </c:pt>
                <c:pt idx="15">
                  <c:v>5.2100020745933694E-2</c:v>
                </c:pt>
                <c:pt idx="16">
                  <c:v>5.4039146412174541E-2</c:v>
                </c:pt>
                <c:pt idx="17">
                  <c:v>5.041490922382709E-2</c:v>
                </c:pt>
                <c:pt idx="18">
                  <c:v>5.3624757693173715E-2</c:v>
                </c:pt>
                <c:pt idx="19">
                  <c:v>5.4195709694839833E-2</c:v>
                </c:pt>
                <c:pt idx="20">
                  <c:v>5.5587551778388984E-2</c:v>
                </c:pt>
                <c:pt idx="21">
                  <c:v>5.4248519178116981E-2</c:v>
                </c:pt>
                <c:pt idx="22">
                  <c:v>6.6010751658046443E-2</c:v>
                </c:pt>
                <c:pt idx="23">
                  <c:v>5.9386856771399502E-2</c:v>
                </c:pt>
                <c:pt idx="24">
                  <c:v>4.9440738155022652E-2</c:v>
                </c:pt>
                <c:pt idx="25">
                  <c:v>5.4162444026009997E-2</c:v>
                </c:pt>
                <c:pt idx="27">
                  <c:v>4.5314535926697277E-2</c:v>
                </c:pt>
                <c:pt idx="28">
                  <c:v>4.3658554028380696E-2</c:v>
                </c:pt>
                <c:pt idx="29">
                  <c:v>4.4999528814593868E-2</c:v>
                </c:pt>
                <c:pt idx="30">
                  <c:v>4.5043159908614114E-2</c:v>
                </c:pt>
                <c:pt idx="31">
                  <c:v>4.5062009202933469E-2</c:v>
                </c:pt>
                <c:pt idx="32">
                  <c:v>4.5448160410383347E-2</c:v>
                </c:pt>
                <c:pt idx="33">
                  <c:v>4.7817930471444878E-2</c:v>
                </c:pt>
                <c:pt idx="34">
                  <c:v>4.8153946457730884E-2</c:v>
                </c:pt>
                <c:pt idx="35">
                  <c:v>4.8153986874078673E-2</c:v>
                </c:pt>
                <c:pt idx="36">
                  <c:v>4.9433938347352463E-2</c:v>
                </c:pt>
                <c:pt idx="37">
                  <c:v>4.9395647520502933E-2</c:v>
                </c:pt>
                <c:pt idx="38">
                  <c:v>4.9297915805344192E-2</c:v>
                </c:pt>
                <c:pt idx="39">
                  <c:v>4.6905502338847896E-2</c:v>
                </c:pt>
                <c:pt idx="40">
                  <c:v>4.8850381273721578E-2</c:v>
                </c:pt>
                <c:pt idx="41">
                  <c:v>4.3582016272298373E-2</c:v>
                </c:pt>
                <c:pt idx="42">
                  <c:v>5.2768453345224071E-2</c:v>
                </c:pt>
                <c:pt idx="43">
                  <c:v>5.1674475231563606E-2</c:v>
                </c:pt>
                <c:pt idx="44">
                  <c:v>5.8246161753231572E-2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5.184900615571357E-2</c:v>
                </c:pt>
                <c:pt idx="53">
                  <c:v>4.6905502338847896E-2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80-4F4A-98AE-EFA541856494}"/>
            </c:ext>
          </c:extLst>
        </c:ser>
        <c:ser>
          <c:idx val="14"/>
          <c:order val="4"/>
          <c:tx>
            <c:strRef>
              <c:f>'18 KMP- Tháng (Tâm)'!$D$83</c:f>
              <c:strCache>
                <c:ptCount val="1"/>
                <c:pt idx="0">
                  <c:v>Thuê Xưởng, Kho, thuê máy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'18 KMP- Tháng (Tâm)'!$R$69:$BS$69</c:f>
              <c:strCache>
                <c:ptCount val="54"/>
                <c:pt idx="0">
                  <c:v> T1.24 </c:v>
                </c:pt>
                <c:pt idx="1">
                  <c:v> T2.24 </c:v>
                </c:pt>
                <c:pt idx="2">
                  <c:v> T3.24 </c:v>
                </c:pt>
                <c:pt idx="3">
                  <c:v> T4.24 </c:v>
                </c:pt>
                <c:pt idx="4">
                  <c:v> T5.24 </c:v>
                </c:pt>
                <c:pt idx="5">
                  <c:v> T6.24 </c:v>
                </c:pt>
                <c:pt idx="6">
                  <c:v> T7.24 </c:v>
                </c:pt>
                <c:pt idx="7">
                  <c:v> T8.24 </c:v>
                </c:pt>
                <c:pt idx="8">
                  <c:v> T9.24 </c:v>
                </c:pt>
                <c:pt idx="9">
                  <c:v> T10.24 </c:v>
                </c:pt>
                <c:pt idx="10">
                  <c:v> T11.24 </c:v>
                </c:pt>
                <c:pt idx="11">
                  <c:v> T12.24 </c:v>
                </c:pt>
                <c:pt idx="12">
                  <c:v> BQ TT 2024 </c:v>
                </c:pt>
                <c:pt idx="13">
                  <c:v> T1.25 </c:v>
                </c:pt>
                <c:pt idx="14">
                  <c:v> T2.25 </c:v>
                </c:pt>
                <c:pt idx="15">
                  <c:v> T3.25 </c:v>
                </c:pt>
                <c:pt idx="16">
                  <c:v> T4.25 </c:v>
                </c:pt>
                <c:pt idx="17">
                  <c:v> T5.25 </c:v>
                </c:pt>
                <c:pt idx="18">
                  <c:v> T6.25 </c:v>
                </c:pt>
                <c:pt idx="19">
                  <c:v> T7.25 </c:v>
                </c:pt>
                <c:pt idx="20">
                  <c:v> T8.25 </c:v>
                </c:pt>
                <c:pt idx="21">
                  <c:v> T9.25 </c:v>
                </c:pt>
                <c:pt idx="22">
                  <c:v> T10.25 </c:v>
                </c:pt>
                <c:pt idx="23">
                  <c:v> T11.25 </c:v>
                </c:pt>
                <c:pt idx="24">
                  <c:v> T12.25 </c:v>
                </c:pt>
                <c:pt idx="25">
                  <c:v> BQ TT 2025 </c:v>
                </c:pt>
                <c:pt idx="27">
                  <c:v> KH T1.2026 </c:v>
                </c:pt>
                <c:pt idx="28">
                  <c:v> KH T2.2026 </c:v>
                </c:pt>
                <c:pt idx="29">
                  <c:v> KH T3.2026 </c:v>
                </c:pt>
                <c:pt idx="30">
                  <c:v> KH T4.2026 </c:v>
                </c:pt>
                <c:pt idx="31">
                  <c:v> KH T5.2026 </c:v>
                </c:pt>
                <c:pt idx="32">
                  <c:v> KH T6.2026 </c:v>
                </c:pt>
                <c:pt idx="33">
                  <c:v> KH T7.2026 </c:v>
                </c:pt>
                <c:pt idx="34">
                  <c:v> KH T8.2026 </c:v>
                </c:pt>
                <c:pt idx="35">
                  <c:v> KH T9.2026 </c:v>
                </c:pt>
                <c:pt idx="36">
                  <c:v> KH T10.2026 </c:v>
                </c:pt>
                <c:pt idx="37">
                  <c:v> KH T11.2026 </c:v>
                </c:pt>
                <c:pt idx="38">
                  <c:v> KH T12.2026 </c:v>
                </c:pt>
                <c:pt idx="39">
                  <c:v> BQ KH 2026 </c:v>
                </c:pt>
                <c:pt idx="40">
                  <c:v> T1.26 </c:v>
                </c:pt>
                <c:pt idx="41">
                  <c:v> T2.26 </c:v>
                </c:pt>
                <c:pt idx="42">
                  <c:v> T3.26 </c:v>
                </c:pt>
                <c:pt idx="43">
                  <c:v> T4.26 </c:v>
                </c:pt>
                <c:pt idx="44">
                  <c:v> T5.26 </c:v>
                </c:pt>
                <c:pt idx="45">
                  <c:v> T6.26 </c:v>
                </c:pt>
                <c:pt idx="46">
                  <c:v> T7.26 </c:v>
                </c:pt>
                <c:pt idx="47">
                  <c:v> T8.26 </c:v>
                </c:pt>
                <c:pt idx="48">
                  <c:v> T9.26 </c:v>
                </c:pt>
                <c:pt idx="49">
                  <c:v> T10.26 </c:v>
                </c:pt>
                <c:pt idx="50">
                  <c:v> T11.26 </c:v>
                </c:pt>
                <c:pt idx="51">
                  <c:v> T12.26 </c:v>
                </c:pt>
                <c:pt idx="52">
                  <c:v> BQ TT 2026 </c:v>
                </c:pt>
                <c:pt idx="53">
                  <c:v> BQ KH 2026 </c:v>
                </c:pt>
              </c:strCache>
            </c:strRef>
          </c:cat>
          <c:val>
            <c:numRef>
              <c:f>'18 KMP- Tháng (Tâm)'!$R$83:$BS$83</c:f>
              <c:numCache>
                <c:formatCode>0.0%;\-0.0%;;</c:formatCode>
                <c:ptCount val="54"/>
                <c:pt idx="0">
                  <c:v>7.9866960997535888E-2</c:v>
                </c:pt>
                <c:pt idx="1">
                  <c:v>0.13005459772889719</c:v>
                </c:pt>
                <c:pt idx="2">
                  <c:v>6.3686109441418282E-2</c:v>
                </c:pt>
                <c:pt idx="3">
                  <c:v>6.5332164527492867E-2</c:v>
                </c:pt>
                <c:pt idx="4">
                  <c:v>6.8269584896132204E-2</c:v>
                </c:pt>
                <c:pt idx="5">
                  <c:v>8.3756570233222541E-2</c:v>
                </c:pt>
                <c:pt idx="6">
                  <c:v>0.13066696565400421</c:v>
                </c:pt>
                <c:pt idx="7">
                  <c:v>0.11780486974668938</c:v>
                </c:pt>
                <c:pt idx="8">
                  <c:v>9.4409111661272999E-2</c:v>
                </c:pt>
                <c:pt idx="9">
                  <c:v>6.3867488103246259E-2</c:v>
                </c:pt>
                <c:pt idx="10">
                  <c:v>5.809528894215886E-2</c:v>
                </c:pt>
                <c:pt idx="11">
                  <c:v>8.0105468008319816E-2</c:v>
                </c:pt>
                <c:pt idx="12">
                  <c:v>8.1332207480356203E-2</c:v>
                </c:pt>
                <c:pt idx="13">
                  <c:v>0.12756290144584209</c:v>
                </c:pt>
                <c:pt idx="14">
                  <c:v>9.1974707082000909E-2</c:v>
                </c:pt>
                <c:pt idx="15">
                  <c:v>6.1283260529020202E-2</c:v>
                </c:pt>
                <c:pt idx="16">
                  <c:v>6.6059128885899779E-2</c:v>
                </c:pt>
                <c:pt idx="17">
                  <c:v>5.778584922956765E-2</c:v>
                </c:pt>
                <c:pt idx="18">
                  <c:v>6.9783793288546642E-2</c:v>
                </c:pt>
                <c:pt idx="19">
                  <c:v>6.5638363936561375E-2</c:v>
                </c:pt>
                <c:pt idx="20">
                  <c:v>6.9171453286337253E-2</c:v>
                </c:pt>
                <c:pt idx="21">
                  <c:v>6.9642180502317005E-2</c:v>
                </c:pt>
                <c:pt idx="22">
                  <c:v>9.5584697960247017E-2</c:v>
                </c:pt>
                <c:pt idx="23">
                  <c:v>0.12487487964444585</c:v>
                </c:pt>
                <c:pt idx="24">
                  <c:v>8.2408081551486018E-2</c:v>
                </c:pt>
                <c:pt idx="25">
                  <c:v>7.6976807215329957E-2</c:v>
                </c:pt>
                <c:pt idx="27">
                  <c:v>5.6331010904313743E-2</c:v>
                </c:pt>
                <c:pt idx="28">
                  <c:v>6.567946851532111E-2</c:v>
                </c:pt>
                <c:pt idx="29">
                  <c:v>5.4238677333787559E-2</c:v>
                </c:pt>
                <c:pt idx="30">
                  <c:v>5.3796427698341372E-2</c:v>
                </c:pt>
                <c:pt idx="31">
                  <c:v>5.4220963295555862E-2</c:v>
                </c:pt>
                <c:pt idx="32">
                  <c:v>5.2859062632119612E-2</c:v>
                </c:pt>
                <c:pt idx="33">
                  <c:v>5.2032176632402019E-2</c:v>
                </c:pt>
                <c:pt idx="34">
                  <c:v>5.1742316354806792E-2</c:v>
                </c:pt>
                <c:pt idx="35">
                  <c:v>5.1660424058674576E-2</c:v>
                </c:pt>
                <c:pt idx="36">
                  <c:v>5.1589971579026096E-2</c:v>
                </c:pt>
                <c:pt idx="37">
                  <c:v>5.2061301205028859E-2</c:v>
                </c:pt>
                <c:pt idx="38">
                  <c:v>5.1631959846880945E-2</c:v>
                </c:pt>
                <c:pt idx="39">
                  <c:v>5.3756996546006082E-2</c:v>
                </c:pt>
                <c:pt idx="40">
                  <c:v>0.11196963016471681</c:v>
                </c:pt>
                <c:pt idx="41">
                  <c:v>0.16402065542894126</c:v>
                </c:pt>
                <c:pt idx="42">
                  <c:v>8.6630466176162171E-2</c:v>
                </c:pt>
                <c:pt idx="43">
                  <c:v>8.4462482407107339E-2</c:v>
                </c:pt>
                <c:pt idx="44">
                  <c:v>9.3204413724255128E-2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0.10175061679160412</c:v>
                </c:pt>
                <c:pt idx="53">
                  <c:v>5.3756996546006082E-2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80-4F4A-98AE-EFA541856494}"/>
            </c:ext>
          </c:extLst>
        </c:ser>
        <c:ser>
          <c:idx val="3"/>
          <c:order val="5"/>
          <c:tx>
            <c:strRef>
              <c:f>'18 KMP- Tháng (Tâm)'!$D$85</c:f>
              <c:strCache>
                <c:ptCount val="1"/>
                <c:pt idx="0">
                  <c:v>Khấu hao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'18 KMP- Tháng (Tâm)'!$R$69:$BS$69</c:f>
              <c:strCache>
                <c:ptCount val="54"/>
                <c:pt idx="0">
                  <c:v> T1.24 </c:v>
                </c:pt>
                <c:pt idx="1">
                  <c:v> T2.24 </c:v>
                </c:pt>
                <c:pt idx="2">
                  <c:v> T3.24 </c:v>
                </c:pt>
                <c:pt idx="3">
                  <c:v> T4.24 </c:v>
                </c:pt>
                <c:pt idx="4">
                  <c:v> T5.24 </c:v>
                </c:pt>
                <c:pt idx="5">
                  <c:v> T6.24 </c:v>
                </c:pt>
                <c:pt idx="6">
                  <c:v> T7.24 </c:v>
                </c:pt>
                <c:pt idx="7">
                  <c:v> T8.24 </c:v>
                </c:pt>
                <c:pt idx="8">
                  <c:v> T9.24 </c:v>
                </c:pt>
                <c:pt idx="9">
                  <c:v> T10.24 </c:v>
                </c:pt>
                <c:pt idx="10">
                  <c:v> T11.24 </c:v>
                </c:pt>
                <c:pt idx="11">
                  <c:v> T12.24 </c:v>
                </c:pt>
                <c:pt idx="12">
                  <c:v> BQ TT 2024 </c:v>
                </c:pt>
                <c:pt idx="13">
                  <c:v> T1.25 </c:v>
                </c:pt>
                <c:pt idx="14">
                  <c:v> T2.25 </c:v>
                </c:pt>
                <c:pt idx="15">
                  <c:v> T3.25 </c:v>
                </c:pt>
                <c:pt idx="16">
                  <c:v> T4.25 </c:v>
                </c:pt>
                <c:pt idx="17">
                  <c:v> T5.25 </c:v>
                </c:pt>
                <c:pt idx="18">
                  <c:v> T6.25 </c:v>
                </c:pt>
                <c:pt idx="19">
                  <c:v> T7.25 </c:v>
                </c:pt>
                <c:pt idx="20">
                  <c:v> T8.25 </c:v>
                </c:pt>
                <c:pt idx="21">
                  <c:v> T9.25 </c:v>
                </c:pt>
                <c:pt idx="22">
                  <c:v> T10.25 </c:v>
                </c:pt>
                <c:pt idx="23">
                  <c:v> T11.25 </c:v>
                </c:pt>
                <c:pt idx="24">
                  <c:v> T12.25 </c:v>
                </c:pt>
                <c:pt idx="25">
                  <c:v> BQ TT 2025 </c:v>
                </c:pt>
                <c:pt idx="27">
                  <c:v> KH T1.2026 </c:v>
                </c:pt>
                <c:pt idx="28">
                  <c:v> KH T2.2026 </c:v>
                </c:pt>
                <c:pt idx="29">
                  <c:v> KH T3.2026 </c:v>
                </c:pt>
                <c:pt idx="30">
                  <c:v> KH T4.2026 </c:v>
                </c:pt>
                <c:pt idx="31">
                  <c:v> KH T5.2026 </c:v>
                </c:pt>
                <c:pt idx="32">
                  <c:v> KH T6.2026 </c:v>
                </c:pt>
                <c:pt idx="33">
                  <c:v> KH T7.2026 </c:v>
                </c:pt>
                <c:pt idx="34">
                  <c:v> KH T8.2026 </c:v>
                </c:pt>
                <c:pt idx="35">
                  <c:v> KH T9.2026 </c:v>
                </c:pt>
                <c:pt idx="36">
                  <c:v> KH T10.2026 </c:v>
                </c:pt>
                <c:pt idx="37">
                  <c:v> KH T11.2026 </c:v>
                </c:pt>
                <c:pt idx="38">
                  <c:v> KH T12.2026 </c:v>
                </c:pt>
                <c:pt idx="39">
                  <c:v> BQ KH 2026 </c:v>
                </c:pt>
                <c:pt idx="40">
                  <c:v> T1.26 </c:v>
                </c:pt>
                <c:pt idx="41">
                  <c:v> T2.26 </c:v>
                </c:pt>
                <c:pt idx="42">
                  <c:v> T3.26 </c:v>
                </c:pt>
                <c:pt idx="43">
                  <c:v> T4.26 </c:v>
                </c:pt>
                <c:pt idx="44">
                  <c:v> T5.26 </c:v>
                </c:pt>
                <c:pt idx="45">
                  <c:v> T6.26 </c:v>
                </c:pt>
                <c:pt idx="46">
                  <c:v> T7.26 </c:v>
                </c:pt>
                <c:pt idx="47">
                  <c:v> T8.26 </c:v>
                </c:pt>
                <c:pt idx="48">
                  <c:v> T9.26 </c:v>
                </c:pt>
                <c:pt idx="49">
                  <c:v> T10.26 </c:v>
                </c:pt>
                <c:pt idx="50">
                  <c:v> T11.26 </c:v>
                </c:pt>
                <c:pt idx="51">
                  <c:v> T12.26 </c:v>
                </c:pt>
                <c:pt idx="52">
                  <c:v> BQ TT 2026 </c:v>
                </c:pt>
                <c:pt idx="53">
                  <c:v> BQ KH 2026 </c:v>
                </c:pt>
              </c:strCache>
            </c:strRef>
          </c:cat>
          <c:val>
            <c:numRef>
              <c:f>'18 KMP- Tháng (Tâm)'!$R$85:$BR$85</c:f>
              <c:numCache>
                <c:formatCode>0.0%;\-0.0%;;</c:formatCode>
                <c:ptCount val="53"/>
                <c:pt idx="0">
                  <c:v>1.2136631745304639E-3</c:v>
                </c:pt>
                <c:pt idx="1">
                  <c:v>1.7298837093348677E-3</c:v>
                </c:pt>
                <c:pt idx="2">
                  <c:v>2.4060403454184438E-2</c:v>
                </c:pt>
                <c:pt idx="3">
                  <c:v>2.5615314996508431E-2</c:v>
                </c:pt>
                <c:pt idx="4">
                  <c:v>2.7511546635251495E-2</c:v>
                </c:pt>
                <c:pt idx="5">
                  <c:v>3.3787808962601557E-2</c:v>
                </c:pt>
                <c:pt idx="6">
                  <c:v>5.3301755644952112E-2</c:v>
                </c:pt>
                <c:pt idx="7">
                  <c:v>4.8382031539516895E-2</c:v>
                </c:pt>
                <c:pt idx="8">
                  <c:v>4.0517061030447159E-2</c:v>
                </c:pt>
                <c:pt idx="9">
                  <c:v>2.9779568538878663E-2</c:v>
                </c:pt>
                <c:pt idx="10">
                  <c:v>2.7815681317514652E-2</c:v>
                </c:pt>
                <c:pt idx="11">
                  <c:v>3.9916571330127375E-2</c:v>
                </c:pt>
                <c:pt idx="12">
                  <c:v>2.7773455536599708E-2</c:v>
                </c:pt>
                <c:pt idx="13">
                  <c:v>6.0102908465010742E-2</c:v>
                </c:pt>
                <c:pt idx="14">
                  <c:v>4.3353804073948135E-2</c:v>
                </c:pt>
                <c:pt idx="15">
                  <c:v>3.0239652942798262E-2</c:v>
                </c:pt>
                <c:pt idx="16">
                  <c:v>3.2244410982211084E-2</c:v>
                </c:pt>
                <c:pt idx="17">
                  <c:v>2.9544193887861937E-2</c:v>
                </c:pt>
                <c:pt idx="18">
                  <c:v>3.2392501633996242E-2</c:v>
                </c:pt>
                <c:pt idx="19">
                  <c:v>2.9533382434512014E-2</c:v>
                </c:pt>
                <c:pt idx="20">
                  <c:v>2.9564146488793047E-2</c:v>
                </c:pt>
                <c:pt idx="21">
                  <c:v>3.2238526764041327E-2</c:v>
                </c:pt>
                <c:pt idx="22">
                  <c:v>4.2198729333809123E-2</c:v>
                </c:pt>
                <c:pt idx="23">
                  <c:v>5.7366260379184734E-2</c:v>
                </c:pt>
                <c:pt idx="24">
                  <c:v>4.2339071067599529E-2</c:v>
                </c:pt>
                <c:pt idx="25">
                  <c:v>3.616360153020811E-2</c:v>
                </c:pt>
                <c:pt idx="27">
                  <c:v>5.1152715693836399E-2</c:v>
                </c:pt>
                <c:pt idx="28">
                  <c:v>6.4032528537712519E-2</c:v>
                </c:pt>
                <c:pt idx="29">
                  <c:v>5.3681376457789858E-2</c:v>
                </c:pt>
                <c:pt idx="30">
                  <c:v>5.3564019557851575E-2</c:v>
                </c:pt>
                <c:pt idx="31">
                  <c:v>5.4137154156103706E-2</c:v>
                </c:pt>
                <c:pt idx="32">
                  <c:v>5.4082519049019118E-2</c:v>
                </c:pt>
                <c:pt idx="33">
                  <c:v>5.3236494250162393E-2</c:v>
                </c:pt>
                <c:pt idx="34">
                  <c:v>5.2939924973221184E-2</c:v>
                </c:pt>
                <c:pt idx="35">
                  <c:v>5.2856137228130762E-2</c:v>
                </c:pt>
                <c:pt idx="36">
                  <c:v>5.2784054081307721E-2</c:v>
                </c:pt>
                <c:pt idx="37">
                  <c:v>5.3266292929432364E-2</c:v>
                </c:pt>
                <c:pt idx="38">
                  <c:v>5.2937237204096897E-2</c:v>
                </c:pt>
                <c:pt idx="39">
                  <c:v>5.389592161617611E-2</c:v>
                </c:pt>
                <c:pt idx="40">
                  <c:v>2.4709111615129665E-2</c:v>
                </c:pt>
                <c:pt idx="41">
                  <c:v>3.5647594701287671E-2</c:v>
                </c:pt>
                <c:pt idx="42">
                  <c:v>1.9040706319039931E-2</c:v>
                </c:pt>
                <c:pt idx="43">
                  <c:v>2.0018604947155492E-2</c:v>
                </c:pt>
                <c:pt idx="44">
                  <c:v>2.2604399528785731E-2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2.3145049389658907E-2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80-4F4A-98AE-EFA541856494}"/>
            </c:ext>
          </c:extLst>
        </c:ser>
        <c:ser>
          <c:idx val="4"/>
          <c:order val="6"/>
          <c:tx>
            <c:strRef>
              <c:f>'18 KMP- Tháng (Tâm)'!$D$73</c:f>
              <c:strCache>
                <c:ptCount val="1"/>
                <c:pt idx="0">
                  <c:v>Chi phí bán hàng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'18 KMP- Tháng (Tâm)'!$R$69:$BS$69</c:f>
              <c:strCache>
                <c:ptCount val="54"/>
                <c:pt idx="0">
                  <c:v> T1.24 </c:v>
                </c:pt>
                <c:pt idx="1">
                  <c:v> T2.24 </c:v>
                </c:pt>
                <c:pt idx="2">
                  <c:v> T3.24 </c:v>
                </c:pt>
                <c:pt idx="3">
                  <c:v> T4.24 </c:v>
                </c:pt>
                <c:pt idx="4">
                  <c:v> T5.24 </c:v>
                </c:pt>
                <c:pt idx="5">
                  <c:v> T6.24 </c:v>
                </c:pt>
                <c:pt idx="6">
                  <c:v> T7.24 </c:v>
                </c:pt>
                <c:pt idx="7">
                  <c:v> T8.24 </c:v>
                </c:pt>
                <c:pt idx="8">
                  <c:v> T9.24 </c:v>
                </c:pt>
                <c:pt idx="9">
                  <c:v> T10.24 </c:v>
                </c:pt>
                <c:pt idx="10">
                  <c:v> T11.24 </c:v>
                </c:pt>
                <c:pt idx="11">
                  <c:v> T12.24 </c:v>
                </c:pt>
                <c:pt idx="12">
                  <c:v> BQ TT 2024 </c:v>
                </c:pt>
                <c:pt idx="13">
                  <c:v> T1.25 </c:v>
                </c:pt>
                <c:pt idx="14">
                  <c:v> T2.25 </c:v>
                </c:pt>
                <c:pt idx="15">
                  <c:v> T3.25 </c:v>
                </c:pt>
                <c:pt idx="16">
                  <c:v> T4.25 </c:v>
                </c:pt>
                <c:pt idx="17">
                  <c:v> T5.25 </c:v>
                </c:pt>
                <c:pt idx="18">
                  <c:v> T6.25 </c:v>
                </c:pt>
                <c:pt idx="19">
                  <c:v> T7.25 </c:v>
                </c:pt>
                <c:pt idx="20">
                  <c:v> T8.25 </c:v>
                </c:pt>
                <c:pt idx="21">
                  <c:v> T9.25 </c:v>
                </c:pt>
                <c:pt idx="22">
                  <c:v> T10.25 </c:v>
                </c:pt>
                <c:pt idx="23">
                  <c:v> T11.25 </c:v>
                </c:pt>
                <c:pt idx="24">
                  <c:v> T12.25 </c:v>
                </c:pt>
                <c:pt idx="25">
                  <c:v> BQ TT 2025 </c:v>
                </c:pt>
                <c:pt idx="27">
                  <c:v> KH T1.2026 </c:v>
                </c:pt>
                <c:pt idx="28">
                  <c:v> KH T2.2026 </c:v>
                </c:pt>
                <c:pt idx="29">
                  <c:v> KH T3.2026 </c:v>
                </c:pt>
                <c:pt idx="30">
                  <c:v> KH T4.2026 </c:v>
                </c:pt>
                <c:pt idx="31">
                  <c:v> KH T5.2026 </c:v>
                </c:pt>
                <c:pt idx="32">
                  <c:v> KH T6.2026 </c:v>
                </c:pt>
                <c:pt idx="33">
                  <c:v> KH T7.2026 </c:v>
                </c:pt>
                <c:pt idx="34">
                  <c:v> KH T8.2026 </c:v>
                </c:pt>
                <c:pt idx="35">
                  <c:v> KH T9.2026 </c:v>
                </c:pt>
                <c:pt idx="36">
                  <c:v> KH T10.2026 </c:v>
                </c:pt>
                <c:pt idx="37">
                  <c:v> KH T11.2026 </c:v>
                </c:pt>
                <c:pt idx="38">
                  <c:v> KH T12.2026 </c:v>
                </c:pt>
                <c:pt idx="39">
                  <c:v> BQ KH 2026 </c:v>
                </c:pt>
                <c:pt idx="40">
                  <c:v> T1.26 </c:v>
                </c:pt>
                <c:pt idx="41">
                  <c:v> T2.26 </c:v>
                </c:pt>
                <c:pt idx="42">
                  <c:v> T3.26 </c:v>
                </c:pt>
                <c:pt idx="43">
                  <c:v> T4.26 </c:v>
                </c:pt>
                <c:pt idx="44">
                  <c:v> T5.26 </c:v>
                </c:pt>
                <c:pt idx="45">
                  <c:v> T6.26 </c:v>
                </c:pt>
                <c:pt idx="46">
                  <c:v> T7.26 </c:v>
                </c:pt>
                <c:pt idx="47">
                  <c:v> T8.26 </c:v>
                </c:pt>
                <c:pt idx="48">
                  <c:v> T9.26 </c:v>
                </c:pt>
                <c:pt idx="49">
                  <c:v> T10.26 </c:v>
                </c:pt>
                <c:pt idx="50">
                  <c:v> T11.26 </c:v>
                </c:pt>
                <c:pt idx="51">
                  <c:v> T12.26 </c:v>
                </c:pt>
                <c:pt idx="52">
                  <c:v> BQ TT 2026 </c:v>
                </c:pt>
                <c:pt idx="53">
                  <c:v> BQ KH 2026 </c:v>
                </c:pt>
              </c:strCache>
            </c:strRef>
          </c:cat>
          <c:val>
            <c:numRef>
              <c:f>'18 KMP- Tháng (Tâm)'!$R$73:$BR$73</c:f>
              <c:numCache>
                <c:formatCode>0.0%;\-0.0%;;</c:formatCode>
                <c:ptCount val="53"/>
                <c:pt idx="0">
                  <c:v>2.03480189335287E-4</c:v>
                </c:pt>
                <c:pt idx="1">
                  <c:v>0</c:v>
                </c:pt>
                <c:pt idx="2">
                  <c:v>-7.073955290761348E-5</c:v>
                </c:pt>
                <c:pt idx="3">
                  <c:v>0</c:v>
                </c:pt>
                <c:pt idx="4">
                  <c:v>3.9967172406671147E-4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4.8446400851418945E-4</c:v>
                </c:pt>
                <c:pt idx="11">
                  <c:v>0</c:v>
                </c:pt>
                <c:pt idx="12">
                  <c:v>6.7075469790960573E-5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980-4F4A-98AE-EFA541856494}"/>
            </c:ext>
          </c:extLst>
        </c:ser>
        <c:ser>
          <c:idx val="5"/>
          <c:order val="7"/>
          <c:tx>
            <c:strRef>
              <c:f>'18 KMP- Tháng (Tâm)'!$D$74</c:f>
              <c:strCache>
                <c:ptCount val="1"/>
                <c:pt idx="0">
                  <c:v>Phụ gia theo Bom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'18 KMP- Tháng (Tâm)'!$R$69:$BS$69</c:f>
              <c:strCache>
                <c:ptCount val="54"/>
                <c:pt idx="0">
                  <c:v> T1.24 </c:v>
                </c:pt>
                <c:pt idx="1">
                  <c:v> T2.24 </c:v>
                </c:pt>
                <c:pt idx="2">
                  <c:v> T3.24 </c:v>
                </c:pt>
                <c:pt idx="3">
                  <c:v> T4.24 </c:v>
                </c:pt>
                <c:pt idx="4">
                  <c:v> T5.24 </c:v>
                </c:pt>
                <c:pt idx="5">
                  <c:v> T6.24 </c:v>
                </c:pt>
                <c:pt idx="6">
                  <c:v> T7.24 </c:v>
                </c:pt>
                <c:pt idx="7">
                  <c:v> T8.24 </c:v>
                </c:pt>
                <c:pt idx="8">
                  <c:v> T9.24 </c:v>
                </c:pt>
                <c:pt idx="9">
                  <c:v> T10.24 </c:v>
                </c:pt>
                <c:pt idx="10">
                  <c:v> T11.24 </c:v>
                </c:pt>
                <c:pt idx="11">
                  <c:v> T12.24 </c:v>
                </c:pt>
                <c:pt idx="12">
                  <c:v> BQ TT 2024 </c:v>
                </c:pt>
                <c:pt idx="13">
                  <c:v> T1.25 </c:v>
                </c:pt>
                <c:pt idx="14">
                  <c:v> T2.25 </c:v>
                </c:pt>
                <c:pt idx="15">
                  <c:v> T3.25 </c:v>
                </c:pt>
                <c:pt idx="16">
                  <c:v> T4.25 </c:v>
                </c:pt>
                <c:pt idx="17">
                  <c:v> T5.25 </c:v>
                </c:pt>
                <c:pt idx="18">
                  <c:v> T6.25 </c:v>
                </c:pt>
                <c:pt idx="19">
                  <c:v> T7.25 </c:v>
                </c:pt>
                <c:pt idx="20">
                  <c:v> T8.25 </c:v>
                </c:pt>
                <c:pt idx="21">
                  <c:v> T9.25 </c:v>
                </c:pt>
                <c:pt idx="22">
                  <c:v> T10.25 </c:v>
                </c:pt>
                <c:pt idx="23">
                  <c:v> T11.25 </c:v>
                </c:pt>
                <c:pt idx="24">
                  <c:v> T12.25 </c:v>
                </c:pt>
                <c:pt idx="25">
                  <c:v> BQ TT 2025 </c:v>
                </c:pt>
                <c:pt idx="27">
                  <c:v> KH T1.2026 </c:v>
                </c:pt>
                <c:pt idx="28">
                  <c:v> KH T2.2026 </c:v>
                </c:pt>
                <c:pt idx="29">
                  <c:v> KH T3.2026 </c:v>
                </c:pt>
                <c:pt idx="30">
                  <c:v> KH T4.2026 </c:v>
                </c:pt>
                <c:pt idx="31">
                  <c:v> KH T5.2026 </c:v>
                </c:pt>
                <c:pt idx="32">
                  <c:v> KH T6.2026 </c:v>
                </c:pt>
                <c:pt idx="33">
                  <c:v> KH T7.2026 </c:v>
                </c:pt>
                <c:pt idx="34">
                  <c:v> KH T8.2026 </c:v>
                </c:pt>
                <c:pt idx="35">
                  <c:v> KH T9.2026 </c:v>
                </c:pt>
                <c:pt idx="36">
                  <c:v> KH T10.2026 </c:v>
                </c:pt>
                <c:pt idx="37">
                  <c:v> KH T11.2026 </c:v>
                </c:pt>
                <c:pt idx="38">
                  <c:v> KH T12.2026 </c:v>
                </c:pt>
                <c:pt idx="39">
                  <c:v> BQ KH 2026 </c:v>
                </c:pt>
                <c:pt idx="40">
                  <c:v> T1.26 </c:v>
                </c:pt>
                <c:pt idx="41">
                  <c:v> T2.26 </c:v>
                </c:pt>
                <c:pt idx="42">
                  <c:v> T3.26 </c:v>
                </c:pt>
                <c:pt idx="43">
                  <c:v> T4.26 </c:v>
                </c:pt>
                <c:pt idx="44">
                  <c:v> T5.26 </c:v>
                </c:pt>
                <c:pt idx="45">
                  <c:v> T6.26 </c:v>
                </c:pt>
                <c:pt idx="46">
                  <c:v> T7.26 </c:v>
                </c:pt>
                <c:pt idx="47">
                  <c:v> T8.26 </c:v>
                </c:pt>
                <c:pt idx="48">
                  <c:v> T9.26 </c:v>
                </c:pt>
                <c:pt idx="49">
                  <c:v> T10.26 </c:v>
                </c:pt>
                <c:pt idx="50">
                  <c:v> T11.26 </c:v>
                </c:pt>
                <c:pt idx="51">
                  <c:v> T12.26 </c:v>
                </c:pt>
                <c:pt idx="52">
                  <c:v> BQ TT 2026 </c:v>
                </c:pt>
                <c:pt idx="53">
                  <c:v> BQ KH 2026 </c:v>
                </c:pt>
              </c:strCache>
            </c:strRef>
          </c:cat>
          <c:val>
            <c:numRef>
              <c:f>'18 KMP- Tháng (Tâm)'!$R$74:$BR$74</c:f>
              <c:numCache>
                <c:formatCode>0.0%;\-0.0%;;</c:formatCode>
                <c:ptCount val="53"/>
                <c:pt idx="0">
                  <c:v>1.595794244404539E-2</c:v>
                </c:pt>
                <c:pt idx="1">
                  <c:v>1.9241671580907678E-2</c:v>
                </c:pt>
                <c:pt idx="2">
                  <c:v>1.4853808138701166E-2</c:v>
                </c:pt>
                <c:pt idx="3">
                  <c:v>8.9720394842491905E-3</c:v>
                </c:pt>
                <c:pt idx="4">
                  <c:v>8.7991037425008498E-3</c:v>
                </c:pt>
                <c:pt idx="5">
                  <c:v>6.5657464702683658E-3</c:v>
                </c:pt>
                <c:pt idx="6">
                  <c:v>1.86652271453727E-2</c:v>
                </c:pt>
                <c:pt idx="7">
                  <c:v>8.5803961292058566E-3</c:v>
                </c:pt>
                <c:pt idx="8">
                  <c:v>1.3418387401463261E-2</c:v>
                </c:pt>
                <c:pt idx="9">
                  <c:v>1.7421438576803745E-2</c:v>
                </c:pt>
                <c:pt idx="10">
                  <c:v>1.4718550492395606E-2</c:v>
                </c:pt>
                <c:pt idx="11">
                  <c:v>3.6209541961516761E-3</c:v>
                </c:pt>
                <c:pt idx="12">
                  <c:v>1.2514443008961911E-2</c:v>
                </c:pt>
                <c:pt idx="13">
                  <c:v>5.6019229534797106E-3</c:v>
                </c:pt>
                <c:pt idx="14">
                  <c:v>1.0685247086294513E-2</c:v>
                </c:pt>
                <c:pt idx="15">
                  <c:v>1.2602259780783474E-2</c:v>
                </c:pt>
                <c:pt idx="16">
                  <c:v>1.444928477642048E-2</c:v>
                </c:pt>
                <c:pt idx="17">
                  <c:v>1.5082977976903587E-2</c:v>
                </c:pt>
                <c:pt idx="18">
                  <c:v>1.6594939476519022E-2</c:v>
                </c:pt>
                <c:pt idx="19">
                  <c:v>1.9566407191098228E-2</c:v>
                </c:pt>
                <c:pt idx="20">
                  <c:v>1.7599311536966065E-2</c:v>
                </c:pt>
                <c:pt idx="21">
                  <c:v>1.5194598710130435E-2</c:v>
                </c:pt>
                <c:pt idx="22">
                  <c:v>6.6031651144914678E-3</c:v>
                </c:pt>
                <c:pt idx="23">
                  <c:v>8.033467271714289E-3</c:v>
                </c:pt>
                <c:pt idx="24">
                  <c:v>1.1631964410854741E-2</c:v>
                </c:pt>
                <c:pt idx="25">
                  <c:v>1.3641853099829411E-2</c:v>
                </c:pt>
                <c:pt idx="27">
                  <c:v>1.2354771257937358E-2</c:v>
                </c:pt>
                <c:pt idx="28">
                  <c:v>1.2128263456000302E-2</c:v>
                </c:pt>
                <c:pt idx="29">
                  <c:v>1.2599340424266709E-2</c:v>
                </c:pt>
                <c:pt idx="30">
                  <c:v>1.2496608315310517E-2</c:v>
                </c:pt>
                <c:pt idx="31">
                  <c:v>1.2595225552574758E-2</c:v>
                </c:pt>
                <c:pt idx="32">
                  <c:v>1.2571778068509305E-2</c:v>
                </c:pt>
                <c:pt idx="33">
                  <c:v>1.248862807626587E-2</c:v>
                </c:pt>
                <c:pt idx="34">
                  <c:v>1.2705782600071934E-2</c:v>
                </c:pt>
                <c:pt idx="35">
                  <c:v>1.2399400987757226E-2</c:v>
                </c:pt>
                <c:pt idx="36">
                  <c:v>1.2668372995367477E-2</c:v>
                </c:pt>
                <c:pt idx="37">
                  <c:v>1.2495618480645575E-2</c:v>
                </c:pt>
                <c:pt idx="38">
                  <c:v>1.2678683585242484E-2</c:v>
                </c:pt>
                <c:pt idx="39">
                  <c:v>1.2522829247893899E-2</c:v>
                </c:pt>
                <c:pt idx="40">
                  <c:v>1.0768143563645251E-2</c:v>
                </c:pt>
                <c:pt idx="41">
                  <c:v>5.1075553472287264E-3</c:v>
                </c:pt>
                <c:pt idx="42">
                  <c:v>1.6484739435024369E-2</c:v>
                </c:pt>
                <c:pt idx="43">
                  <c:v>1.2638349283693579E-2</c:v>
                </c:pt>
                <c:pt idx="44">
                  <c:v>1.8255741861045637E-2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1.3494134688277475E-2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980-4F4A-98AE-EFA541856494}"/>
            </c:ext>
          </c:extLst>
        </c:ser>
        <c:ser>
          <c:idx val="6"/>
          <c:order val="8"/>
          <c:tx>
            <c:strRef>
              <c:f>'18 KMP- Tháng (Tâm)'!$D$75</c:f>
              <c:strCache>
                <c:ptCount val="1"/>
                <c:pt idx="0">
                  <c:v>Vật liệu phục vụ SX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'18 KMP- Tháng (Tâm)'!$R$69:$BS$69</c:f>
              <c:strCache>
                <c:ptCount val="54"/>
                <c:pt idx="0">
                  <c:v> T1.24 </c:v>
                </c:pt>
                <c:pt idx="1">
                  <c:v> T2.24 </c:v>
                </c:pt>
                <c:pt idx="2">
                  <c:v> T3.24 </c:v>
                </c:pt>
                <c:pt idx="3">
                  <c:v> T4.24 </c:v>
                </c:pt>
                <c:pt idx="4">
                  <c:v> T5.24 </c:v>
                </c:pt>
                <c:pt idx="5">
                  <c:v> T6.24 </c:v>
                </c:pt>
                <c:pt idx="6">
                  <c:v> T7.24 </c:v>
                </c:pt>
                <c:pt idx="7">
                  <c:v> T8.24 </c:v>
                </c:pt>
                <c:pt idx="8">
                  <c:v> T9.24 </c:v>
                </c:pt>
                <c:pt idx="9">
                  <c:v> T10.24 </c:v>
                </c:pt>
                <c:pt idx="10">
                  <c:v> T11.24 </c:v>
                </c:pt>
                <c:pt idx="11">
                  <c:v> T12.24 </c:v>
                </c:pt>
                <c:pt idx="12">
                  <c:v> BQ TT 2024 </c:v>
                </c:pt>
                <c:pt idx="13">
                  <c:v> T1.25 </c:v>
                </c:pt>
                <c:pt idx="14">
                  <c:v> T2.25 </c:v>
                </c:pt>
                <c:pt idx="15">
                  <c:v> T3.25 </c:v>
                </c:pt>
                <c:pt idx="16">
                  <c:v> T4.25 </c:v>
                </c:pt>
                <c:pt idx="17">
                  <c:v> T5.25 </c:v>
                </c:pt>
                <c:pt idx="18">
                  <c:v> T6.25 </c:v>
                </c:pt>
                <c:pt idx="19">
                  <c:v> T7.25 </c:v>
                </c:pt>
                <c:pt idx="20">
                  <c:v> T8.25 </c:v>
                </c:pt>
                <c:pt idx="21">
                  <c:v> T9.25 </c:v>
                </c:pt>
                <c:pt idx="22">
                  <c:v> T10.25 </c:v>
                </c:pt>
                <c:pt idx="23">
                  <c:v> T11.25 </c:v>
                </c:pt>
                <c:pt idx="24">
                  <c:v> T12.25 </c:v>
                </c:pt>
                <c:pt idx="25">
                  <c:v> BQ TT 2025 </c:v>
                </c:pt>
                <c:pt idx="27">
                  <c:v> KH T1.2026 </c:v>
                </c:pt>
                <c:pt idx="28">
                  <c:v> KH T2.2026 </c:v>
                </c:pt>
                <c:pt idx="29">
                  <c:v> KH T3.2026 </c:v>
                </c:pt>
                <c:pt idx="30">
                  <c:v> KH T4.2026 </c:v>
                </c:pt>
                <c:pt idx="31">
                  <c:v> KH T5.2026 </c:v>
                </c:pt>
                <c:pt idx="32">
                  <c:v> KH T6.2026 </c:v>
                </c:pt>
                <c:pt idx="33">
                  <c:v> KH T7.2026 </c:v>
                </c:pt>
                <c:pt idx="34">
                  <c:v> KH T8.2026 </c:v>
                </c:pt>
                <c:pt idx="35">
                  <c:v> KH T9.2026 </c:v>
                </c:pt>
                <c:pt idx="36">
                  <c:v> KH T10.2026 </c:v>
                </c:pt>
                <c:pt idx="37">
                  <c:v> KH T11.2026 </c:v>
                </c:pt>
                <c:pt idx="38">
                  <c:v> KH T12.2026 </c:v>
                </c:pt>
                <c:pt idx="39">
                  <c:v> BQ KH 2026 </c:v>
                </c:pt>
                <c:pt idx="40">
                  <c:v> T1.26 </c:v>
                </c:pt>
                <c:pt idx="41">
                  <c:v> T2.26 </c:v>
                </c:pt>
                <c:pt idx="42">
                  <c:v> T3.26 </c:v>
                </c:pt>
                <c:pt idx="43">
                  <c:v> T4.26 </c:v>
                </c:pt>
                <c:pt idx="44">
                  <c:v> T5.26 </c:v>
                </c:pt>
                <c:pt idx="45">
                  <c:v> T6.26 </c:v>
                </c:pt>
                <c:pt idx="46">
                  <c:v> T7.26 </c:v>
                </c:pt>
                <c:pt idx="47">
                  <c:v> T8.26 </c:v>
                </c:pt>
                <c:pt idx="48">
                  <c:v> T9.26 </c:v>
                </c:pt>
                <c:pt idx="49">
                  <c:v> T10.26 </c:v>
                </c:pt>
                <c:pt idx="50">
                  <c:v> T11.26 </c:v>
                </c:pt>
                <c:pt idx="51">
                  <c:v> T12.26 </c:v>
                </c:pt>
                <c:pt idx="52">
                  <c:v> BQ TT 2026 </c:v>
                </c:pt>
                <c:pt idx="53">
                  <c:v> BQ KH 2026 </c:v>
                </c:pt>
              </c:strCache>
            </c:strRef>
          </c:cat>
          <c:val>
            <c:numRef>
              <c:f>'18 KMP- Tháng (Tâm)'!$R$75:$BR$75</c:f>
              <c:numCache>
                <c:formatCode>0.0%;\-0.0%;;</c:formatCode>
                <c:ptCount val="53"/>
                <c:pt idx="0">
                  <c:v>9.4491297109887493E-3</c:v>
                </c:pt>
                <c:pt idx="1">
                  <c:v>6.2726305619408658E-3</c:v>
                </c:pt>
                <c:pt idx="2">
                  <c:v>6.9950553152793825E-3</c:v>
                </c:pt>
                <c:pt idx="3">
                  <c:v>1.1276546070843585E-2</c:v>
                </c:pt>
                <c:pt idx="4">
                  <c:v>7.9979805575484692E-3</c:v>
                </c:pt>
                <c:pt idx="5">
                  <c:v>1.0006841105898221E-2</c:v>
                </c:pt>
                <c:pt idx="6">
                  <c:v>7.2810571544662459E-3</c:v>
                </c:pt>
                <c:pt idx="7">
                  <c:v>8.5336225367863387E-3</c:v>
                </c:pt>
                <c:pt idx="8">
                  <c:v>7.290737946225128E-3</c:v>
                </c:pt>
                <c:pt idx="9">
                  <c:v>5.5230573667041849E-3</c:v>
                </c:pt>
                <c:pt idx="10">
                  <c:v>3.2372675042169324E-3</c:v>
                </c:pt>
                <c:pt idx="11">
                  <c:v>6.8252040708415198E-3</c:v>
                </c:pt>
                <c:pt idx="12">
                  <c:v>7.5344772262244336E-3</c:v>
                </c:pt>
                <c:pt idx="13">
                  <c:v>1.0191436690890336E-2</c:v>
                </c:pt>
                <c:pt idx="14">
                  <c:v>7.6677329464790341E-3</c:v>
                </c:pt>
                <c:pt idx="15">
                  <c:v>5.0659703899542351E-3</c:v>
                </c:pt>
                <c:pt idx="16">
                  <c:v>8.4042266700173687E-3</c:v>
                </c:pt>
                <c:pt idx="17">
                  <c:v>5.2966322219936092E-3</c:v>
                </c:pt>
                <c:pt idx="18">
                  <c:v>5.9768133165484056E-3</c:v>
                </c:pt>
                <c:pt idx="19">
                  <c:v>5.4673276717315785E-3</c:v>
                </c:pt>
                <c:pt idx="20">
                  <c:v>6.3471627306800789E-3</c:v>
                </c:pt>
                <c:pt idx="21">
                  <c:v>5.9519718873666692E-3</c:v>
                </c:pt>
                <c:pt idx="22">
                  <c:v>5.1613178392343837E-3</c:v>
                </c:pt>
                <c:pt idx="23">
                  <c:v>7.9241852346947986E-3</c:v>
                </c:pt>
                <c:pt idx="24">
                  <c:v>6.1592227461462253E-3</c:v>
                </c:pt>
                <c:pt idx="25">
                  <c:v>6.3848947730510523E-3</c:v>
                </c:pt>
                <c:pt idx="27">
                  <c:v>8.1368566148193461E-3</c:v>
                </c:pt>
                <c:pt idx="28">
                  <c:v>9.3829621739476374E-3</c:v>
                </c:pt>
                <c:pt idx="29">
                  <c:v>8.3769925862839482E-3</c:v>
                </c:pt>
                <c:pt idx="30">
                  <c:v>8.2831873751512582E-3</c:v>
                </c:pt>
                <c:pt idx="31">
                  <c:v>8.2009955081123222E-3</c:v>
                </c:pt>
                <c:pt idx="32">
                  <c:v>8.2344808187479138E-3</c:v>
                </c:pt>
                <c:pt idx="33">
                  <c:v>8.0045734381959041E-3</c:v>
                </c:pt>
                <c:pt idx="34">
                  <c:v>7.770464747236909E-3</c:v>
                </c:pt>
                <c:pt idx="35">
                  <c:v>7.951318332816492E-3</c:v>
                </c:pt>
                <c:pt idx="36">
                  <c:v>8.191492667111118E-3</c:v>
                </c:pt>
                <c:pt idx="37">
                  <c:v>7.9910925006471054E-3</c:v>
                </c:pt>
                <c:pt idx="38">
                  <c:v>7.7468252424996095E-3</c:v>
                </c:pt>
                <c:pt idx="39">
                  <c:v>8.1666021529097268E-3</c:v>
                </c:pt>
                <c:pt idx="40">
                  <c:v>8.6607649111436237E-3</c:v>
                </c:pt>
                <c:pt idx="41">
                  <c:v>7.363319248782892E-3</c:v>
                </c:pt>
                <c:pt idx="42">
                  <c:v>9.3084359650457242E-3</c:v>
                </c:pt>
                <c:pt idx="43">
                  <c:v>6.8931447015136609E-3</c:v>
                </c:pt>
                <c:pt idx="44">
                  <c:v>6.6449234976418007E-3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7.7859119462574478E-3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980-4F4A-98AE-EFA541856494}"/>
            </c:ext>
          </c:extLst>
        </c:ser>
        <c:ser>
          <c:idx val="7"/>
          <c:order val="9"/>
          <c:tx>
            <c:strRef>
              <c:f>'18 KMP- Tháng (Tâm)'!$D$76</c:f>
              <c:strCache>
                <c:ptCount val="1"/>
                <c:pt idx="0">
                  <c:v>Bao bì theo Bom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'18 KMP- Tháng (Tâm)'!$R$69:$BS$69</c:f>
              <c:strCache>
                <c:ptCount val="54"/>
                <c:pt idx="0">
                  <c:v> T1.24 </c:v>
                </c:pt>
                <c:pt idx="1">
                  <c:v> T2.24 </c:v>
                </c:pt>
                <c:pt idx="2">
                  <c:v> T3.24 </c:v>
                </c:pt>
                <c:pt idx="3">
                  <c:v> T4.24 </c:v>
                </c:pt>
                <c:pt idx="4">
                  <c:v> T5.24 </c:v>
                </c:pt>
                <c:pt idx="5">
                  <c:v> T6.24 </c:v>
                </c:pt>
                <c:pt idx="6">
                  <c:v> T7.24 </c:v>
                </c:pt>
                <c:pt idx="7">
                  <c:v> T8.24 </c:v>
                </c:pt>
                <c:pt idx="8">
                  <c:v> T9.24 </c:v>
                </c:pt>
                <c:pt idx="9">
                  <c:v> T10.24 </c:v>
                </c:pt>
                <c:pt idx="10">
                  <c:v> T11.24 </c:v>
                </c:pt>
                <c:pt idx="11">
                  <c:v> T12.24 </c:v>
                </c:pt>
                <c:pt idx="12">
                  <c:v> BQ TT 2024 </c:v>
                </c:pt>
                <c:pt idx="13">
                  <c:v> T1.25 </c:v>
                </c:pt>
                <c:pt idx="14">
                  <c:v> T2.25 </c:v>
                </c:pt>
                <c:pt idx="15">
                  <c:v> T3.25 </c:v>
                </c:pt>
                <c:pt idx="16">
                  <c:v> T4.25 </c:v>
                </c:pt>
                <c:pt idx="17">
                  <c:v> T5.25 </c:v>
                </c:pt>
                <c:pt idx="18">
                  <c:v> T6.25 </c:v>
                </c:pt>
                <c:pt idx="19">
                  <c:v> T7.25 </c:v>
                </c:pt>
                <c:pt idx="20">
                  <c:v> T8.25 </c:v>
                </c:pt>
                <c:pt idx="21">
                  <c:v> T9.25 </c:v>
                </c:pt>
                <c:pt idx="22">
                  <c:v> T10.25 </c:v>
                </c:pt>
                <c:pt idx="23">
                  <c:v> T11.25 </c:v>
                </c:pt>
                <c:pt idx="24">
                  <c:v> T12.25 </c:v>
                </c:pt>
                <c:pt idx="25">
                  <c:v> BQ TT 2025 </c:v>
                </c:pt>
                <c:pt idx="27">
                  <c:v> KH T1.2026 </c:v>
                </c:pt>
                <c:pt idx="28">
                  <c:v> KH T2.2026 </c:v>
                </c:pt>
                <c:pt idx="29">
                  <c:v> KH T3.2026 </c:v>
                </c:pt>
                <c:pt idx="30">
                  <c:v> KH T4.2026 </c:v>
                </c:pt>
                <c:pt idx="31">
                  <c:v> KH T5.2026 </c:v>
                </c:pt>
                <c:pt idx="32">
                  <c:v> KH T6.2026 </c:v>
                </c:pt>
                <c:pt idx="33">
                  <c:v> KH T7.2026 </c:v>
                </c:pt>
                <c:pt idx="34">
                  <c:v> KH T8.2026 </c:v>
                </c:pt>
                <c:pt idx="35">
                  <c:v> KH T9.2026 </c:v>
                </c:pt>
                <c:pt idx="36">
                  <c:v> KH T10.2026 </c:v>
                </c:pt>
                <c:pt idx="37">
                  <c:v> KH T11.2026 </c:v>
                </c:pt>
                <c:pt idx="38">
                  <c:v> KH T12.2026 </c:v>
                </c:pt>
                <c:pt idx="39">
                  <c:v> BQ KH 2026 </c:v>
                </c:pt>
                <c:pt idx="40">
                  <c:v> T1.26 </c:v>
                </c:pt>
                <c:pt idx="41">
                  <c:v> T2.26 </c:v>
                </c:pt>
                <c:pt idx="42">
                  <c:v> T3.26 </c:v>
                </c:pt>
                <c:pt idx="43">
                  <c:v> T4.26 </c:v>
                </c:pt>
                <c:pt idx="44">
                  <c:v> T5.26 </c:v>
                </c:pt>
                <c:pt idx="45">
                  <c:v> T6.26 </c:v>
                </c:pt>
                <c:pt idx="46">
                  <c:v> T7.26 </c:v>
                </c:pt>
                <c:pt idx="47">
                  <c:v> T8.26 </c:v>
                </c:pt>
                <c:pt idx="48">
                  <c:v> T9.26 </c:v>
                </c:pt>
                <c:pt idx="49">
                  <c:v> T10.26 </c:v>
                </c:pt>
                <c:pt idx="50">
                  <c:v> T11.26 </c:v>
                </c:pt>
                <c:pt idx="51">
                  <c:v> T12.26 </c:v>
                </c:pt>
                <c:pt idx="52">
                  <c:v> BQ TT 2026 </c:v>
                </c:pt>
                <c:pt idx="53">
                  <c:v> BQ KH 2026 </c:v>
                </c:pt>
              </c:strCache>
            </c:strRef>
          </c:cat>
          <c:val>
            <c:numRef>
              <c:f>'18 KMP- Tháng (Tâm)'!$R$76:$BS$76</c:f>
              <c:numCache>
                <c:formatCode>0.0%;\-0.0%;;</c:formatCode>
                <c:ptCount val="54"/>
                <c:pt idx="0">
                  <c:v>8.4331021685919976E-3</c:v>
                </c:pt>
                <c:pt idx="1">
                  <c:v>5.4186015686114065E-3</c:v>
                </c:pt>
                <c:pt idx="2">
                  <c:v>6.3953572744393427E-3</c:v>
                </c:pt>
                <c:pt idx="3">
                  <c:v>5.8003044542538846E-3</c:v>
                </c:pt>
                <c:pt idx="4">
                  <c:v>6.2735995973601851E-3</c:v>
                </c:pt>
                <c:pt idx="5">
                  <c:v>8.6955852044412144E-3</c:v>
                </c:pt>
                <c:pt idx="6">
                  <c:v>5.5694757558778169E-3</c:v>
                </c:pt>
                <c:pt idx="7">
                  <c:v>5.6465653554912086E-3</c:v>
                </c:pt>
                <c:pt idx="8">
                  <c:v>6.4643293427053879E-3</c:v>
                </c:pt>
                <c:pt idx="9">
                  <c:v>6.50685338992646E-3</c:v>
                </c:pt>
                <c:pt idx="10">
                  <c:v>7.0528999550147518E-3</c:v>
                </c:pt>
                <c:pt idx="11">
                  <c:v>6.8921454195228979E-3</c:v>
                </c:pt>
                <c:pt idx="12">
                  <c:v>6.6686768065255453E-3</c:v>
                </c:pt>
                <c:pt idx="13">
                  <c:v>5.0558544712352611E-3</c:v>
                </c:pt>
                <c:pt idx="14">
                  <c:v>6.157076850607757E-3</c:v>
                </c:pt>
                <c:pt idx="15">
                  <c:v>6.3398449058266002E-3</c:v>
                </c:pt>
                <c:pt idx="16">
                  <c:v>5.8447674649570978E-3</c:v>
                </c:pt>
                <c:pt idx="17">
                  <c:v>7.3515807638217714E-3</c:v>
                </c:pt>
                <c:pt idx="18">
                  <c:v>6.3819216799574693E-3</c:v>
                </c:pt>
                <c:pt idx="19">
                  <c:v>6.5759099634727161E-3</c:v>
                </c:pt>
                <c:pt idx="20">
                  <c:v>6.6960420087844022E-3</c:v>
                </c:pt>
                <c:pt idx="21">
                  <c:v>6.8630753454718167E-3</c:v>
                </c:pt>
                <c:pt idx="22">
                  <c:v>6.7560620372887235E-3</c:v>
                </c:pt>
                <c:pt idx="23">
                  <c:v>7.4132072641287915E-3</c:v>
                </c:pt>
                <c:pt idx="24">
                  <c:v>7.4817565051887953E-3</c:v>
                </c:pt>
                <c:pt idx="25">
                  <c:v>6.6224749413528331E-3</c:v>
                </c:pt>
                <c:pt idx="27">
                  <c:v>6.6520377079994832E-3</c:v>
                </c:pt>
                <c:pt idx="28">
                  <c:v>6.4229383209915957E-3</c:v>
                </c:pt>
                <c:pt idx="29">
                  <c:v>6.7153423181596106E-3</c:v>
                </c:pt>
                <c:pt idx="30">
                  <c:v>6.6914492360775017E-3</c:v>
                </c:pt>
                <c:pt idx="31">
                  <c:v>6.7131491262085834E-3</c:v>
                </c:pt>
                <c:pt idx="32">
                  <c:v>6.7600853944335031E-3</c:v>
                </c:pt>
                <c:pt idx="33">
                  <c:v>6.7448503679238634E-3</c:v>
                </c:pt>
                <c:pt idx="34">
                  <c:v>6.7846993948692935E-3</c:v>
                </c:pt>
                <c:pt idx="35">
                  <c:v>6.770752835532504E-3</c:v>
                </c:pt>
                <c:pt idx="36">
                  <c:v>6.7943196742819767E-3</c:v>
                </c:pt>
                <c:pt idx="37">
                  <c:v>6.7187588925350364E-3</c:v>
                </c:pt>
                <c:pt idx="38">
                  <c:v>6.7702289230139141E-3</c:v>
                </c:pt>
                <c:pt idx="39">
                  <c:v>6.7172495867066839E-3</c:v>
                </c:pt>
                <c:pt idx="40">
                  <c:v>7.3301552076849652E-3</c:v>
                </c:pt>
                <c:pt idx="41">
                  <c:v>6.1535177864337088E-3</c:v>
                </c:pt>
                <c:pt idx="42">
                  <c:v>7.6088741082855193E-3</c:v>
                </c:pt>
                <c:pt idx="43">
                  <c:v>9.3370289399801066E-3</c:v>
                </c:pt>
                <c:pt idx="44">
                  <c:v>7.8993125019215446E-3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7.8574411401887111E-3</c:v>
                </c:pt>
                <c:pt idx="53">
                  <c:v>6.7172495867066839E-3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980-4F4A-98AE-EFA541856494}"/>
            </c:ext>
          </c:extLst>
        </c:ser>
        <c:ser>
          <c:idx val="8"/>
          <c:order val="10"/>
          <c:tx>
            <c:strRef>
              <c:f>'18 KMP- Tháng (Tâm)'!$D$77</c:f>
              <c:strCache>
                <c:ptCount val="1"/>
                <c:pt idx="0">
                  <c:v>Xăng dầu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'18 KMP- Tháng (Tâm)'!$R$69:$BS$69</c:f>
              <c:strCache>
                <c:ptCount val="54"/>
                <c:pt idx="0">
                  <c:v> T1.24 </c:v>
                </c:pt>
                <c:pt idx="1">
                  <c:v> T2.24 </c:v>
                </c:pt>
                <c:pt idx="2">
                  <c:v> T3.24 </c:v>
                </c:pt>
                <c:pt idx="3">
                  <c:v> T4.24 </c:v>
                </c:pt>
                <c:pt idx="4">
                  <c:v> T5.24 </c:v>
                </c:pt>
                <c:pt idx="5">
                  <c:v> T6.24 </c:v>
                </c:pt>
                <c:pt idx="6">
                  <c:v> T7.24 </c:v>
                </c:pt>
                <c:pt idx="7">
                  <c:v> T8.24 </c:v>
                </c:pt>
                <c:pt idx="8">
                  <c:v> T9.24 </c:v>
                </c:pt>
                <c:pt idx="9">
                  <c:v> T10.24 </c:v>
                </c:pt>
                <c:pt idx="10">
                  <c:v> T11.24 </c:v>
                </c:pt>
                <c:pt idx="11">
                  <c:v> T12.24 </c:v>
                </c:pt>
                <c:pt idx="12">
                  <c:v> BQ TT 2024 </c:v>
                </c:pt>
                <c:pt idx="13">
                  <c:v> T1.25 </c:v>
                </c:pt>
                <c:pt idx="14">
                  <c:v> T2.25 </c:v>
                </c:pt>
                <c:pt idx="15">
                  <c:v> T3.25 </c:v>
                </c:pt>
                <c:pt idx="16">
                  <c:v> T4.25 </c:v>
                </c:pt>
                <c:pt idx="17">
                  <c:v> T5.25 </c:v>
                </c:pt>
                <c:pt idx="18">
                  <c:v> T6.25 </c:v>
                </c:pt>
                <c:pt idx="19">
                  <c:v> T7.25 </c:v>
                </c:pt>
                <c:pt idx="20">
                  <c:v> T8.25 </c:v>
                </c:pt>
                <c:pt idx="21">
                  <c:v> T9.25 </c:v>
                </c:pt>
                <c:pt idx="22">
                  <c:v> T10.25 </c:v>
                </c:pt>
                <c:pt idx="23">
                  <c:v> T11.25 </c:v>
                </c:pt>
                <c:pt idx="24">
                  <c:v> T12.25 </c:v>
                </c:pt>
                <c:pt idx="25">
                  <c:v> BQ TT 2025 </c:v>
                </c:pt>
                <c:pt idx="27">
                  <c:v> KH T1.2026 </c:v>
                </c:pt>
                <c:pt idx="28">
                  <c:v> KH T2.2026 </c:v>
                </c:pt>
                <c:pt idx="29">
                  <c:v> KH T3.2026 </c:v>
                </c:pt>
                <c:pt idx="30">
                  <c:v> KH T4.2026 </c:v>
                </c:pt>
                <c:pt idx="31">
                  <c:v> KH T5.2026 </c:v>
                </c:pt>
                <c:pt idx="32">
                  <c:v> KH T6.2026 </c:v>
                </c:pt>
                <c:pt idx="33">
                  <c:v> KH T7.2026 </c:v>
                </c:pt>
                <c:pt idx="34">
                  <c:v> KH T8.2026 </c:v>
                </c:pt>
                <c:pt idx="35">
                  <c:v> KH T9.2026 </c:v>
                </c:pt>
                <c:pt idx="36">
                  <c:v> KH T10.2026 </c:v>
                </c:pt>
                <c:pt idx="37">
                  <c:v> KH T11.2026 </c:v>
                </c:pt>
                <c:pt idx="38">
                  <c:v> KH T12.2026 </c:v>
                </c:pt>
                <c:pt idx="39">
                  <c:v> BQ KH 2026 </c:v>
                </c:pt>
                <c:pt idx="40">
                  <c:v> T1.26 </c:v>
                </c:pt>
                <c:pt idx="41">
                  <c:v> T2.26 </c:v>
                </c:pt>
                <c:pt idx="42">
                  <c:v> T3.26 </c:v>
                </c:pt>
                <c:pt idx="43">
                  <c:v> T4.26 </c:v>
                </c:pt>
                <c:pt idx="44">
                  <c:v> T5.26 </c:v>
                </c:pt>
                <c:pt idx="45">
                  <c:v> T6.26 </c:v>
                </c:pt>
                <c:pt idx="46">
                  <c:v> T7.26 </c:v>
                </c:pt>
                <c:pt idx="47">
                  <c:v> T8.26 </c:v>
                </c:pt>
                <c:pt idx="48">
                  <c:v> T9.26 </c:v>
                </c:pt>
                <c:pt idx="49">
                  <c:v> T10.26 </c:v>
                </c:pt>
                <c:pt idx="50">
                  <c:v> T11.26 </c:v>
                </c:pt>
                <c:pt idx="51">
                  <c:v> T12.26 </c:v>
                </c:pt>
                <c:pt idx="52">
                  <c:v> BQ TT 2026 </c:v>
                </c:pt>
                <c:pt idx="53">
                  <c:v> BQ KH 2026 </c:v>
                </c:pt>
              </c:strCache>
            </c:strRef>
          </c:cat>
          <c:val>
            <c:numRef>
              <c:f>'18 KMP- Tháng (Tâm)'!$R$77:$BS$77</c:f>
              <c:numCache>
                <c:formatCode>0.0%;\-0.0%;;</c:formatCode>
                <c:ptCount val="54"/>
                <c:pt idx="0">
                  <c:v>3.4828937317039222E-3</c:v>
                </c:pt>
                <c:pt idx="1">
                  <c:v>3.2366206576945711E-3</c:v>
                </c:pt>
                <c:pt idx="2">
                  <c:v>3.3162284272644292E-3</c:v>
                </c:pt>
                <c:pt idx="3">
                  <c:v>3.1854826582247207E-3</c:v>
                </c:pt>
                <c:pt idx="4">
                  <c:v>3.3276682326919883E-3</c:v>
                </c:pt>
                <c:pt idx="5">
                  <c:v>3.6255266401023583E-3</c:v>
                </c:pt>
                <c:pt idx="6">
                  <c:v>5.1517688027557735E-3</c:v>
                </c:pt>
                <c:pt idx="7">
                  <c:v>3.9431315464513884E-3</c:v>
                </c:pt>
                <c:pt idx="8">
                  <c:v>3.1482259358012947E-3</c:v>
                </c:pt>
                <c:pt idx="9">
                  <c:v>2.7035088772386505E-3</c:v>
                </c:pt>
                <c:pt idx="10">
                  <c:v>2.5851714985931258E-3</c:v>
                </c:pt>
                <c:pt idx="11">
                  <c:v>3.0752322688017098E-3</c:v>
                </c:pt>
                <c:pt idx="12">
                  <c:v>3.3030375578372217E-3</c:v>
                </c:pt>
                <c:pt idx="13">
                  <c:v>2.7899970354119267E-3</c:v>
                </c:pt>
                <c:pt idx="14">
                  <c:v>2.5256982000236689E-3</c:v>
                </c:pt>
                <c:pt idx="15">
                  <c:v>2.1029846223619697E-3</c:v>
                </c:pt>
                <c:pt idx="16">
                  <c:v>1.9565640732344424E-3</c:v>
                </c:pt>
                <c:pt idx="17">
                  <c:v>1.7436156361230366E-3</c:v>
                </c:pt>
                <c:pt idx="18">
                  <c:v>1.7951137490134041E-3</c:v>
                </c:pt>
                <c:pt idx="19">
                  <c:v>1.8294361965875685E-3</c:v>
                </c:pt>
                <c:pt idx="20">
                  <c:v>1.3274019007190835E-3</c:v>
                </c:pt>
                <c:pt idx="21">
                  <c:v>2.0081110795959279E-3</c:v>
                </c:pt>
                <c:pt idx="22">
                  <c:v>2.1431084207831292E-3</c:v>
                </c:pt>
                <c:pt idx="23">
                  <c:v>2.4841223148026766E-3</c:v>
                </c:pt>
                <c:pt idx="24">
                  <c:v>1.8318895774367626E-3</c:v>
                </c:pt>
                <c:pt idx="25">
                  <c:v>1.9717698248347603E-3</c:v>
                </c:pt>
                <c:pt idx="27">
                  <c:v>2.0976688791011582E-3</c:v>
                </c:pt>
                <c:pt idx="28">
                  <c:v>2.4457891823479231E-3</c:v>
                </c:pt>
                <c:pt idx="29">
                  <c:v>2.0197540157757556E-3</c:v>
                </c:pt>
                <c:pt idx="30">
                  <c:v>2.0032854084815403E-3</c:v>
                </c:pt>
                <c:pt idx="31">
                  <c:v>2.0190943757990298E-3</c:v>
                </c:pt>
                <c:pt idx="32">
                  <c:v>1.9683795636155567E-3</c:v>
                </c:pt>
                <c:pt idx="33">
                  <c:v>1.9375877670486817E-3</c:v>
                </c:pt>
                <c:pt idx="34">
                  <c:v>1.9267938744158661E-3</c:v>
                </c:pt>
                <c:pt idx="35">
                  <c:v>1.9237443477292868E-3</c:v>
                </c:pt>
                <c:pt idx="36">
                  <c:v>1.921120819913229E-3</c:v>
                </c:pt>
                <c:pt idx="37">
                  <c:v>1.9386723154818748E-3</c:v>
                </c:pt>
                <c:pt idx="38">
                  <c:v>1.9226843899850692E-3</c:v>
                </c:pt>
                <c:pt idx="39">
                  <c:v>2.0018170609444903E-3</c:v>
                </c:pt>
                <c:pt idx="40">
                  <c:v>1.8147859264421094E-3</c:v>
                </c:pt>
                <c:pt idx="41">
                  <c:v>1.8059083912867751E-3</c:v>
                </c:pt>
                <c:pt idx="42">
                  <c:v>3.1531288296916776E-3</c:v>
                </c:pt>
                <c:pt idx="43">
                  <c:v>3.5384720266274081E-3</c:v>
                </c:pt>
                <c:pt idx="44">
                  <c:v>3.5490323029136756E-3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2.9220233612598815E-3</c:v>
                </c:pt>
                <c:pt idx="53">
                  <c:v>2.0018170609444903E-3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980-4F4A-98AE-EFA541856494}"/>
            </c:ext>
          </c:extLst>
        </c:ser>
        <c:ser>
          <c:idx val="9"/>
          <c:order val="11"/>
          <c:tx>
            <c:strRef>
              <c:f>'18 KMP- Tháng (Tâm)'!$D$78</c:f>
              <c:strCache>
                <c:ptCount val="1"/>
                <c:pt idx="0">
                  <c:v>Hóa chất theo Bom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'18 KMP- Tháng (Tâm)'!$R$69:$BS$69</c:f>
              <c:strCache>
                <c:ptCount val="54"/>
                <c:pt idx="0">
                  <c:v> T1.24 </c:v>
                </c:pt>
                <c:pt idx="1">
                  <c:v> T2.24 </c:v>
                </c:pt>
                <c:pt idx="2">
                  <c:v> T3.24 </c:v>
                </c:pt>
                <c:pt idx="3">
                  <c:v> T4.24 </c:v>
                </c:pt>
                <c:pt idx="4">
                  <c:v> T5.24 </c:v>
                </c:pt>
                <c:pt idx="5">
                  <c:v> T6.24 </c:v>
                </c:pt>
                <c:pt idx="6">
                  <c:v> T7.24 </c:v>
                </c:pt>
                <c:pt idx="7">
                  <c:v> T8.24 </c:v>
                </c:pt>
                <c:pt idx="8">
                  <c:v> T9.24 </c:v>
                </c:pt>
                <c:pt idx="9">
                  <c:v> T10.24 </c:v>
                </c:pt>
                <c:pt idx="10">
                  <c:v> T11.24 </c:v>
                </c:pt>
                <c:pt idx="11">
                  <c:v> T12.24 </c:v>
                </c:pt>
                <c:pt idx="12">
                  <c:v> BQ TT 2024 </c:v>
                </c:pt>
                <c:pt idx="13">
                  <c:v> T1.25 </c:v>
                </c:pt>
                <c:pt idx="14">
                  <c:v> T2.25 </c:v>
                </c:pt>
                <c:pt idx="15">
                  <c:v> T3.25 </c:v>
                </c:pt>
                <c:pt idx="16">
                  <c:v> T4.25 </c:v>
                </c:pt>
                <c:pt idx="17">
                  <c:v> T5.25 </c:v>
                </c:pt>
                <c:pt idx="18">
                  <c:v> T6.25 </c:v>
                </c:pt>
                <c:pt idx="19">
                  <c:v> T7.25 </c:v>
                </c:pt>
                <c:pt idx="20">
                  <c:v> T8.25 </c:v>
                </c:pt>
                <c:pt idx="21">
                  <c:v> T9.25 </c:v>
                </c:pt>
                <c:pt idx="22">
                  <c:v> T10.25 </c:v>
                </c:pt>
                <c:pt idx="23">
                  <c:v> T11.25 </c:v>
                </c:pt>
                <c:pt idx="24">
                  <c:v> T12.25 </c:v>
                </c:pt>
                <c:pt idx="25">
                  <c:v> BQ TT 2025 </c:v>
                </c:pt>
                <c:pt idx="27">
                  <c:v> KH T1.2026 </c:v>
                </c:pt>
                <c:pt idx="28">
                  <c:v> KH T2.2026 </c:v>
                </c:pt>
                <c:pt idx="29">
                  <c:v> KH T3.2026 </c:v>
                </c:pt>
                <c:pt idx="30">
                  <c:v> KH T4.2026 </c:v>
                </c:pt>
                <c:pt idx="31">
                  <c:v> KH T5.2026 </c:v>
                </c:pt>
                <c:pt idx="32">
                  <c:v> KH T6.2026 </c:v>
                </c:pt>
                <c:pt idx="33">
                  <c:v> KH T7.2026 </c:v>
                </c:pt>
                <c:pt idx="34">
                  <c:v> KH T8.2026 </c:v>
                </c:pt>
                <c:pt idx="35">
                  <c:v> KH T9.2026 </c:v>
                </c:pt>
                <c:pt idx="36">
                  <c:v> KH T10.2026 </c:v>
                </c:pt>
                <c:pt idx="37">
                  <c:v> KH T11.2026 </c:v>
                </c:pt>
                <c:pt idx="38">
                  <c:v> KH T12.2026 </c:v>
                </c:pt>
                <c:pt idx="39">
                  <c:v> BQ KH 2026 </c:v>
                </c:pt>
                <c:pt idx="40">
                  <c:v> T1.26 </c:v>
                </c:pt>
                <c:pt idx="41">
                  <c:v> T2.26 </c:v>
                </c:pt>
                <c:pt idx="42">
                  <c:v> T3.26 </c:v>
                </c:pt>
                <c:pt idx="43">
                  <c:v> T4.26 </c:v>
                </c:pt>
                <c:pt idx="44">
                  <c:v> T5.26 </c:v>
                </c:pt>
                <c:pt idx="45">
                  <c:v> T6.26 </c:v>
                </c:pt>
                <c:pt idx="46">
                  <c:v> T7.26 </c:v>
                </c:pt>
                <c:pt idx="47">
                  <c:v> T8.26 </c:v>
                </c:pt>
                <c:pt idx="48">
                  <c:v> T9.26 </c:v>
                </c:pt>
                <c:pt idx="49">
                  <c:v> T10.26 </c:v>
                </c:pt>
                <c:pt idx="50">
                  <c:v> T11.26 </c:v>
                </c:pt>
                <c:pt idx="51">
                  <c:v> T12.26 </c:v>
                </c:pt>
                <c:pt idx="52">
                  <c:v> BQ TT 2026 </c:v>
                </c:pt>
                <c:pt idx="53">
                  <c:v> BQ KH 2026 </c:v>
                </c:pt>
              </c:strCache>
            </c:strRef>
          </c:cat>
          <c:val>
            <c:numRef>
              <c:f>'18 KMP- Tháng (Tâm)'!$R$78:$BS$78</c:f>
              <c:numCache>
                <c:formatCode>0.0%;\-0.0%;;</c:formatCode>
                <c:ptCount val="54"/>
                <c:pt idx="0">
                  <c:v>1.5585973735030732E-3</c:v>
                </c:pt>
                <c:pt idx="1">
                  <c:v>1.7633077122068204E-3</c:v>
                </c:pt>
                <c:pt idx="2">
                  <c:v>1.1005768933676546E-3</c:v>
                </c:pt>
                <c:pt idx="3">
                  <c:v>1.854225398598736E-3</c:v>
                </c:pt>
                <c:pt idx="4">
                  <c:v>2.7598502117753471E-3</c:v>
                </c:pt>
                <c:pt idx="5">
                  <c:v>3.278280215258428E-3</c:v>
                </c:pt>
                <c:pt idx="6">
                  <c:v>3.2367400404867113E-3</c:v>
                </c:pt>
                <c:pt idx="7">
                  <c:v>3.6281058558210112E-3</c:v>
                </c:pt>
                <c:pt idx="8">
                  <c:v>1.8159985344978241E-3</c:v>
                </c:pt>
                <c:pt idx="9">
                  <c:v>2.5050447569865616E-3</c:v>
                </c:pt>
                <c:pt idx="10">
                  <c:v>2.3283646052624143E-3</c:v>
                </c:pt>
                <c:pt idx="11">
                  <c:v>3.4542961462892233E-3</c:v>
                </c:pt>
                <c:pt idx="12">
                  <c:v>2.3440117578450081E-3</c:v>
                </c:pt>
                <c:pt idx="13">
                  <c:v>3.5455680842339456E-3</c:v>
                </c:pt>
                <c:pt idx="14">
                  <c:v>2.2851770108474668E-3</c:v>
                </c:pt>
                <c:pt idx="15">
                  <c:v>2.2701412918266568E-3</c:v>
                </c:pt>
                <c:pt idx="16">
                  <c:v>1.7264741042014335E-3</c:v>
                </c:pt>
                <c:pt idx="17">
                  <c:v>2.2653164006651827E-3</c:v>
                </c:pt>
                <c:pt idx="18">
                  <c:v>2.6252995816705448E-3</c:v>
                </c:pt>
                <c:pt idx="19">
                  <c:v>3.6398567102048441E-3</c:v>
                </c:pt>
                <c:pt idx="20">
                  <c:v>3.3852141993299745E-3</c:v>
                </c:pt>
                <c:pt idx="21">
                  <c:v>3.4729295775609795E-3</c:v>
                </c:pt>
                <c:pt idx="22">
                  <c:v>4.9573170169182994E-3</c:v>
                </c:pt>
                <c:pt idx="23">
                  <c:v>2.4457232826026981E-3</c:v>
                </c:pt>
                <c:pt idx="24">
                  <c:v>2.8516626750553185E-3</c:v>
                </c:pt>
                <c:pt idx="25">
                  <c:v>2.9395159135016035E-3</c:v>
                </c:pt>
                <c:pt idx="27">
                  <c:v>4.4329102534929254E-3</c:v>
                </c:pt>
                <c:pt idx="28">
                  <c:v>4.1348619135572707E-3</c:v>
                </c:pt>
                <c:pt idx="29">
                  <c:v>4.4511815091131824E-3</c:v>
                </c:pt>
                <c:pt idx="30">
                  <c:v>4.4148876041642171E-3</c:v>
                </c:pt>
                <c:pt idx="31">
                  <c:v>4.449727778983603E-3</c:v>
                </c:pt>
                <c:pt idx="32">
                  <c:v>4.3379612804565438E-3</c:v>
                </c:pt>
                <c:pt idx="33">
                  <c:v>4.4964148962480487E-3</c:v>
                </c:pt>
                <c:pt idx="34">
                  <c:v>4.4713663175730183E-3</c:v>
                </c:pt>
                <c:pt idx="35">
                  <c:v>4.4642895092584572E-3</c:v>
                </c:pt>
                <c:pt idx="36">
                  <c:v>4.4582012846353164E-3</c:v>
                </c:pt>
                <c:pt idx="37">
                  <c:v>4.4989317266149837E-3</c:v>
                </c:pt>
                <c:pt idx="38">
                  <c:v>4.4618297446627339E-3</c:v>
                </c:pt>
                <c:pt idx="39">
                  <c:v>4.427836678189692E-3</c:v>
                </c:pt>
                <c:pt idx="40">
                  <c:v>3.0491537816502807E-3</c:v>
                </c:pt>
                <c:pt idx="41">
                  <c:v>1.4163942452226552E-3</c:v>
                </c:pt>
                <c:pt idx="42">
                  <c:v>3.2606647293277071E-3</c:v>
                </c:pt>
                <c:pt idx="43">
                  <c:v>4.1773378882232837E-3</c:v>
                </c:pt>
                <c:pt idx="44">
                  <c:v>3.8791367253578905E-3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3.3493003985684221E-3</c:v>
                </c:pt>
                <c:pt idx="53">
                  <c:v>4.427836678189692E-3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980-4F4A-98AE-EFA541856494}"/>
            </c:ext>
          </c:extLst>
        </c:ser>
        <c:ser>
          <c:idx val="10"/>
          <c:order val="12"/>
          <c:tx>
            <c:strRef>
              <c:f>'18 KMP- Tháng (Tâm)'!$D$79</c:f>
              <c:strCache>
                <c:ptCount val="1"/>
                <c:pt idx="0">
                  <c:v>Hóa chất XLNT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'18 KMP- Tháng (Tâm)'!$R$69:$BS$69</c:f>
              <c:strCache>
                <c:ptCount val="54"/>
                <c:pt idx="0">
                  <c:v> T1.24 </c:v>
                </c:pt>
                <c:pt idx="1">
                  <c:v> T2.24 </c:v>
                </c:pt>
                <c:pt idx="2">
                  <c:v> T3.24 </c:v>
                </c:pt>
                <c:pt idx="3">
                  <c:v> T4.24 </c:v>
                </c:pt>
                <c:pt idx="4">
                  <c:v> T5.24 </c:v>
                </c:pt>
                <c:pt idx="5">
                  <c:v> T6.24 </c:v>
                </c:pt>
                <c:pt idx="6">
                  <c:v> T7.24 </c:v>
                </c:pt>
                <c:pt idx="7">
                  <c:v> T8.24 </c:v>
                </c:pt>
                <c:pt idx="8">
                  <c:v> T9.24 </c:v>
                </c:pt>
                <c:pt idx="9">
                  <c:v> T10.24 </c:v>
                </c:pt>
                <c:pt idx="10">
                  <c:v> T11.24 </c:v>
                </c:pt>
                <c:pt idx="11">
                  <c:v> T12.24 </c:v>
                </c:pt>
                <c:pt idx="12">
                  <c:v> BQ TT 2024 </c:v>
                </c:pt>
                <c:pt idx="13">
                  <c:v> T1.25 </c:v>
                </c:pt>
                <c:pt idx="14">
                  <c:v> T2.25 </c:v>
                </c:pt>
                <c:pt idx="15">
                  <c:v> T3.25 </c:v>
                </c:pt>
                <c:pt idx="16">
                  <c:v> T4.25 </c:v>
                </c:pt>
                <c:pt idx="17">
                  <c:v> T5.25 </c:v>
                </c:pt>
                <c:pt idx="18">
                  <c:v> T6.25 </c:v>
                </c:pt>
                <c:pt idx="19">
                  <c:v> T7.25 </c:v>
                </c:pt>
                <c:pt idx="20">
                  <c:v> T8.25 </c:v>
                </c:pt>
                <c:pt idx="21">
                  <c:v> T9.25 </c:v>
                </c:pt>
                <c:pt idx="22">
                  <c:v> T10.25 </c:v>
                </c:pt>
                <c:pt idx="23">
                  <c:v> T11.25 </c:v>
                </c:pt>
                <c:pt idx="24">
                  <c:v> T12.25 </c:v>
                </c:pt>
                <c:pt idx="25">
                  <c:v> BQ TT 2025 </c:v>
                </c:pt>
                <c:pt idx="27">
                  <c:v> KH T1.2026 </c:v>
                </c:pt>
                <c:pt idx="28">
                  <c:v> KH T2.2026 </c:v>
                </c:pt>
                <c:pt idx="29">
                  <c:v> KH T3.2026 </c:v>
                </c:pt>
                <c:pt idx="30">
                  <c:v> KH T4.2026 </c:v>
                </c:pt>
                <c:pt idx="31">
                  <c:v> KH T5.2026 </c:v>
                </c:pt>
                <c:pt idx="32">
                  <c:v> KH T6.2026 </c:v>
                </c:pt>
                <c:pt idx="33">
                  <c:v> KH T7.2026 </c:v>
                </c:pt>
                <c:pt idx="34">
                  <c:v> KH T8.2026 </c:v>
                </c:pt>
                <c:pt idx="35">
                  <c:v> KH T9.2026 </c:v>
                </c:pt>
                <c:pt idx="36">
                  <c:v> KH T10.2026 </c:v>
                </c:pt>
                <c:pt idx="37">
                  <c:v> KH T11.2026 </c:v>
                </c:pt>
                <c:pt idx="38">
                  <c:v> KH T12.2026 </c:v>
                </c:pt>
                <c:pt idx="39">
                  <c:v> BQ KH 2026 </c:v>
                </c:pt>
                <c:pt idx="40">
                  <c:v> T1.26 </c:v>
                </c:pt>
                <c:pt idx="41">
                  <c:v> T2.26 </c:v>
                </c:pt>
                <c:pt idx="42">
                  <c:v> T3.26 </c:v>
                </c:pt>
                <c:pt idx="43">
                  <c:v> T4.26 </c:v>
                </c:pt>
                <c:pt idx="44">
                  <c:v> T5.26 </c:v>
                </c:pt>
                <c:pt idx="45">
                  <c:v> T6.26 </c:v>
                </c:pt>
                <c:pt idx="46">
                  <c:v> T7.26 </c:v>
                </c:pt>
                <c:pt idx="47">
                  <c:v> T8.26 </c:v>
                </c:pt>
                <c:pt idx="48">
                  <c:v> T9.26 </c:v>
                </c:pt>
                <c:pt idx="49">
                  <c:v> T10.26 </c:v>
                </c:pt>
                <c:pt idx="50">
                  <c:v> T11.26 </c:v>
                </c:pt>
                <c:pt idx="51">
                  <c:v> T12.26 </c:v>
                </c:pt>
                <c:pt idx="52">
                  <c:v> BQ TT 2026 </c:v>
                </c:pt>
                <c:pt idx="53">
                  <c:v> BQ KH 2026 </c:v>
                </c:pt>
              </c:strCache>
            </c:strRef>
          </c:cat>
          <c:val>
            <c:numRef>
              <c:f>'18 KMP- Tháng (Tâm)'!$R$79:$BS$79</c:f>
              <c:numCache>
                <c:formatCode>0.0%;\-0.0%;;</c:formatCode>
                <c:ptCount val="54"/>
                <c:pt idx="0">
                  <c:v>6.3978965015281395E-4</c:v>
                </c:pt>
                <c:pt idx="1">
                  <c:v>8.3305458537345637E-4</c:v>
                </c:pt>
                <c:pt idx="2">
                  <c:v>6.0478789814701864E-4</c:v>
                </c:pt>
                <c:pt idx="3">
                  <c:v>1.3254451516699619E-3</c:v>
                </c:pt>
                <c:pt idx="4">
                  <c:v>1.0378893159569841E-3</c:v>
                </c:pt>
                <c:pt idx="5">
                  <c:v>9.0898496156603345E-4</c:v>
                </c:pt>
                <c:pt idx="6">
                  <c:v>1.2654610706372966E-3</c:v>
                </c:pt>
                <c:pt idx="7">
                  <c:v>1.2422374823440356E-3</c:v>
                </c:pt>
                <c:pt idx="8">
                  <c:v>7.5558415016242536E-4</c:v>
                </c:pt>
                <c:pt idx="9">
                  <c:v>8.0413300644083577E-4</c:v>
                </c:pt>
                <c:pt idx="10">
                  <c:v>6.3955467414719106E-4</c:v>
                </c:pt>
                <c:pt idx="11">
                  <c:v>8.0802547816762494E-4</c:v>
                </c:pt>
                <c:pt idx="12">
                  <c:v>8.8199079464299488E-4</c:v>
                </c:pt>
                <c:pt idx="13">
                  <c:v>7.6924936483739495E-4</c:v>
                </c:pt>
                <c:pt idx="14">
                  <c:v>6.4337130038248061E-4</c:v>
                </c:pt>
                <c:pt idx="15">
                  <c:v>5.4933845352671089E-4</c:v>
                </c:pt>
                <c:pt idx="16">
                  <c:v>8.7646576225739576E-4</c:v>
                </c:pt>
                <c:pt idx="17">
                  <c:v>6.5359062319746575E-4</c:v>
                </c:pt>
                <c:pt idx="18">
                  <c:v>6.1371899822957395E-4</c:v>
                </c:pt>
                <c:pt idx="19">
                  <c:v>1.0666378088665578E-3</c:v>
                </c:pt>
                <c:pt idx="20">
                  <c:v>7.3675770985239246E-4</c:v>
                </c:pt>
                <c:pt idx="21">
                  <c:v>1.095741324514219E-3</c:v>
                </c:pt>
                <c:pt idx="22">
                  <c:v>1.4531503317991063E-3</c:v>
                </c:pt>
                <c:pt idx="23">
                  <c:v>7.5042742862665025E-4</c:v>
                </c:pt>
                <c:pt idx="24">
                  <c:v>8.1381583660793957E-4</c:v>
                </c:pt>
                <c:pt idx="25">
                  <c:v>8.3550364063772291E-4</c:v>
                </c:pt>
                <c:pt idx="27">
                  <c:v>1.1546248526210997E-3</c:v>
                </c:pt>
                <c:pt idx="28">
                  <c:v>1.4861673604143132E-3</c:v>
                </c:pt>
                <c:pt idx="29">
                  <c:v>1.1877852015977168E-3</c:v>
                </c:pt>
                <c:pt idx="30">
                  <c:v>1.1345953384878649E-3</c:v>
                </c:pt>
                <c:pt idx="31">
                  <c:v>1.1538086999078442E-3</c:v>
                </c:pt>
                <c:pt idx="32">
                  <c:v>1.2255632475356168E-3</c:v>
                </c:pt>
                <c:pt idx="33">
                  <c:v>1.1381071768890865E-3</c:v>
                </c:pt>
                <c:pt idx="34">
                  <c:v>1.2015066657218253E-3</c:v>
                </c:pt>
                <c:pt idx="35">
                  <c:v>1.1006687209408111E-3</c:v>
                </c:pt>
                <c:pt idx="36">
                  <c:v>1.1979690725778841E-3</c:v>
                </c:pt>
                <c:pt idx="37">
                  <c:v>1.098000595765573E-3</c:v>
                </c:pt>
                <c:pt idx="38">
                  <c:v>1.0583077255618394E-3</c:v>
                </c:pt>
                <c:pt idx="39">
                  <c:v>1.1727461606735883E-3</c:v>
                </c:pt>
                <c:pt idx="40">
                  <c:v>8.4616854744174201E-4</c:v>
                </c:pt>
                <c:pt idx="41">
                  <c:v>7.3374407718814275E-4</c:v>
                </c:pt>
                <c:pt idx="42">
                  <c:v>9.2841675493237621E-4</c:v>
                </c:pt>
                <c:pt idx="43">
                  <c:v>9.9893190315438721E-4</c:v>
                </c:pt>
                <c:pt idx="44">
                  <c:v>8.4623517222518873E-4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8.8836155373655645E-4</c:v>
                </c:pt>
                <c:pt idx="53">
                  <c:v>1.1727461606735883E-3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980-4F4A-98AE-EFA541856494}"/>
            </c:ext>
          </c:extLst>
        </c:ser>
        <c:ser>
          <c:idx val="11"/>
          <c:order val="13"/>
          <c:tx>
            <c:strRef>
              <c:f>'18 KMP- Tháng (Tâm)'!$D$80</c:f>
              <c:strCache>
                <c:ptCount val="1"/>
                <c:pt idx="0">
                  <c:v>Nước</c:v>
                </c:pt>
              </c:strCache>
              <c:extLst xmlns:c15="http://schemas.microsoft.com/office/drawing/2012/chart"/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'18 KMP- Tháng (Tâm)'!$R$69:$BS$69</c:f>
              <c:strCache>
                <c:ptCount val="54"/>
                <c:pt idx="0">
                  <c:v> T1.24 </c:v>
                </c:pt>
                <c:pt idx="1">
                  <c:v> T2.24 </c:v>
                </c:pt>
                <c:pt idx="2">
                  <c:v> T3.24 </c:v>
                </c:pt>
                <c:pt idx="3">
                  <c:v> T4.24 </c:v>
                </c:pt>
                <c:pt idx="4">
                  <c:v> T5.24 </c:v>
                </c:pt>
                <c:pt idx="5">
                  <c:v> T6.24 </c:v>
                </c:pt>
                <c:pt idx="6">
                  <c:v> T7.24 </c:v>
                </c:pt>
                <c:pt idx="7">
                  <c:v> T8.24 </c:v>
                </c:pt>
                <c:pt idx="8">
                  <c:v> T9.24 </c:v>
                </c:pt>
                <c:pt idx="9">
                  <c:v> T10.24 </c:v>
                </c:pt>
                <c:pt idx="10">
                  <c:v> T11.24 </c:v>
                </c:pt>
                <c:pt idx="11">
                  <c:v> T12.24 </c:v>
                </c:pt>
                <c:pt idx="12">
                  <c:v> BQ TT 2024 </c:v>
                </c:pt>
                <c:pt idx="13">
                  <c:v> T1.25 </c:v>
                </c:pt>
                <c:pt idx="14">
                  <c:v> T2.25 </c:v>
                </c:pt>
                <c:pt idx="15">
                  <c:v> T3.25 </c:v>
                </c:pt>
                <c:pt idx="16">
                  <c:v> T4.25 </c:v>
                </c:pt>
                <c:pt idx="17">
                  <c:v> T5.25 </c:v>
                </c:pt>
                <c:pt idx="18">
                  <c:v> T6.25 </c:v>
                </c:pt>
                <c:pt idx="19">
                  <c:v> T7.25 </c:v>
                </c:pt>
                <c:pt idx="20">
                  <c:v> T8.25 </c:v>
                </c:pt>
                <c:pt idx="21">
                  <c:v> T9.25 </c:v>
                </c:pt>
                <c:pt idx="22">
                  <c:v> T10.25 </c:v>
                </c:pt>
                <c:pt idx="23">
                  <c:v> T11.25 </c:v>
                </c:pt>
                <c:pt idx="24">
                  <c:v> T12.25 </c:v>
                </c:pt>
                <c:pt idx="25">
                  <c:v> BQ TT 2025 </c:v>
                </c:pt>
                <c:pt idx="27">
                  <c:v> KH T1.2026 </c:v>
                </c:pt>
                <c:pt idx="28">
                  <c:v> KH T2.2026 </c:v>
                </c:pt>
                <c:pt idx="29">
                  <c:v> KH T3.2026 </c:v>
                </c:pt>
                <c:pt idx="30">
                  <c:v> KH T4.2026 </c:v>
                </c:pt>
                <c:pt idx="31">
                  <c:v> KH T5.2026 </c:v>
                </c:pt>
                <c:pt idx="32">
                  <c:v> KH T6.2026 </c:v>
                </c:pt>
                <c:pt idx="33">
                  <c:v> KH T7.2026 </c:v>
                </c:pt>
                <c:pt idx="34">
                  <c:v> KH T8.2026 </c:v>
                </c:pt>
                <c:pt idx="35">
                  <c:v> KH T9.2026 </c:v>
                </c:pt>
                <c:pt idx="36">
                  <c:v> KH T10.2026 </c:v>
                </c:pt>
                <c:pt idx="37">
                  <c:v> KH T11.2026 </c:v>
                </c:pt>
                <c:pt idx="38">
                  <c:v> KH T12.2026 </c:v>
                </c:pt>
                <c:pt idx="39">
                  <c:v> BQ KH 2026 </c:v>
                </c:pt>
                <c:pt idx="40">
                  <c:v> T1.26 </c:v>
                </c:pt>
                <c:pt idx="41">
                  <c:v> T2.26 </c:v>
                </c:pt>
                <c:pt idx="42">
                  <c:v> T3.26 </c:v>
                </c:pt>
                <c:pt idx="43">
                  <c:v> T4.26 </c:v>
                </c:pt>
                <c:pt idx="44">
                  <c:v> T5.26 </c:v>
                </c:pt>
                <c:pt idx="45">
                  <c:v> T6.26 </c:v>
                </c:pt>
                <c:pt idx="46">
                  <c:v> T7.26 </c:v>
                </c:pt>
                <c:pt idx="47">
                  <c:v> T8.26 </c:v>
                </c:pt>
                <c:pt idx="48">
                  <c:v> T9.26 </c:v>
                </c:pt>
                <c:pt idx="49">
                  <c:v> T10.26 </c:v>
                </c:pt>
                <c:pt idx="50">
                  <c:v> T11.26 </c:v>
                </c:pt>
                <c:pt idx="51">
                  <c:v> T12.26 </c:v>
                </c:pt>
                <c:pt idx="52">
                  <c:v> BQ TT 2026 </c:v>
                </c:pt>
                <c:pt idx="53">
                  <c:v> BQ KH 2026 </c:v>
                </c:pt>
              </c:strCache>
            </c:strRef>
          </c:cat>
          <c:val>
            <c:numRef>
              <c:f>'18 KMP- Tháng (Tâm)'!$R$80:$BS$80</c:f>
              <c:numCache>
                <c:formatCode>0.0%;\-0.0%;;</c:formatCode>
                <c:ptCount val="54"/>
                <c:pt idx="0">
                  <c:v>9.8010411950539482E-4</c:v>
                </c:pt>
                <c:pt idx="1">
                  <c:v>1.20862156461787E-3</c:v>
                </c:pt>
                <c:pt idx="2">
                  <c:v>1.0009359108667051E-3</c:v>
                </c:pt>
                <c:pt idx="3">
                  <c:v>1.0389916639752042E-3</c:v>
                </c:pt>
                <c:pt idx="4">
                  <c:v>9.8393753473701362E-4</c:v>
                </c:pt>
                <c:pt idx="5">
                  <c:v>1.2730257868274911E-3</c:v>
                </c:pt>
                <c:pt idx="6">
                  <c:v>1.5895917238719166E-3</c:v>
                </c:pt>
                <c:pt idx="7">
                  <c:v>1.4544699053601251E-3</c:v>
                </c:pt>
                <c:pt idx="8">
                  <c:v>1.0846083370411733E-3</c:v>
                </c:pt>
                <c:pt idx="9">
                  <c:v>9.7683469683272151E-4</c:v>
                </c:pt>
                <c:pt idx="10">
                  <c:v>1.0336703314757032E-3</c:v>
                </c:pt>
                <c:pt idx="11">
                  <c:v>1.1910864261927825E-3</c:v>
                </c:pt>
                <c:pt idx="12">
                  <c:v>1.1141666796895542E-3</c:v>
                </c:pt>
                <c:pt idx="13">
                  <c:v>1.3357806815907337E-3</c:v>
                </c:pt>
                <c:pt idx="14">
                  <c:v>1.45480170754104E-3</c:v>
                </c:pt>
                <c:pt idx="15">
                  <c:v>8.3578134918376313E-4</c:v>
                </c:pt>
                <c:pt idx="16">
                  <c:v>9.1793236596260689E-4</c:v>
                </c:pt>
                <c:pt idx="17">
                  <c:v>1.0846955851991334E-3</c:v>
                </c:pt>
                <c:pt idx="18">
                  <c:v>1.1329248584316363E-3</c:v>
                </c:pt>
                <c:pt idx="19">
                  <c:v>1.0468205453618169E-3</c:v>
                </c:pt>
                <c:pt idx="20">
                  <c:v>1.3205683707336803E-3</c:v>
                </c:pt>
                <c:pt idx="21">
                  <c:v>1.1274297039038693E-3</c:v>
                </c:pt>
                <c:pt idx="22">
                  <c:v>1.6109029715307072E-3</c:v>
                </c:pt>
                <c:pt idx="23">
                  <c:v>1.6484957206497474E-3</c:v>
                </c:pt>
                <c:pt idx="24">
                  <c:v>1.1088545149670385E-3</c:v>
                </c:pt>
                <c:pt idx="25">
                  <c:v>1.1821881894913304E-3</c:v>
                </c:pt>
                <c:pt idx="27">
                  <c:v>1.8108281331800512E-3</c:v>
                </c:pt>
                <c:pt idx="28">
                  <c:v>1.6335745797633186E-3</c:v>
                </c:pt>
                <c:pt idx="29">
                  <c:v>1.7435675526812956E-3</c:v>
                </c:pt>
                <c:pt idx="30">
                  <c:v>1.7324146729516641E-3</c:v>
                </c:pt>
                <c:pt idx="31">
                  <c:v>1.7481959211014442E-3</c:v>
                </c:pt>
                <c:pt idx="32">
                  <c:v>1.7022285608971465E-3</c:v>
                </c:pt>
                <c:pt idx="33">
                  <c:v>1.7058901517060263E-3</c:v>
                </c:pt>
                <c:pt idx="34">
                  <c:v>1.6963869976017146E-3</c:v>
                </c:pt>
                <c:pt idx="35">
                  <c:v>1.697176764135889E-3</c:v>
                </c:pt>
                <c:pt idx="36">
                  <c:v>1.6831496768263418E-3</c:v>
                </c:pt>
                <c:pt idx="37">
                  <c:v>1.7135664561662447E-3</c:v>
                </c:pt>
                <c:pt idx="38">
                  <c:v>1.6845195659212042E-3</c:v>
                </c:pt>
                <c:pt idx="39">
                  <c:v>1.7130620334860557E-3</c:v>
                </c:pt>
                <c:pt idx="40">
                  <c:v>1.1744692343616959E-3</c:v>
                </c:pt>
                <c:pt idx="41">
                  <c:v>1.2399128934640711E-3</c:v>
                </c:pt>
                <c:pt idx="42">
                  <c:v>8.4439792311571179E-4</c:v>
                </c:pt>
                <c:pt idx="43">
                  <c:v>9.6349931453578092E-4</c:v>
                </c:pt>
                <c:pt idx="44">
                  <c:v>1.0590457324087272E-3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1.0290208882494554E-3</c:v>
                </c:pt>
                <c:pt idx="53">
                  <c:v>1.7130620334860557E-3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C-A980-4F4A-98AE-EFA541856494}"/>
            </c:ext>
          </c:extLst>
        </c:ser>
        <c:ser>
          <c:idx val="12"/>
          <c:order val="14"/>
          <c:tx>
            <c:strRef>
              <c:f>'18 KMP- Tháng (Tâm)'!$D$81</c:f>
              <c:strCache>
                <c:ptCount val="1"/>
                <c:pt idx="0">
                  <c:v>Màu theo Bom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'18 KMP- Tháng (Tâm)'!$R$69:$BS$69</c:f>
              <c:strCache>
                <c:ptCount val="54"/>
                <c:pt idx="0">
                  <c:v> T1.24 </c:v>
                </c:pt>
                <c:pt idx="1">
                  <c:v> T2.24 </c:v>
                </c:pt>
                <c:pt idx="2">
                  <c:v> T3.24 </c:v>
                </c:pt>
                <c:pt idx="3">
                  <c:v> T4.24 </c:v>
                </c:pt>
                <c:pt idx="4">
                  <c:v> T5.24 </c:v>
                </c:pt>
                <c:pt idx="5">
                  <c:v> T6.24 </c:v>
                </c:pt>
                <c:pt idx="6">
                  <c:v> T7.24 </c:v>
                </c:pt>
                <c:pt idx="7">
                  <c:v> T8.24 </c:v>
                </c:pt>
                <c:pt idx="8">
                  <c:v> T9.24 </c:v>
                </c:pt>
                <c:pt idx="9">
                  <c:v> T10.24 </c:v>
                </c:pt>
                <c:pt idx="10">
                  <c:v> T11.24 </c:v>
                </c:pt>
                <c:pt idx="11">
                  <c:v> T12.24 </c:v>
                </c:pt>
                <c:pt idx="12">
                  <c:v> BQ TT 2024 </c:v>
                </c:pt>
                <c:pt idx="13">
                  <c:v> T1.25 </c:v>
                </c:pt>
                <c:pt idx="14">
                  <c:v> T2.25 </c:v>
                </c:pt>
                <c:pt idx="15">
                  <c:v> T3.25 </c:v>
                </c:pt>
                <c:pt idx="16">
                  <c:v> T4.25 </c:v>
                </c:pt>
                <c:pt idx="17">
                  <c:v> T5.25 </c:v>
                </c:pt>
                <c:pt idx="18">
                  <c:v> T6.25 </c:v>
                </c:pt>
                <c:pt idx="19">
                  <c:v> T7.25 </c:v>
                </c:pt>
                <c:pt idx="20">
                  <c:v> T8.25 </c:v>
                </c:pt>
                <c:pt idx="21">
                  <c:v> T9.25 </c:v>
                </c:pt>
                <c:pt idx="22">
                  <c:v> T10.25 </c:v>
                </c:pt>
                <c:pt idx="23">
                  <c:v> T11.25 </c:v>
                </c:pt>
                <c:pt idx="24">
                  <c:v> T12.25 </c:v>
                </c:pt>
                <c:pt idx="25">
                  <c:v> BQ TT 2025 </c:v>
                </c:pt>
                <c:pt idx="27">
                  <c:v> KH T1.2026 </c:v>
                </c:pt>
                <c:pt idx="28">
                  <c:v> KH T2.2026 </c:v>
                </c:pt>
                <c:pt idx="29">
                  <c:v> KH T3.2026 </c:v>
                </c:pt>
                <c:pt idx="30">
                  <c:v> KH T4.2026 </c:v>
                </c:pt>
                <c:pt idx="31">
                  <c:v> KH T5.2026 </c:v>
                </c:pt>
                <c:pt idx="32">
                  <c:v> KH T6.2026 </c:v>
                </c:pt>
                <c:pt idx="33">
                  <c:v> KH T7.2026 </c:v>
                </c:pt>
                <c:pt idx="34">
                  <c:v> KH T8.2026 </c:v>
                </c:pt>
                <c:pt idx="35">
                  <c:v> KH T9.2026 </c:v>
                </c:pt>
                <c:pt idx="36">
                  <c:v> KH T10.2026 </c:v>
                </c:pt>
                <c:pt idx="37">
                  <c:v> KH T11.2026 </c:v>
                </c:pt>
                <c:pt idx="38">
                  <c:v> KH T12.2026 </c:v>
                </c:pt>
                <c:pt idx="39">
                  <c:v> BQ KH 2026 </c:v>
                </c:pt>
                <c:pt idx="40">
                  <c:v> T1.26 </c:v>
                </c:pt>
                <c:pt idx="41">
                  <c:v> T2.26 </c:v>
                </c:pt>
                <c:pt idx="42">
                  <c:v> T3.26 </c:v>
                </c:pt>
                <c:pt idx="43">
                  <c:v> T4.26 </c:v>
                </c:pt>
                <c:pt idx="44">
                  <c:v> T5.26 </c:v>
                </c:pt>
                <c:pt idx="45">
                  <c:v> T6.26 </c:v>
                </c:pt>
                <c:pt idx="46">
                  <c:v> T7.26 </c:v>
                </c:pt>
                <c:pt idx="47">
                  <c:v> T8.26 </c:v>
                </c:pt>
                <c:pt idx="48">
                  <c:v> T9.26 </c:v>
                </c:pt>
                <c:pt idx="49">
                  <c:v> T10.26 </c:v>
                </c:pt>
                <c:pt idx="50">
                  <c:v> T11.26 </c:v>
                </c:pt>
                <c:pt idx="51">
                  <c:v> T12.26 </c:v>
                </c:pt>
                <c:pt idx="52">
                  <c:v> BQ TT 2026 </c:v>
                </c:pt>
                <c:pt idx="53">
                  <c:v> BQ KH 2026 </c:v>
                </c:pt>
              </c:strCache>
            </c:strRef>
          </c:cat>
          <c:val>
            <c:numRef>
              <c:f>'18 KMP- Tháng (Tâm)'!$R$81:$BS$81</c:f>
              <c:numCache>
                <c:formatCode>0.0%;\-0.0%;;</c:formatCode>
                <c:ptCount val="54"/>
                <c:pt idx="0">
                  <c:v>2.1195790664566217E-4</c:v>
                </c:pt>
                <c:pt idx="1">
                  <c:v>0</c:v>
                </c:pt>
                <c:pt idx="2">
                  <c:v>1.9364258681715054E-4</c:v>
                </c:pt>
                <c:pt idx="3">
                  <c:v>0</c:v>
                </c:pt>
                <c:pt idx="4">
                  <c:v>0</c:v>
                </c:pt>
                <c:pt idx="5">
                  <c:v>1.1674361006858607E-4</c:v>
                </c:pt>
                <c:pt idx="6">
                  <c:v>3.507383923911298E-4</c:v>
                </c:pt>
                <c:pt idx="7">
                  <c:v>4.6222973782395583E-4</c:v>
                </c:pt>
                <c:pt idx="8">
                  <c:v>1.413762815179322E-6</c:v>
                </c:pt>
                <c:pt idx="9">
                  <c:v>3.7013939742575302E-4</c:v>
                </c:pt>
                <c:pt idx="10">
                  <c:v>9.6231809710701748E-5</c:v>
                </c:pt>
                <c:pt idx="11">
                  <c:v>8.4430168821676734E-5</c:v>
                </c:pt>
                <c:pt idx="12">
                  <c:v>1.4522241208583445E-4</c:v>
                </c:pt>
                <c:pt idx="13">
                  <c:v>1.1666495159542646E-3</c:v>
                </c:pt>
                <c:pt idx="14">
                  <c:v>3.0009790637134303E-4</c:v>
                </c:pt>
                <c:pt idx="15">
                  <c:v>2.1715416853074017E-4</c:v>
                </c:pt>
                <c:pt idx="16">
                  <c:v>5.2414661863734108E-4</c:v>
                </c:pt>
                <c:pt idx="17">
                  <c:v>4.9860559064126696E-4</c:v>
                </c:pt>
                <c:pt idx="18">
                  <c:v>4.3059671320586339E-4</c:v>
                </c:pt>
                <c:pt idx="19">
                  <c:v>1.023077574451812E-6</c:v>
                </c:pt>
                <c:pt idx="20">
                  <c:v>1.7247610264057228E-4</c:v>
                </c:pt>
                <c:pt idx="21">
                  <c:v>8.0120607843665967E-4</c:v>
                </c:pt>
                <c:pt idx="22">
                  <c:v>1.5715123135230397E-3</c:v>
                </c:pt>
                <c:pt idx="23">
                  <c:v>1.471647326012609E-3</c:v>
                </c:pt>
                <c:pt idx="24">
                  <c:v>1.2710471603189554E-3</c:v>
                </c:pt>
                <c:pt idx="25">
                  <c:v>6.2494605663974306E-4</c:v>
                </c:pt>
                <c:pt idx="27">
                  <c:v>5.3949917008434042E-4</c:v>
                </c:pt>
                <c:pt idx="28">
                  <c:v>5.3771065112542512E-4</c:v>
                </c:pt>
                <c:pt idx="29">
                  <c:v>4.7028756108275302E-4</c:v>
                </c:pt>
                <c:pt idx="30">
                  <c:v>5.4125215236682596E-4</c:v>
                </c:pt>
                <c:pt idx="31">
                  <c:v>4.7013396788604499E-4</c:v>
                </c:pt>
                <c:pt idx="32">
                  <c:v>7.4113486557201289E-4</c:v>
                </c:pt>
                <c:pt idx="33">
                  <c:v>5.3608875854372566E-4</c:v>
                </c:pt>
                <c:pt idx="34">
                  <c:v>4.8619282192079465E-4</c:v>
                </c:pt>
                <c:pt idx="35">
                  <c:v>7.1183178762895892E-4</c:v>
                </c:pt>
                <c:pt idx="36">
                  <c:v>5.564926494895134E-4</c:v>
                </c:pt>
                <c:pt idx="37">
                  <c:v>4.6400216335902144E-4</c:v>
                </c:pt>
                <c:pt idx="38">
                  <c:v>4.8515586521329296E-4</c:v>
                </c:pt>
                <c:pt idx="39">
                  <c:v>5.4546355609698188E-4</c:v>
                </c:pt>
                <c:pt idx="40">
                  <c:v>1.4509330775549732E-3</c:v>
                </c:pt>
                <c:pt idx="41">
                  <c:v>7.0216180559628345E-4</c:v>
                </c:pt>
                <c:pt idx="42">
                  <c:v>1.8675125689583956E-3</c:v>
                </c:pt>
                <c:pt idx="43">
                  <c:v>3.687620708776106E-4</c:v>
                </c:pt>
                <c:pt idx="44">
                  <c:v>2.670407034559125E-5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8.84191134879855E-4</c:v>
                </c:pt>
                <c:pt idx="53">
                  <c:v>5.4546355609698188E-4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980-4F4A-98AE-EFA541856494}"/>
            </c:ext>
          </c:extLst>
        </c:ser>
        <c:ser>
          <c:idx val="16"/>
          <c:order val="16"/>
          <c:tx>
            <c:strRef>
              <c:f>'18 KMP- Tháng (Tâm)'!$D$86</c:f>
              <c:strCache>
                <c:ptCount val="1"/>
                <c:pt idx="0">
                  <c:v>Chi phí hoạt động quản lý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'18 KMP- Tháng (Tâm)'!$R$69:$BS$69</c:f>
              <c:strCache>
                <c:ptCount val="54"/>
                <c:pt idx="0">
                  <c:v> T1.24 </c:v>
                </c:pt>
                <c:pt idx="1">
                  <c:v> T2.24 </c:v>
                </c:pt>
                <c:pt idx="2">
                  <c:v> T3.24 </c:v>
                </c:pt>
                <c:pt idx="3">
                  <c:v> T4.24 </c:v>
                </c:pt>
                <c:pt idx="4">
                  <c:v> T5.24 </c:v>
                </c:pt>
                <c:pt idx="5">
                  <c:v> T6.24 </c:v>
                </c:pt>
                <c:pt idx="6">
                  <c:v> T7.24 </c:v>
                </c:pt>
                <c:pt idx="7">
                  <c:v> T8.24 </c:v>
                </c:pt>
                <c:pt idx="8">
                  <c:v> T9.24 </c:v>
                </c:pt>
                <c:pt idx="9">
                  <c:v> T10.24 </c:v>
                </c:pt>
                <c:pt idx="10">
                  <c:v> T11.24 </c:v>
                </c:pt>
                <c:pt idx="11">
                  <c:v> T12.24 </c:v>
                </c:pt>
                <c:pt idx="12">
                  <c:v> BQ TT 2024 </c:v>
                </c:pt>
                <c:pt idx="13">
                  <c:v> T1.25 </c:v>
                </c:pt>
                <c:pt idx="14">
                  <c:v> T2.25 </c:v>
                </c:pt>
                <c:pt idx="15">
                  <c:v> T3.25 </c:v>
                </c:pt>
                <c:pt idx="16">
                  <c:v> T4.25 </c:v>
                </c:pt>
                <c:pt idx="17">
                  <c:v> T5.25 </c:v>
                </c:pt>
                <c:pt idx="18">
                  <c:v> T6.25 </c:v>
                </c:pt>
                <c:pt idx="19">
                  <c:v> T7.25 </c:v>
                </c:pt>
                <c:pt idx="20">
                  <c:v> T8.25 </c:v>
                </c:pt>
                <c:pt idx="21">
                  <c:v> T9.25 </c:v>
                </c:pt>
                <c:pt idx="22">
                  <c:v> T10.25 </c:v>
                </c:pt>
                <c:pt idx="23">
                  <c:v> T11.25 </c:v>
                </c:pt>
                <c:pt idx="24">
                  <c:v> T12.25 </c:v>
                </c:pt>
                <c:pt idx="25">
                  <c:v> BQ TT 2025 </c:v>
                </c:pt>
                <c:pt idx="27">
                  <c:v> KH T1.2026 </c:v>
                </c:pt>
                <c:pt idx="28">
                  <c:v> KH T2.2026 </c:v>
                </c:pt>
                <c:pt idx="29">
                  <c:v> KH T3.2026 </c:v>
                </c:pt>
                <c:pt idx="30">
                  <c:v> KH T4.2026 </c:v>
                </c:pt>
                <c:pt idx="31">
                  <c:v> KH T5.2026 </c:v>
                </c:pt>
                <c:pt idx="32">
                  <c:v> KH T6.2026 </c:v>
                </c:pt>
                <c:pt idx="33">
                  <c:v> KH T7.2026 </c:v>
                </c:pt>
                <c:pt idx="34">
                  <c:v> KH T8.2026 </c:v>
                </c:pt>
                <c:pt idx="35">
                  <c:v> KH T9.2026 </c:v>
                </c:pt>
                <c:pt idx="36">
                  <c:v> KH T10.2026 </c:v>
                </c:pt>
                <c:pt idx="37">
                  <c:v> KH T11.2026 </c:v>
                </c:pt>
                <c:pt idx="38">
                  <c:v> KH T12.2026 </c:v>
                </c:pt>
                <c:pt idx="39">
                  <c:v> BQ KH 2026 </c:v>
                </c:pt>
                <c:pt idx="40">
                  <c:v> T1.26 </c:v>
                </c:pt>
                <c:pt idx="41">
                  <c:v> T2.26 </c:v>
                </c:pt>
                <c:pt idx="42">
                  <c:v> T3.26 </c:v>
                </c:pt>
                <c:pt idx="43">
                  <c:v> T4.26 </c:v>
                </c:pt>
                <c:pt idx="44">
                  <c:v> T5.26 </c:v>
                </c:pt>
                <c:pt idx="45">
                  <c:v> T6.26 </c:v>
                </c:pt>
                <c:pt idx="46">
                  <c:v> T7.26 </c:v>
                </c:pt>
                <c:pt idx="47">
                  <c:v> T8.26 </c:v>
                </c:pt>
                <c:pt idx="48">
                  <c:v> T9.26 </c:v>
                </c:pt>
                <c:pt idx="49">
                  <c:v> T10.26 </c:v>
                </c:pt>
                <c:pt idx="50">
                  <c:v> T11.26 </c:v>
                </c:pt>
                <c:pt idx="51">
                  <c:v> T12.26 </c:v>
                </c:pt>
                <c:pt idx="52">
                  <c:v> BQ TT 2026 </c:v>
                </c:pt>
                <c:pt idx="53">
                  <c:v> BQ KH 2026 </c:v>
                </c:pt>
              </c:strCache>
            </c:strRef>
          </c:cat>
          <c:val>
            <c:numRef>
              <c:f>'18 KMP- Tháng (Tâm)'!$R$86:$BS$86</c:f>
              <c:numCache>
                <c:formatCode>0.0%;\-0.0%;;</c:formatCode>
                <c:ptCount val="54"/>
                <c:pt idx="0">
                  <c:v>1.2105878326069983E-3</c:v>
                </c:pt>
                <c:pt idx="1">
                  <c:v>2.2918634165669909E-3</c:v>
                </c:pt>
                <c:pt idx="2">
                  <c:v>1.7310117375163639E-3</c:v>
                </c:pt>
                <c:pt idx="3">
                  <c:v>1.9776086749600861E-3</c:v>
                </c:pt>
                <c:pt idx="4">
                  <c:v>2.065678662214636E-3</c:v>
                </c:pt>
                <c:pt idx="5">
                  <c:v>2.4379797899930938E-3</c:v>
                </c:pt>
                <c:pt idx="6">
                  <c:v>3.6458653425457026E-3</c:v>
                </c:pt>
                <c:pt idx="7">
                  <c:v>3.6704038105172905E-3</c:v>
                </c:pt>
                <c:pt idx="8">
                  <c:v>2.3420186490480822E-3</c:v>
                </c:pt>
                <c:pt idx="9">
                  <c:v>2.1591201236416772E-3</c:v>
                </c:pt>
                <c:pt idx="10">
                  <c:v>2.3222477350639016E-3</c:v>
                </c:pt>
                <c:pt idx="11">
                  <c:v>4.4329317604629975E-3</c:v>
                </c:pt>
                <c:pt idx="12">
                  <c:v>2.394909886081523E-3</c:v>
                </c:pt>
                <c:pt idx="13">
                  <c:v>6.861264704280186E-3</c:v>
                </c:pt>
                <c:pt idx="14">
                  <c:v>4.4089784606590353E-3</c:v>
                </c:pt>
                <c:pt idx="15">
                  <c:v>3.2820013652282549E-3</c:v>
                </c:pt>
                <c:pt idx="16">
                  <c:v>3.0472532139249192E-3</c:v>
                </c:pt>
                <c:pt idx="17">
                  <c:v>2.6780685026791037E-3</c:v>
                </c:pt>
                <c:pt idx="18">
                  <c:v>5.7195789766496773E-3</c:v>
                </c:pt>
                <c:pt idx="19">
                  <c:v>5.3941567229786993E-3</c:v>
                </c:pt>
                <c:pt idx="20">
                  <c:v>5.1015138708714117E-3</c:v>
                </c:pt>
                <c:pt idx="21">
                  <c:v>4.9920179935118141E-3</c:v>
                </c:pt>
                <c:pt idx="22">
                  <c:v>9.8502056848875953E-3</c:v>
                </c:pt>
                <c:pt idx="23">
                  <c:v>8.5874272801582836E-3</c:v>
                </c:pt>
                <c:pt idx="24">
                  <c:v>5.6591311972871471E-3</c:v>
                </c:pt>
                <c:pt idx="25">
                  <c:v>5.1972910313751149E-3</c:v>
                </c:pt>
                <c:pt idx="27">
                  <c:v>7.2495585492256247E-3</c:v>
                </c:pt>
                <c:pt idx="28">
                  <c:v>6.3876861784004143E-3</c:v>
                </c:pt>
                <c:pt idx="29">
                  <c:v>8.6295041063501627E-3</c:v>
                </c:pt>
                <c:pt idx="30">
                  <c:v>7.2593836385810625E-3</c:v>
                </c:pt>
                <c:pt idx="31">
                  <c:v>7.261465029203204E-3</c:v>
                </c:pt>
                <c:pt idx="32">
                  <c:v>6.9971933289618531E-3</c:v>
                </c:pt>
                <c:pt idx="33">
                  <c:v>6.2043459355878572E-3</c:v>
                </c:pt>
                <c:pt idx="34">
                  <c:v>5.8548710974248427E-3</c:v>
                </c:pt>
                <c:pt idx="35">
                  <c:v>6.2905322226003008E-3</c:v>
                </c:pt>
                <c:pt idx="36">
                  <c:v>6.6271715015321061E-3</c:v>
                </c:pt>
                <c:pt idx="37">
                  <c:v>5.6634524985561948E-3</c:v>
                </c:pt>
                <c:pt idx="38">
                  <c:v>5.8639209963856917E-3</c:v>
                </c:pt>
                <c:pt idx="39">
                  <c:v>6.6805148655159404E-3</c:v>
                </c:pt>
                <c:pt idx="40">
                  <c:v>7.9846075258588611E-3</c:v>
                </c:pt>
                <c:pt idx="41">
                  <c:v>8.7653585242480399E-3</c:v>
                </c:pt>
                <c:pt idx="42">
                  <c:v>4.5806867595858634E-3</c:v>
                </c:pt>
                <c:pt idx="43">
                  <c:v>5.7801501929379039E-3</c:v>
                </c:pt>
                <c:pt idx="44">
                  <c:v>6.6308625121479572E-3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6.455160268025696E-3</c:v>
                </c:pt>
                <c:pt idx="53">
                  <c:v>6.6805148655159404E-3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980-4F4A-98AE-EFA541856494}"/>
            </c:ext>
          </c:extLst>
        </c:ser>
        <c:ser>
          <c:idx val="17"/>
          <c:order val="17"/>
          <c:tx>
            <c:strRef>
              <c:f>'18 KMP- Tháng (Tâm)'!$D$87</c:f>
              <c:strCache>
                <c:ptCount val="1"/>
                <c:pt idx="0">
                  <c:v>Công cụ dụng cụ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'18 KMP- Tháng (Tâm)'!$R$69:$BS$69</c:f>
              <c:strCache>
                <c:ptCount val="54"/>
                <c:pt idx="0">
                  <c:v> T1.24 </c:v>
                </c:pt>
                <c:pt idx="1">
                  <c:v> T2.24 </c:v>
                </c:pt>
                <c:pt idx="2">
                  <c:v> T3.24 </c:v>
                </c:pt>
                <c:pt idx="3">
                  <c:v> T4.24 </c:v>
                </c:pt>
                <c:pt idx="4">
                  <c:v> T5.24 </c:v>
                </c:pt>
                <c:pt idx="5">
                  <c:v> T6.24 </c:v>
                </c:pt>
                <c:pt idx="6">
                  <c:v> T7.24 </c:v>
                </c:pt>
                <c:pt idx="7">
                  <c:v> T8.24 </c:v>
                </c:pt>
                <c:pt idx="8">
                  <c:v> T9.24 </c:v>
                </c:pt>
                <c:pt idx="9">
                  <c:v> T10.24 </c:v>
                </c:pt>
                <c:pt idx="10">
                  <c:v> T11.24 </c:v>
                </c:pt>
                <c:pt idx="11">
                  <c:v> T12.24 </c:v>
                </c:pt>
                <c:pt idx="12">
                  <c:v> BQ TT 2024 </c:v>
                </c:pt>
                <c:pt idx="13">
                  <c:v> T1.25 </c:v>
                </c:pt>
                <c:pt idx="14">
                  <c:v> T2.25 </c:v>
                </c:pt>
                <c:pt idx="15">
                  <c:v> T3.25 </c:v>
                </c:pt>
                <c:pt idx="16">
                  <c:v> T4.25 </c:v>
                </c:pt>
                <c:pt idx="17">
                  <c:v> T5.25 </c:v>
                </c:pt>
                <c:pt idx="18">
                  <c:v> T6.25 </c:v>
                </c:pt>
                <c:pt idx="19">
                  <c:v> T7.25 </c:v>
                </c:pt>
                <c:pt idx="20">
                  <c:v> T8.25 </c:v>
                </c:pt>
                <c:pt idx="21">
                  <c:v> T9.25 </c:v>
                </c:pt>
                <c:pt idx="22">
                  <c:v> T10.25 </c:v>
                </c:pt>
                <c:pt idx="23">
                  <c:v> T11.25 </c:v>
                </c:pt>
                <c:pt idx="24">
                  <c:v> T12.25 </c:v>
                </c:pt>
                <c:pt idx="25">
                  <c:v> BQ TT 2025 </c:v>
                </c:pt>
                <c:pt idx="27">
                  <c:v> KH T1.2026 </c:v>
                </c:pt>
                <c:pt idx="28">
                  <c:v> KH T2.2026 </c:v>
                </c:pt>
                <c:pt idx="29">
                  <c:v> KH T3.2026 </c:v>
                </c:pt>
                <c:pt idx="30">
                  <c:v> KH T4.2026 </c:v>
                </c:pt>
                <c:pt idx="31">
                  <c:v> KH T5.2026 </c:v>
                </c:pt>
                <c:pt idx="32">
                  <c:v> KH T6.2026 </c:v>
                </c:pt>
                <c:pt idx="33">
                  <c:v> KH T7.2026 </c:v>
                </c:pt>
                <c:pt idx="34">
                  <c:v> KH T8.2026 </c:v>
                </c:pt>
                <c:pt idx="35">
                  <c:v> KH T9.2026 </c:v>
                </c:pt>
                <c:pt idx="36">
                  <c:v> KH T10.2026 </c:v>
                </c:pt>
                <c:pt idx="37">
                  <c:v> KH T11.2026 </c:v>
                </c:pt>
                <c:pt idx="38">
                  <c:v> KH T12.2026 </c:v>
                </c:pt>
                <c:pt idx="39">
                  <c:v> BQ KH 2026 </c:v>
                </c:pt>
                <c:pt idx="40">
                  <c:v> T1.26 </c:v>
                </c:pt>
                <c:pt idx="41">
                  <c:v> T2.26 </c:v>
                </c:pt>
                <c:pt idx="42">
                  <c:v> T3.26 </c:v>
                </c:pt>
                <c:pt idx="43">
                  <c:v> T4.26 </c:v>
                </c:pt>
                <c:pt idx="44">
                  <c:v> T5.26 </c:v>
                </c:pt>
                <c:pt idx="45">
                  <c:v> T6.26 </c:v>
                </c:pt>
                <c:pt idx="46">
                  <c:v> T7.26 </c:v>
                </c:pt>
                <c:pt idx="47">
                  <c:v> T8.26 </c:v>
                </c:pt>
                <c:pt idx="48">
                  <c:v> T9.26 </c:v>
                </c:pt>
                <c:pt idx="49">
                  <c:v> T10.26 </c:v>
                </c:pt>
                <c:pt idx="50">
                  <c:v> T11.26 </c:v>
                </c:pt>
                <c:pt idx="51">
                  <c:v> T12.26 </c:v>
                </c:pt>
                <c:pt idx="52">
                  <c:v> BQ TT 2026 </c:v>
                </c:pt>
                <c:pt idx="53">
                  <c:v> BQ KH 2026 </c:v>
                </c:pt>
              </c:strCache>
            </c:strRef>
          </c:cat>
          <c:val>
            <c:numRef>
              <c:f>'18 KMP- Tháng (Tâm)'!$R$87:$BS$87</c:f>
              <c:numCache>
                <c:formatCode>0.0%;\-0.0%;;</c:formatCode>
                <c:ptCount val="54"/>
                <c:pt idx="0">
                  <c:v>5.4834002484196306E-3</c:v>
                </c:pt>
                <c:pt idx="1">
                  <c:v>7.2325455721655016E-3</c:v>
                </c:pt>
                <c:pt idx="2">
                  <c:v>5.6710406030403742E-3</c:v>
                </c:pt>
                <c:pt idx="3">
                  <c:v>6.2050676661721477E-3</c:v>
                </c:pt>
                <c:pt idx="4">
                  <c:v>7.1933119381469802E-3</c:v>
                </c:pt>
                <c:pt idx="5">
                  <c:v>6.9579170344223193E-3</c:v>
                </c:pt>
                <c:pt idx="6">
                  <c:v>9.1184724307095226E-3</c:v>
                </c:pt>
                <c:pt idx="7">
                  <c:v>1.0566506570088634E-2</c:v>
                </c:pt>
                <c:pt idx="8">
                  <c:v>1.1110544232377194E-2</c:v>
                </c:pt>
                <c:pt idx="9">
                  <c:v>6.3932419898897787E-3</c:v>
                </c:pt>
                <c:pt idx="10">
                  <c:v>7.208484713601325E-3</c:v>
                </c:pt>
                <c:pt idx="11">
                  <c:v>1.0403279054874407E-2</c:v>
                </c:pt>
                <c:pt idx="12">
                  <c:v>7.4920901950232942E-3</c:v>
                </c:pt>
                <c:pt idx="13">
                  <c:v>1.1928508923554395E-2</c:v>
                </c:pt>
                <c:pt idx="14">
                  <c:v>1.0490334201908822E-2</c:v>
                </c:pt>
                <c:pt idx="15">
                  <c:v>6.8128183850776711E-3</c:v>
                </c:pt>
                <c:pt idx="16">
                  <c:v>8.745789599404228E-3</c:v>
                </c:pt>
                <c:pt idx="17">
                  <c:v>7.0586854331850888E-3</c:v>
                </c:pt>
                <c:pt idx="18">
                  <c:v>6.9296520557530486E-3</c:v>
                </c:pt>
                <c:pt idx="19">
                  <c:v>6.4388744291846E-3</c:v>
                </c:pt>
                <c:pt idx="20">
                  <c:v>6.255373872887297E-3</c:v>
                </c:pt>
                <c:pt idx="21">
                  <c:v>6.5560410253076261E-3</c:v>
                </c:pt>
                <c:pt idx="22">
                  <c:v>8.6890797082848602E-3</c:v>
                </c:pt>
                <c:pt idx="23">
                  <c:v>1.2430374661277792E-2</c:v>
                </c:pt>
                <c:pt idx="24">
                  <c:v>7.9446597380494182E-3</c:v>
                </c:pt>
                <c:pt idx="25">
                  <c:v>7.9127906718359162E-3</c:v>
                </c:pt>
                <c:pt idx="27">
                  <c:v>9.8369969822608757E-3</c:v>
                </c:pt>
                <c:pt idx="28">
                  <c:v>7.0873972065904553E-3</c:v>
                </c:pt>
                <c:pt idx="29">
                  <c:v>7.9862937843848125E-3</c:v>
                </c:pt>
                <c:pt idx="30">
                  <c:v>8.2891383089951261E-3</c:v>
                </c:pt>
                <c:pt idx="31">
                  <c:v>6.637783529661892E-3</c:v>
                </c:pt>
                <c:pt idx="32">
                  <c:v>6.9059483673617316E-3</c:v>
                </c:pt>
                <c:pt idx="33">
                  <c:v>6.8589138149358674E-3</c:v>
                </c:pt>
                <c:pt idx="34">
                  <c:v>6.40156125631454E-3</c:v>
                </c:pt>
                <c:pt idx="35">
                  <c:v>6.6862373763542588E-3</c:v>
                </c:pt>
                <c:pt idx="36">
                  <c:v>6.5335737354585716E-3</c:v>
                </c:pt>
                <c:pt idx="37">
                  <c:v>5.6191255605836645E-3</c:v>
                </c:pt>
                <c:pt idx="38">
                  <c:v>6.4836664953015696E-3</c:v>
                </c:pt>
                <c:pt idx="39">
                  <c:v>7.0872002449869917E-3</c:v>
                </c:pt>
                <c:pt idx="40">
                  <c:v>6.4933842431057764E-3</c:v>
                </c:pt>
                <c:pt idx="41">
                  <c:v>8.0925107438804874E-3</c:v>
                </c:pt>
                <c:pt idx="42">
                  <c:v>5.0831072685195164E-3</c:v>
                </c:pt>
                <c:pt idx="43">
                  <c:v>4.6615140128517928E-3</c:v>
                </c:pt>
                <c:pt idx="44">
                  <c:v>5.3467140191476633E-3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5.6687769713458522E-3</c:v>
                </c:pt>
                <c:pt idx="53">
                  <c:v>7.0872002449869917E-3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980-4F4A-98AE-EFA541856494}"/>
            </c:ext>
          </c:extLst>
        </c:ser>
        <c:ser>
          <c:idx val="18"/>
          <c:order val="18"/>
          <c:tx>
            <c:strRef>
              <c:f>'18 KMP- Tháng (Tâm)'!$D$88</c:f>
              <c:strCache>
                <c:ptCount val="1"/>
                <c:pt idx="0">
                  <c:v>Bảo Trì + Sữa Chữa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'18 KMP- Tháng (Tâm)'!$R$69:$BS$69</c:f>
              <c:strCache>
                <c:ptCount val="54"/>
                <c:pt idx="0">
                  <c:v> T1.24 </c:v>
                </c:pt>
                <c:pt idx="1">
                  <c:v> T2.24 </c:v>
                </c:pt>
                <c:pt idx="2">
                  <c:v> T3.24 </c:v>
                </c:pt>
                <c:pt idx="3">
                  <c:v> T4.24 </c:v>
                </c:pt>
                <c:pt idx="4">
                  <c:v> T5.24 </c:v>
                </c:pt>
                <c:pt idx="5">
                  <c:v> T6.24 </c:v>
                </c:pt>
                <c:pt idx="6">
                  <c:v> T7.24 </c:v>
                </c:pt>
                <c:pt idx="7">
                  <c:v> T8.24 </c:v>
                </c:pt>
                <c:pt idx="8">
                  <c:v> T9.24 </c:v>
                </c:pt>
                <c:pt idx="9">
                  <c:v> T10.24 </c:v>
                </c:pt>
                <c:pt idx="10">
                  <c:v> T11.24 </c:v>
                </c:pt>
                <c:pt idx="11">
                  <c:v> T12.24 </c:v>
                </c:pt>
                <c:pt idx="12">
                  <c:v> BQ TT 2024 </c:v>
                </c:pt>
                <c:pt idx="13">
                  <c:v> T1.25 </c:v>
                </c:pt>
                <c:pt idx="14">
                  <c:v> T2.25 </c:v>
                </c:pt>
                <c:pt idx="15">
                  <c:v> T3.25 </c:v>
                </c:pt>
                <c:pt idx="16">
                  <c:v> T4.25 </c:v>
                </c:pt>
                <c:pt idx="17">
                  <c:v> T5.25 </c:v>
                </c:pt>
                <c:pt idx="18">
                  <c:v> T6.25 </c:v>
                </c:pt>
                <c:pt idx="19">
                  <c:v> T7.25 </c:v>
                </c:pt>
                <c:pt idx="20">
                  <c:v> T8.25 </c:v>
                </c:pt>
                <c:pt idx="21">
                  <c:v> T9.25 </c:v>
                </c:pt>
                <c:pt idx="22">
                  <c:v> T10.25 </c:v>
                </c:pt>
                <c:pt idx="23">
                  <c:v> T11.25 </c:v>
                </c:pt>
                <c:pt idx="24">
                  <c:v> T12.25 </c:v>
                </c:pt>
                <c:pt idx="25">
                  <c:v> BQ TT 2025 </c:v>
                </c:pt>
                <c:pt idx="27">
                  <c:v> KH T1.2026 </c:v>
                </c:pt>
                <c:pt idx="28">
                  <c:v> KH T2.2026 </c:v>
                </c:pt>
                <c:pt idx="29">
                  <c:v> KH T3.2026 </c:v>
                </c:pt>
                <c:pt idx="30">
                  <c:v> KH T4.2026 </c:v>
                </c:pt>
                <c:pt idx="31">
                  <c:v> KH T5.2026 </c:v>
                </c:pt>
                <c:pt idx="32">
                  <c:v> KH T6.2026 </c:v>
                </c:pt>
                <c:pt idx="33">
                  <c:v> KH T7.2026 </c:v>
                </c:pt>
                <c:pt idx="34">
                  <c:v> KH T8.2026 </c:v>
                </c:pt>
                <c:pt idx="35">
                  <c:v> KH T9.2026 </c:v>
                </c:pt>
                <c:pt idx="36">
                  <c:v> KH T10.2026 </c:v>
                </c:pt>
                <c:pt idx="37">
                  <c:v> KH T11.2026 </c:v>
                </c:pt>
                <c:pt idx="38">
                  <c:v> KH T12.2026 </c:v>
                </c:pt>
                <c:pt idx="39">
                  <c:v> BQ KH 2026 </c:v>
                </c:pt>
                <c:pt idx="40">
                  <c:v> T1.26 </c:v>
                </c:pt>
                <c:pt idx="41">
                  <c:v> T2.26 </c:v>
                </c:pt>
                <c:pt idx="42">
                  <c:v> T3.26 </c:v>
                </c:pt>
                <c:pt idx="43">
                  <c:v> T4.26 </c:v>
                </c:pt>
                <c:pt idx="44">
                  <c:v> T5.26 </c:v>
                </c:pt>
                <c:pt idx="45">
                  <c:v> T6.26 </c:v>
                </c:pt>
                <c:pt idx="46">
                  <c:v> T7.26 </c:v>
                </c:pt>
                <c:pt idx="47">
                  <c:v> T8.26 </c:v>
                </c:pt>
                <c:pt idx="48">
                  <c:v> T9.26 </c:v>
                </c:pt>
                <c:pt idx="49">
                  <c:v> T10.26 </c:v>
                </c:pt>
                <c:pt idx="50">
                  <c:v> T11.26 </c:v>
                </c:pt>
                <c:pt idx="51">
                  <c:v> T12.26 </c:v>
                </c:pt>
                <c:pt idx="52">
                  <c:v> BQ TT 2026 </c:v>
                </c:pt>
                <c:pt idx="53">
                  <c:v> BQ KH 2026 </c:v>
                </c:pt>
              </c:strCache>
            </c:strRef>
          </c:cat>
          <c:val>
            <c:numRef>
              <c:f>'18 KMP- Tháng (Tâm)'!$R$88:$BS$88</c:f>
              <c:numCache>
                <c:formatCode>0.0%;\-0.0%;;</c:formatCode>
                <c:ptCount val="54"/>
                <c:pt idx="0">
                  <c:v>4.6710335722185276E-3</c:v>
                </c:pt>
                <c:pt idx="1">
                  <c:v>7.5203704671669494E-3</c:v>
                </c:pt>
                <c:pt idx="2">
                  <c:v>5.5836842269816594E-3</c:v>
                </c:pt>
                <c:pt idx="3">
                  <c:v>5.0948090803117838E-3</c:v>
                </c:pt>
                <c:pt idx="4">
                  <c:v>6.5091166036052462E-3</c:v>
                </c:pt>
                <c:pt idx="5">
                  <c:v>8.8086499806901784E-3</c:v>
                </c:pt>
                <c:pt idx="6">
                  <c:v>9.2842850729199511E-3</c:v>
                </c:pt>
                <c:pt idx="7">
                  <c:v>1.1732608533753384E-2</c:v>
                </c:pt>
                <c:pt idx="8">
                  <c:v>1.0847190508120481E-2</c:v>
                </c:pt>
                <c:pt idx="9">
                  <c:v>8.6049735401970001E-3</c:v>
                </c:pt>
                <c:pt idx="10">
                  <c:v>8.9907263226131334E-3</c:v>
                </c:pt>
                <c:pt idx="11">
                  <c:v>1.3976060075947126E-2</c:v>
                </c:pt>
                <c:pt idx="12">
                  <c:v>8.1198150839765938E-3</c:v>
                </c:pt>
                <c:pt idx="13">
                  <c:v>1.5318262625593619E-2</c:v>
                </c:pt>
                <c:pt idx="14">
                  <c:v>1.0822806864905148E-2</c:v>
                </c:pt>
                <c:pt idx="15">
                  <c:v>7.5617562105993489E-3</c:v>
                </c:pt>
                <c:pt idx="16">
                  <c:v>9.0457531515981786E-3</c:v>
                </c:pt>
                <c:pt idx="17">
                  <c:v>7.383283594479751E-3</c:v>
                </c:pt>
                <c:pt idx="18">
                  <c:v>1.0055817645130935E-2</c:v>
                </c:pt>
                <c:pt idx="19">
                  <c:v>9.5201170563609886E-3</c:v>
                </c:pt>
                <c:pt idx="20">
                  <c:v>8.9560985577889617E-3</c:v>
                </c:pt>
                <c:pt idx="21">
                  <c:v>7.551977283269418E-3</c:v>
                </c:pt>
                <c:pt idx="22">
                  <c:v>1.1587095664183499E-2</c:v>
                </c:pt>
                <c:pt idx="23">
                  <c:v>1.3844279997497527E-2</c:v>
                </c:pt>
                <c:pt idx="24">
                  <c:v>9.5822687849347384E-3</c:v>
                </c:pt>
                <c:pt idx="25">
                  <c:v>9.6171845756999139E-3</c:v>
                </c:pt>
                <c:pt idx="27">
                  <c:v>9.3096346458821401E-3</c:v>
                </c:pt>
                <c:pt idx="28">
                  <c:v>8.3016392112392062E-3</c:v>
                </c:pt>
                <c:pt idx="29">
                  <c:v>1.1213086690045849E-2</c:v>
                </c:pt>
                <c:pt idx="30">
                  <c:v>1.0430868377740602E-2</c:v>
                </c:pt>
                <c:pt idx="31">
                  <c:v>1.0505996271468811E-2</c:v>
                </c:pt>
                <c:pt idx="32">
                  <c:v>1.2842358003254097E-2</c:v>
                </c:pt>
                <c:pt idx="33">
                  <c:v>1.1570270532965469E-2</c:v>
                </c:pt>
                <c:pt idx="34">
                  <c:v>1.0276431858608695E-2</c:v>
                </c:pt>
                <c:pt idx="35">
                  <c:v>1.149854059924618E-2</c:v>
                </c:pt>
                <c:pt idx="36">
                  <c:v>1.0600586875648549E-2</c:v>
                </c:pt>
                <c:pt idx="37">
                  <c:v>1.0310681744811369E-2</c:v>
                </c:pt>
                <c:pt idx="38">
                  <c:v>1.0679573229062815E-2</c:v>
                </c:pt>
                <c:pt idx="39">
                  <c:v>1.0674943611935784E-2</c:v>
                </c:pt>
                <c:pt idx="40">
                  <c:v>1.0054121368264462E-2</c:v>
                </c:pt>
                <c:pt idx="41">
                  <c:v>1.0788755065442416E-2</c:v>
                </c:pt>
                <c:pt idx="42">
                  <c:v>7.041776923102607E-3</c:v>
                </c:pt>
                <c:pt idx="43">
                  <c:v>8.6850859071870012E-3</c:v>
                </c:pt>
                <c:pt idx="44">
                  <c:v>1.1669461075190476E-2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9.4604861982224842E-3</c:v>
                </c:pt>
                <c:pt idx="53">
                  <c:v>1.0674943611935784E-2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980-4F4A-98AE-EFA541856494}"/>
            </c:ext>
          </c:extLst>
        </c:ser>
        <c:ser>
          <c:idx val="19"/>
          <c:order val="19"/>
          <c:tx>
            <c:strRef>
              <c:f>'18 KMP- Tháng (Tâm)'!$D$89</c:f>
              <c:strCache>
                <c:ptCount val="1"/>
                <c:pt idx="0">
                  <c:v>Lãi Vay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'18 KMP- Tháng (Tâm)'!$R$69:$BS$69</c:f>
              <c:strCache>
                <c:ptCount val="54"/>
                <c:pt idx="0">
                  <c:v> T1.24 </c:v>
                </c:pt>
                <c:pt idx="1">
                  <c:v> T2.24 </c:v>
                </c:pt>
                <c:pt idx="2">
                  <c:v> T3.24 </c:v>
                </c:pt>
                <c:pt idx="3">
                  <c:v> T4.24 </c:v>
                </c:pt>
                <c:pt idx="4">
                  <c:v> T5.24 </c:v>
                </c:pt>
                <c:pt idx="5">
                  <c:v> T6.24 </c:v>
                </c:pt>
                <c:pt idx="6">
                  <c:v> T7.24 </c:v>
                </c:pt>
                <c:pt idx="7">
                  <c:v> T8.24 </c:v>
                </c:pt>
                <c:pt idx="8">
                  <c:v> T9.24 </c:v>
                </c:pt>
                <c:pt idx="9">
                  <c:v> T10.24 </c:v>
                </c:pt>
                <c:pt idx="10">
                  <c:v> T11.24 </c:v>
                </c:pt>
                <c:pt idx="11">
                  <c:v> T12.24 </c:v>
                </c:pt>
                <c:pt idx="12">
                  <c:v> BQ TT 2024 </c:v>
                </c:pt>
                <c:pt idx="13">
                  <c:v> T1.25 </c:v>
                </c:pt>
                <c:pt idx="14">
                  <c:v> T2.25 </c:v>
                </c:pt>
                <c:pt idx="15">
                  <c:v> T3.25 </c:v>
                </c:pt>
                <c:pt idx="16">
                  <c:v> T4.25 </c:v>
                </c:pt>
                <c:pt idx="17">
                  <c:v> T5.25 </c:v>
                </c:pt>
                <c:pt idx="18">
                  <c:v> T6.25 </c:v>
                </c:pt>
                <c:pt idx="19">
                  <c:v> T7.25 </c:v>
                </c:pt>
                <c:pt idx="20">
                  <c:v> T8.25 </c:v>
                </c:pt>
                <c:pt idx="21">
                  <c:v> T9.25 </c:v>
                </c:pt>
                <c:pt idx="22">
                  <c:v> T10.25 </c:v>
                </c:pt>
                <c:pt idx="23">
                  <c:v> T11.25 </c:v>
                </c:pt>
                <c:pt idx="24">
                  <c:v> T12.25 </c:v>
                </c:pt>
                <c:pt idx="25">
                  <c:v> BQ TT 2025 </c:v>
                </c:pt>
                <c:pt idx="27">
                  <c:v> KH T1.2026 </c:v>
                </c:pt>
                <c:pt idx="28">
                  <c:v> KH T2.2026 </c:v>
                </c:pt>
                <c:pt idx="29">
                  <c:v> KH T3.2026 </c:v>
                </c:pt>
                <c:pt idx="30">
                  <c:v> KH T4.2026 </c:v>
                </c:pt>
                <c:pt idx="31">
                  <c:v> KH T5.2026 </c:v>
                </c:pt>
                <c:pt idx="32">
                  <c:v> KH T6.2026 </c:v>
                </c:pt>
                <c:pt idx="33">
                  <c:v> KH T7.2026 </c:v>
                </c:pt>
                <c:pt idx="34">
                  <c:v> KH T8.2026 </c:v>
                </c:pt>
                <c:pt idx="35">
                  <c:v> KH T9.2026 </c:v>
                </c:pt>
                <c:pt idx="36">
                  <c:v> KH T10.2026 </c:v>
                </c:pt>
                <c:pt idx="37">
                  <c:v> KH T11.2026 </c:v>
                </c:pt>
                <c:pt idx="38">
                  <c:v> KH T12.2026 </c:v>
                </c:pt>
                <c:pt idx="39">
                  <c:v> BQ KH 2026 </c:v>
                </c:pt>
                <c:pt idx="40">
                  <c:v> T1.26 </c:v>
                </c:pt>
                <c:pt idx="41">
                  <c:v> T2.26 </c:v>
                </c:pt>
                <c:pt idx="42">
                  <c:v> T3.26 </c:v>
                </c:pt>
                <c:pt idx="43">
                  <c:v> T4.26 </c:v>
                </c:pt>
                <c:pt idx="44">
                  <c:v> T5.26 </c:v>
                </c:pt>
                <c:pt idx="45">
                  <c:v> T6.26 </c:v>
                </c:pt>
                <c:pt idx="46">
                  <c:v> T7.26 </c:v>
                </c:pt>
                <c:pt idx="47">
                  <c:v> T8.26 </c:v>
                </c:pt>
                <c:pt idx="48">
                  <c:v> T9.26 </c:v>
                </c:pt>
                <c:pt idx="49">
                  <c:v> T10.26 </c:v>
                </c:pt>
                <c:pt idx="50">
                  <c:v> T11.26 </c:v>
                </c:pt>
                <c:pt idx="51">
                  <c:v> T12.26 </c:v>
                </c:pt>
                <c:pt idx="52">
                  <c:v> BQ TT 2026 </c:v>
                </c:pt>
                <c:pt idx="53">
                  <c:v> BQ KH 2026 </c:v>
                </c:pt>
              </c:strCache>
            </c:strRef>
          </c:cat>
          <c:val>
            <c:numRef>
              <c:f>'18 KMP- Tháng (Tâm)'!$R$89:$BS$89</c:f>
              <c:numCache>
                <c:formatCode>0.0%;\-0.0%;;</c:formatCode>
                <c:ptCount val="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980-4F4A-98AE-EFA541856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840983968"/>
        <c:axId val="184098156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'18 KMP- Tháng (Tâm)'!$D$70</c15:sqref>
                        </c15:formulaRef>
                      </c:ext>
                    </c:extLst>
                    <c:strCache>
                      <c:ptCount val="1"/>
                      <c:pt idx="0">
                        <c:v>BIẾN PHÍ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'18 KMP- Tháng (Tâm)'!$R$69:$BS$69</c15:sqref>
                        </c15:formulaRef>
                      </c:ext>
                    </c:extLst>
                    <c:strCache>
                      <c:ptCount val="54"/>
                      <c:pt idx="0">
                        <c:v> T1.24 </c:v>
                      </c:pt>
                      <c:pt idx="1">
                        <c:v> T2.24 </c:v>
                      </c:pt>
                      <c:pt idx="2">
                        <c:v> T3.24 </c:v>
                      </c:pt>
                      <c:pt idx="3">
                        <c:v> T4.24 </c:v>
                      </c:pt>
                      <c:pt idx="4">
                        <c:v> T5.24 </c:v>
                      </c:pt>
                      <c:pt idx="5">
                        <c:v> T6.24 </c:v>
                      </c:pt>
                      <c:pt idx="6">
                        <c:v> T7.24 </c:v>
                      </c:pt>
                      <c:pt idx="7">
                        <c:v> T8.24 </c:v>
                      </c:pt>
                      <c:pt idx="8">
                        <c:v> T9.24 </c:v>
                      </c:pt>
                      <c:pt idx="9">
                        <c:v> T10.24 </c:v>
                      </c:pt>
                      <c:pt idx="10">
                        <c:v> T11.24 </c:v>
                      </c:pt>
                      <c:pt idx="11">
                        <c:v> T12.24 </c:v>
                      </c:pt>
                      <c:pt idx="12">
                        <c:v> BQ TT 2024 </c:v>
                      </c:pt>
                      <c:pt idx="13">
                        <c:v> T1.25 </c:v>
                      </c:pt>
                      <c:pt idx="14">
                        <c:v> T2.25 </c:v>
                      </c:pt>
                      <c:pt idx="15">
                        <c:v> T3.25 </c:v>
                      </c:pt>
                      <c:pt idx="16">
                        <c:v> T4.25 </c:v>
                      </c:pt>
                      <c:pt idx="17">
                        <c:v> T5.25 </c:v>
                      </c:pt>
                      <c:pt idx="18">
                        <c:v> T6.25 </c:v>
                      </c:pt>
                      <c:pt idx="19">
                        <c:v> T7.25 </c:v>
                      </c:pt>
                      <c:pt idx="20">
                        <c:v> T8.25 </c:v>
                      </c:pt>
                      <c:pt idx="21">
                        <c:v> T9.25 </c:v>
                      </c:pt>
                      <c:pt idx="22">
                        <c:v> T10.25 </c:v>
                      </c:pt>
                      <c:pt idx="23">
                        <c:v> T11.25 </c:v>
                      </c:pt>
                      <c:pt idx="24">
                        <c:v> T12.25 </c:v>
                      </c:pt>
                      <c:pt idx="25">
                        <c:v> BQ TT 2025 </c:v>
                      </c:pt>
                      <c:pt idx="27">
                        <c:v> KH T1.2026 </c:v>
                      </c:pt>
                      <c:pt idx="28">
                        <c:v> KH T2.2026 </c:v>
                      </c:pt>
                      <c:pt idx="29">
                        <c:v> KH T3.2026 </c:v>
                      </c:pt>
                      <c:pt idx="30">
                        <c:v> KH T4.2026 </c:v>
                      </c:pt>
                      <c:pt idx="31">
                        <c:v> KH T5.2026 </c:v>
                      </c:pt>
                      <c:pt idx="32">
                        <c:v> KH T6.2026 </c:v>
                      </c:pt>
                      <c:pt idx="33">
                        <c:v> KH T7.2026 </c:v>
                      </c:pt>
                      <c:pt idx="34">
                        <c:v> KH T8.2026 </c:v>
                      </c:pt>
                      <c:pt idx="35">
                        <c:v> KH T9.2026 </c:v>
                      </c:pt>
                      <c:pt idx="36">
                        <c:v> KH T10.2026 </c:v>
                      </c:pt>
                      <c:pt idx="37">
                        <c:v> KH T11.2026 </c:v>
                      </c:pt>
                      <c:pt idx="38">
                        <c:v> KH T12.2026 </c:v>
                      </c:pt>
                      <c:pt idx="39">
                        <c:v> BQ KH 2026 </c:v>
                      </c:pt>
                      <c:pt idx="40">
                        <c:v> T1.26 </c:v>
                      </c:pt>
                      <c:pt idx="41">
                        <c:v> T2.26 </c:v>
                      </c:pt>
                      <c:pt idx="42">
                        <c:v> T3.26 </c:v>
                      </c:pt>
                      <c:pt idx="43">
                        <c:v> T4.26 </c:v>
                      </c:pt>
                      <c:pt idx="44">
                        <c:v> T5.26 </c:v>
                      </c:pt>
                      <c:pt idx="45">
                        <c:v> T6.26 </c:v>
                      </c:pt>
                      <c:pt idx="46">
                        <c:v> T7.26 </c:v>
                      </c:pt>
                      <c:pt idx="47">
                        <c:v> T8.26 </c:v>
                      </c:pt>
                      <c:pt idx="48">
                        <c:v> T9.26 </c:v>
                      </c:pt>
                      <c:pt idx="49">
                        <c:v> T10.26 </c:v>
                      </c:pt>
                      <c:pt idx="50">
                        <c:v> T11.26 </c:v>
                      </c:pt>
                      <c:pt idx="51">
                        <c:v> T12.26 </c:v>
                      </c:pt>
                      <c:pt idx="52">
                        <c:v> BQ TT 2026 </c:v>
                      </c:pt>
                      <c:pt idx="53">
                        <c:v> BQ KH 2026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'18 KMP- Tháng (Tâm)'!$R$70:$BS$70</c15:sqref>
                        </c15:formulaRef>
                      </c:ext>
                    </c:extLst>
                    <c:numCache>
                      <c:formatCode>0.0%;\-0.0%;;</c:formatCode>
                      <c:ptCount val="54"/>
                      <c:pt idx="0">
                        <c:v>0.85151858352119825</c:v>
                      </c:pt>
                      <c:pt idx="1">
                        <c:v>0.78361682808315858</c:v>
                      </c:pt>
                      <c:pt idx="2">
                        <c:v>0.85201322374191635</c:v>
                      </c:pt>
                      <c:pt idx="3">
                        <c:v>0.84147696012329309</c:v>
                      </c:pt>
                      <c:pt idx="4">
                        <c:v>0.82886768652892773</c:v>
                      </c:pt>
                      <c:pt idx="5">
                        <c:v>0.79204909852343397</c:v>
                      </c:pt>
                      <c:pt idx="6">
                        <c:v>0.68640471355286481</c:v>
                      </c:pt>
                      <c:pt idx="7">
                        <c:v>0.70991197252362315</c:v>
                      </c:pt>
                      <c:pt idx="8">
                        <c:v>0.75767345281680298</c:v>
                      </c:pt>
                      <c:pt idx="9">
                        <c:v>0.82575863033243557</c:v>
                      </c:pt>
                      <c:pt idx="10">
                        <c:v>0.83496898227094773</c:v>
                      </c:pt>
                      <c:pt idx="11">
                        <c:v>0.76384984860432037</c:v>
                      </c:pt>
                      <c:pt idx="12">
                        <c:v>0.80505043133103349</c:v>
                      </c:pt>
                      <c:pt idx="13">
                        <c:v>0.64986274151822121</c:v>
                      </c:pt>
                      <c:pt idx="14">
                        <c:v>0.74897025182865284</c:v>
                      </c:pt>
                      <c:pt idx="15">
                        <c:v>0.83233732182888365</c:v>
                      </c:pt>
                      <c:pt idx="16">
                        <c:v>0.81043607396460826</c:v>
                      </c:pt>
                      <c:pt idx="17">
                        <c:v>0.83242762460478192</c:v>
                      </c:pt>
                      <c:pt idx="18">
                        <c:v>0.80456391015347517</c:v>
                      </c:pt>
                      <c:pt idx="19">
                        <c:v>0.81245748120882344</c:v>
                      </c:pt>
                      <c:pt idx="20">
                        <c:v>0.81299967745352808</c:v>
                      </c:pt>
                      <c:pt idx="21">
                        <c:v>0.80483123119368449</c:v>
                      </c:pt>
                      <c:pt idx="22">
                        <c:v>0.74014505533411379</c:v>
                      </c:pt>
                      <c:pt idx="23">
                        <c:v>0.67167758793799326</c:v>
                      </c:pt>
                      <c:pt idx="24">
                        <c:v>0.75798891175238869</c:v>
                      </c:pt>
                      <c:pt idx="25">
                        <c:v>0.78578015883892749</c:v>
                      </c:pt>
                      <c:pt idx="27">
                        <c:v>0.77266906028979454</c:v>
                      </c:pt>
                      <c:pt idx="28">
                        <c:v>0.74253059630436602</c:v>
                      </c:pt>
                      <c:pt idx="29">
                        <c:v>0.779260026529215</c:v>
                      </c:pt>
                      <c:pt idx="30">
                        <c:v>0.7749429884087442</c:v>
                      </c:pt>
                      <c:pt idx="31">
                        <c:v>0.77888104971562278</c:v>
                      </c:pt>
                      <c:pt idx="32">
                        <c:v>0.77581639570083871</c:v>
                      </c:pt>
                      <c:pt idx="33">
                        <c:v>0.78324526616093959</c:v>
                      </c:pt>
                      <c:pt idx="34">
                        <c:v>0.786373640292516</c:v>
                      </c:pt>
                      <c:pt idx="35">
                        <c:v>0.78236772067321703</c:v>
                      </c:pt>
                      <c:pt idx="36">
                        <c:v>0.78753861296783412</c:v>
                      </c:pt>
                      <c:pt idx="37">
                        <c:v>0.78354496693378661</c:v>
                      </c:pt>
                      <c:pt idx="38">
                        <c:v>0.78578717530664144</c:v>
                      </c:pt>
                      <c:pt idx="39">
                        <c:v>0.77843042070862667</c:v>
                      </c:pt>
                      <c:pt idx="40">
                        <c:v>0.73984882129925</c:v>
                      </c:pt>
                      <c:pt idx="41">
                        <c:v>0.64846377934356536</c:v>
                      </c:pt>
                      <c:pt idx="42">
                        <c:v>0.83478456440967364</c:v>
                      </c:pt>
                      <c:pt idx="43">
                        <c:v>0.79885357838870785</c:v>
                      </c:pt>
                      <c:pt idx="44">
                        <c:v>0.77821188283408338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0.77340428479610857</c:v>
                      </c:pt>
                      <c:pt idx="53">
                        <c:v>0.77843042070862667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2-A980-4F4A-98AE-EFA541856494}"/>
                  </c:ext>
                </c:extLst>
              </c15:ser>
            </c15:filteredBarSeries>
            <c15:filteredBarSeries>
              <c15:ser>
                <c:idx val="13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 KMP- Tháng (Tâm)'!$D$82</c15:sqref>
                        </c15:formulaRef>
                      </c:ext>
                    </c:extLst>
                    <c:strCache>
                      <c:ptCount val="1"/>
                      <c:pt idx="0">
                        <c:v>ĐỊNH PHÍ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 KMP- Tháng (Tâm)'!$R$69:$BS$69</c15:sqref>
                        </c15:formulaRef>
                      </c:ext>
                    </c:extLst>
                    <c:strCache>
                      <c:ptCount val="54"/>
                      <c:pt idx="0">
                        <c:v> T1.24 </c:v>
                      </c:pt>
                      <c:pt idx="1">
                        <c:v> T2.24 </c:v>
                      </c:pt>
                      <c:pt idx="2">
                        <c:v> T3.24 </c:v>
                      </c:pt>
                      <c:pt idx="3">
                        <c:v> T4.24 </c:v>
                      </c:pt>
                      <c:pt idx="4">
                        <c:v> T5.24 </c:v>
                      </c:pt>
                      <c:pt idx="5">
                        <c:v> T6.24 </c:v>
                      </c:pt>
                      <c:pt idx="6">
                        <c:v> T7.24 </c:v>
                      </c:pt>
                      <c:pt idx="7">
                        <c:v> T8.24 </c:v>
                      </c:pt>
                      <c:pt idx="8">
                        <c:v> T9.24 </c:v>
                      </c:pt>
                      <c:pt idx="9">
                        <c:v> T10.24 </c:v>
                      </c:pt>
                      <c:pt idx="10">
                        <c:v> T11.24 </c:v>
                      </c:pt>
                      <c:pt idx="11">
                        <c:v> T12.24 </c:v>
                      </c:pt>
                      <c:pt idx="12">
                        <c:v> BQ TT 2024 </c:v>
                      </c:pt>
                      <c:pt idx="13">
                        <c:v> T1.25 </c:v>
                      </c:pt>
                      <c:pt idx="14">
                        <c:v> T2.25 </c:v>
                      </c:pt>
                      <c:pt idx="15">
                        <c:v> T3.25 </c:v>
                      </c:pt>
                      <c:pt idx="16">
                        <c:v> T4.25 </c:v>
                      </c:pt>
                      <c:pt idx="17">
                        <c:v> T5.25 </c:v>
                      </c:pt>
                      <c:pt idx="18">
                        <c:v> T6.25 </c:v>
                      </c:pt>
                      <c:pt idx="19">
                        <c:v> T7.25 </c:v>
                      </c:pt>
                      <c:pt idx="20">
                        <c:v> T8.25 </c:v>
                      </c:pt>
                      <c:pt idx="21">
                        <c:v> T9.25 </c:v>
                      </c:pt>
                      <c:pt idx="22">
                        <c:v> T10.25 </c:v>
                      </c:pt>
                      <c:pt idx="23">
                        <c:v> T11.25 </c:v>
                      </c:pt>
                      <c:pt idx="24">
                        <c:v> T12.25 </c:v>
                      </c:pt>
                      <c:pt idx="25">
                        <c:v> BQ TT 2025 </c:v>
                      </c:pt>
                      <c:pt idx="27">
                        <c:v> KH T1.2026 </c:v>
                      </c:pt>
                      <c:pt idx="28">
                        <c:v> KH T2.2026 </c:v>
                      </c:pt>
                      <c:pt idx="29">
                        <c:v> KH T3.2026 </c:v>
                      </c:pt>
                      <c:pt idx="30">
                        <c:v> KH T4.2026 </c:v>
                      </c:pt>
                      <c:pt idx="31">
                        <c:v> KH T5.2026 </c:v>
                      </c:pt>
                      <c:pt idx="32">
                        <c:v> KH T6.2026 </c:v>
                      </c:pt>
                      <c:pt idx="33">
                        <c:v> KH T7.2026 </c:v>
                      </c:pt>
                      <c:pt idx="34">
                        <c:v> KH T8.2026 </c:v>
                      </c:pt>
                      <c:pt idx="35">
                        <c:v> KH T9.2026 </c:v>
                      </c:pt>
                      <c:pt idx="36">
                        <c:v> KH T10.2026 </c:v>
                      </c:pt>
                      <c:pt idx="37">
                        <c:v> KH T11.2026 </c:v>
                      </c:pt>
                      <c:pt idx="38">
                        <c:v> KH T12.2026 </c:v>
                      </c:pt>
                      <c:pt idx="39">
                        <c:v> BQ KH 2026 </c:v>
                      </c:pt>
                      <c:pt idx="40">
                        <c:v> T1.26 </c:v>
                      </c:pt>
                      <c:pt idx="41">
                        <c:v> T2.26 </c:v>
                      </c:pt>
                      <c:pt idx="42">
                        <c:v> T3.26 </c:v>
                      </c:pt>
                      <c:pt idx="43">
                        <c:v> T4.26 </c:v>
                      </c:pt>
                      <c:pt idx="44">
                        <c:v> T5.26 </c:v>
                      </c:pt>
                      <c:pt idx="45">
                        <c:v> T6.26 </c:v>
                      </c:pt>
                      <c:pt idx="46">
                        <c:v> T7.26 </c:v>
                      </c:pt>
                      <c:pt idx="47">
                        <c:v> T8.26 </c:v>
                      </c:pt>
                      <c:pt idx="48">
                        <c:v> T9.26 </c:v>
                      </c:pt>
                      <c:pt idx="49">
                        <c:v> T10.26 </c:v>
                      </c:pt>
                      <c:pt idx="50">
                        <c:v> T11.26 </c:v>
                      </c:pt>
                      <c:pt idx="51">
                        <c:v> T12.26 </c:v>
                      </c:pt>
                      <c:pt idx="52">
                        <c:v> BQ TT 2026 </c:v>
                      </c:pt>
                      <c:pt idx="53">
                        <c:v> BQ KH 2026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 KMP- Tháng (Tâm)'!$R$82:$BS$82</c15:sqref>
                        </c15:formulaRef>
                      </c:ext>
                    </c:extLst>
                    <c:numCache>
                      <c:formatCode>0.0%;\-0.0%;;</c:formatCode>
                      <c:ptCount val="54"/>
                      <c:pt idx="0">
                        <c:v>0.14848141647880159</c:v>
                      </c:pt>
                      <c:pt idx="1">
                        <c:v>0.2163831719168412</c:v>
                      </c:pt>
                      <c:pt idx="2">
                        <c:v>0.1479867762580839</c:v>
                      </c:pt>
                      <c:pt idx="3">
                        <c:v>0.15852303987670685</c:v>
                      </c:pt>
                      <c:pt idx="4">
                        <c:v>0.17113231347107233</c:v>
                      </c:pt>
                      <c:pt idx="5">
                        <c:v>0.20795090147656656</c:v>
                      </c:pt>
                      <c:pt idx="6">
                        <c:v>0.31359528644713508</c:v>
                      </c:pt>
                      <c:pt idx="7">
                        <c:v>0.29008802747637707</c:v>
                      </c:pt>
                      <c:pt idx="8">
                        <c:v>0.24232654718319696</c:v>
                      </c:pt>
                      <c:pt idx="9">
                        <c:v>0.17424136966756459</c:v>
                      </c:pt>
                      <c:pt idx="10">
                        <c:v>0.16503101772905232</c:v>
                      </c:pt>
                      <c:pt idx="11">
                        <c:v>0.2361501513956798</c:v>
                      </c:pt>
                      <c:pt idx="12">
                        <c:v>0.19494956866896651</c:v>
                      </c:pt>
                      <c:pt idx="13">
                        <c:v>0.35013725848177868</c:v>
                      </c:pt>
                      <c:pt idx="14">
                        <c:v>0.25102974817134716</c:v>
                      </c:pt>
                      <c:pt idx="15">
                        <c:v>0.16766267817111624</c:v>
                      </c:pt>
                      <c:pt idx="16">
                        <c:v>0.18956392603539166</c:v>
                      </c:pt>
                      <c:pt idx="17">
                        <c:v>0.16757237539521808</c:v>
                      </c:pt>
                      <c:pt idx="18">
                        <c:v>0.19543608984652486</c:v>
                      </c:pt>
                      <c:pt idx="19">
                        <c:v>0.18754251879117653</c:v>
                      </c:pt>
                      <c:pt idx="20">
                        <c:v>0.18700032254647203</c:v>
                      </c:pt>
                      <c:pt idx="21">
                        <c:v>0.19516876880631542</c:v>
                      </c:pt>
                      <c:pt idx="22">
                        <c:v>0.25985494466588605</c:v>
                      </c:pt>
                      <c:pt idx="23">
                        <c:v>0.32832241206200685</c:v>
                      </c:pt>
                      <c:pt idx="24">
                        <c:v>0.24201108824761128</c:v>
                      </c:pt>
                      <c:pt idx="25">
                        <c:v>0.2142198411610724</c:v>
                      </c:pt>
                      <c:pt idx="27">
                        <c:v>0.22733093971020557</c:v>
                      </c:pt>
                      <c:pt idx="28">
                        <c:v>0.25746940369563398</c:v>
                      </c:pt>
                      <c:pt idx="29">
                        <c:v>0.22073997347078506</c:v>
                      </c:pt>
                      <c:pt idx="30">
                        <c:v>0.22505701159125555</c:v>
                      </c:pt>
                      <c:pt idx="31">
                        <c:v>0.22111895028437711</c:v>
                      </c:pt>
                      <c:pt idx="32">
                        <c:v>0.22418360429916123</c:v>
                      </c:pt>
                      <c:pt idx="33">
                        <c:v>0.21675473383906052</c:v>
                      </c:pt>
                      <c:pt idx="34">
                        <c:v>0.21362635970748362</c:v>
                      </c:pt>
                      <c:pt idx="35">
                        <c:v>0.21763227932678339</c:v>
                      </c:pt>
                      <c:pt idx="36">
                        <c:v>0.21246138703216585</c:v>
                      </c:pt>
                      <c:pt idx="37">
                        <c:v>0.21645503306621366</c:v>
                      </c:pt>
                      <c:pt idx="38">
                        <c:v>0.21421282469335837</c:v>
                      </c:pt>
                      <c:pt idx="39">
                        <c:v>0.22156957929137364</c:v>
                      </c:pt>
                      <c:pt idx="40">
                        <c:v>0.26015117870075011</c:v>
                      </c:pt>
                      <c:pt idx="41">
                        <c:v>0.35153622065643481</c:v>
                      </c:pt>
                      <c:pt idx="42">
                        <c:v>0.16521543559032614</c:v>
                      </c:pt>
                      <c:pt idx="43">
                        <c:v>0.20114642161129223</c:v>
                      </c:pt>
                      <c:pt idx="44">
                        <c:v>0.2217881171659167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0.22659571520389107</c:v>
                      </c:pt>
                      <c:pt idx="53">
                        <c:v>0.22156957929137364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A980-4F4A-98AE-EFA541856494}"/>
                  </c:ext>
                </c:extLst>
              </c15:ser>
            </c15:filteredBarSeries>
          </c:ext>
        </c:extLst>
      </c:barChart>
      <c:catAx>
        <c:axId val="1840983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1840981568"/>
        <c:crosses val="autoZero"/>
        <c:auto val="1"/>
        <c:lblAlgn val="ctr"/>
        <c:lblOffset val="100"/>
        <c:noMultiLvlLbl val="0"/>
      </c:catAx>
      <c:valAx>
        <c:axId val="1840981568"/>
        <c:scaling>
          <c:orientation val="minMax"/>
          <c:max val="1"/>
          <c:min val="0"/>
        </c:scaling>
        <c:delete val="0"/>
        <c:axPos val="l"/>
        <c:numFmt formatCode="0.0%;\-0.0%;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1840983968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57567123846018"/>
          <c:y val="1.845695858640543E-2"/>
          <c:w val="0.16875519128393898"/>
          <c:h val="0.966589076432097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119303"/>
      </a:solidFill>
      <a:round/>
    </a:ln>
    <a:effectLst/>
  </c:spPr>
  <c:txPr>
    <a:bodyPr/>
    <a:lstStyle/>
    <a:p>
      <a:pPr>
        <a:defRPr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CƠ CẤU % CHI PHÍ/ TẤN </a:t>
            </a:r>
            <a:r>
              <a:rPr lang="en-US" sz="2000" b="1" i="0" u="none" strike="noStrike" kern="1200" spc="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rPET</a:t>
            </a:r>
            <a:r>
              <a:rPr lang="en-US" sz="20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13"/>
          <c:order val="0"/>
          <c:tx>
            <c:strRef>
              <c:f>'KMP- PET'!$D$67</c:f>
              <c:strCache>
                <c:ptCount val="1"/>
                <c:pt idx="0">
                  <c:v>Nguyên liệu nhựa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'KMP- PET'!$F$65:$AE$65</c:f>
              <c:strCache>
                <c:ptCount val="9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PET'!$E$67:$AE$67</c15:sqref>
                  </c15:fullRef>
                </c:ext>
              </c:extLst>
              <c:f>'KMP- PET'!$F$67:$AE$67</c:f>
              <c:numCache>
                <c:formatCode>0.0%</c:formatCode>
                <c:ptCount val="9"/>
                <c:pt idx="0">
                  <c:v>0.60924157232773357</c:v>
                </c:pt>
                <c:pt idx="1">
                  <c:v>0.48393085652880063</c:v>
                </c:pt>
                <c:pt idx="2">
                  <c:v>0.5988186184805252</c:v>
                </c:pt>
                <c:pt idx="3">
                  <c:v>0.69744788716154948</c:v>
                </c:pt>
                <c:pt idx="4">
                  <c:v>0.66901438536094293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0.63344358471797557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D8-4891-B09A-85A004117ECE}"/>
            </c:ext>
          </c:extLst>
        </c:ser>
        <c:ser>
          <c:idx val="32"/>
          <c:order val="1"/>
          <c:tx>
            <c:strRef>
              <c:f>'KMP- PET'!$D$80</c:f>
              <c:strCache>
                <c:ptCount val="1"/>
                <c:pt idx="0">
                  <c:v>Tổng Lương và Phụ Cấp</c:v>
                </c:pt>
              </c:strCache>
            </c:strRef>
          </c:tx>
          <c:spPr>
            <a:solidFill>
              <a:schemeClr val="accent2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'KMP- PET'!$F$65:$AE$65</c:f>
              <c:strCache>
                <c:ptCount val="9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PET'!$E$80:$AE$80</c15:sqref>
                  </c15:fullRef>
                </c:ext>
              </c:extLst>
              <c:f>'KMP- PET'!$F$80:$AE$80</c:f>
              <c:numCache>
                <c:formatCode>0.0%</c:formatCode>
                <c:ptCount val="9"/>
                <c:pt idx="0">
                  <c:v>9.2286422781622177E-2</c:v>
                </c:pt>
                <c:pt idx="1">
                  <c:v>0.18405528166344351</c:v>
                </c:pt>
                <c:pt idx="2">
                  <c:v>0.13776721456513719</c:v>
                </c:pt>
                <c:pt idx="3">
                  <c:v>9.4087058975973012E-2</c:v>
                </c:pt>
                <c:pt idx="4">
                  <c:v>0.11311616603236865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0.12360982540666716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D8-4891-B09A-85A004117ECE}"/>
            </c:ext>
          </c:extLst>
        </c:ser>
        <c:ser>
          <c:idx val="20"/>
          <c:order val="2"/>
          <c:tx>
            <c:strRef>
              <c:f>'KMP- PET'!$D$68</c:f>
              <c:strCache>
                <c:ptCount val="1"/>
                <c:pt idx="0">
                  <c:v>Điện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'KMP- PET'!$F$65:$AE$65</c:f>
              <c:strCache>
                <c:ptCount val="9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PET'!$E$68:$AE$68</c15:sqref>
                  </c15:fullRef>
                </c:ext>
              </c:extLst>
              <c:f>'KMP- PET'!$F$68:$AE$68</c:f>
              <c:numCache>
                <c:formatCode>0.0%</c:formatCode>
                <c:ptCount val="9"/>
                <c:pt idx="0">
                  <c:v>4.3993431086743424E-2</c:v>
                </c:pt>
                <c:pt idx="1">
                  <c:v>4.7477844796745328E-2</c:v>
                </c:pt>
                <c:pt idx="2">
                  <c:v>4.6556339262858223E-2</c:v>
                </c:pt>
                <c:pt idx="3">
                  <c:v>4.950183469688315E-2</c:v>
                </c:pt>
                <c:pt idx="4">
                  <c:v>5.0959599346552142E-2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4.897015126222002E-2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D8-4891-B09A-85A004117ECE}"/>
            </c:ext>
          </c:extLst>
        </c:ser>
        <c:ser>
          <c:idx val="31"/>
          <c:order val="3"/>
          <c:tx>
            <c:strRef>
              <c:f>'KMP- PET'!$D$79</c:f>
              <c:strCache>
                <c:ptCount val="1"/>
                <c:pt idx="0">
                  <c:v>Thuê Xưởng, Kho, thuê máy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'KMP- PET'!$F$65:$AE$65</c:f>
              <c:strCache>
                <c:ptCount val="9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PET'!$E$79:$AE$79</c15:sqref>
                  </c15:fullRef>
                </c:ext>
              </c:extLst>
              <c:f>'KMP- PET'!$F$79:$AE$79</c:f>
              <c:numCache>
                <c:formatCode>0.0%</c:formatCode>
                <c:ptCount val="9"/>
                <c:pt idx="0">
                  <c:v>0.13567588033964956</c:v>
                </c:pt>
                <c:pt idx="1">
                  <c:v>7.950406833289661E-2</c:v>
                </c:pt>
                <c:pt idx="2">
                  <c:v>5.8393341667583941E-2</c:v>
                </c:pt>
                <c:pt idx="3">
                  <c:v>4.0822058149161643E-2</c:v>
                </c:pt>
                <c:pt idx="4">
                  <c:v>4.4510520445122111E-2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5.1918675277937323E-2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BD8-4891-B09A-85A004117ECE}"/>
            </c:ext>
          </c:extLst>
        </c:ser>
        <c:ser>
          <c:idx val="21"/>
          <c:order val="4"/>
          <c:tx>
            <c:strRef>
              <c:f>'KMP- PET'!$D$81</c:f>
              <c:strCache>
                <c:ptCount val="1"/>
                <c:pt idx="0">
                  <c:v>Khấu hao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'KMP- PET'!$F$65:$AE$65</c:f>
              <c:strCache>
                <c:ptCount val="9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PET'!$E$81:$AE$81</c15:sqref>
                  </c15:fullRef>
                </c:ext>
              </c:extLst>
              <c:f>'KMP- PET'!$F$81:$AE$81</c:f>
              <c:numCache>
                <c:formatCode>0.0%</c:formatCode>
                <c:ptCount val="9"/>
                <c:pt idx="0">
                  <c:v>2.9697661091518376E-2</c:v>
                </c:pt>
                <c:pt idx="1">
                  <c:v>5.9419685068022421E-2</c:v>
                </c:pt>
                <c:pt idx="2">
                  <c:v>4.4652275431359849E-2</c:v>
                </c:pt>
                <c:pt idx="3">
                  <c:v>3.172939587558507E-2</c:v>
                </c:pt>
                <c:pt idx="4">
                  <c:v>3.4000430176053718E-2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3.963822967249836E-2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BD8-4891-B09A-85A004117ECE}"/>
            </c:ext>
          </c:extLst>
        </c:ser>
        <c:ser>
          <c:idx val="22"/>
          <c:order val="5"/>
          <c:tx>
            <c:strRef>
              <c:f>'KMP- PET'!$D$69</c:f>
              <c:strCache>
                <c:ptCount val="1"/>
                <c:pt idx="0">
                  <c:v>Chi phí bán hàng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'KMP- PET'!$F$65:$AE$65</c:f>
              <c:strCache>
                <c:ptCount val="9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PET'!$E$69:$AE$69</c15:sqref>
                  </c15:fullRef>
                </c:ext>
              </c:extLst>
              <c:f>'KMP- PET'!$F$69:$AE$69</c:f>
              <c:numCache>
                <c:formatCode>0.0%</c:formatCode>
                <c:ptCount val="9"/>
                <c:pt idx="0">
                  <c:v>1.0082569244708925E-2</c:v>
                </c:pt>
                <c:pt idx="1">
                  <c:v>2.3758058493139965E-2</c:v>
                </c:pt>
                <c:pt idx="2">
                  <c:v>2.3365913121844269E-2</c:v>
                </c:pt>
                <c:pt idx="3">
                  <c:v>8.1693132300661216E-3</c:v>
                </c:pt>
                <c:pt idx="4">
                  <c:v>1.0726888717066887E-2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1.4725597833578038E-2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BD8-4891-B09A-85A004117ECE}"/>
            </c:ext>
          </c:extLst>
        </c:ser>
        <c:ser>
          <c:idx val="23"/>
          <c:order val="6"/>
          <c:tx>
            <c:strRef>
              <c:f>'KMP- PET'!$D$70</c:f>
              <c:strCache>
                <c:ptCount val="1"/>
                <c:pt idx="0">
                  <c:v>Phụ gia theo Bom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'KMP- PET'!$F$65:$AE$65</c:f>
              <c:strCache>
                <c:ptCount val="9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PET'!$E$70:$AE$70</c15:sqref>
                  </c15:fullRef>
                </c:ext>
              </c:extLst>
              <c:f>'KMP- PET'!$F$70:$AE$70</c:f>
              <c:numCache>
                <c:formatCode>0.0%</c:formatCode>
                <c:ptCount val="9"/>
                <c:pt idx="0">
                  <c:v>1.1413912038633667E-2</c:v>
                </c:pt>
                <c:pt idx="1">
                  <c:v>4.1751241566919247E-3</c:v>
                </c:pt>
                <c:pt idx="2">
                  <c:v>9.9076257564704052E-3</c:v>
                </c:pt>
                <c:pt idx="3">
                  <c:v>1.2507096161949682E-2</c:v>
                </c:pt>
                <c:pt idx="4">
                  <c:v>1.4742973777702914E-2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1.1274347741514678E-2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BD8-4891-B09A-85A004117ECE}"/>
            </c:ext>
          </c:extLst>
        </c:ser>
        <c:ser>
          <c:idx val="24"/>
          <c:order val="7"/>
          <c:tx>
            <c:strRef>
              <c:f>'KMP- PET'!$D$71</c:f>
              <c:strCache>
                <c:ptCount val="1"/>
                <c:pt idx="0">
                  <c:v>Vật liệu phục vụ SX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'KMP- PET'!$F$65:$AE$65</c:f>
              <c:strCache>
                <c:ptCount val="9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PET'!$E$71:$AE$71</c15:sqref>
                  </c15:fullRef>
                </c:ext>
              </c:extLst>
              <c:f>'KMP- PET'!$F$71:$AE$71</c:f>
              <c:numCache>
                <c:formatCode>0.0%</c:formatCode>
                <c:ptCount val="9"/>
                <c:pt idx="0">
                  <c:v>6.8571937716200067E-3</c:v>
                </c:pt>
                <c:pt idx="1">
                  <c:v>1.0090927208170243E-2</c:v>
                </c:pt>
                <c:pt idx="2">
                  <c:v>7.4165941002251306E-3</c:v>
                </c:pt>
                <c:pt idx="3">
                  <c:v>5.1547646216821893E-3</c:v>
                </c:pt>
                <c:pt idx="4">
                  <c:v>8.122877473741387E-3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7.3162963096949788E-3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BD8-4891-B09A-85A004117ECE}"/>
            </c:ext>
          </c:extLst>
        </c:ser>
        <c:ser>
          <c:idx val="25"/>
          <c:order val="8"/>
          <c:tx>
            <c:strRef>
              <c:f>'KMP- PET'!$D$72</c:f>
              <c:strCache>
                <c:ptCount val="1"/>
                <c:pt idx="0">
                  <c:v>Bao bì theo Bom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'KMP- PET'!$F$65:$AE$65</c:f>
              <c:strCache>
                <c:ptCount val="9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PET'!$E$72:$AE$72</c15:sqref>
                  </c15:fullRef>
                </c:ext>
              </c:extLst>
              <c:f>'KMP- PET'!$F$72:$AE$72</c:f>
              <c:numCache>
                <c:formatCode>0.0%</c:formatCode>
                <c:ptCount val="9"/>
                <c:pt idx="0">
                  <c:v>5.3257608338723537E-3</c:v>
                </c:pt>
                <c:pt idx="1">
                  <c:v>4.0280230272884262E-3</c:v>
                </c:pt>
                <c:pt idx="2">
                  <c:v>4.9018016116085875E-3</c:v>
                </c:pt>
                <c:pt idx="3">
                  <c:v>5.5718668899427913E-3</c:v>
                </c:pt>
                <c:pt idx="4">
                  <c:v>5.1368420910931816E-3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5.0503607817497893E-3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BD8-4891-B09A-85A004117ECE}"/>
            </c:ext>
          </c:extLst>
        </c:ser>
        <c:ser>
          <c:idx val="15"/>
          <c:order val="9"/>
          <c:tx>
            <c:strRef>
              <c:f>'KMP- PET'!$D$73</c:f>
              <c:strCache>
                <c:ptCount val="1"/>
                <c:pt idx="0">
                  <c:v>Xăng dầu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'KMP- PET'!$F$65:$AE$65</c:f>
              <c:strCache>
                <c:ptCount val="9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PET'!$E$73:$AE$73</c15:sqref>
                  </c15:fullRef>
                </c:ext>
              </c:extLst>
              <c:f>'KMP- PET'!$F$73:$AE$73</c:f>
              <c:numCache>
                <c:formatCode>0.0%</c:formatCode>
                <c:ptCount val="9"/>
                <c:pt idx="0">
                  <c:v>2.9201444247470773E-3</c:v>
                </c:pt>
                <c:pt idx="1">
                  <c:v>2.5623068953455779E-3</c:v>
                </c:pt>
                <c:pt idx="2">
                  <c:v>2.4534972059016818E-3</c:v>
                </c:pt>
                <c:pt idx="3">
                  <c:v>2.1346162055158029E-3</c:v>
                </c:pt>
                <c:pt idx="4">
                  <c:v>1.9547877396034375E-3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2.2189510960427764E-3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BD8-4891-B09A-85A004117ECE}"/>
            </c:ext>
          </c:extLst>
        </c:ser>
        <c:ser>
          <c:idx val="26"/>
          <c:order val="10"/>
          <c:tx>
            <c:strRef>
              <c:f>'KMP- PET'!$D$74</c:f>
              <c:strCache>
                <c:ptCount val="1"/>
                <c:pt idx="0">
                  <c:v>Hóa chất theo Bom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'KMP- PET'!$F$65:$AE$65</c:f>
              <c:strCache>
                <c:ptCount val="9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PET'!$E$74:$AE$74</c15:sqref>
                  </c15:fullRef>
                </c:ext>
              </c:extLst>
              <c:f>'KMP- PET'!$F$74:$AE$74</c:f>
              <c:numCache>
                <c:formatCode>0.0%</c:formatCode>
                <c:ptCount val="9"/>
                <c:pt idx="0">
                  <c:v>2.2629745443158707E-3</c:v>
                </c:pt>
                <c:pt idx="1">
                  <c:v>3.5935296081695601E-3</c:v>
                </c:pt>
                <c:pt idx="2">
                  <c:v>2.3566703954457785E-3</c:v>
                </c:pt>
                <c:pt idx="3">
                  <c:v>2.3639087171292194E-3</c:v>
                </c:pt>
                <c:pt idx="4">
                  <c:v>1.7950108483656023E-3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2.3898424790056425E-3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BD8-4891-B09A-85A004117ECE}"/>
            </c:ext>
          </c:extLst>
        </c:ser>
        <c:ser>
          <c:idx val="27"/>
          <c:order val="11"/>
          <c:tx>
            <c:strRef>
              <c:f>'KMP- PET'!$D$75</c:f>
              <c:strCache>
                <c:ptCount val="1"/>
                <c:pt idx="0">
                  <c:v>Hóa chất XLNT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'KMP- PET'!$F$65:$AE$65</c:f>
              <c:strCache>
                <c:ptCount val="9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PET'!$E$75:$AE$75</c15:sqref>
                  </c15:fullRef>
                </c:ext>
              </c:extLst>
              <c:f>'KMP- PET'!$F$75:$AE$75</c:f>
              <c:numCache>
                <c:formatCode>0.0%</c:formatCode>
                <c:ptCount val="9"/>
                <c:pt idx="0">
                  <c:v>7.3945781229356878E-4</c:v>
                </c:pt>
                <c:pt idx="1">
                  <c:v>6.741333020271426E-4</c:v>
                </c:pt>
                <c:pt idx="2">
                  <c:v>5.8741246691100155E-4</c:v>
                </c:pt>
                <c:pt idx="3">
                  <c:v>5.1644727193120212E-4</c:v>
                </c:pt>
                <c:pt idx="4">
                  <c:v>8.1711396537149071E-4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6.4631379026110203E-4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BD8-4891-B09A-85A004117ECE}"/>
            </c:ext>
          </c:extLst>
        </c:ser>
        <c:ser>
          <c:idx val="28"/>
          <c:order val="12"/>
          <c:tx>
            <c:strRef>
              <c:f>'KMP- PET'!$D$76</c:f>
              <c:strCache>
                <c:ptCount val="1"/>
                <c:pt idx="0">
                  <c:v>Nước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'KMP- PET'!$F$65:$AE$65</c:f>
              <c:strCache>
                <c:ptCount val="9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PET'!$E$76:$AE$76</c15:sqref>
                  </c15:fullRef>
                </c:ext>
              </c:extLst>
              <c:f>'KMP- PET'!$F$76:$AE$76</c:f>
              <c:numCache>
                <c:formatCode>0.0%</c:formatCode>
                <c:ptCount val="9"/>
                <c:pt idx="0">
                  <c:v>1.1035052881865502E-3</c:v>
                </c:pt>
                <c:pt idx="1">
                  <c:v>1.3526043613799779E-3</c:v>
                </c:pt>
                <c:pt idx="2">
                  <c:v>1.5536579318949123E-3</c:v>
                </c:pt>
                <c:pt idx="3">
                  <c:v>9.1299909971149736E-4</c:v>
                </c:pt>
                <c:pt idx="4">
                  <c:v>1.0169474389840328E-3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1.1535028590043326E-3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BD8-4891-B09A-85A004117ECE}"/>
            </c:ext>
          </c:extLst>
        </c:ser>
        <c:ser>
          <c:idx val="29"/>
          <c:order val="13"/>
          <c:tx>
            <c:strRef>
              <c:f>'KMP- PET'!$D$77</c:f>
              <c:strCache>
                <c:ptCount val="1"/>
                <c:pt idx="0">
                  <c:v>Màu theo Bom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'KMP- PET'!$F$65:$AE$65</c:f>
              <c:strCache>
                <c:ptCount val="9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PET'!$E$77:$AE$77</c15:sqref>
                  </c15:fullRef>
                </c:ext>
              </c:extLst>
              <c:f>'KMP- PET'!$F$77:$AE$77</c:f>
              <c:numCache>
                <c:formatCode>0.0%</c:formatCode>
                <c:ptCount val="9"/>
                <c:pt idx="0">
                  <c:v>2.5074115685358978E-5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BD8-4891-B09A-85A004117ECE}"/>
            </c:ext>
          </c:extLst>
        </c:ser>
        <c:ser>
          <c:idx val="33"/>
          <c:order val="14"/>
          <c:tx>
            <c:strRef>
              <c:f>'KMP- PET'!$D$82</c:f>
              <c:strCache>
                <c:ptCount val="1"/>
                <c:pt idx="0">
                  <c:v>Chi phí hoạt động quản lý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'KMP- PET'!$F$65:$AE$65</c:f>
              <c:strCache>
                <c:ptCount val="9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PET'!$E$82:$AE$82</c15:sqref>
                  </c15:fullRef>
                </c:ext>
              </c:extLst>
              <c:f>'KMP- PET'!$F$82:$AE$82</c:f>
              <c:numCache>
                <c:formatCode>0.0%</c:formatCode>
                <c:ptCount val="9"/>
                <c:pt idx="0">
                  <c:v>2.5872063260325866E-2</c:v>
                </c:pt>
                <c:pt idx="1">
                  <c:v>5.248871903624875E-2</c:v>
                </c:pt>
                <c:pt idx="2">
                  <c:v>2.7175645156080983E-2</c:v>
                </c:pt>
                <c:pt idx="3">
                  <c:v>2.9119524296485195E-2</c:v>
                </c:pt>
                <c:pt idx="4">
                  <c:v>1.8568306578238842E-2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2.9296631831715519E-2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BD8-4891-B09A-85A004117ECE}"/>
            </c:ext>
          </c:extLst>
        </c:ser>
        <c:ser>
          <c:idx val="34"/>
          <c:order val="15"/>
          <c:tx>
            <c:strRef>
              <c:f>'KMP- PET'!$D$83</c:f>
              <c:strCache>
                <c:ptCount val="1"/>
                <c:pt idx="0">
                  <c:v>Công cụ dụng cụ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'KMP- PET'!$F$65:$AE$65</c:f>
              <c:strCache>
                <c:ptCount val="9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PET'!$E$83:$AE$83</c15:sqref>
                  </c15:fullRef>
                </c:ext>
              </c:extLst>
              <c:f>'KMP- PET'!$F$83:$AE$83</c:f>
              <c:numCache>
                <c:formatCode>0.0%</c:formatCode>
                <c:ptCount val="9"/>
                <c:pt idx="0">
                  <c:v>7.504347501904699E-3</c:v>
                </c:pt>
                <c:pt idx="1">
                  <c:v>1.2376922198998629E-2</c:v>
                </c:pt>
                <c:pt idx="2">
                  <c:v>1.1003151277921799E-2</c:v>
                </c:pt>
                <c:pt idx="3">
                  <c:v>7.0895960524471101E-3</c:v>
                </c:pt>
                <c:pt idx="4">
                  <c:v>8.9704706855727526E-3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9.3440372393788548E-3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BD8-4891-B09A-85A004117ECE}"/>
            </c:ext>
          </c:extLst>
        </c:ser>
        <c:ser>
          <c:idx val="35"/>
          <c:order val="16"/>
          <c:tx>
            <c:strRef>
              <c:f>'KMP- PET'!$D$84</c:f>
              <c:strCache>
                <c:ptCount val="1"/>
                <c:pt idx="0">
                  <c:v>Bảo Trì + Sữa Chữa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'KMP- PET'!$F$65:$AE$65</c:f>
              <c:strCache>
                <c:ptCount val="9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PET'!$E$84:$AE$84</c15:sqref>
                  </c15:fullRef>
                </c:ext>
              </c:extLst>
              <c:f>'KMP- PET'!$F$84:$AE$84</c:f>
              <c:numCache>
                <c:formatCode>0.0%</c:formatCode>
                <c:ptCount val="9"/>
                <c:pt idx="0">
                  <c:v>7.5086753068207088E-3</c:v>
                </c:pt>
                <c:pt idx="1">
                  <c:v>1.4076682482056634E-2</c:v>
                </c:pt>
                <c:pt idx="2">
                  <c:v>1.2809090316341804E-2</c:v>
                </c:pt>
                <c:pt idx="3">
                  <c:v>7.7871006597112075E-3</c:v>
                </c:pt>
                <c:pt idx="4">
                  <c:v>9.2388969219143417E-3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1.0315511740368336E-2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BD8-4891-B09A-85A004117ECE}"/>
            </c:ext>
          </c:extLst>
        </c:ser>
        <c:ser>
          <c:idx val="1"/>
          <c:order val="17"/>
          <c:tx>
            <c:strRef>
              <c:f>'KMP- PET'!$D$85</c:f>
              <c:strCache>
                <c:ptCount val="1"/>
                <c:pt idx="0">
                  <c:v>Lãi Vay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solidFill>
                <a:schemeClr val="tx2">
                  <a:lumMod val="50000"/>
                  <a:lumOff val="50000"/>
                </a:schemeClr>
              </a:solidFill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'KMP- PET'!$F$65:$AE$65</c:f>
              <c:strCache>
                <c:ptCount val="9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PET'!$E$85:$AE$85</c15:sqref>
                  </c15:fullRef>
                </c:ext>
              </c:extLst>
              <c:f>'KMP- PET'!$F$85:$AE$85</c:f>
              <c:numCache>
                <c:formatCode>0.0%</c:formatCode>
                <c:ptCount val="9"/>
                <c:pt idx="0">
                  <c:v>7.4893542296183731E-3</c:v>
                </c:pt>
                <c:pt idx="1">
                  <c:v>1.6435232840574573E-2</c:v>
                </c:pt>
                <c:pt idx="2">
                  <c:v>1.0281151251889215E-2</c:v>
                </c:pt>
                <c:pt idx="3">
                  <c:v>5.084531934275837E-3</c:v>
                </c:pt>
                <c:pt idx="4">
                  <c:v>7.3077824013057227E-3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8.6881399603875708E-3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BD8-4891-B09A-85A004117E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098149536"/>
        <c:axId val="1098161056"/>
      </c:barChart>
      <c:catAx>
        <c:axId val="109814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98161056"/>
        <c:crosses val="autoZero"/>
        <c:auto val="1"/>
        <c:lblAlgn val="ctr"/>
        <c:lblOffset val="100"/>
        <c:noMultiLvlLbl val="0"/>
      </c:catAx>
      <c:valAx>
        <c:axId val="1098161056"/>
        <c:scaling>
          <c:orientation val="minMax"/>
          <c:max val="1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98149536"/>
        <c:crosses val="autoZero"/>
        <c:crossBetween val="between"/>
        <c:majorUnit val="0.2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5102973520714977"/>
          <c:y val="2.6351637774797002E-2"/>
          <c:w val="0.23871397720854515"/>
          <c:h val="0.958203004208349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00FF"/>
                </a:solidFill>
              </a:rPr>
              <a:t>CƠ</a:t>
            </a:r>
            <a:r>
              <a:rPr lang="en-US" b="1" baseline="0">
                <a:solidFill>
                  <a:srgbClr val="0000FF"/>
                </a:solidFill>
              </a:rPr>
              <a:t> CẤU CHI PHÍ NVL VÀ CP SẢN XUẤT</a:t>
            </a:r>
            <a:endParaRPr lang="en-US" b="1">
              <a:solidFill>
                <a:srgbClr val="0000FF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9365174922557107E-2"/>
          <c:y val="0.14856481481481484"/>
          <c:w val="0.91758098490945095"/>
          <c:h val="0.7444061679790027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'KMP- PET'!$B$91</c:f>
              <c:strCache>
                <c:ptCount val="1"/>
                <c:pt idx="0">
                  <c:v>Chi phí NVL/ tấn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'KMP- PET'!$C$90:$AE$90</c15:sqref>
                  </c15:fullRef>
                </c:ext>
              </c:extLst>
              <c:f>'KMP- PET'!$C$90:$AD$90</c:f>
              <c:strCache>
                <c:ptCount val="10"/>
                <c:pt idx="0">
                  <c:v>Chỉ tiêu</c:v>
                </c:pt>
                <c:pt idx="1">
                  <c:v> BQ 2023 </c:v>
                </c:pt>
                <c:pt idx="2">
                  <c:v> BQ TT 2024 </c:v>
                </c:pt>
                <c:pt idx="3">
                  <c:v> T1.25 </c:v>
                </c:pt>
                <c:pt idx="4">
                  <c:v> 2 </c:v>
                </c:pt>
                <c:pt idx="5">
                  <c:v> 3 </c:v>
                </c:pt>
                <c:pt idx="6">
                  <c:v> 4 </c:v>
                </c:pt>
                <c:pt idx="7">
                  <c:v> 5 </c:v>
                </c:pt>
                <c:pt idx="8">
                  <c:v> 6 </c:v>
                </c:pt>
                <c:pt idx="9">
                  <c:v> 7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PET'!$C$91:$AE$91</c15:sqref>
                  </c15:fullRef>
                </c:ext>
              </c:extLst>
              <c:f>'KMP- PET'!$C$91:$AD$91</c:f>
              <c:numCache>
                <c:formatCode>0%</c:formatCode>
                <c:ptCount val="10"/>
                <c:pt idx="1">
                  <c:v>8.3937332351351049E-2</c:v>
                </c:pt>
                <c:pt idx="2">
                  <c:v>0.62826929386024077</c:v>
                </c:pt>
                <c:pt idx="3">
                  <c:v>0.4957275333209506</c:v>
                </c:pt>
                <c:pt idx="4">
                  <c:v>0.61598471624404982</c:v>
                </c:pt>
                <c:pt idx="5">
                  <c:v>0.71789075893057108</c:v>
                </c:pt>
                <c:pt idx="6">
                  <c:v>0.69068921207810463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0C-42C8-BEF4-773537A1308A}"/>
            </c:ext>
          </c:extLst>
        </c:ser>
        <c:ser>
          <c:idx val="1"/>
          <c:order val="1"/>
          <c:tx>
            <c:strRef>
              <c:f>'KMP- PET'!$B$92</c:f>
              <c:strCache>
                <c:ptCount val="1"/>
                <c:pt idx="0">
                  <c:v>Chi phí sản suất / tấn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'KMP- PET'!$C$90:$AE$90</c15:sqref>
                  </c15:fullRef>
                </c:ext>
              </c:extLst>
              <c:f>'KMP- PET'!$C$90:$AD$90</c:f>
              <c:strCache>
                <c:ptCount val="10"/>
                <c:pt idx="0">
                  <c:v>Chỉ tiêu</c:v>
                </c:pt>
                <c:pt idx="1">
                  <c:v> BQ 2023 </c:v>
                </c:pt>
                <c:pt idx="2">
                  <c:v> BQ TT 2024 </c:v>
                </c:pt>
                <c:pt idx="3">
                  <c:v> T1.25 </c:v>
                </c:pt>
                <c:pt idx="4">
                  <c:v> 2 </c:v>
                </c:pt>
                <c:pt idx="5">
                  <c:v> 3 </c:v>
                </c:pt>
                <c:pt idx="6">
                  <c:v> 4 </c:v>
                </c:pt>
                <c:pt idx="7">
                  <c:v> 5 </c:v>
                </c:pt>
                <c:pt idx="8">
                  <c:v> 6 </c:v>
                </c:pt>
                <c:pt idx="9">
                  <c:v> 7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PET'!$C$92:$AE$92</c15:sqref>
                  </c15:fullRef>
                </c:ext>
              </c:extLst>
              <c:f>'KMP- PET'!$C$92:$AD$92</c:f>
              <c:numCache>
                <c:formatCode>0%</c:formatCode>
                <c:ptCount val="10"/>
                <c:pt idx="1">
                  <c:v>0.91606266764864885</c:v>
                </c:pt>
                <c:pt idx="2">
                  <c:v>0.37173070613975923</c:v>
                </c:pt>
                <c:pt idx="3">
                  <c:v>0.50427246667904946</c:v>
                </c:pt>
                <c:pt idx="4">
                  <c:v>0.38401528375595012</c:v>
                </c:pt>
                <c:pt idx="5">
                  <c:v>0.28210924106942897</c:v>
                </c:pt>
                <c:pt idx="6">
                  <c:v>0.30931078792189542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0C-42C8-BEF4-773537A1308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24579792"/>
        <c:axId val="1624602832"/>
      </c:barChart>
      <c:catAx>
        <c:axId val="1624579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602832"/>
        <c:crosses val="autoZero"/>
        <c:auto val="1"/>
        <c:lblAlgn val="ctr"/>
        <c:lblOffset val="100"/>
        <c:noMultiLvlLbl val="0"/>
      </c:catAx>
      <c:valAx>
        <c:axId val="1624602832"/>
        <c:scaling>
          <c:orientation val="minMax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579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00FF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331108</xdr:colOff>
      <xdr:row>66</xdr:row>
      <xdr:rowOff>38100</xdr:rowOff>
    </xdr:from>
    <xdr:to>
      <xdr:col>12</xdr:col>
      <xdr:colOff>445408</xdr:colOff>
      <xdr:row>88</xdr:row>
      <xdr:rowOff>31750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542C493-D3DB-4C85-A36D-D93444B12E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122765</xdr:colOff>
      <xdr:row>36</xdr:row>
      <xdr:rowOff>33867</xdr:rowOff>
    </xdr:from>
    <xdr:to>
      <xdr:col>13</xdr:col>
      <xdr:colOff>328083</xdr:colOff>
      <xdr:row>64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10ECAF3-FF96-4BBC-B5E6-F08D58A588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54163</xdr:colOff>
      <xdr:row>9</xdr:row>
      <xdr:rowOff>40341</xdr:rowOff>
    </xdr:from>
    <xdr:to>
      <xdr:col>26</xdr:col>
      <xdr:colOff>560295</xdr:colOff>
      <xdr:row>35</xdr:row>
      <xdr:rowOff>1</xdr:rowOff>
    </xdr:to>
    <xdr:graphicFrame macro="">
      <xdr:nvGraphicFramePr>
        <xdr:cNvPr id="19" name="Chart 5">
          <a:extLst>
            <a:ext uri="{FF2B5EF4-FFF2-40B4-BE49-F238E27FC236}">
              <a16:creationId xmlns:a16="http://schemas.microsoft.com/office/drawing/2014/main" id="{5ACBC301-40C3-4FFF-B468-2396806E8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796774</xdr:colOff>
      <xdr:row>36</xdr:row>
      <xdr:rowOff>66524</xdr:rowOff>
    </xdr:from>
    <xdr:to>
      <xdr:col>29</xdr:col>
      <xdr:colOff>488611</xdr:colOff>
      <xdr:row>62</xdr:row>
      <xdr:rowOff>26183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5D48FB-E5BA-4AC4-A111-90E59B90E9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84666</xdr:colOff>
      <xdr:row>3</xdr:row>
      <xdr:rowOff>21167</xdr:rowOff>
    </xdr:from>
    <xdr:to>
      <xdr:col>13</xdr:col>
      <xdr:colOff>613834</xdr:colOff>
      <xdr:row>34</xdr:row>
      <xdr:rowOff>169333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E3CB08E-364C-4E96-BCC3-96AAB2B01C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0</xdr:colOff>
      <xdr:row>44</xdr:row>
      <xdr:rowOff>0</xdr:rowOff>
    </xdr:from>
    <xdr:to>
      <xdr:col>48</xdr:col>
      <xdr:colOff>243417</xdr:colOff>
      <xdr:row>68</xdr:row>
      <xdr:rowOff>78317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8ACB45-FA9B-48AC-9989-9225A8A9A1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278694</xdr:colOff>
      <xdr:row>93</xdr:row>
      <xdr:rowOff>28929</xdr:rowOff>
    </xdr:from>
    <xdr:to>
      <xdr:col>30</xdr:col>
      <xdr:colOff>663222</xdr:colOff>
      <xdr:row>107</xdr:row>
      <xdr:rowOff>169333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C8A5C8-CBBF-8232-372A-D1FD3647AF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212909</xdr:colOff>
      <xdr:row>1</xdr:row>
      <xdr:rowOff>235324</xdr:rowOff>
    </xdr:from>
    <xdr:to>
      <xdr:col>17</xdr:col>
      <xdr:colOff>380998</xdr:colOff>
      <xdr:row>49</xdr:row>
      <xdr:rowOff>44823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33217A0-B16F-2B6D-9B85-65C41E194CF1}"/>
            </a:ext>
          </a:extLst>
        </xdr:cNvPr>
        <xdr:cNvSpPr/>
      </xdr:nvSpPr>
      <xdr:spPr>
        <a:xfrm>
          <a:off x="4258233" y="437030"/>
          <a:ext cx="8359589" cy="878541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iễm, Nguyễn Thị Thanh" id="{E8D920BA-A5BE-4497-86ED-4EFBDBD4C5A0}" userId="S::NguyenThiThanhDiem@duytanrecycling.com::a4911443-60e5-4065-81ee-41794ea83c8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37" dT="2023-08-12T03:18:37.21" personId="{E8D920BA-A5BE-4497-86ED-4EFBDBD4C5A0}" id="{CB2BDF9E-8B8A-4CA4-BCB8-7A1EA2E0E122}">
    <text>Cơ cấu CP lương không tăng so với T1 nên % nhựa tăng so với tổng CP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K4" dT="2023-08-14T06:29:11.61" personId="{E8D920BA-A5BE-4497-86ED-4EFBDBD4C5A0}" id="{A7E02C92-B36E-4E2E-AD1A-89E66777C807}">
    <text>Cộng 966tr phí hỗ trợ trạm</text>
  </threadedComment>
  <threadedComment ref="G33" dT="2023-07-26T08:13:28.90" personId="{E8D920BA-A5BE-4497-86ED-4EFBDBD4C5A0}" id="{5FB2906F-AC7A-4F8D-973D-963AAD2F8264}">
    <text>CP bảo hiểm cháy nổ thanh toán 2 lần, mỗi lần phân bổ 6 tháng ( lần 1 từ T11.22 đến T4.23, lần 2 từ T02.23 đến T7.23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A4C4D-9AE7-4950-B5E5-659D85A25534}">
  <sheetPr>
    <tabColor rgb="FF00B050"/>
  </sheetPr>
  <dimension ref="A1:CN91"/>
  <sheetViews>
    <sheetView showGridLines="0" tabSelected="1" zoomScale="85" zoomScaleNormal="85" workbookViewId="0">
      <pane xSplit="4" ySplit="8" topLeftCell="AP38" activePane="bottomRight" state="frozen"/>
      <selection activeCell="AS60" sqref="AS60"/>
      <selection pane="topRight" activeCell="AS60" sqref="AS60"/>
      <selection pane="bottomLeft" activeCell="AS60" sqref="AS60"/>
      <selection pane="bottomRight" activeCell="AW60" sqref="A60:XFD60"/>
    </sheetView>
  </sheetViews>
  <sheetFormatPr defaultColWidth="8.5546875" defaultRowHeight="15.6" outlineLevelRow="1" outlineLevelCol="1" x14ac:dyDescent="0.3"/>
  <cols>
    <col min="1" max="2" width="4.44140625" style="158" customWidth="1"/>
    <col min="3" max="3" width="10.44140625" style="158" hidden="1" customWidth="1"/>
    <col min="4" max="4" width="54.5546875" style="158" customWidth="1"/>
    <col min="5" max="16" width="11.5546875" style="158" customWidth="1" outlineLevel="1"/>
    <col min="17" max="17" width="11.5546875" style="158" customWidth="1"/>
    <col min="18" max="29" width="11.5546875" style="158" customWidth="1" outlineLevel="1"/>
    <col min="30" max="30" width="11.5546875" style="158" customWidth="1"/>
    <col min="31" max="39" width="11.77734375" style="158" customWidth="1" outlineLevel="1"/>
    <col min="40" max="40" width="11" style="158" customWidth="1" outlineLevel="1"/>
    <col min="41" max="41" width="10.44140625" style="158" customWidth="1" outlineLevel="1"/>
    <col min="42" max="42" width="13.21875" style="158" customWidth="1" outlineLevel="1"/>
    <col min="43" max="43" width="13.77734375" style="158" bestFit="1" customWidth="1"/>
    <col min="44" max="44" width="14.21875" style="158" customWidth="1"/>
    <col min="45" max="56" width="11.5546875" style="158" customWidth="1" outlineLevel="1"/>
    <col min="57" max="57" width="11.5546875" style="158" bestFit="1" customWidth="1"/>
    <col min="58" max="58" width="11.77734375" style="158" bestFit="1" customWidth="1"/>
    <col min="59" max="66" width="11.77734375" style="158" customWidth="1" outlineLevel="1"/>
    <col min="67" max="67" width="11" style="158" customWidth="1" outlineLevel="1"/>
    <col min="68" max="68" width="10.44140625" style="158" customWidth="1" outlineLevel="1"/>
    <col min="69" max="69" width="13.21875" style="158" customWidth="1" outlineLevel="1"/>
    <col min="70" max="70" width="11.21875" style="158" bestFit="1" customWidth="1"/>
    <col min="71" max="71" width="14.21875" style="158" bestFit="1" customWidth="1"/>
    <col min="72" max="72" width="10.5546875" style="158" customWidth="1"/>
    <col min="73" max="73" width="11.5546875" style="158" customWidth="1"/>
    <col min="74" max="76" width="10.5546875" style="160" customWidth="1"/>
    <col min="77" max="77" width="11" style="158" customWidth="1"/>
    <col min="78" max="78" width="11.44140625" style="158" customWidth="1"/>
    <col min="79" max="79" width="13.5546875" style="158" customWidth="1"/>
    <col min="80" max="80" width="15.21875" style="158" customWidth="1"/>
    <col min="81" max="81" width="19.5546875" style="158" customWidth="1"/>
    <col min="82" max="82" width="25.21875" style="158" customWidth="1"/>
    <col min="83" max="89" width="7.5546875" style="158" customWidth="1"/>
    <col min="90" max="90" width="2.5546875" style="158" customWidth="1"/>
    <col min="91" max="91" width="11.44140625" style="158" customWidth="1"/>
    <col min="92" max="92" width="26.5546875" style="158" customWidth="1"/>
    <col min="93" max="16384" width="8.5546875" style="158"/>
  </cols>
  <sheetData>
    <row r="1" spans="1:92" outlineLevel="1" x14ac:dyDescent="0.3">
      <c r="E1" s="159"/>
      <c r="F1" s="159"/>
      <c r="G1" s="159"/>
      <c r="H1" s="159"/>
      <c r="R1" s="568">
        <f>R22-R34</f>
        <v>7116.854319</v>
      </c>
      <c r="S1" s="568">
        <f t="shared" ref="S1:AC1" si="0">S22-S34</f>
        <v>7116.854319</v>
      </c>
      <c r="T1" s="568">
        <f t="shared" si="0"/>
        <v>7639.8542989999996</v>
      </c>
      <c r="U1" s="568">
        <f t="shared" si="0"/>
        <v>6076.0361370000001</v>
      </c>
      <c r="V1" s="569">
        <f t="shared" si="0"/>
        <v>6002.0361370000001</v>
      </c>
      <c r="W1" s="569">
        <f t="shared" si="0"/>
        <v>6002.0361370000001</v>
      </c>
      <c r="X1" s="569">
        <f t="shared" si="0"/>
        <v>6002.0361370000001</v>
      </c>
      <c r="Y1" s="569">
        <f t="shared" si="0"/>
        <v>6002.0361370000001</v>
      </c>
      <c r="Z1" s="569">
        <f t="shared" si="0"/>
        <v>6002.0361370000001</v>
      </c>
      <c r="AA1" s="569">
        <f t="shared" si="0"/>
        <v>5402.0361370000001</v>
      </c>
      <c r="AB1" s="569">
        <f t="shared" si="0"/>
        <v>5252.0361370000001</v>
      </c>
      <c r="AC1" s="569">
        <f t="shared" si="0"/>
        <v>1449.1666669999995</v>
      </c>
    </row>
    <row r="2" spans="1:92" ht="21" outlineLevel="1" x14ac:dyDescent="0.4">
      <c r="D2" s="161" t="s">
        <v>174</v>
      </c>
      <c r="E2" s="162"/>
      <c r="F2" s="162"/>
      <c r="G2" s="162"/>
      <c r="H2" s="162"/>
      <c r="S2" s="162"/>
      <c r="T2" s="162"/>
      <c r="U2" s="162"/>
      <c r="AF2" s="163"/>
      <c r="AH2" s="163"/>
      <c r="AS2" s="159"/>
      <c r="AT2" s="159"/>
      <c r="AU2" s="159"/>
      <c r="AV2" s="159"/>
      <c r="AW2" s="159"/>
      <c r="AX2" s="159"/>
      <c r="AY2" s="159"/>
      <c r="AZ2" s="159"/>
      <c r="BA2" s="159"/>
      <c r="BB2" s="159"/>
      <c r="BC2" s="159"/>
      <c r="BD2" s="159"/>
      <c r="BE2" s="159"/>
      <c r="BG2" s="163"/>
      <c r="BI2" s="163"/>
      <c r="BT2" s="564"/>
      <c r="BU2" s="163"/>
    </row>
    <row r="3" spans="1:92" ht="21" outlineLevel="1" x14ac:dyDescent="0.4">
      <c r="D3" s="162" t="s">
        <v>188</v>
      </c>
      <c r="AR3" s="163"/>
      <c r="BS3" s="163"/>
      <c r="BU3" s="163"/>
      <c r="CC3" s="163"/>
    </row>
    <row r="4" spans="1:92" ht="21" outlineLevel="1" x14ac:dyDescent="0.4">
      <c r="D4" s="539">
        <v>1</v>
      </c>
      <c r="F4" s="165"/>
      <c r="G4" s="165"/>
      <c r="H4" s="165"/>
      <c r="I4" s="165"/>
      <c r="J4" s="165"/>
      <c r="K4" s="166"/>
      <c r="S4" s="165"/>
      <c r="T4" s="165"/>
      <c r="U4" s="165"/>
      <c r="V4" s="165"/>
      <c r="W4" s="165"/>
      <c r="X4" s="166"/>
      <c r="AP4" s="158">
        <f>COUNTIFS($AE$10:$AP$10,"&lt;&gt;"&amp;0)</f>
        <v>12</v>
      </c>
      <c r="AS4" s="163"/>
      <c r="AT4" s="163"/>
      <c r="AU4" s="163"/>
      <c r="AV4" s="163"/>
      <c r="AW4" s="163"/>
      <c r="AX4" s="163"/>
      <c r="AY4" s="163"/>
      <c r="AZ4" s="163"/>
      <c r="BA4" s="163"/>
      <c r="BB4" s="163"/>
      <c r="BC4" s="163"/>
      <c r="BD4" s="163"/>
      <c r="BE4" s="163"/>
      <c r="BV4" s="167"/>
      <c r="BW4" s="167"/>
      <c r="BX4" s="167"/>
    </row>
    <row r="5" spans="1:92" s="390" customFormat="1" outlineLevel="1" x14ac:dyDescent="0.3">
      <c r="D5" s="386"/>
      <c r="E5" s="390">
        <v>2024</v>
      </c>
      <c r="F5" s="390">
        <v>2024</v>
      </c>
      <c r="G5" s="390">
        <v>2024</v>
      </c>
      <c r="H5" s="390">
        <v>2024</v>
      </c>
      <c r="I5" s="390">
        <v>2024</v>
      </c>
      <c r="J5" s="390">
        <v>2024</v>
      </c>
      <c r="K5" s="390">
        <v>2024</v>
      </c>
      <c r="L5" s="390">
        <v>2024</v>
      </c>
      <c r="M5" s="390">
        <v>2024</v>
      </c>
      <c r="N5" s="390">
        <v>2024</v>
      </c>
      <c r="O5" s="390">
        <v>2024</v>
      </c>
      <c r="P5" s="390">
        <v>2024</v>
      </c>
      <c r="R5" s="390">
        <v>2024</v>
      </c>
      <c r="S5" s="390">
        <v>2024</v>
      </c>
      <c r="T5" s="390">
        <v>2024</v>
      </c>
      <c r="U5" s="390">
        <v>2024</v>
      </c>
      <c r="V5" s="390">
        <v>2024</v>
      </c>
      <c r="W5" s="390">
        <v>2024</v>
      </c>
      <c r="X5" s="390">
        <v>2024</v>
      </c>
      <c r="Y5" s="390">
        <v>2024</v>
      </c>
      <c r="Z5" s="390">
        <v>2024</v>
      </c>
      <c r="AA5" s="390">
        <v>2024</v>
      </c>
      <c r="AB5" s="390">
        <v>2024</v>
      </c>
      <c r="AC5" s="390">
        <v>2024</v>
      </c>
      <c r="AD5" s="390">
        <v>2024</v>
      </c>
      <c r="AE5" s="390">
        <v>2025</v>
      </c>
      <c r="AF5" s="390">
        <v>2025</v>
      </c>
      <c r="AG5" s="390">
        <v>2025</v>
      </c>
      <c r="AH5" s="390">
        <v>2025</v>
      </c>
      <c r="AI5" s="390">
        <v>2025</v>
      </c>
      <c r="AJ5" s="390">
        <v>2025</v>
      </c>
      <c r="AK5" s="390">
        <v>2025</v>
      </c>
      <c r="AL5" s="390">
        <v>2025</v>
      </c>
      <c r="AM5" s="390">
        <v>2025</v>
      </c>
      <c r="AN5" s="390">
        <v>2025</v>
      </c>
      <c r="AO5" s="390">
        <v>2025</v>
      </c>
      <c r="AP5" s="390">
        <v>2025</v>
      </c>
      <c r="AQ5" s="390">
        <v>2025</v>
      </c>
      <c r="AS5" s="390">
        <v>2026</v>
      </c>
      <c r="AT5" s="390">
        <v>2026</v>
      </c>
      <c r="AU5" s="390">
        <v>2026</v>
      </c>
      <c r="AV5" s="390">
        <v>2026</v>
      </c>
      <c r="AW5" s="390">
        <v>2026</v>
      </c>
      <c r="AX5" s="390">
        <v>2026</v>
      </c>
      <c r="AY5" s="390">
        <v>2026</v>
      </c>
      <c r="AZ5" s="390">
        <v>2026</v>
      </c>
      <c r="BA5" s="390">
        <v>2026</v>
      </c>
      <c r="BB5" s="390">
        <v>2026</v>
      </c>
      <c r="BC5" s="390">
        <v>2026</v>
      </c>
      <c r="BD5" s="390">
        <v>2026</v>
      </c>
      <c r="BE5" s="390">
        <v>2026</v>
      </c>
      <c r="BF5" s="390">
        <v>2026</v>
      </c>
      <c r="BG5" s="390">
        <v>2026</v>
      </c>
      <c r="BH5" s="390">
        <v>2026</v>
      </c>
      <c r="BI5" s="390">
        <v>2026</v>
      </c>
      <c r="BJ5" s="390">
        <v>2026</v>
      </c>
      <c r="BK5" s="390">
        <v>2026</v>
      </c>
      <c r="BL5" s="390">
        <v>2026</v>
      </c>
      <c r="BM5" s="390">
        <v>2026</v>
      </c>
      <c r="BN5" s="390">
        <v>2026</v>
      </c>
      <c r="BO5" s="390">
        <v>2026</v>
      </c>
      <c r="BP5" s="390">
        <v>2026</v>
      </c>
      <c r="BQ5" s="390">
        <v>2026</v>
      </c>
      <c r="BR5" s="390">
        <v>2026</v>
      </c>
      <c r="BU5" s="391"/>
      <c r="BV5" s="389"/>
      <c r="BW5" s="389"/>
      <c r="BX5" s="389"/>
    </row>
    <row r="6" spans="1:92" s="390" customFormat="1" outlineLevel="1" x14ac:dyDescent="0.3">
      <c r="D6" s="386"/>
      <c r="E6" s="390" t="s">
        <v>252</v>
      </c>
      <c r="F6" s="390" t="s">
        <v>252</v>
      </c>
      <c r="G6" s="390" t="s">
        <v>252</v>
      </c>
      <c r="H6" s="390" t="s">
        <v>252</v>
      </c>
      <c r="I6" s="390" t="s">
        <v>252</v>
      </c>
      <c r="J6" s="390" t="s">
        <v>252</v>
      </c>
      <c r="K6" s="390" t="s">
        <v>252</v>
      </c>
      <c r="L6" s="390" t="s">
        <v>252</v>
      </c>
      <c r="M6" s="390" t="s">
        <v>252</v>
      </c>
      <c r="N6" s="390" t="s">
        <v>252</v>
      </c>
      <c r="O6" s="390" t="s">
        <v>252</v>
      </c>
      <c r="P6" s="390" t="s">
        <v>252</v>
      </c>
      <c r="R6" s="390" t="s">
        <v>252</v>
      </c>
      <c r="S6" s="390" t="s">
        <v>252</v>
      </c>
      <c r="T6" s="390" t="s">
        <v>252</v>
      </c>
      <c r="U6" s="390" t="s">
        <v>252</v>
      </c>
      <c r="V6" s="390" t="s">
        <v>252</v>
      </c>
      <c r="W6" s="390" t="s">
        <v>252</v>
      </c>
      <c r="X6" s="390" t="s">
        <v>252</v>
      </c>
      <c r="Y6" s="390" t="s">
        <v>252</v>
      </c>
      <c r="Z6" s="390" t="s">
        <v>252</v>
      </c>
      <c r="AA6" s="390" t="s">
        <v>252</v>
      </c>
      <c r="AB6" s="390" t="s">
        <v>252</v>
      </c>
      <c r="AC6" s="390" t="s">
        <v>252</v>
      </c>
      <c r="AF6" s="390" t="s">
        <v>252</v>
      </c>
      <c r="AG6" s="390" t="s">
        <v>252</v>
      </c>
      <c r="AH6" s="390" t="s">
        <v>252</v>
      </c>
      <c r="AI6" s="390" t="s">
        <v>252</v>
      </c>
      <c r="AJ6" s="390" t="s">
        <v>252</v>
      </c>
      <c r="AK6" s="390" t="s">
        <v>252</v>
      </c>
      <c r="AL6" s="390" t="s">
        <v>252</v>
      </c>
      <c r="AM6" s="390" t="s">
        <v>252</v>
      </c>
      <c r="AN6" s="390" t="s">
        <v>252</v>
      </c>
      <c r="AO6" s="390" t="s">
        <v>252</v>
      </c>
      <c r="AP6" s="390" t="s">
        <v>252</v>
      </c>
      <c r="AQ6" s="390" t="s">
        <v>252</v>
      </c>
      <c r="AS6" s="390" t="s">
        <v>253</v>
      </c>
      <c r="AT6" s="390" t="s">
        <v>253</v>
      </c>
      <c r="AU6" s="390" t="s">
        <v>253</v>
      </c>
      <c r="AV6" s="390" t="s">
        <v>253</v>
      </c>
      <c r="AW6" s="390" t="s">
        <v>253</v>
      </c>
      <c r="AX6" s="390" t="s">
        <v>253</v>
      </c>
      <c r="AY6" s="390" t="s">
        <v>253</v>
      </c>
      <c r="AZ6" s="390" t="s">
        <v>253</v>
      </c>
      <c r="BA6" s="390" t="s">
        <v>253</v>
      </c>
      <c r="BB6" s="390" t="s">
        <v>253</v>
      </c>
      <c r="BC6" s="390" t="s">
        <v>253</v>
      </c>
      <c r="BD6" s="390" t="s">
        <v>253</v>
      </c>
      <c r="BE6" s="390" t="s">
        <v>253</v>
      </c>
      <c r="BG6" s="390" t="s">
        <v>252</v>
      </c>
      <c r="BH6" s="390" t="s">
        <v>252</v>
      </c>
      <c r="BI6" s="390" t="s">
        <v>252</v>
      </c>
      <c r="BJ6" s="390" t="s">
        <v>252</v>
      </c>
      <c r="BK6" s="390" t="s">
        <v>252</v>
      </c>
      <c r="BL6" s="390" t="s">
        <v>252</v>
      </c>
      <c r="BM6" s="390" t="s">
        <v>252</v>
      </c>
      <c r="BN6" s="390" t="s">
        <v>252</v>
      </c>
      <c r="BO6" s="390" t="s">
        <v>252</v>
      </c>
      <c r="BP6" s="390" t="s">
        <v>252</v>
      </c>
      <c r="BQ6" s="390" t="s">
        <v>252</v>
      </c>
      <c r="BR6" s="390" t="s">
        <v>252</v>
      </c>
      <c r="BV6" s="389"/>
      <c r="BW6" s="389"/>
      <c r="BX6" s="389"/>
    </row>
    <row r="7" spans="1:92" s="385" customFormat="1" ht="16.2" outlineLevel="1" thickBot="1" x14ac:dyDescent="0.35">
      <c r="D7" s="386"/>
      <c r="E7" s="387">
        <v>1</v>
      </c>
      <c r="F7" s="387">
        <v>2</v>
      </c>
      <c r="G7" s="387">
        <v>3</v>
      </c>
      <c r="H7" s="387">
        <v>4</v>
      </c>
      <c r="I7" s="387">
        <v>5</v>
      </c>
      <c r="J7" s="387">
        <v>6</v>
      </c>
      <c r="K7" s="387">
        <v>7</v>
      </c>
      <c r="L7" s="387">
        <v>8</v>
      </c>
      <c r="M7" s="387">
        <v>9</v>
      </c>
      <c r="N7" s="387">
        <v>10</v>
      </c>
      <c r="O7" s="387">
        <v>11</v>
      </c>
      <c r="P7" s="387">
        <v>12</v>
      </c>
      <c r="Q7" s="388"/>
      <c r="R7" s="387">
        <v>1</v>
      </c>
      <c r="S7" s="387">
        <v>2</v>
      </c>
      <c r="T7" s="387">
        <v>3</v>
      </c>
      <c r="U7" s="387">
        <v>4</v>
      </c>
      <c r="V7" s="387">
        <v>5</v>
      </c>
      <c r="W7" s="387">
        <v>6</v>
      </c>
      <c r="X7" s="387">
        <v>7</v>
      </c>
      <c r="Y7" s="387">
        <v>8</v>
      </c>
      <c r="Z7" s="387">
        <v>9</v>
      </c>
      <c r="AA7" s="387">
        <v>10</v>
      </c>
      <c r="AB7" s="387">
        <v>11</v>
      </c>
      <c r="AC7" s="387">
        <v>12</v>
      </c>
      <c r="AD7" s="388"/>
      <c r="AE7" s="388">
        <v>1</v>
      </c>
      <c r="AF7" s="388">
        <v>2</v>
      </c>
      <c r="AG7" s="388">
        <v>3</v>
      </c>
      <c r="AH7" s="388">
        <v>4</v>
      </c>
      <c r="AI7" s="388">
        <v>5</v>
      </c>
      <c r="AJ7" s="388">
        <v>6</v>
      </c>
      <c r="AK7" s="388">
        <v>7</v>
      </c>
      <c r="AL7" s="388">
        <v>8</v>
      </c>
      <c r="AM7" s="388">
        <v>9</v>
      </c>
      <c r="AN7" s="388">
        <v>10</v>
      </c>
      <c r="AO7" s="388">
        <v>11</v>
      </c>
      <c r="AP7" s="388">
        <v>12</v>
      </c>
      <c r="AQ7" s="388"/>
      <c r="AS7" s="385">
        <v>1</v>
      </c>
      <c r="AT7" s="385">
        <v>2</v>
      </c>
      <c r="AU7" s="385">
        <v>3</v>
      </c>
      <c r="AV7" s="385">
        <v>4</v>
      </c>
      <c r="AW7" s="385">
        <v>5</v>
      </c>
      <c r="AX7" s="385">
        <v>6</v>
      </c>
      <c r="AY7" s="385">
        <v>7</v>
      </c>
      <c r="AZ7" s="385">
        <v>8</v>
      </c>
      <c r="BA7" s="385">
        <v>9</v>
      </c>
      <c r="BB7" s="385">
        <v>10</v>
      </c>
      <c r="BC7" s="385">
        <v>11</v>
      </c>
      <c r="BD7" s="385">
        <v>12</v>
      </c>
      <c r="BF7" s="388">
        <v>1</v>
      </c>
      <c r="BG7" s="388">
        <v>2</v>
      </c>
      <c r="BH7" s="388">
        <v>3</v>
      </c>
      <c r="BI7" s="388">
        <v>4</v>
      </c>
      <c r="BJ7" s="388">
        <v>5</v>
      </c>
      <c r="BK7" s="388">
        <v>6</v>
      </c>
      <c r="BL7" s="388">
        <v>7</v>
      </c>
      <c r="BM7" s="388">
        <v>8</v>
      </c>
      <c r="BN7" s="388">
        <v>9</v>
      </c>
      <c r="BO7" s="388">
        <v>10</v>
      </c>
      <c r="BP7" s="388">
        <v>11</v>
      </c>
      <c r="BQ7" s="388">
        <v>12</v>
      </c>
      <c r="BR7" s="388"/>
      <c r="BV7" s="563"/>
      <c r="BW7" s="389"/>
      <c r="BX7" s="389"/>
    </row>
    <row r="8" spans="1:92" s="173" customFormat="1" ht="47.4" thickTop="1" x14ac:dyDescent="0.3">
      <c r="A8" s="170">
        <v>1</v>
      </c>
      <c r="B8" s="228" t="s">
        <v>57</v>
      </c>
      <c r="C8" s="228" t="s">
        <v>58</v>
      </c>
      <c r="D8" s="229" t="s">
        <v>206</v>
      </c>
      <c r="E8" s="621" t="s">
        <v>116</v>
      </c>
      <c r="F8" s="621" t="s">
        <v>119</v>
      </c>
      <c r="G8" s="621" t="s">
        <v>120</v>
      </c>
      <c r="H8" s="621" t="s">
        <v>121</v>
      </c>
      <c r="I8" s="621" t="s">
        <v>122</v>
      </c>
      <c r="J8" s="621" t="s">
        <v>123</v>
      </c>
      <c r="K8" s="621" t="s">
        <v>124</v>
      </c>
      <c r="L8" s="621" t="s">
        <v>259</v>
      </c>
      <c r="M8" s="621" t="s">
        <v>125</v>
      </c>
      <c r="N8" s="621" t="s">
        <v>69</v>
      </c>
      <c r="O8" s="621" t="s">
        <v>70</v>
      </c>
      <c r="P8" s="622" t="s">
        <v>71</v>
      </c>
      <c r="Q8" s="620" t="s">
        <v>258</v>
      </c>
      <c r="R8" s="623" t="s">
        <v>72</v>
      </c>
      <c r="S8" s="623" t="s">
        <v>73</v>
      </c>
      <c r="T8" s="623" t="s">
        <v>74</v>
      </c>
      <c r="U8" s="623" t="s">
        <v>75</v>
      </c>
      <c r="V8" s="623" t="s">
        <v>76</v>
      </c>
      <c r="W8" s="623" t="s">
        <v>77</v>
      </c>
      <c r="X8" s="623" t="s">
        <v>78</v>
      </c>
      <c r="Y8" s="623" t="s">
        <v>79</v>
      </c>
      <c r="Z8" s="623" t="s">
        <v>80</v>
      </c>
      <c r="AA8" s="623" t="s">
        <v>81</v>
      </c>
      <c r="AB8" s="623" t="s">
        <v>82</v>
      </c>
      <c r="AC8" s="624" t="s">
        <v>83</v>
      </c>
      <c r="AD8" s="619" t="s">
        <v>175</v>
      </c>
      <c r="AE8" s="625" t="s">
        <v>229</v>
      </c>
      <c r="AF8" s="538" t="s">
        <v>230</v>
      </c>
      <c r="AG8" s="538" t="s">
        <v>231</v>
      </c>
      <c r="AH8" s="538" t="s">
        <v>232</v>
      </c>
      <c r="AI8" s="538" t="s">
        <v>233</v>
      </c>
      <c r="AJ8" s="538" t="s">
        <v>234</v>
      </c>
      <c r="AK8" s="538" t="s">
        <v>235</v>
      </c>
      <c r="AL8" s="538" t="s">
        <v>236</v>
      </c>
      <c r="AM8" s="538" t="s">
        <v>237</v>
      </c>
      <c r="AN8" s="538" t="s">
        <v>238</v>
      </c>
      <c r="AO8" s="538" t="s">
        <v>239</v>
      </c>
      <c r="AP8" s="537" t="s">
        <v>240</v>
      </c>
      <c r="AQ8" s="370" t="s">
        <v>241</v>
      </c>
      <c r="AR8" s="626" t="s">
        <v>242</v>
      </c>
      <c r="AS8" s="350" t="s">
        <v>278</v>
      </c>
      <c r="AT8" s="339" t="s">
        <v>279</v>
      </c>
      <c r="AU8" s="339" t="s">
        <v>280</v>
      </c>
      <c r="AV8" s="339" t="s">
        <v>281</v>
      </c>
      <c r="AW8" s="339" t="s">
        <v>282</v>
      </c>
      <c r="AX8" s="339" t="s">
        <v>283</v>
      </c>
      <c r="AY8" s="339" t="s">
        <v>284</v>
      </c>
      <c r="AZ8" s="339" t="s">
        <v>285</v>
      </c>
      <c r="BA8" s="339" t="s">
        <v>286</v>
      </c>
      <c r="BB8" s="339" t="s">
        <v>287</v>
      </c>
      <c r="BC8" s="339" t="s">
        <v>288</v>
      </c>
      <c r="BD8" s="376" t="s">
        <v>289</v>
      </c>
      <c r="BE8" s="379" t="s">
        <v>290</v>
      </c>
      <c r="BF8" s="367" t="s">
        <v>263</v>
      </c>
      <c r="BG8" s="231" t="s">
        <v>264</v>
      </c>
      <c r="BH8" s="231" t="s">
        <v>265</v>
      </c>
      <c r="BI8" s="231" t="s">
        <v>266</v>
      </c>
      <c r="BJ8" s="231" t="s">
        <v>267</v>
      </c>
      <c r="BK8" s="231" t="s">
        <v>268</v>
      </c>
      <c r="BL8" s="231" t="s">
        <v>269</v>
      </c>
      <c r="BM8" s="231" t="s">
        <v>270</v>
      </c>
      <c r="BN8" s="231" t="s">
        <v>271</v>
      </c>
      <c r="BO8" s="231" t="s">
        <v>272</v>
      </c>
      <c r="BP8" s="231" t="s">
        <v>273</v>
      </c>
      <c r="BQ8" s="340" t="s">
        <v>274</v>
      </c>
      <c r="BR8" s="358" t="s">
        <v>275</v>
      </c>
      <c r="BS8" s="367" t="s">
        <v>276</v>
      </c>
      <c r="BT8" s="538" t="str">
        <f>"% +/- "&amp;"T"&amp;$D$4&amp;".26"&amp;" sv KH T"&amp;$D$4&amp;".26"</f>
        <v>% +/- T1.26 sv KH T1.26</v>
      </c>
      <c r="BU8" s="231" t="s">
        <v>277</v>
      </c>
      <c r="BV8" s="642" t="s">
        <v>177</v>
      </c>
      <c r="BW8" s="643"/>
      <c r="BX8" s="643"/>
      <c r="BY8" s="643"/>
      <c r="BZ8" s="643"/>
      <c r="CA8" s="643"/>
      <c r="CB8" s="643"/>
      <c r="CC8" s="172"/>
      <c r="CD8" s="158"/>
      <c r="CE8" s="158"/>
      <c r="CF8" s="158"/>
      <c r="CG8" s="158"/>
      <c r="CH8" s="158"/>
      <c r="CI8" s="158"/>
      <c r="CJ8" s="158"/>
      <c r="CK8" s="158"/>
      <c r="CL8" s="158"/>
      <c r="CM8" s="158"/>
      <c r="CN8" s="158"/>
    </row>
    <row r="9" spans="1:92" s="176" customFormat="1" x14ac:dyDescent="0.3">
      <c r="A9" s="174">
        <v>2</v>
      </c>
      <c r="B9" s="175" t="s">
        <v>162</v>
      </c>
      <c r="D9" s="177" t="s">
        <v>163</v>
      </c>
      <c r="E9" s="178">
        <f t="shared" ref="E9:Q9" si="1">SUM(E10:E20)</f>
        <v>21899.781848089286</v>
      </c>
      <c r="F9" s="178">
        <f t="shared" si="1"/>
        <v>33453.411245292285</v>
      </c>
      <c r="G9" s="178">
        <f t="shared" si="1"/>
        <v>42421.457937049287</v>
      </c>
      <c r="H9" s="178">
        <f t="shared" si="1"/>
        <v>36738.301150914282</v>
      </c>
      <c r="I9" s="178">
        <f t="shared" si="1"/>
        <v>45685.663846103285</v>
      </c>
      <c r="J9" s="178">
        <f t="shared" si="1"/>
        <v>39025.692962714289</v>
      </c>
      <c r="K9" s="178">
        <f t="shared" si="1"/>
        <v>46671.953855214277</v>
      </c>
      <c r="L9" s="178">
        <f t="shared" si="1"/>
        <v>48424.68627150001</v>
      </c>
      <c r="M9" s="178">
        <f t="shared" si="1"/>
        <v>42816.308945559998</v>
      </c>
      <c r="N9" s="178">
        <f t="shared" si="1"/>
        <v>49762.037586999999</v>
      </c>
      <c r="O9" s="178">
        <f t="shared" si="1"/>
        <v>37760.119328999994</v>
      </c>
      <c r="P9" s="341">
        <f t="shared" si="1"/>
        <v>81792.339352917581</v>
      </c>
      <c r="Q9" s="359">
        <f t="shared" si="1"/>
        <v>43870.979527612872</v>
      </c>
      <c r="R9" s="178">
        <f t="shared" ref="R9:BS9" si="2">SUM(R10:R20)</f>
        <v>92280.63609993401</v>
      </c>
      <c r="S9" s="178">
        <f t="shared" si="2"/>
        <v>61798.159663643084</v>
      </c>
      <c r="T9" s="178">
        <f t="shared" si="2"/>
        <v>101403.86989697815</v>
      </c>
      <c r="U9" s="178">
        <f t="shared" si="2"/>
        <v>98089.315212126647</v>
      </c>
      <c r="V9" s="178">
        <f t="shared" si="2"/>
        <v>91551.659682874306</v>
      </c>
      <c r="W9" s="178">
        <f t="shared" si="2"/>
        <v>71317.99608218814</v>
      </c>
      <c r="X9" s="178">
        <f t="shared" si="2"/>
        <v>39616.888561293541</v>
      </c>
      <c r="Y9" s="178">
        <f t="shared" si="2"/>
        <v>45447.204008084707</v>
      </c>
      <c r="Z9" s="178">
        <f t="shared" si="2"/>
        <v>60524.898855125277</v>
      </c>
      <c r="AA9" s="178">
        <f t="shared" si="2"/>
        <v>89750.215026258506</v>
      </c>
      <c r="AB9" s="178">
        <f t="shared" si="2"/>
        <v>97578.975613716102</v>
      </c>
      <c r="AC9" s="341">
        <f t="shared" si="2"/>
        <v>67853.398192679713</v>
      </c>
      <c r="AD9" s="359">
        <f t="shared" si="2"/>
        <v>76434.434741241843</v>
      </c>
      <c r="AE9" s="351">
        <f t="shared" ref="AE9:AR9" si="3">SUM(AE10:AE20)</f>
        <v>38630.544511729924</v>
      </c>
      <c r="AF9" s="178">
        <f t="shared" si="3"/>
        <v>61748.97248073027</v>
      </c>
      <c r="AG9" s="178">
        <f t="shared" si="3"/>
        <v>103722.47538634992</v>
      </c>
      <c r="AH9" s="178">
        <f t="shared" si="3"/>
        <v>91851.485205512814</v>
      </c>
      <c r="AI9" s="178">
        <f t="shared" si="3"/>
        <v>108225.80562989986</v>
      </c>
      <c r="AJ9" s="178">
        <f t="shared" si="3"/>
        <v>95310.442677998712</v>
      </c>
      <c r="AK9" s="178">
        <f t="shared" si="3"/>
        <v>105763.93712894357</v>
      </c>
      <c r="AL9" s="178">
        <f t="shared" si="3"/>
        <v>105717.80967238981</v>
      </c>
      <c r="AM9" s="178">
        <f t="shared" si="3"/>
        <v>103948.24078951021</v>
      </c>
      <c r="AN9" s="178">
        <f t="shared" si="3"/>
        <v>69648.722260082912</v>
      </c>
      <c r="AO9" s="178">
        <f t="shared" si="3"/>
        <v>48380.511788524003</v>
      </c>
      <c r="AP9" s="341">
        <f t="shared" si="3"/>
        <v>74500.598550182709</v>
      </c>
      <c r="AQ9" s="359">
        <f t="shared" si="3"/>
        <v>83954.128840154546</v>
      </c>
      <c r="AR9" s="351">
        <f t="shared" si="3"/>
        <v>1007449.5460818547</v>
      </c>
      <c r="AS9" s="351">
        <f t="shared" ref="AS9:BE9" si="4">SUM(AS10:AS20)</f>
        <v>78870.359777727572</v>
      </c>
      <c r="AT9" s="178">
        <f t="shared" si="4"/>
        <v>65005.869037355915</v>
      </c>
      <c r="AU9" s="178">
        <f t="shared" si="4"/>
        <v>82611.6227902877</v>
      </c>
      <c r="AV9" s="178">
        <f t="shared" si="4"/>
        <v>82829.332243703291</v>
      </c>
      <c r="AW9" s="178">
        <f t="shared" si="4"/>
        <v>82598.422522528461</v>
      </c>
      <c r="AX9" s="178">
        <f t="shared" si="4"/>
        <v>84393.177879948766</v>
      </c>
      <c r="AY9" s="178">
        <f t="shared" si="4"/>
        <v>86555.292742084435</v>
      </c>
      <c r="AZ9" s="178">
        <f t="shared" si="4"/>
        <v>87387.82393652758</v>
      </c>
      <c r="BA9" s="178">
        <f t="shared" si="4"/>
        <v>87080.477480432353</v>
      </c>
      <c r="BB9" s="178">
        <f t="shared" si="4"/>
        <v>87775.722412028699</v>
      </c>
      <c r="BC9" s="178">
        <f t="shared" si="4"/>
        <v>86539.972217100003</v>
      </c>
      <c r="BD9" s="341">
        <f t="shared" si="4"/>
        <v>87509.292140227277</v>
      </c>
      <c r="BE9" s="359">
        <f t="shared" si="4"/>
        <v>83263.113764995986</v>
      </c>
      <c r="BF9" s="351">
        <f t="shared" si="2"/>
        <v>61230.285418348598</v>
      </c>
      <c r="BG9" s="178">
        <f t="shared" ref="BG9:BQ9" si="5">SUM(BG10:BG20)</f>
        <v>36636.225328026303</v>
      </c>
      <c r="BH9" s="178">
        <f t="shared" si="5"/>
        <v>89295.032580284009</v>
      </c>
      <c r="BI9" s="178">
        <f t="shared" si="5"/>
        <v>87644.947414450478</v>
      </c>
      <c r="BJ9" s="178">
        <f t="shared" si="5"/>
        <v>77372.195406368293</v>
      </c>
      <c r="BK9" s="178">
        <f t="shared" si="5"/>
        <v>0</v>
      </c>
      <c r="BL9" s="178">
        <f t="shared" si="5"/>
        <v>0</v>
      </c>
      <c r="BM9" s="178">
        <f t="shared" si="5"/>
        <v>0</v>
      </c>
      <c r="BN9" s="178">
        <f t="shared" si="5"/>
        <v>0</v>
      </c>
      <c r="BO9" s="178">
        <f t="shared" si="5"/>
        <v>0</v>
      </c>
      <c r="BP9" s="178">
        <f t="shared" si="5"/>
        <v>0</v>
      </c>
      <c r="BQ9" s="341">
        <f t="shared" si="5"/>
        <v>0</v>
      </c>
      <c r="BR9" s="359">
        <f t="shared" si="2"/>
        <v>70435.737229495542</v>
      </c>
      <c r="BS9" s="351">
        <f t="shared" si="2"/>
        <v>352178.68614747771</v>
      </c>
      <c r="BT9" s="179">
        <f>IFERROR(BF9/AS9-1,"-")</f>
        <v>-0.22365910855601812</v>
      </c>
      <c r="BU9" s="180">
        <f t="shared" ref="BU9:BU28" si="6">BS9/$BS$29</f>
        <v>0.77340428479610901</v>
      </c>
      <c r="BV9" s="644"/>
      <c r="BW9" s="644"/>
      <c r="BX9" s="644"/>
      <c r="BY9" s="644"/>
      <c r="BZ9" s="644"/>
      <c r="CA9" s="644"/>
      <c r="CB9" s="644"/>
      <c r="CD9" s="158"/>
      <c r="CE9" s="158"/>
      <c r="CF9" s="158"/>
      <c r="CG9" s="158"/>
      <c r="CH9" s="158"/>
      <c r="CI9" s="158"/>
      <c r="CJ9" s="158"/>
      <c r="CK9" s="158"/>
      <c r="CL9" s="158"/>
      <c r="CM9" s="158"/>
      <c r="CN9" s="158"/>
    </row>
    <row r="10" spans="1:92" s="186" customFormat="1" x14ac:dyDescent="0.3">
      <c r="A10" s="174">
        <v>3</v>
      </c>
      <c r="B10" s="181">
        <v>1</v>
      </c>
      <c r="C10" s="182" t="s">
        <v>96</v>
      </c>
      <c r="D10" s="182" t="s">
        <v>261</v>
      </c>
      <c r="E10" s="183">
        <f>INDEX('18 KMP- Tháng'!$E$6:$Q$29,MATCH($A10,'18 KMP- Tháng'!$A$6:$A$29,0),MATCH(E$7,'18 KMP- Tháng'!$E$2:$P$2,0))</f>
        <v>19184.787461375003</v>
      </c>
      <c r="F10" s="183">
        <f>INDEX('18 KMP- Tháng'!$E$6:$Q$29,MATCH($A10,'18 KMP- Tháng'!$A$6:$A$29,0),MATCH(F$7,'18 KMP- Tháng'!$E$2:$P$2,0))</f>
        <v>29413.012996578</v>
      </c>
      <c r="G10" s="183">
        <f>INDEX('18 KMP- Tháng'!$E$6:$Q$29,MATCH($A10,'18 KMP- Tháng'!$A$6:$A$29,0),MATCH(G$7,'18 KMP- Tháng'!$E$2:$P$2,0))</f>
        <v>36905.746250334996</v>
      </c>
      <c r="H10" s="183">
        <f>INDEX('18 KMP- Tháng'!$E$6:$Q$29,MATCH($A10,'18 KMP- Tháng'!$A$6:$A$29,0),MATCH(H$7,'18 KMP- Tháng'!$E$2:$P$2,0))</f>
        <v>31466.940888199999</v>
      </c>
      <c r="I10" s="183">
        <f>INDEX('18 KMP- Tháng'!$E$6:$Q$29,MATCH($A10,'18 KMP- Tháng'!$A$6:$A$29,0),MATCH(I$7,'18 KMP- Tháng'!$E$2:$P$2,0))</f>
        <v>39521.728139389001</v>
      </c>
      <c r="J10" s="183">
        <f>INDEX('18 KMP- Tháng'!$E$6:$Q$29,MATCH($A10,'18 KMP- Tháng'!$A$6:$A$29,0),MATCH(J$7,'18 KMP- Tháng'!$E$2:$P$2,0))</f>
        <v>33022.700401999995</v>
      </c>
      <c r="K10" s="183">
        <f>INDEX('18 KMP- Tháng'!$E$6:$Q$29,MATCH($A10,'18 KMP- Tháng'!$A$6:$A$29,0),MATCH(K$7,'18 KMP- Tháng'!$E$2:$P$2,0))</f>
        <v>40067.114833499996</v>
      </c>
      <c r="L10" s="183">
        <f>INDEX('18 KMP- Tháng'!$E$6:$Q$29,MATCH($A10,'18 KMP- Tháng'!$A$6:$A$29,0),MATCH(L$7,'18 KMP- Tháng'!$E$2:$P$2,0))</f>
        <v>41710.886442499999</v>
      </c>
      <c r="M10" s="183">
        <f>INDEX('18 KMP- Tháng'!$E$6:$Q$29,MATCH($A10,'18 KMP- Tháng'!$A$6:$A$29,0),MATCH(M$7,'18 KMP- Tháng'!$E$2:$P$2,0))</f>
        <v>36846.996591559997</v>
      </c>
      <c r="N10" s="183">
        <f>INDEX('18 KMP- Tháng'!$E$6:$Q$29,MATCH($A10,'18 KMP- Tháng'!$A$6:$A$29,0),MATCH(N$7,'18 KMP- Tháng'!$E$2:$P$2,0))</f>
        <v>42104.203841000002</v>
      </c>
      <c r="O10" s="183">
        <f>INDEX('18 KMP- Tháng'!$E$6:$Q$29,MATCH($A10,'18 KMP- Tháng'!$A$6:$A$29,0),MATCH(O$7,'18 KMP- Tháng'!$E$2:$P$2,0))</f>
        <v>31330.078206999995</v>
      </c>
      <c r="P10" s="342">
        <f>INDEX('18 KMP- Tháng'!$E$6:$Q$29,MATCH($A10,'18 KMP- Tháng'!$A$6:$A$29,0),MATCH(P$7,'18 KMP- Tháng'!$E$2:$P$2,0))</f>
        <v>71767.130885999999</v>
      </c>
      <c r="Q10" s="360">
        <f t="shared" ref="Q10:Q20" si="7">AVERAGE(E10:P10)</f>
        <v>37778.443911619746</v>
      </c>
      <c r="R10" s="183">
        <f>INDEX('18 KMP- Tháng'!$R$6:$AC$24,MATCH($A10,'18 KMP- Tháng'!$A$6:$A$24,0),MATCH(R$7,'18 KMP- Tháng'!$R$2:$AC$2,0))</f>
        <v>82388.013511614045</v>
      </c>
      <c r="S10" s="183">
        <f>INDEX('18 KMP- Tháng'!$R$6:$AC$24,MATCH($A10,'18 KMP- Tháng'!$A$6:$A$24,0),MATCH(S$7,'18 KMP- Tháng'!$R$2:$AC$2,0))</f>
        <v>54679.33930764308</v>
      </c>
      <c r="T10" s="183">
        <f>INDEX('18 KMP- Tháng'!$R$6:$AC$24,MATCH($A10,'18 KMP- Tháng'!$A$6:$A$24,0),MATCH(T$7,'18 KMP- Tháng'!$R$2:$AC$2,0))</f>
        <v>92225.012386978167</v>
      </c>
      <c r="U10" s="183">
        <f>INDEX('18 KMP- Tháng'!$R$6:$AC$24,MATCH($A10,'18 KMP- Tháng'!$A$6:$A$24,0),MATCH(U$7,'18 KMP- Tháng'!$R$2:$AC$2,0))+3500</f>
        <v>88305.10524012665</v>
      </c>
      <c r="V10" s="183">
        <f>INDEX('18 KMP- Tháng'!$R$6:$AC$24,MATCH($A10,'18 KMP- Tháng'!$A$6:$A$24,0),MATCH(V$7,'18 KMP- Tháng'!$R$2:$AC$2,0))-3500</f>
        <v>82512.811292874307</v>
      </c>
      <c r="W10" s="183">
        <f>INDEX('18 KMP- Tháng'!$R$6:$AC$24,MATCH($A10,'18 KMP- Tháng'!$A$6:$A$24,0),MATCH(W$7,'18 KMP- Tháng'!$R$2:$AC$2,0))</f>
        <v>63429.137098188141</v>
      </c>
      <c r="X10" s="183">
        <f>INDEX('18 KMP- Tháng'!$R$6:$AC$24,MATCH($A10,'18 KMP- Tháng'!$A$6:$A$24,0),MATCH(X$7,'18 KMP- Tháng'!$R$2:$AC$2,0))</f>
        <v>34124.938092043485</v>
      </c>
      <c r="Y10" s="183">
        <f>INDEX('18 KMP- Tháng'!$R$6:$AC$24,MATCH($A10,'18 KMP- Tháng'!$A$6:$A$24,0),MATCH(Y$7,'18 KMP- Tháng'!$R$2:$AC$2,0))</f>
        <v>39820.045517334758</v>
      </c>
      <c r="Z10" s="183">
        <f>INDEX('18 KMP- Tháng'!$R$6:$AC$24,MATCH($A10,'18 KMP- Tháng'!$A$6:$A$24,0),MATCH(Z$7,'18 KMP- Tháng'!$R$2:$AC$2,0))</f>
        <v>53180.748441125281</v>
      </c>
      <c r="AA10" s="183">
        <f>INDEX('18 KMP- Tháng'!$R$6:$AC$24,MATCH($A10,'18 KMP- Tháng'!$A$6:$A$24,0),MATCH(AA$7,'18 KMP- Tháng'!$R$2:$AC$2,0))</f>
        <v>80242.8457912585</v>
      </c>
      <c r="AB10" s="183">
        <f>INDEX('18 KMP- Tháng'!$R$6:$AC$24,MATCH($A10,'18 KMP- Tháng'!$A$6:$A$24,0),MATCH(AB$7,'18 KMP- Tháng'!$R$2:$AC$2,0))</f>
        <v>87480.523861716094</v>
      </c>
      <c r="AC10" s="342">
        <f>INDEX('18 KMP- Tháng'!$R$6:$AC$24,MATCH($A10,'18 KMP- Tháng'!$A$6:$A$24,0),MATCH(AC$7,'18 KMP- Tháng'!$R$2:$AC$2,0))</f>
        <v>60679.337507679702</v>
      </c>
      <c r="AD10" s="360">
        <f>AVERAGE(R10:AC10)</f>
        <v>68255.654837381837</v>
      </c>
      <c r="AE10" s="352">
        <f>INDEX('18 KMP- Tháng'!$AF$6:$AQ$29,MATCH($A10,'18 KMP- Tháng'!$A$6:$A$29,0),MATCH(AE$7,'18 KMP- Tháng'!$AF$2:$AQ$2,0))</f>
        <v>33690.153681729942</v>
      </c>
      <c r="AF10" s="183">
        <f>INDEX('18 KMP- Tháng'!$AF$6:$AQ$29,MATCH($A10,'18 KMP- Tháng'!$A$6:$A$29,0),MATCH(AF$7,'18 KMP- Tháng'!$AF$2:$AQ$2,0))</f>
        <v>54984.762966730275</v>
      </c>
      <c r="AG10" s="183">
        <f>INDEX('18 KMP- Tháng'!$AF$6:$AQ$29,MATCH($A10,'18 KMP- Tháng'!$A$6:$A$29,0),MATCH(AG$7,'18 KMP- Tháng'!$AF$2:$AQ$2,0))</f>
        <v>93493.565616349893</v>
      </c>
      <c r="AH10" s="183">
        <f>INDEX('18 KMP- Tháng'!$AF$6:$AQ$29,MATCH($A10,'18 KMP- Tháng'!$A$6:$A$29,0),MATCH(AH$7,'18 KMP- Tháng'!$AF$2:$AQ$2,0))</f>
        <v>81794.17166151281</v>
      </c>
      <c r="AI10" s="183">
        <f>INDEX('18 KMP- Tháng'!$AF$6:$AQ$29,MATCH($A10,'18 KMP- Tháng'!$A$6:$A$29,0),MATCH(AI$7,'18 KMP- Tháng'!$AF$2:$AQ$2,0))</f>
        <v>97253.819962899841</v>
      </c>
      <c r="AJ10" s="183">
        <f>INDEX('18 KMP- Tháng'!$AF$6:$AQ$29,MATCH($A10,'18 KMP- Tháng'!$A$6:$A$29,0),MATCH(AJ$7,'18 KMP- Tháng'!$AF$2:$AQ$2,0))</f>
        <v>84746.443805998701</v>
      </c>
      <c r="AK10" s="183">
        <f>INDEX('18 KMP- Tháng'!$AF$6:$AQ$29,MATCH($A10,'18 KMP- Tháng'!$A$6:$A$29,0),MATCH(AK$7,'18 KMP- Tháng'!$AF$2:$AQ$2,0))</f>
        <v>93606.744682943565</v>
      </c>
      <c r="AL10" s="183">
        <f>INDEX('18 KMP- Tháng'!$AF$6:$AQ$29,MATCH($A10,'18 KMP- Tháng'!$A$6:$A$29,0),MATCH(AL$7,'18 KMP- Tháng'!$AF$2:$AQ$2,0))</f>
        <v>93602.194561389799</v>
      </c>
      <c r="AM10" s="183">
        <f>INDEX('18 KMP- Tháng'!$AF$6:$AQ$29,MATCH($A10,'18 KMP- Tháng'!$A$6:$A$29,0),MATCH(AM$7,'18 KMP- Tháng'!$AF$2:$AQ$2,0))</f>
        <v>92225.640568510207</v>
      </c>
      <c r="AN10" s="183">
        <f>INDEX('18 KMP- Tháng'!$AF$6:$AQ$29,MATCH($A10,'18 KMP- Tháng'!$A$6:$A$29,0),MATCH(AN$7,'18 KMP- Tháng'!$AF$2:$AQ$2,0))</f>
        <v>60589.830985082903</v>
      </c>
      <c r="AO10" s="183">
        <f>INDEX('18 KMP- Tháng'!$AF$6:$AQ$29,MATCH($A10,'18 KMP- Tháng'!$A$6:$A$29,0),MATCH(AO$7,'18 KMP- Tháng'!$AF$2:$AQ$2,0))</f>
        <v>41785.637411524003</v>
      </c>
      <c r="AP10" s="342">
        <f>INDEX('18 KMP- Tháng'!$AF$6:$AQ$29,MATCH($A10,'18 KMP- Tháng'!$A$6:$A$29,0),MATCH(AP$7,'18 KMP- Tháng'!$AF$2:$AQ$2,0))</f>
        <v>66382.966178182702</v>
      </c>
      <c r="AQ10" s="360">
        <f>SUM(AE10:AP10)/COUNTIFS($AE$29:$AP$29,"&lt;&gt;"&amp;0)</f>
        <v>74512.994340237885</v>
      </c>
      <c r="AR10" s="352">
        <f>SUM(AE10:AP10)</f>
        <v>894155.93208285468</v>
      </c>
      <c r="AS10" s="352">
        <f>INDEX('18 KMP- Tháng'!$BH$6:$BS$29,MATCH($A10,'18 KMP- Tháng'!$A$6:$A$29,0),MATCH(AS$7,'18 KMP- Tháng'!$BH$2:$BS$2,0))</f>
        <v>70449.79433851775</v>
      </c>
      <c r="AT10" s="183">
        <f>INDEX('18 KMP- Tháng'!$BH$6:$BS$29,MATCH($A10,'18 KMP- Tháng'!$A$6:$A$29,0),MATCH(AT$7,'18 KMP- Tháng'!$BH$2:$BS$2,0))</f>
        <v>57841.876465266527</v>
      </c>
      <c r="AU10" s="183">
        <f>INDEX('18 KMP- Tháng'!$BH$6:$BS$29,MATCH($A10,'18 KMP- Tháng'!$A$6:$A$29,0),MATCH(AU$7,'18 KMP- Tháng'!$BH$2:$BS$2,0))</f>
        <v>73858.796242105935</v>
      </c>
      <c r="AV10" s="183">
        <f>INDEX('18 KMP- Tháng'!$BH$6:$BS$29,MATCH($A10,'18 KMP- Tháng'!$A$6:$A$29,0),MATCH(AV$7,'18 KMP- Tháng'!$BH$2:$BS$2,0))</f>
        <v>74028.379274825609</v>
      </c>
      <c r="AW10" s="183">
        <f>INDEX('18 KMP- Tháng'!$BH$6:$BS$29,MATCH($A10,'18 KMP- Tháng'!$A$6:$A$29,0),MATCH(AW$7,'18 KMP- Tháng'!$BH$2:$BS$2,0))</f>
        <v>73858.796242105935</v>
      </c>
      <c r="AX10" s="183">
        <f>INDEX('18 KMP- Tháng'!$BH$6:$BS$29,MATCH($A10,'18 KMP- Tháng'!$A$6:$A$29,0),MATCH(AX$7,'18 KMP- Tháng'!$BH$2:$BS$2,0))</f>
        <v>75365.564327104483</v>
      </c>
      <c r="AY10" s="183">
        <f>INDEX('18 KMP- Tháng'!$BH$6:$BS$29,MATCH($A10,'18 KMP- Tháng'!$A$6:$A$29,0),MATCH(AY$7,'18 KMP- Tháng'!$BH$2:$BS$2,0))</f>
        <v>77176.424886965047</v>
      </c>
      <c r="AZ10" s="183">
        <f>INDEX('18 KMP- Tháng'!$BH$6:$BS$29,MATCH($A10,'18 KMP- Tháng'!$A$6:$A$29,0),MATCH(AZ$7,'18 KMP- Tháng'!$BH$2:$BS$2,0))</f>
        <v>77920.06932472506</v>
      </c>
      <c r="BA10" s="183">
        <f>INDEX('18 KMP- Tháng'!$BH$6:$BS$29,MATCH($A10,'18 KMP- Tháng'!$A$6:$A$29,0),MATCH(BA$7,'18 KMP- Tháng'!$BH$2:$BS$2,0))</f>
        <v>77600.382468764248</v>
      </c>
      <c r="BB10" s="183">
        <f>INDEX('18 KMP- Tháng'!$BH$6:$BS$29,MATCH($A10,'18 KMP- Tháng'!$A$6:$A$29,0),MATCH(BB$7,'18 KMP- Tháng'!$BH$2:$BS$2,0))</f>
        <v>78089.652357444735</v>
      </c>
      <c r="BC10" s="183">
        <f>INDEX('18 KMP- Tháng'!$BH$6:$BS$29,MATCH($A10,'18 KMP- Tháng'!$A$6:$A$29,0),MATCH(BC$7,'18 KMP- Tháng'!$BH$2:$BS$2,0))</f>
        <v>77006.841854245373</v>
      </c>
      <c r="BD10" s="342">
        <f>INDEX('18 KMP- Tháng'!$BH$6:$BS$29,MATCH($A10,'18 KMP- Tháng'!$A$6:$A$29,0),MATCH(BD$7,'18 KMP- Tháng'!$BH$2:$BS$2,0))</f>
        <v>77920.06932472506</v>
      </c>
      <c r="BE10" s="360">
        <f t="shared" ref="BE10:BE20" si="8">AVERAGE(AS10:BD10)</f>
        <v>74259.720592232989</v>
      </c>
      <c r="BF10" s="352">
        <f>INDEX('18 KMP- Tháng'!$AS$6:$BD$29,MATCH($A10,'18 KMP- Tháng'!$A$6:$A$29,0),MATCH(BF$7,'18 KMP- Tháng'!$AS$2:$BD$2,0))</f>
        <v>54282.9558583486</v>
      </c>
      <c r="BG10" s="183">
        <f>INDEX('18 KMP- Tháng'!$AS$6:$BD$29,MATCH($A10,'18 KMP- Tháng'!$A$6:$A$29,0),MATCH(BG$7,'18 KMP- Tháng'!$AS$2:$BD$2,0))</f>
        <v>32788.527139026301</v>
      </c>
      <c r="BH10" s="183">
        <f>INDEX('18 KMP- Tháng'!$AS$6:$BD$29,MATCH($A10,'18 KMP- Tháng'!$A$6:$A$29,0),MATCH(BH$7,'18 KMP- Tháng'!$AS$2:$BD$2,0))</f>
        <v>79002.100402284006</v>
      </c>
      <c r="BI10" s="183">
        <f>INDEX('18 KMP- Tháng'!$AS$6:$BD$29,MATCH($A10,'18 KMP- Tháng'!$A$6:$A$29,0),MATCH(BI$7,'18 KMP- Tháng'!$AS$2:$BD$2,0))</f>
        <v>77706.009766450486</v>
      </c>
      <c r="BJ10" s="183">
        <f>INDEX('18 KMP- Tháng'!$AS$6:$BD$29,MATCH($A10,'18 KMP- Tháng'!$A$6:$A$29,0),MATCH(BJ$7,'18 KMP- Tháng'!$AS$2:$BD$2,0))</f>
        <v>67389.4959113683</v>
      </c>
      <c r="BK10" s="183">
        <f>INDEX('18 KMP- Tháng'!$AS$6:$BD$29,MATCH($A10,'18 KMP- Tháng'!$A$6:$A$29,0),MATCH(BK$7,'18 KMP- Tháng'!$AS$2:$BD$2,0))</f>
        <v>0</v>
      </c>
      <c r="BL10" s="183">
        <f>INDEX('18 KMP- Tháng'!$AS$6:$BD$29,MATCH($A10,'18 KMP- Tháng'!$A$6:$A$29,0),MATCH(BL$7,'18 KMP- Tháng'!$AS$2:$BD$2,0))</f>
        <v>0</v>
      </c>
      <c r="BM10" s="183">
        <f>INDEX('18 KMP- Tháng'!$AS$6:$BD$29,MATCH($A10,'18 KMP- Tháng'!$A$6:$A$29,0),MATCH(BM$7,'18 KMP- Tháng'!$AS$2:$BD$2,0))</f>
        <v>0</v>
      </c>
      <c r="BN10" s="183">
        <f>INDEX('18 KMP- Tháng'!$AS$6:$BD$29,MATCH($A10,'18 KMP- Tháng'!$A$6:$A$29,0),MATCH(BN$7,'18 KMP- Tháng'!$AS$2:$BD$2,0))</f>
        <v>0</v>
      </c>
      <c r="BO10" s="183">
        <f>INDEX('18 KMP- Tháng'!$AS$6:$BD$29,MATCH($A10,'18 KMP- Tháng'!$A$6:$A$29,0),MATCH(BO$7,'18 KMP- Tháng'!$AS$2:$BD$2,0))</f>
        <v>0</v>
      </c>
      <c r="BP10" s="183">
        <f>INDEX('18 KMP- Tháng'!$AS$6:$BD$29,MATCH($A10,'18 KMP- Tháng'!$A$6:$A$29,0),MATCH(BP$7,'18 KMP- Tháng'!$AS$2:$BD$2,0))</f>
        <v>0</v>
      </c>
      <c r="BQ10" s="342">
        <f>INDEX('18 KMP- Tháng'!$AS$6:$BD$29,MATCH($A10,'18 KMP- Tháng'!$A$6:$A$29,0),MATCH(BQ$7,'18 KMP- Tháng'!$AS$2:$BD$2,0))</f>
        <v>0</v>
      </c>
      <c r="BR10" s="360">
        <f>SUM(BF10:BQ10)/COUNTIFS($BF$29:$BQ$29,"&lt;&gt;"&amp;0)</f>
        <v>62233.817815495539</v>
      </c>
      <c r="BS10" s="352">
        <f>SUM(BF10:BQ10)</f>
        <v>311169.08907747769</v>
      </c>
      <c r="BT10" s="184">
        <f t="shared" ref="BT10:BT31" si="9">IFERROR(BF10/AS10-1,"-")</f>
        <v>-0.22948027928209414</v>
      </c>
      <c r="BU10" s="185">
        <f t="shared" si="6"/>
        <v>0.68334489352897754</v>
      </c>
      <c r="BV10" s="645"/>
      <c r="BW10" s="645"/>
      <c r="BX10" s="645"/>
      <c r="BY10" s="646"/>
      <c r="BZ10" s="646"/>
      <c r="CA10" s="646"/>
      <c r="CB10" s="646"/>
      <c r="CC10" s="191"/>
      <c r="CD10" s="158"/>
      <c r="CE10" s="158"/>
      <c r="CF10" s="158"/>
      <c r="CG10" s="158"/>
      <c r="CH10" s="158"/>
      <c r="CI10" s="158"/>
      <c r="CJ10" s="158"/>
      <c r="CK10" s="158"/>
      <c r="CL10" s="158"/>
      <c r="CM10" s="158"/>
      <c r="CN10" s="158"/>
    </row>
    <row r="11" spans="1:92" s="186" customFormat="1" x14ac:dyDescent="0.3">
      <c r="A11" s="174">
        <v>4</v>
      </c>
      <c r="B11" s="187">
        <f>B10+1</f>
        <v>2</v>
      </c>
      <c r="C11" s="188" t="s">
        <v>96</v>
      </c>
      <c r="D11" s="188" t="s">
        <v>25</v>
      </c>
      <c r="E11" s="189">
        <f>INDEX('18 KMP- Tháng'!$E$6:$Q$29,MATCH($A11,'18 KMP- Tháng'!$A$6:$A$29,0),MATCH(E$7,'18 KMP- Tháng'!$E$2:$P$2,0))</f>
        <v>1376.9572000000001</v>
      </c>
      <c r="F11" s="189">
        <f>INDEX('18 KMP- Tháng'!$E$6:$Q$29,MATCH($A11,'18 KMP- Tháng'!$A$6:$A$29,0),MATCH(F$7,'18 KMP- Tháng'!$E$2:$P$2,0))</f>
        <v>2218.3915000000002</v>
      </c>
      <c r="G11" s="189">
        <f>INDEX('18 KMP- Tháng'!$E$6:$Q$29,MATCH($A11,'18 KMP- Tháng'!$A$6:$A$29,0),MATCH(G$7,'18 KMP- Tháng'!$E$2:$P$2,0))</f>
        <v>2574.9328999999998</v>
      </c>
      <c r="H11" s="189">
        <f>INDEX('18 KMP- Tháng'!$E$6:$Q$29,MATCH($A11,'18 KMP- Tháng'!$A$6:$A$29,0),MATCH(H$7,'18 KMP- Tháng'!$E$2:$P$2,0))</f>
        <v>2388.6837479999999</v>
      </c>
      <c r="I11" s="189">
        <f>INDEX('18 KMP- Tháng'!$E$6:$Q$29,MATCH($A11,'18 KMP- Tháng'!$A$6:$A$29,0),MATCH(I$7,'18 KMP- Tháng'!$E$2:$P$2,0))</f>
        <v>2787.5241000000001</v>
      </c>
      <c r="J11" s="189">
        <f>INDEX('18 KMP- Tháng'!$E$6:$Q$29,MATCH($A11,'18 KMP- Tháng'!$A$6:$A$29,0),MATCH(J$7,'18 KMP- Tháng'!$E$2:$P$2,0))</f>
        <v>2655.8263000000002</v>
      </c>
      <c r="K11" s="189">
        <f>INDEX('18 KMP- Tháng'!$E$6:$Q$29,MATCH($A11,'18 KMP- Tháng'!$A$6:$A$29,0),MATCH(K$7,'18 KMP- Tháng'!$E$2:$P$2,0))</f>
        <v>3135.2610890000001</v>
      </c>
      <c r="L11" s="189">
        <f>INDEX('18 KMP- Tháng'!$E$6:$Q$29,MATCH($A11,'18 KMP- Tháng'!$A$6:$A$29,0),MATCH(L$7,'18 KMP- Tháng'!$E$2:$P$2,0))</f>
        <v>2978.8600099999999</v>
      </c>
      <c r="M11" s="189">
        <f>INDEX('18 KMP- Tháng'!$E$6:$Q$29,MATCH($A11,'18 KMP- Tháng'!$A$6:$A$29,0),MATCH(M$7,'18 KMP- Tháng'!$E$2:$P$2,0))</f>
        <v>2915.5076250000002</v>
      </c>
      <c r="N11" s="189">
        <f>INDEX('18 KMP- Tháng'!$E$6:$Q$29,MATCH($A11,'18 KMP- Tháng'!$A$6:$A$29,0),MATCH(N$7,'18 KMP- Tháng'!$E$2:$P$2,0))</f>
        <v>3337.1480000000001</v>
      </c>
      <c r="O11" s="189">
        <f>INDEX('18 KMP- Tháng'!$E$6:$Q$29,MATCH($A11,'18 KMP- Tháng'!$A$6:$A$29,0),MATCH(O$7,'18 KMP- Tháng'!$E$2:$P$2,0))</f>
        <v>2812.7750129999999</v>
      </c>
      <c r="P11" s="344">
        <f>INDEX('18 KMP- Tháng'!$E$6:$Q$29,MATCH($A11,'18 KMP- Tháng'!$A$6:$A$29,0),MATCH(P$7,'18 KMP- Tháng'!$E$2:$P$2,0))</f>
        <v>5223.2614999999996</v>
      </c>
      <c r="Q11" s="361">
        <f t="shared" si="7"/>
        <v>2867.0940820833334</v>
      </c>
      <c r="R11" s="189">
        <f>INDEX('18 KMP- Tháng'!$R$6:$AC$24,MATCH($A11,'18 KMP- Tháng'!$A$6:$A$24,0),MATCH(R$7,'18 KMP- Tháng'!$R$2:$AC$2,0))</f>
        <v>5469.847452</v>
      </c>
      <c r="S11" s="189">
        <f>INDEX('18 KMP- Tháng'!$R$6:$AC$24,MATCH($A11,'18 KMP- Tháng'!$A$6:$A$24,0),MATCH(S$7,'18 KMP- Tháng'!$R$2:$AC$2,0))</f>
        <v>4124.0470960000002</v>
      </c>
      <c r="T11" s="189">
        <f>INDEX('18 KMP- Tháng'!$R$6:$AC$24,MATCH($A11,'18 KMP- Tháng'!$A$6:$A$24,0),MATCH(T$7,'18 KMP- Tháng'!$R$2:$AC$2,0))</f>
        <v>5082.6308650000001</v>
      </c>
      <c r="U11" s="189">
        <f>INDEX('18 KMP- Tháng'!$R$6:$AC$24,MATCH($A11,'18 KMP- Tháng'!$A$6:$A$24,0),MATCH(U$7,'18 KMP- Tháng'!$R$2:$AC$2,0))+380</f>
        <v>5884.655452</v>
      </c>
      <c r="V11" s="189">
        <f>INDEX('18 KMP- Tháng'!$R$6:$AC$24,MATCH($A11,'18 KMP- Tháng'!$A$6:$A$24,0),MATCH(V$7,'18 KMP- Tháng'!$R$2:$AC$2,0))-380</f>
        <v>5562.4358000000002</v>
      </c>
      <c r="W11" s="189">
        <f>INDEX('18 KMP- Tháng'!$R$6:$AC$24,MATCH($A11,'18 KMP- Tháng'!$A$6:$A$24,0),MATCH(W$7,'18 KMP- Tháng'!$R$2:$AC$2,0))</f>
        <v>4785.0316119999998</v>
      </c>
      <c r="X11" s="189">
        <f>INDEX('18 KMP- Tháng'!$R$6:$AC$24,MATCH($A11,'18 KMP- Tháng'!$A$6:$A$24,0),MATCH(X$7,'18 KMP- Tháng'!$R$2:$AC$2,0))</f>
        <v>3003.7880009999999</v>
      </c>
      <c r="Y11" s="189">
        <f>INDEX('18 KMP- Tháng'!$R$6:$AC$24,MATCH($A11,'18 KMP- Tháng'!$A$6:$A$24,0),MATCH(Y$7,'18 KMP- Tháng'!$R$2:$AC$2,0))</f>
        <v>3483.1443100000001</v>
      </c>
      <c r="Z11" s="189">
        <f>INDEX('18 KMP- Tháng'!$R$6:$AC$24,MATCH($A11,'18 KMP- Tháng'!$A$6:$A$24,0),MATCH(Z$7,'18 KMP- Tháng'!$R$2:$AC$2,0))</f>
        <v>4629.7979379999997</v>
      </c>
      <c r="AA11" s="189">
        <f>INDEX('18 KMP- Tháng'!$R$6:$AC$24,MATCH($A11,'18 KMP- Tháng'!$A$6:$A$24,0),MATCH(AA$7,'18 KMP- Tháng'!$R$2:$AC$2,0))</f>
        <v>5506.4469950000002</v>
      </c>
      <c r="AB11" s="189">
        <f>INDEX('18 KMP- Tháng'!$R$6:$AC$24,MATCH($A11,'18 KMP- Tháng'!$A$6:$A$24,0),MATCH(AB$7,'18 KMP- Tháng'!$R$2:$AC$2,0))</f>
        <v>6370.138516</v>
      </c>
      <c r="AC11" s="344">
        <f>INDEX('18 KMP- Tháng'!$R$6:$AC$24,MATCH($A11,'18 KMP- Tháng'!$A$6:$A$24,0),MATCH(AC$7,'18 KMP- Tháng'!$R$2:$AC$2,0))</f>
        <v>4868.779184</v>
      </c>
      <c r="AD11" s="361">
        <f t="shared" ref="AD11:AD31" si="10">AVERAGE(R11:AC11)</f>
        <v>4897.5619350833331</v>
      </c>
      <c r="AE11" s="368">
        <f>INDEX('18 KMP- Tháng'!$AF$6:$AQ$29,MATCH($A11,'18 KMP- Tháng'!$A$6:$A$29,0),MATCH(AE$7,'18 KMP- Tháng'!$AF$2:$AQ$2,0))</f>
        <v>3129.932233</v>
      </c>
      <c r="AF11" s="337">
        <f>INDEX('18 KMP- Tháng'!$AF$6:$AQ$29,MATCH($A11,'18 KMP- Tháng'!$A$6:$A$29,0),MATCH(AF$7,'18 KMP- Tháng'!$AF$2:$AQ$2,0))</f>
        <v>4149.1147369999999</v>
      </c>
      <c r="AG11" s="337">
        <f>INDEX('18 KMP- Tháng'!$AF$6:$AQ$29,MATCH($A11,'18 KMP- Tháng'!$A$6:$A$29,0),MATCH(AG$7,'18 KMP- Tháng'!$AF$2:$AQ$2,0))</f>
        <v>6492.4916590000003</v>
      </c>
      <c r="AH11" s="337">
        <f>INDEX('18 KMP- Tháng'!$AF$6:$AQ$29,MATCH($A11,'18 KMP- Tháng'!$A$6:$A$29,0),MATCH(AH$7,'18 KMP- Tháng'!$AF$2:$AQ$2,0))</f>
        <v>6124.5741850000004</v>
      </c>
      <c r="AI11" s="337">
        <f>INDEX('18 KMP- Tháng'!$AF$6:$AQ$29,MATCH($A11,'18 KMP- Tháng'!$A$6:$A$29,0),MATCH(AI$7,'18 KMP- Tháng'!$AF$2:$AQ$2,0))</f>
        <v>6554.5568229999999</v>
      </c>
      <c r="AJ11" s="337">
        <f>INDEX('18 KMP- Tháng'!$AF$6:$AQ$29,MATCH($A11,'18 KMP- Tháng'!$A$6:$A$29,0),MATCH(AJ$7,'18 KMP- Tháng'!$AF$2:$AQ$2,0))</f>
        <v>6352.5088930000002</v>
      </c>
      <c r="AK11" s="337">
        <f>INDEX('18 KMP- Tháng'!$AF$6:$AQ$29,MATCH($A11,'18 KMP- Tháng'!$A$6:$A$29,0),MATCH(AK$7,'18 KMP- Tháng'!$AF$2:$AQ$2,0))</f>
        <v>7055.0789000000004</v>
      </c>
      <c r="AL11" s="337">
        <f>INDEX('18 KMP- Tháng'!$AF$6:$AQ$29,MATCH($A11,'18 KMP- Tháng'!$A$6:$A$29,0),MATCH(AL$7,'18 KMP- Tháng'!$AF$2:$AQ$2,0))</f>
        <v>7228.28604</v>
      </c>
      <c r="AM11" s="337">
        <f>INDEX('18 KMP- Tháng'!$AF$6:$AQ$29,MATCH($A11,'18 KMP- Tháng'!$A$6:$A$29,0),MATCH(AM$7,'18 KMP- Tháng'!$AF$2:$AQ$2,0))</f>
        <v>7006.4852300000002</v>
      </c>
      <c r="AN11" s="337">
        <f>INDEX('18 KMP- Tháng'!$AF$6:$AQ$29,MATCH($A11,'18 KMP- Tháng'!$A$6:$A$29,0),MATCH(AN$7,'18 KMP- Tháng'!$AF$2:$AQ$2,0))</f>
        <v>6211.7073879999998</v>
      </c>
      <c r="AO11" s="337">
        <f>INDEX('18 KMP- Tháng'!$AF$6:$AQ$29,MATCH($A11,'18 KMP- Tháng'!$A$6:$A$29,0),MATCH(AO$7,'18 KMP- Tháng'!$AF$2:$AQ$2,0))</f>
        <v>4277.5977279999997</v>
      </c>
      <c r="AP11" s="343">
        <f>INDEX('18 KMP- Tháng'!$AF$6:$AQ$29,MATCH($A11,'18 KMP- Tháng'!$A$6:$A$29,0),MATCH(AP$7,'18 KMP- Tháng'!$AF$2:$AQ$2,0))</f>
        <v>4859.3911179999996</v>
      </c>
      <c r="AQ11" s="361">
        <f t="shared" ref="AQ11:AQ20" si="11">SUM(AE11:AP11)/COUNTIFS($AE$29:$AP$29,"&lt;&gt;"&amp;0)</f>
        <v>5786.8104111666662</v>
      </c>
      <c r="AR11" s="353">
        <f t="shared" ref="AR11:AR20" si="12">SUM(AE11:AP11)</f>
        <v>69441.724933999998</v>
      </c>
      <c r="AS11" s="353">
        <f>INDEX('18 KMP- Tháng'!$BH$6:$BS$29,MATCH($A11,'18 KMP- Tháng'!$A$6:$A$29,0),MATCH(AS$7,'18 KMP- Tháng'!$BH$2:$BS$2,0))</f>
        <v>4625.4909577444878</v>
      </c>
      <c r="AT11" s="189">
        <f>INDEX('18 KMP- Tháng'!$BH$6:$BS$29,MATCH($A11,'18 KMP- Tháng'!$A$6:$A$29,0),MATCH(AT$7,'18 KMP- Tháng'!$BH$2:$BS$2,0))</f>
        <v>3822.1485547592306</v>
      </c>
      <c r="AU11" s="189">
        <f>INDEX('18 KMP- Tháng'!$BH$6:$BS$29,MATCH($A11,'18 KMP- Tháng'!$A$6:$A$29,0),MATCH(AU$7,'18 KMP- Tháng'!$BH$2:$BS$2,0))</f>
        <v>4770.530982744488</v>
      </c>
      <c r="AV11" s="189">
        <f>INDEX('18 KMP- Tháng'!$BH$6:$BS$29,MATCH($A11,'18 KMP- Tháng'!$A$6:$A$29,0),MATCH(AV$7,'18 KMP- Tháng'!$BH$2:$BS$2,0))</f>
        <v>4814.412044733529</v>
      </c>
      <c r="AW11" s="189">
        <f>INDEX('18 KMP- Tháng'!$BH$6:$BS$29,MATCH($A11,'18 KMP- Tháng'!$A$6:$A$29,0),MATCH(AW$7,'18 KMP- Tháng'!$BH$2:$BS$2,0))</f>
        <v>4778.7154113159168</v>
      </c>
      <c r="AX11" s="189">
        <f>INDEX('18 KMP- Tháng'!$BH$6:$BS$29,MATCH($A11,'18 KMP- Tháng'!$A$6:$A$29,0),MATCH(AX$7,'18 KMP- Tháng'!$BH$2:$BS$2,0))</f>
        <v>4943.8432947335305</v>
      </c>
      <c r="AY11" s="189">
        <f>INDEX('18 KMP- Tháng'!$BH$6:$BS$29,MATCH($A11,'18 KMP- Tháng'!$A$6:$A$29,0),MATCH(AY$7,'18 KMP- Tháng'!$BH$2:$BS$2,0))</f>
        <v>5284.2897992390808</v>
      </c>
      <c r="AZ11" s="189">
        <f>INDEX('18 KMP- Tháng'!$BH$6:$BS$29,MATCH($A11,'18 KMP- Tháng'!$A$6:$A$29,0),MATCH(AZ$7,'18 KMP- Tháng'!$BH$2:$BS$2,0))</f>
        <v>5351.2330262390806</v>
      </c>
      <c r="BA11" s="189">
        <f>INDEX('18 KMP- Tháng'!$BH$6:$BS$29,MATCH($A11,'18 KMP- Tháng'!$A$6:$A$29,0),MATCH(BA$7,'18 KMP- Tháng'!$BH$2:$BS$2,0))</f>
        <v>5359.7203192035959</v>
      </c>
      <c r="BB11" s="189">
        <f>INDEX('18 KMP- Tháng'!$BH$6:$BS$29,MATCH($A11,'18 KMP- Tháng'!$A$6:$A$29,0),MATCH(BB$7,'18 KMP- Tháng'!$BH$2:$BS$2,0))</f>
        <v>5509.6976562948239</v>
      </c>
      <c r="BC11" s="189">
        <f>INDEX('18 KMP- Tháng'!$BH$6:$BS$29,MATCH($A11,'18 KMP- Tháng'!$A$6:$A$29,0),MATCH(BC$7,'18 KMP- Tháng'!$BH$2:$BS$2,0))</f>
        <v>5455.5872916879098</v>
      </c>
      <c r="BD11" s="344">
        <f>INDEX('18 KMP- Tháng'!$BH$6:$BS$29,MATCH($A11,'18 KMP- Tháng'!$A$6:$A$29,0),MATCH(BD$7,'18 KMP- Tháng'!$BH$2:$BS$2,0))</f>
        <v>5490.0688782948246</v>
      </c>
      <c r="BE11" s="362">
        <f t="shared" si="8"/>
        <v>5017.1448514158756</v>
      </c>
      <c r="BF11" s="368">
        <f>INDEX('18 KMP- Tháng'!$AS$6:$BD$29,MATCH($A11,'18 KMP- Tháng'!$A$6:$A$29,0),MATCH(BF$7,'18 KMP- Tháng'!$AS$2:$BD$2,0))</f>
        <v>4042.883765</v>
      </c>
      <c r="BG11" s="337">
        <f>INDEX('18 KMP- Tháng'!$AS$6:$BD$29,MATCH($A11,'18 KMP- Tháng'!$A$6:$A$29,0),MATCH(BG$7,'18 KMP- Tháng'!$AS$2:$BD$2,0))</f>
        <v>2462.2509679999998</v>
      </c>
      <c r="BH11" s="337">
        <f>INDEX('18 KMP- Tháng'!$AS$6:$BD$29,MATCH($A11,'18 KMP- Tháng'!$A$6:$A$29,0),MATCH(BH$7,'18 KMP- Tháng'!$AS$2:$BD$2,0))</f>
        <v>5644.5231039999999</v>
      </c>
      <c r="BI11" s="337">
        <f>INDEX('18 KMP- Tháng'!$AS$6:$BD$29,MATCH($A11,'18 KMP- Tháng'!$A$6:$A$29,0),MATCH(BI$7,'18 KMP- Tháng'!$AS$2:$BD$2,0))</f>
        <v>5669.3827090000004</v>
      </c>
      <c r="BJ11" s="337">
        <f>INDEX('18 KMP- Tháng'!$AS$6:$BD$29,MATCH($A11,'18 KMP- Tháng'!$A$6:$A$29,0),MATCH(BJ$7,'18 KMP- Tháng'!$AS$2:$BD$2,0))</f>
        <v>5791.0107879999996</v>
      </c>
      <c r="BK11" s="337">
        <f>INDEX('18 KMP- Tháng'!$AS$6:$BD$29,MATCH($A11,'18 KMP- Tháng'!$A$6:$A$29,0),MATCH(BK$7,'18 KMP- Tháng'!$AS$2:$BD$2,0))</f>
        <v>0</v>
      </c>
      <c r="BL11" s="337">
        <f>INDEX('18 KMP- Tháng'!$AS$6:$BD$29,MATCH($A11,'18 KMP- Tháng'!$A$6:$A$29,0),MATCH(BL$7,'18 KMP- Tháng'!$AS$2:$BD$2,0))</f>
        <v>0</v>
      </c>
      <c r="BM11" s="337">
        <f>INDEX('18 KMP- Tháng'!$AS$6:$BD$29,MATCH($A11,'18 KMP- Tháng'!$A$6:$A$29,0),MATCH(BM$7,'18 KMP- Tháng'!$AS$2:$BD$2,0))</f>
        <v>0</v>
      </c>
      <c r="BN11" s="337">
        <f>INDEX('18 KMP- Tháng'!$AS$6:$BD$29,MATCH($A11,'18 KMP- Tháng'!$A$6:$A$29,0),MATCH(BN$7,'18 KMP- Tháng'!$AS$2:$BD$2,0))</f>
        <v>0</v>
      </c>
      <c r="BO11" s="337">
        <f>INDEX('18 KMP- Tháng'!$AS$6:$BD$29,MATCH($A11,'18 KMP- Tháng'!$A$6:$A$29,0),MATCH(BO$7,'18 KMP- Tháng'!$AS$2:$BD$2,0))</f>
        <v>0</v>
      </c>
      <c r="BP11" s="337">
        <f>INDEX('18 KMP- Tháng'!$AS$6:$BD$29,MATCH($A11,'18 KMP- Tháng'!$A$6:$A$29,0),MATCH(BP$7,'18 KMP- Tháng'!$AS$2:$BD$2,0))</f>
        <v>0</v>
      </c>
      <c r="BQ11" s="343">
        <f>INDEX('18 KMP- Tháng'!$AS$6:$BD$29,MATCH($A11,'18 KMP- Tháng'!$A$6:$A$29,0),MATCH(BQ$7,'18 KMP- Tháng'!$AS$2:$BD$2,0))</f>
        <v>0</v>
      </c>
      <c r="BR11" s="361">
        <f t="shared" ref="BR11:BR20" si="13">SUM(BF11:BQ11)/COUNTIFS($BF$29:$BQ$29,"&lt;&gt;"&amp;0)</f>
        <v>4722.0102668</v>
      </c>
      <c r="BS11" s="353">
        <f t="shared" ref="BS11:BS20" si="14">SUM(BF11:BQ11)</f>
        <v>23610.051334</v>
      </c>
      <c r="BT11" s="184">
        <f t="shared" si="9"/>
        <v>-0.12595575217135058</v>
      </c>
      <c r="BU11" s="190">
        <f t="shared" si="6"/>
        <v>5.184900615571357E-2</v>
      </c>
      <c r="BV11" s="647"/>
      <c r="BW11" s="647"/>
      <c r="BX11" s="647"/>
      <c r="BY11" s="648"/>
      <c r="BZ11" s="648"/>
      <c r="CA11" s="648"/>
      <c r="CB11" s="648"/>
      <c r="CC11" s="338"/>
      <c r="CD11" s="158"/>
      <c r="CE11" s="158"/>
      <c r="CF11" s="158"/>
      <c r="CG11" s="158"/>
      <c r="CH11" s="158"/>
      <c r="CI11" s="158"/>
      <c r="CJ11" s="158"/>
      <c r="CK11" s="158"/>
      <c r="CL11" s="158"/>
      <c r="CM11" s="158"/>
      <c r="CN11" s="158"/>
    </row>
    <row r="12" spans="1:92" s="186" customFormat="1" x14ac:dyDescent="0.3">
      <c r="A12" s="174">
        <v>6</v>
      </c>
      <c r="B12" s="187">
        <f t="shared" ref="B12:B20" si="15">B11+1</f>
        <v>3</v>
      </c>
      <c r="C12" s="188" t="s">
        <v>96</v>
      </c>
      <c r="D12" s="188" t="s">
        <v>166</v>
      </c>
      <c r="E12" s="189">
        <f>INDEX('18 KMP- Tháng'!$E$6:$Q$29,MATCH($A12,'18 KMP- Tháng'!$A$6:$A$29,0),MATCH(E$7,'18 KMP- Tháng'!$E$2:$P$2,0))</f>
        <v>0</v>
      </c>
      <c r="F12" s="189">
        <f>INDEX('18 KMP- Tháng'!$E$6:$Q$29,MATCH($A12,'18 KMP- Tháng'!$A$6:$A$29,0),MATCH(F$7,'18 KMP- Tháng'!$E$2:$P$2,0))</f>
        <v>0</v>
      </c>
      <c r="G12" s="189">
        <f>INDEX('18 KMP- Tháng'!$E$6:$Q$29,MATCH($A12,'18 KMP- Tháng'!$A$6:$A$29,0),MATCH(G$7,'18 KMP- Tháng'!$E$2:$P$2,0))</f>
        <v>505.50536</v>
      </c>
      <c r="H12" s="189">
        <f>INDEX('18 KMP- Tháng'!$E$6:$Q$29,MATCH($A12,'18 KMP- Tháng'!$A$6:$A$29,0),MATCH(H$7,'18 KMP- Tháng'!$E$2:$P$2,0))</f>
        <v>384.26619499999998</v>
      </c>
      <c r="I12" s="189">
        <f>INDEX('18 KMP- Tháng'!$E$6:$Q$29,MATCH($A12,'18 KMP- Tháng'!$A$6:$A$29,0),MATCH(I$7,'18 KMP- Tháng'!$E$2:$P$2,0))</f>
        <v>373.597216</v>
      </c>
      <c r="J12" s="189">
        <f>INDEX('18 KMP- Tháng'!$E$6:$Q$29,MATCH($A12,'18 KMP- Tháng'!$A$6:$A$29,0),MATCH(J$7,'18 KMP- Tháng'!$E$2:$P$2,0))</f>
        <v>646.86600199999998</v>
      </c>
      <c r="K12" s="189">
        <f>INDEX('18 KMP- Tháng'!$E$6:$Q$29,MATCH($A12,'18 KMP- Tháng'!$A$6:$A$29,0),MATCH(K$7,'18 KMP- Tháng'!$E$2:$P$2,0))</f>
        <v>461.83937800000001</v>
      </c>
      <c r="L12" s="189">
        <f>INDEX('18 KMP- Tháng'!$E$6:$Q$29,MATCH($A12,'18 KMP- Tháng'!$A$6:$A$29,0),MATCH(L$7,'18 KMP- Tháng'!$E$2:$P$2,0))</f>
        <v>712.82108499999993</v>
      </c>
      <c r="M12" s="189">
        <f>INDEX('18 KMP- Tháng'!$E$6:$Q$29,MATCH($A12,'18 KMP- Tháng'!$A$6:$A$29,0),MATCH(M$7,'18 KMP- Tháng'!$E$2:$P$2,0))</f>
        <v>372.68747999999999</v>
      </c>
      <c r="N12" s="189">
        <f>INDEX('18 KMP- Tháng'!$E$6:$Q$29,MATCH($A12,'18 KMP- Tháng'!$A$6:$A$29,0),MATCH(N$7,'18 KMP- Tháng'!$E$2:$P$2,0))</f>
        <v>746.39963999999998</v>
      </c>
      <c r="O12" s="189">
        <f>INDEX('18 KMP- Tháng'!$E$6:$Q$29,MATCH($A12,'18 KMP- Tháng'!$A$6:$A$29,0),MATCH(O$7,'18 KMP- Tháng'!$E$2:$P$2,0))</f>
        <v>626.33642800000007</v>
      </c>
      <c r="P12" s="344">
        <f>INDEX('18 KMP- Tháng'!$E$6:$Q$29,MATCH($A12,'18 KMP- Tháng'!$A$6:$A$29,0),MATCH(P$7,'18 KMP- Tháng'!$E$2:$P$2,0))</f>
        <v>533.65458000000001</v>
      </c>
      <c r="Q12" s="362">
        <f t="shared" si="7"/>
        <v>446.99778033333331</v>
      </c>
      <c r="R12" s="189">
        <f>INDEX('18 KMP- Tháng'!$R$6:$AC$24,MATCH($A12,'18 KMP- Tháng'!$A$6:$A$24,0),MATCH(R$7,'18 KMP- Tháng'!$R$2:$AC$2,0))</f>
        <v>10</v>
      </c>
      <c r="S12" s="189">
        <f>INDEX('18 KMP- Tháng'!$R$6:$AC$24,MATCH($A12,'18 KMP- Tháng'!$A$6:$A$24,0),MATCH(S$7,'18 KMP- Tháng'!$R$2:$AC$2,0))</f>
        <v>0</v>
      </c>
      <c r="T12" s="189">
        <f>INDEX('18 KMP- Tháng'!$R$6:$AC$24,MATCH($A12,'18 KMP- Tháng'!$A$6:$A$24,0),MATCH(T$7,'18 KMP- Tháng'!$R$2:$AC$2,0))</f>
        <v>-5</v>
      </c>
      <c r="U12" s="189">
        <f>INDEX('18 KMP- Tháng'!$R$6:$AC$24,MATCH($A12,'18 KMP- Tháng'!$A$6:$A$24,0),MATCH(U$7,'18 KMP- Tháng'!$R$2:$AC$2,0))</f>
        <v>0</v>
      </c>
      <c r="V12" s="189">
        <f>INDEX('18 KMP- Tháng'!$R$6:$AC$24,MATCH($A12,'18 KMP- Tháng'!$A$6:$A$24,0),MATCH(V$7,'18 KMP- Tháng'!$R$2:$AC$2,0))</f>
        <v>32</v>
      </c>
      <c r="W12" s="189">
        <f>INDEX('18 KMP- Tháng'!$R$6:$AC$24,MATCH($A12,'18 KMP- Tháng'!$A$6:$A$24,0),MATCH(W$7,'18 KMP- Tháng'!$R$2:$AC$2,0))</f>
        <v>0</v>
      </c>
      <c r="X12" s="189">
        <f>INDEX('18 KMP- Tháng'!$R$6:$AC$24,MATCH($A12,'18 KMP- Tháng'!$A$6:$A$24,0),MATCH(X$7,'18 KMP- Tháng'!$R$2:$AC$2,0))</f>
        <v>0</v>
      </c>
      <c r="Y12" s="189">
        <f>INDEX('18 KMP- Tháng'!$R$6:$AC$24,MATCH($A12,'18 KMP- Tháng'!$A$6:$A$24,0),MATCH(Y$7,'18 KMP- Tháng'!$R$2:$AC$2,0))</f>
        <v>0</v>
      </c>
      <c r="Z12" s="189">
        <f>INDEX('18 KMP- Tháng'!$R$6:$AC$24,MATCH($A12,'18 KMP- Tháng'!$A$6:$A$24,0),MATCH(Z$7,'18 KMP- Tháng'!$R$2:$AC$2,0))</f>
        <v>0</v>
      </c>
      <c r="AA12" s="189">
        <f>INDEX('18 KMP- Tháng'!$R$6:$AC$24,MATCH($A12,'18 KMP- Tháng'!$A$6:$A$24,0),MATCH(AA$7,'18 KMP- Tháng'!$R$2:$AC$2,0))</f>
        <v>0</v>
      </c>
      <c r="AB12" s="189">
        <f>INDEX('18 KMP- Tháng'!$R$6:$AC$24,MATCH($A12,'18 KMP- Tháng'!$A$6:$A$24,0),MATCH(AB$7,'18 KMP- Tháng'!$R$2:$AC$2,0))</f>
        <v>23.387096</v>
      </c>
      <c r="AC12" s="344">
        <f>INDEX('18 KMP- Tháng'!$R$6:$AC$24,MATCH($A12,'18 KMP- Tháng'!$A$6:$A$24,0),MATCH(AC$7,'18 KMP- Tháng'!$R$2:$AC$2,0))</f>
        <v>0</v>
      </c>
      <c r="AD12" s="362">
        <f t="shared" si="10"/>
        <v>5.0322579999999997</v>
      </c>
      <c r="AE12" s="353">
        <f>INDEX('18 KMP- Tháng'!$AF$6:$AQ$29,MATCH($A12,'18 KMP- Tháng'!$A$6:$A$29,0),MATCH(AE$7,'18 KMP- Tháng'!$AF$2:$AQ$2,0))</f>
        <v>0</v>
      </c>
      <c r="AF12" s="189">
        <f>INDEX('18 KMP- Tháng'!$AF$6:$AQ$29,MATCH($A12,'18 KMP- Tháng'!$A$6:$A$29,0),MATCH(AF$7,'18 KMP- Tháng'!$AF$2:$AQ$2,0))</f>
        <v>0</v>
      </c>
      <c r="AG12" s="189">
        <f>INDEX('18 KMP- Tháng'!$AF$6:$AQ$29,MATCH($A12,'18 KMP- Tháng'!$A$6:$A$29,0),MATCH(AG$7,'18 KMP- Tháng'!$AF$2:$AQ$2,0))</f>
        <v>0</v>
      </c>
      <c r="AH12" s="189">
        <f>INDEX('18 KMP- Tháng'!$AF$6:$AQ$29,MATCH($A12,'18 KMP- Tháng'!$A$6:$A$29,0),MATCH(AH$7,'18 KMP- Tháng'!$AF$2:$AQ$2,0))</f>
        <v>0</v>
      </c>
      <c r="AI12" s="189">
        <f>INDEX('18 KMP- Tháng'!$AF$6:$AQ$29,MATCH($A12,'18 KMP- Tháng'!$A$6:$A$29,0),MATCH(AI$7,'18 KMP- Tháng'!$AF$2:$AQ$2,0))</f>
        <v>0</v>
      </c>
      <c r="AJ12" s="189">
        <f>INDEX('18 KMP- Tháng'!$AF$6:$AQ$29,MATCH($A12,'18 KMP- Tháng'!$A$6:$A$29,0),MATCH(AJ$7,'18 KMP- Tháng'!$AF$2:$AQ$2,0))</f>
        <v>0</v>
      </c>
      <c r="AK12" s="189">
        <f>INDEX('18 KMP- Tháng'!$AF$6:$AQ$29,MATCH($A12,'18 KMP- Tháng'!$A$6:$A$29,0),MATCH(AK$7,'18 KMP- Tháng'!$AF$2:$AQ$2,0))</f>
        <v>0</v>
      </c>
      <c r="AL12" s="189">
        <f>INDEX('18 KMP- Tháng'!$AF$6:$AQ$29,MATCH($A12,'18 KMP- Tháng'!$A$6:$A$29,0),MATCH(AL$7,'18 KMP- Tháng'!$AF$2:$AQ$2,0))</f>
        <v>0</v>
      </c>
      <c r="AM12" s="189">
        <f>INDEX('18 KMP- Tháng'!$AF$6:$AQ$29,MATCH($A12,'18 KMP- Tháng'!$A$6:$A$29,0),MATCH(AM$7,'18 KMP- Tháng'!$AF$2:$AQ$2,0))</f>
        <v>0</v>
      </c>
      <c r="AN12" s="189">
        <f>INDEX('18 KMP- Tháng'!$AF$6:$AQ$29,MATCH($A12,'18 KMP- Tháng'!$A$6:$A$29,0),MATCH(AN$7,'18 KMP- Tháng'!$AF$2:$AQ$2,0))</f>
        <v>0</v>
      </c>
      <c r="AO12" s="189">
        <f>INDEX('18 KMP- Tháng'!$AF$6:$AQ$29,MATCH($A12,'18 KMP- Tháng'!$A$6:$A$29,0),MATCH(AO$7,'18 KMP- Tháng'!$AF$2:$AQ$2,0))</f>
        <v>0</v>
      </c>
      <c r="AP12" s="344">
        <f>INDEX('18 KMP- Tháng'!$AF$6:$AQ$29,MATCH($A12,'18 KMP- Tháng'!$A$6:$A$29,0),MATCH(AP$7,'18 KMP- Tháng'!$AF$2:$AQ$2,0))</f>
        <v>0</v>
      </c>
      <c r="AQ12" s="583">
        <f t="shared" si="11"/>
        <v>0</v>
      </c>
      <c r="AR12" s="353">
        <f t="shared" si="12"/>
        <v>0</v>
      </c>
      <c r="AS12" s="353">
        <f>INDEX('18 KMP- Tháng'!$BH$6:$BS$29,MATCH($A12,'18 KMP- Tháng'!$A$6:$A$29,0),MATCH(AS$7,'18 KMP- Tháng'!$BH$2:$BS$2,0))</f>
        <v>0</v>
      </c>
      <c r="AT12" s="189">
        <f>INDEX('18 KMP- Tháng'!$BH$6:$BS$29,MATCH($A12,'18 KMP- Tháng'!$A$6:$A$29,0),MATCH(AT$7,'18 KMP- Tháng'!$BH$2:$BS$2,0))</f>
        <v>0</v>
      </c>
      <c r="AU12" s="189">
        <f>INDEX('18 KMP- Tháng'!$BH$6:$BS$29,MATCH($A12,'18 KMP- Tháng'!$A$6:$A$29,0),MATCH(AU$7,'18 KMP- Tháng'!$BH$2:$BS$2,0))</f>
        <v>0</v>
      </c>
      <c r="AV12" s="189">
        <f>INDEX('18 KMP- Tháng'!$BH$6:$BS$29,MATCH($A12,'18 KMP- Tháng'!$A$6:$A$29,0),MATCH(AV$7,'18 KMP- Tháng'!$BH$2:$BS$2,0))</f>
        <v>0</v>
      </c>
      <c r="AW12" s="189">
        <f>INDEX('18 KMP- Tháng'!$BH$6:$BS$29,MATCH($A12,'18 KMP- Tháng'!$A$6:$A$29,0),MATCH(AW$7,'18 KMP- Tháng'!$BH$2:$BS$2,0))</f>
        <v>0</v>
      </c>
      <c r="AX12" s="189">
        <f>INDEX('18 KMP- Tháng'!$BH$6:$BS$29,MATCH($A12,'18 KMP- Tháng'!$A$6:$A$29,0),MATCH(AX$7,'18 KMP- Tháng'!$BH$2:$BS$2,0))</f>
        <v>0</v>
      </c>
      <c r="AY12" s="189">
        <f>INDEX('18 KMP- Tháng'!$BH$6:$BS$29,MATCH($A12,'18 KMP- Tháng'!$A$6:$A$29,0),MATCH(AY$7,'18 KMP- Tháng'!$BH$2:$BS$2,0))</f>
        <v>0</v>
      </c>
      <c r="AZ12" s="189">
        <f>INDEX('18 KMP- Tháng'!$BH$6:$BS$29,MATCH($A12,'18 KMP- Tháng'!$A$6:$A$29,0),MATCH(AZ$7,'18 KMP- Tháng'!$BH$2:$BS$2,0))</f>
        <v>0</v>
      </c>
      <c r="BA12" s="189">
        <f>INDEX('18 KMP- Tháng'!$BH$6:$BS$29,MATCH($A12,'18 KMP- Tháng'!$A$6:$A$29,0),MATCH(BA$7,'18 KMP- Tháng'!$BH$2:$BS$2,0))</f>
        <v>0</v>
      </c>
      <c r="BB12" s="189">
        <f>INDEX('18 KMP- Tháng'!$BH$6:$BS$29,MATCH($A12,'18 KMP- Tháng'!$A$6:$A$29,0),MATCH(BB$7,'18 KMP- Tháng'!$BH$2:$BS$2,0))</f>
        <v>0</v>
      </c>
      <c r="BC12" s="189">
        <f>INDEX('18 KMP- Tháng'!$BH$6:$BS$29,MATCH($A12,'18 KMP- Tháng'!$A$6:$A$29,0),MATCH(BC$7,'18 KMP- Tháng'!$BH$2:$BS$2,0))</f>
        <v>0</v>
      </c>
      <c r="BD12" s="344">
        <f>INDEX('18 KMP- Tháng'!$BH$6:$BS$29,MATCH($A12,'18 KMP- Tháng'!$A$6:$A$29,0),MATCH(BD$7,'18 KMP- Tháng'!$BH$2:$BS$2,0))</f>
        <v>0</v>
      </c>
      <c r="BE12" s="362">
        <f t="shared" si="8"/>
        <v>0</v>
      </c>
      <c r="BF12" s="353">
        <f>INDEX('18 KMP- Tháng'!$AS$6:$BD$29,MATCH($A12,'18 KMP- Tháng'!$A$6:$A$29,0),MATCH(BF$7,'18 KMP- Tháng'!$AS$2:$BD$2,0))</f>
        <v>0</v>
      </c>
      <c r="BG12" s="189">
        <f>INDEX('18 KMP- Tháng'!$AS$6:$BD$29,MATCH($A12,'18 KMP- Tháng'!$A$6:$A$29,0),MATCH(BG$7,'18 KMP- Tháng'!$AS$2:$BD$2,0))</f>
        <v>0</v>
      </c>
      <c r="BH12" s="189">
        <f>INDEX('18 KMP- Tháng'!$AS$6:$BD$29,MATCH($A12,'18 KMP- Tháng'!$A$6:$A$29,0),MATCH(BH$7,'18 KMP- Tháng'!$AS$2:$BD$2,0))</f>
        <v>0</v>
      </c>
      <c r="BI12" s="189">
        <f>INDEX('18 KMP- Tháng'!$AS$6:$BD$29,MATCH($A12,'18 KMP- Tháng'!$A$6:$A$29,0),MATCH(BI$7,'18 KMP- Tháng'!$AS$2:$BD$2,0))</f>
        <v>0</v>
      </c>
      <c r="BJ12" s="189">
        <f>INDEX('18 KMP- Tháng'!$AS$6:$BD$29,MATCH($A12,'18 KMP- Tháng'!$A$6:$A$29,0),MATCH(BJ$7,'18 KMP- Tháng'!$AS$2:$BD$2,0))</f>
        <v>0</v>
      </c>
      <c r="BK12" s="189">
        <f>INDEX('18 KMP- Tháng'!$AS$6:$BD$29,MATCH($A12,'18 KMP- Tháng'!$A$6:$A$29,0),MATCH(BK$7,'18 KMP- Tháng'!$AS$2:$BD$2,0))</f>
        <v>0</v>
      </c>
      <c r="BL12" s="189">
        <f>INDEX('18 KMP- Tháng'!$AS$6:$BD$29,MATCH($A12,'18 KMP- Tháng'!$A$6:$A$29,0),MATCH(BL$7,'18 KMP- Tháng'!$AS$2:$BD$2,0))</f>
        <v>0</v>
      </c>
      <c r="BM12" s="189">
        <f>INDEX('18 KMP- Tháng'!$AS$6:$BD$29,MATCH($A12,'18 KMP- Tháng'!$A$6:$A$29,0),MATCH(BM$7,'18 KMP- Tháng'!$AS$2:$BD$2,0))</f>
        <v>0</v>
      </c>
      <c r="BN12" s="189">
        <f>INDEX('18 KMP- Tháng'!$AS$6:$BD$29,MATCH($A12,'18 KMP- Tháng'!$A$6:$A$29,0),MATCH(BN$7,'18 KMP- Tháng'!$AS$2:$BD$2,0))</f>
        <v>0</v>
      </c>
      <c r="BO12" s="189">
        <f>INDEX('18 KMP- Tháng'!$AS$6:$BD$29,MATCH($A12,'18 KMP- Tháng'!$A$6:$A$29,0),MATCH(BO$7,'18 KMP- Tháng'!$AS$2:$BD$2,0))</f>
        <v>0</v>
      </c>
      <c r="BP12" s="189">
        <f>INDEX('18 KMP- Tháng'!$AS$6:$BD$29,MATCH($A12,'18 KMP- Tháng'!$A$6:$A$29,0),MATCH(BP$7,'18 KMP- Tháng'!$AS$2:$BD$2,0))</f>
        <v>0</v>
      </c>
      <c r="BQ12" s="344">
        <f>INDEX('18 KMP- Tháng'!$AS$6:$BD$29,MATCH($A12,'18 KMP- Tháng'!$A$6:$A$29,0),MATCH(BQ$7,'18 KMP- Tháng'!$AS$2:$BD$2,0))</f>
        <v>0</v>
      </c>
      <c r="BR12" s="583">
        <f t="shared" si="13"/>
        <v>0</v>
      </c>
      <c r="BS12" s="353">
        <f t="shared" si="14"/>
        <v>0</v>
      </c>
      <c r="BT12" s="184" t="str">
        <f>IFERROR(BF12/AS12-1,"-")</f>
        <v>-</v>
      </c>
      <c r="BU12" s="190">
        <f t="shared" si="6"/>
        <v>0</v>
      </c>
      <c r="BV12" s="649"/>
      <c r="BW12" s="649"/>
      <c r="BX12" s="649"/>
      <c r="BY12" s="650"/>
      <c r="BZ12" s="650"/>
      <c r="CA12" s="650"/>
      <c r="CB12" s="650"/>
      <c r="CC12" s="191"/>
      <c r="CD12" s="158"/>
      <c r="CE12" s="158"/>
      <c r="CF12" s="158"/>
      <c r="CG12" s="158"/>
      <c r="CH12" s="158"/>
      <c r="CI12" s="158"/>
      <c r="CJ12" s="158"/>
      <c r="CK12" s="158"/>
      <c r="CL12" s="158"/>
      <c r="CM12" s="158"/>
      <c r="CN12" s="158"/>
    </row>
    <row r="13" spans="1:92" s="186" customFormat="1" x14ac:dyDescent="0.3">
      <c r="A13" s="174">
        <v>7</v>
      </c>
      <c r="B13" s="187">
        <f t="shared" si="15"/>
        <v>4</v>
      </c>
      <c r="C13" s="188" t="s">
        <v>96</v>
      </c>
      <c r="D13" s="188" t="s">
        <v>54</v>
      </c>
      <c r="E13" s="189">
        <f>INDEX('18 KMP- Tháng'!$E$6:$Q$29,MATCH($A13,'18 KMP- Tháng'!$A$6:$A$29,0),MATCH(E$7,'18 KMP- Tháng'!$E$2:$P$2,0))</f>
        <v>67.509566000000007</v>
      </c>
      <c r="F13" s="189">
        <f>INDEX('18 KMP- Tháng'!$E$6:$Q$29,MATCH($A13,'18 KMP- Tháng'!$A$6:$A$29,0),MATCH(F$7,'18 KMP- Tháng'!$E$2:$P$2,0))</f>
        <v>146.57459200000002</v>
      </c>
      <c r="G13" s="189">
        <f>INDEX('18 KMP- Tháng'!$E$6:$Q$29,MATCH($A13,'18 KMP- Tháng'!$A$6:$A$29,0),MATCH(G$7,'18 KMP- Tháng'!$E$2:$P$2,0))</f>
        <v>512.58851200000004</v>
      </c>
      <c r="H13" s="189">
        <f>INDEX('18 KMP- Tháng'!$E$6:$Q$29,MATCH($A13,'18 KMP- Tháng'!$A$6:$A$29,0),MATCH(H$7,'18 KMP- Tháng'!$E$2:$P$2,0))</f>
        <v>669.23911199999998</v>
      </c>
      <c r="I13" s="189">
        <f>INDEX('18 KMP- Tháng'!$E$6:$Q$29,MATCH($A13,'18 KMP- Tháng'!$A$6:$A$29,0),MATCH(I$7,'18 KMP- Tháng'!$E$2:$P$2,0))</f>
        <v>986.13165299999991</v>
      </c>
      <c r="J13" s="189">
        <f>INDEX('18 KMP- Tháng'!$E$6:$Q$29,MATCH($A13,'18 KMP- Tháng'!$A$6:$A$29,0),MATCH(J$7,'18 KMP- Tháng'!$E$2:$P$2,0))</f>
        <v>456.94687799999997</v>
      </c>
      <c r="K13" s="192">
        <f>INDEX('18 KMP- Tháng'!$E$6:$Q$29,MATCH($A13,'18 KMP- Tháng'!$A$6:$A$29,0),MATCH(K$7,'18 KMP- Tháng'!$E$2:$P$2,0))</f>
        <v>1054.6790510000001</v>
      </c>
      <c r="L13" s="189">
        <f>INDEX('18 KMP- Tháng'!$E$6:$Q$29,MATCH($A13,'18 KMP- Tháng'!$A$6:$A$29,0),MATCH(L$7,'18 KMP- Tháng'!$E$2:$P$2,0))</f>
        <v>1179.6289380000001</v>
      </c>
      <c r="M13" s="189">
        <f>INDEX('18 KMP- Tháng'!$E$6:$Q$29,MATCH($A13,'18 KMP- Tháng'!$A$6:$A$29,0),MATCH(M$7,'18 KMP- Tháng'!$E$2:$P$2,0))</f>
        <v>1152.5309690000001</v>
      </c>
      <c r="N13" s="189">
        <f>INDEX('18 KMP- Tháng'!$E$6:$Q$29,MATCH($A13,'18 KMP- Tháng'!$A$6:$A$29,0),MATCH(N$7,'18 KMP- Tháng'!$E$2:$P$2,0))</f>
        <v>1779.200458</v>
      </c>
      <c r="O13" s="189">
        <f>INDEX('18 KMP- Tháng'!$E$6:$Q$29,MATCH($A13,'18 KMP- Tháng'!$A$6:$A$29,0),MATCH(O$7,'18 KMP- Tháng'!$E$2:$P$2,0))</f>
        <v>1553.5872850000001</v>
      </c>
      <c r="P13" s="344">
        <f>INDEX('18 KMP- Tháng'!$E$6:$Q$29,MATCH($A13,'18 KMP- Tháng'!$A$6:$A$29,0),MATCH(P$7,'18 KMP- Tháng'!$E$2:$P$2,0))</f>
        <v>2043.1246169175902</v>
      </c>
      <c r="Q13" s="362">
        <f t="shared" si="7"/>
        <v>966.81180257646599</v>
      </c>
      <c r="R13" s="189">
        <f>INDEX('18 KMP- Tháng'!$R$6:$AC$24,MATCH($A13,'18 KMP- Tháng'!$A$6:$A$24,0),MATCH(R$7,'18 KMP- Tháng'!$R$2:$AC$2,0))</f>
        <v>1729.6174993199998</v>
      </c>
      <c r="S13" s="189">
        <f>INDEX('18 KMP- Tháng'!$R$6:$AC$24,MATCH($A13,'18 KMP- Tháng'!$A$6:$A$24,0),MATCH(S$7,'18 KMP- Tháng'!$R$2:$AC$2,0))</f>
        <v>1517.450685</v>
      </c>
      <c r="T13" s="189">
        <f>INDEX('18 KMP- Tháng'!$R$6:$AC$24,MATCH($A13,'18 KMP- Tháng'!$A$6:$A$24,0),MATCH(T$7,'18 KMP- Tháng'!$R$2:$AC$2,0))</f>
        <v>1767.7928019999999</v>
      </c>
      <c r="U13" s="189">
        <f>INDEX('18 KMP- Tháng'!$R$6:$AC$24,MATCH($A13,'18 KMP- Tháng'!$A$6:$A$24,0),MATCH(U$7,'18 KMP- Tháng'!$R$2:$AC$2,0))</f>
        <v>1045.8530069999999</v>
      </c>
      <c r="V13" s="189">
        <f>INDEX('18 KMP- Tháng'!$R$6:$AC$24,MATCH($A13,'18 KMP- Tháng'!$A$6:$A$24,0),MATCH(V$7,'18 KMP- Tháng'!$R$2:$AC$2,0))</f>
        <v>972.024225</v>
      </c>
      <c r="W13" s="189">
        <f>INDEX('18 KMP- Tháng'!$R$6:$AC$24,MATCH($A13,'18 KMP- Tháng'!$A$6:$A$24,0),MATCH(W$7,'18 KMP- Tháng'!$R$2:$AC$2,0))</f>
        <v>591.19552299999998</v>
      </c>
      <c r="X13" s="192">
        <f>INDEX('18 KMP- Tháng'!$R$6:$AC$24,MATCH($A13,'18 KMP- Tháng'!$A$6:$A$24,0),MATCH(X$7,'18 KMP- Tháng'!$R$2:$AC$2,0))</f>
        <v>1077.291879250055</v>
      </c>
      <c r="Y13" s="189">
        <f>INDEX('18 KMP- Tháng'!$R$6:$AC$24,MATCH($A13,'18 KMP- Tháng'!$A$6:$A$24,0),MATCH(Y$7,'18 KMP- Tháng'!$R$2:$AC$2,0))</f>
        <v>549.30051674994502</v>
      </c>
      <c r="Z13" s="189">
        <f>INDEX('18 KMP- Tháng'!$R$6:$AC$24,MATCH($A13,'18 KMP- Tháng'!$A$6:$A$24,0),MATCH(Z$7,'18 KMP- Tháng'!$R$2:$AC$2,0))</f>
        <v>1071.8952039999999</v>
      </c>
      <c r="AA13" s="189">
        <f>INDEX('18 KMP- Tháng'!$R$6:$AC$24,MATCH($A13,'18 KMP- Tháng'!$A$6:$A$24,0),MATCH(AA$7,'18 KMP- Tháng'!$R$2:$AC$2,0))</f>
        <v>1893.504713</v>
      </c>
      <c r="AB13" s="189">
        <f>INDEX('18 KMP- Tháng'!$R$6:$AC$24,MATCH($A13,'18 KMP- Tháng'!$A$6:$A$24,0),MATCH(AB$7,'18 KMP- Tháng'!$R$2:$AC$2,0))</f>
        <v>1720.675248</v>
      </c>
      <c r="AC13" s="344">
        <f>INDEX('18 KMP- Tháng'!$R$6:$AC$24,MATCH($A13,'18 KMP- Tháng'!$A$6:$A$24,0),MATCH(AC$7,'18 KMP- Tháng'!$R$2:$AC$2,0))</f>
        <v>321.65228200000001</v>
      </c>
      <c r="AD13" s="362">
        <f t="shared" si="10"/>
        <v>1188.1877986933332</v>
      </c>
      <c r="AE13" s="353">
        <f>INDEX('18 KMP- Tháng'!$AF$6:$AQ$29,MATCH($A13,'18 KMP- Tháng'!$A$6:$A$29,0),MATCH(AE$7,'18 KMP- Tháng'!$AF$2:$AQ$2,0))</f>
        <v>333.00160199999999</v>
      </c>
      <c r="AF13" s="189">
        <f>INDEX('18 KMP- Tháng'!$AF$6:$AQ$29,MATCH($A13,'18 KMP- Tháng'!$A$6:$A$29,0),MATCH(AF$7,'18 KMP- Tháng'!$AF$2:$AQ$2,0))</f>
        <v>880.94690900000001</v>
      </c>
      <c r="AG13" s="189">
        <f>INDEX('18 KMP- Tháng'!$AF$6:$AQ$29,MATCH($A13,'18 KMP- Tháng'!$A$6:$A$29,0),MATCH(AG$7,'18 KMP- Tháng'!$AF$2:$AQ$2,0))</f>
        <v>1570.44211</v>
      </c>
      <c r="AH13" s="189">
        <f>INDEX('18 KMP- Tháng'!$AF$6:$AQ$29,MATCH($A13,'18 KMP- Tháng'!$A$6:$A$29,0),MATCH(AH$7,'18 KMP- Tháng'!$AF$2:$AQ$2,0))</f>
        <v>1637.622398</v>
      </c>
      <c r="AI13" s="189">
        <f>INDEX('18 KMP- Tháng'!$AF$6:$AQ$29,MATCH($A13,'18 KMP- Tháng'!$A$6:$A$29,0),MATCH(AI$7,'18 KMP- Tháng'!$AF$2:$AQ$2,0))</f>
        <v>1960.972215</v>
      </c>
      <c r="AJ13" s="189">
        <f>INDEX('18 KMP- Tháng'!$AF$6:$AQ$29,MATCH($A13,'18 KMP- Tháng'!$A$6:$A$29,0),MATCH(AJ$7,'18 KMP- Tháng'!$AF$2:$AQ$2,0))</f>
        <v>1965.8736960000001</v>
      </c>
      <c r="AK13" s="189">
        <f>INDEX('18 KMP- Tháng'!$AF$6:$AQ$29,MATCH($A13,'18 KMP- Tháng'!$A$6:$A$29,0),MATCH(AK$7,'18 KMP- Tháng'!$AF$2:$AQ$2,0))</f>
        <v>2547.1120740000001</v>
      </c>
      <c r="AL13" s="189">
        <f>INDEX('18 KMP- Tháng'!$AF$6:$AQ$29,MATCH($A13,'18 KMP- Tháng'!$A$6:$A$29,0),MATCH(AL$7,'18 KMP- Tháng'!$AF$2:$AQ$2,0))</f>
        <v>2288.513414</v>
      </c>
      <c r="AM13" s="189">
        <f>INDEX('18 KMP- Tháng'!$AF$6:$AQ$29,MATCH($A13,'18 KMP- Tháng'!$A$6:$A$29,0),MATCH(AM$7,'18 KMP- Tháng'!$AF$2:$AQ$2,0))</f>
        <v>1962.463364</v>
      </c>
      <c r="AN13" s="189">
        <f>INDEX('18 KMP- Tháng'!$AF$6:$AQ$29,MATCH($A13,'18 KMP- Tháng'!$A$6:$A$29,0),MATCH(AN$7,'18 KMP- Tháng'!$AF$2:$AQ$2,0))</f>
        <v>621.36740599999996</v>
      </c>
      <c r="AO13" s="189">
        <f>INDEX('18 KMP- Tháng'!$AF$6:$AQ$29,MATCH($A13,'18 KMP- Tháng'!$A$6:$A$29,0),MATCH(AO$7,'18 KMP- Tháng'!$AF$2:$AQ$2,0))</f>
        <v>578.64556600000003</v>
      </c>
      <c r="AP13" s="344">
        <f>INDEX('18 KMP- Tháng'!$AF$6:$AQ$29,MATCH($A13,'18 KMP- Tháng'!$A$6:$A$29,0),MATCH(AP$7,'18 KMP- Tháng'!$AF$2:$AQ$2,0))</f>
        <v>1143.2730710000001</v>
      </c>
      <c r="AQ13" s="583">
        <f t="shared" si="11"/>
        <v>1457.5194854166666</v>
      </c>
      <c r="AR13" s="353">
        <f t="shared" si="12"/>
        <v>17490.233824999999</v>
      </c>
      <c r="AS13" s="353">
        <f>INDEX('18 KMP- Tháng'!$BH$6:$BS$29,MATCH($A13,'18 KMP- Tháng'!$A$6:$A$29,0),MATCH(AS$7,'18 KMP- Tháng'!$BH$2:$BS$2,0))</f>
        <v>1261.1159216334902</v>
      </c>
      <c r="AT13" s="189">
        <f>INDEX('18 KMP- Tháng'!$BH$6:$BS$29,MATCH($A13,'18 KMP- Tháng'!$A$6:$A$29,0),MATCH(AT$7,'18 KMP- Tháng'!$BH$2:$BS$2,0))</f>
        <v>1061.7856150241835</v>
      </c>
      <c r="AU13" s="189">
        <f>INDEX('18 KMP- Tháng'!$BH$6:$BS$29,MATCH($A13,'18 KMP- Tháng'!$A$6:$A$29,0),MATCH(AU$7,'18 KMP- Tháng'!$BH$2:$BS$2,0))</f>
        <v>1335.6927381118819</v>
      </c>
      <c r="AV13" s="189">
        <f>INDEX('18 KMP- Tháng'!$BH$6:$BS$29,MATCH($A13,'18 KMP- Tháng'!$A$6:$A$29,0),MATCH(AV$7,'18 KMP- Tháng'!$BH$2:$BS$2,0))</f>
        <v>1335.6927381118819</v>
      </c>
      <c r="AW13" s="189">
        <f>INDEX('18 KMP- Tháng'!$BH$6:$BS$29,MATCH($A13,'18 KMP- Tháng'!$A$6:$A$29,0),MATCH(AW$7,'18 KMP- Tháng'!$BH$2:$BS$2,0))</f>
        <v>1335.6927381118819</v>
      </c>
      <c r="AX13" s="189">
        <f>INDEX('18 KMP- Tháng'!$BH$6:$BS$29,MATCH($A13,'18 KMP- Tháng'!$A$6:$A$29,0),MATCH(AX$7,'18 KMP- Tháng'!$BH$2:$BS$2,0))</f>
        <v>1367.5559174597081</v>
      </c>
      <c r="AY13" s="189">
        <f>INDEX('18 KMP- Tháng'!$BH$6:$BS$29,MATCH($A13,'18 KMP- Tháng'!$A$6:$A$29,0),MATCH(AY$7,'18 KMP- Tháng'!$BH$2:$BS$2,0))</f>
        <v>1380.1000858728389</v>
      </c>
      <c r="AZ13" s="189">
        <f>INDEX('18 KMP- Tháng'!$BH$6:$BS$29,MATCH($A13,'18 KMP- Tháng'!$A$6:$A$29,0),MATCH(AZ$7,'18 KMP- Tháng'!$BH$2:$BS$2,0))</f>
        <v>1411.9632652206651</v>
      </c>
      <c r="BA13" s="189">
        <f>INDEX('18 KMP- Tháng'!$BH$6:$BS$29,MATCH($A13,'18 KMP- Tháng'!$A$6:$A$29,0),MATCH(BA$7,'18 KMP- Tháng'!$BH$2:$BS$2,0))</f>
        <v>1380.1000858728389</v>
      </c>
      <c r="BB13" s="189">
        <f>INDEX('18 KMP- Tháng'!$BH$6:$BS$29,MATCH($A13,'18 KMP- Tháng'!$A$6:$A$29,0),MATCH(BB$7,'18 KMP- Tháng'!$BH$2:$BS$2,0))</f>
        <v>1411.9632652206651</v>
      </c>
      <c r="BC13" s="189">
        <f>INDEX('18 KMP- Tháng'!$BH$6:$BS$29,MATCH($A13,'18 KMP- Tháng'!$A$6:$A$29,0),MATCH(BC$7,'18 KMP- Tháng'!$BH$2:$BS$2,0))</f>
        <v>1380.1000858728389</v>
      </c>
      <c r="BD13" s="344">
        <f>INDEX('18 KMP- Tháng'!$BH$6:$BS$29,MATCH($A13,'18 KMP- Tháng'!$A$6:$A$29,0),MATCH(BD$7,'18 KMP- Tháng'!$BH$2:$BS$2,0))</f>
        <v>1411.9632652206651</v>
      </c>
      <c r="BE13" s="362">
        <f t="shared" si="8"/>
        <v>1339.4771434777952</v>
      </c>
      <c r="BF13" s="353">
        <f>INDEX('18 KMP- Tháng'!$AS$6:$BD$29,MATCH($A13,'18 KMP- Tháng'!$A$6:$A$29,0),MATCH(BF$7,'18 KMP- Tháng'!$AS$2:$BD$2,0))</f>
        <v>891.17733899999996</v>
      </c>
      <c r="BG13" s="189">
        <f>INDEX('18 KMP- Tháng'!$AS$6:$BD$29,MATCH($A13,'18 KMP- Tháng'!$A$6:$A$29,0),MATCH(BG$7,'18 KMP- Tháng'!$AS$2:$BD$2,0))</f>
        <v>288.56129600000003</v>
      </c>
      <c r="BH13" s="189">
        <f>INDEX('18 KMP- Tháng'!$AS$6:$BD$29,MATCH($A13,'18 KMP- Tháng'!$A$6:$A$29,0),MATCH(BH$7,'18 KMP- Tháng'!$AS$2:$BD$2,0))</f>
        <v>1763.335605</v>
      </c>
      <c r="BI13" s="189">
        <f>INDEX('18 KMP- Tháng'!$AS$6:$BD$29,MATCH($A13,'18 KMP- Tháng'!$A$6:$A$29,0),MATCH(BI$7,'18 KMP- Tháng'!$AS$2:$BD$2,0))</f>
        <v>1386.5963529999999</v>
      </c>
      <c r="BJ13" s="189">
        <f>INDEX('18 KMP- Tháng'!$AS$6:$BD$29,MATCH($A13,'18 KMP- Tháng'!$A$6:$A$29,0),MATCH(BJ$7,'18 KMP- Tháng'!$AS$2:$BD$2,0))</f>
        <v>1815.041453</v>
      </c>
      <c r="BK13" s="189">
        <f>INDEX('18 KMP- Tháng'!$AS$6:$BD$29,MATCH($A13,'18 KMP- Tháng'!$A$6:$A$29,0),MATCH(BK$7,'18 KMP- Tháng'!$AS$2:$BD$2,0))</f>
        <v>0</v>
      </c>
      <c r="BL13" s="189">
        <f>INDEX('18 KMP- Tháng'!$AS$6:$BD$29,MATCH($A13,'18 KMP- Tháng'!$A$6:$A$29,0),MATCH(BL$7,'18 KMP- Tháng'!$AS$2:$BD$2,0))</f>
        <v>0</v>
      </c>
      <c r="BM13" s="189">
        <f>INDEX('18 KMP- Tháng'!$AS$6:$BD$29,MATCH($A13,'18 KMP- Tháng'!$A$6:$A$29,0),MATCH(BM$7,'18 KMP- Tháng'!$AS$2:$BD$2,0))</f>
        <v>0</v>
      </c>
      <c r="BN13" s="189">
        <f>INDEX('18 KMP- Tháng'!$AS$6:$BD$29,MATCH($A13,'18 KMP- Tháng'!$A$6:$A$29,0),MATCH(BN$7,'18 KMP- Tháng'!$AS$2:$BD$2,0))</f>
        <v>0</v>
      </c>
      <c r="BO13" s="189">
        <f>INDEX('18 KMP- Tháng'!$AS$6:$BD$29,MATCH($A13,'18 KMP- Tháng'!$A$6:$A$29,0),MATCH(BO$7,'18 KMP- Tháng'!$AS$2:$BD$2,0))</f>
        <v>0</v>
      </c>
      <c r="BP13" s="189">
        <f>INDEX('18 KMP- Tháng'!$AS$6:$BD$29,MATCH($A13,'18 KMP- Tháng'!$A$6:$A$29,0),MATCH(BP$7,'18 KMP- Tháng'!$AS$2:$BD$2,0))</f>
        <v>0</v>
      </c>
      <c r="BQ13" s="344">
        <f>INDEX('18 KMP- Tháng'!$AS$6:$BD$29,MATCH($A13,'18 KMP- Tháng'!$A$6:$A$29,0),MATCH(BQ$7,'18 KMP- Tháng'!$AS$2:$BD$2,0))</f>
        <v>0</v>
      </c>
      <c r="BR13" s="583">
        <f>SUM(BF13:BQ13)/COUNTIFS($BF$29:$BQ$29,"&lt;&gt;"&amp;0)</f>
        <v>1228.9424091999999</v>
      </c>
      <c r="BS13" s="353">
        <f t="shared" si="14"/>
        <v>6144.7120459999996</v>
      </c>
      <c r="BT13" s="184">
        <f t="shared" si="9"/>
        <v>-0.29334225053182938</v>
      </c>
      <c r="BU13" s="190">
        <f t="shared" si="6"/>
        <v>1.3494134688277476E-2</v>
      </c>
      <c r="BV13" s="648"/>
      <c r="BW13" s="648"/>
      <c r="BX13" s="648"/>
      <c r="BY13" s="648"/>
      <c r="BZ13" s="648"/>
      <c r="CA13" s="648"/>
      <c r="CB13" s="648"/>
      <c r="CD13" s="158"/>
      <c r="CE13" s="158"/>
      <c r="CF13" s="158"/>
      <c r="CG13" s="158"/>
      <c r="CH13" s="158"/>
      <c r="CI13" s="158"/>
      <c r="CJ13" s="158"/>
      <c r="CK13" s="158"/>
      <c r="CL13" s="158"/>
      <c r="CM13" s="158"/>
      <c r="CN13" s="158"/>
    </row>
    <row r="14" spans="1:92" s="186" customFormat="1" ht="16.350000000000001" customHeight="1" x14ac:dyDescent="0.3">
      <c r="A14" s="174">
        <v>8</v>
      </c>
      <c r="B14" s="187">
        <f t="shared" si="15"/>
        <v>5</v>
      </c>
      <c r="C14" s="188" t="s">
        <v>96</v>
      </c>
      <c r="D14" s="188" t="s">
        <v>49</v>
      </c>
      <c r="E14" s="189">
        <f>INDEX('18 KMP- Tháng'!$E$6:$Q$29,MATCH($A14,'18 KMP- Tháng'!$A$6:$A$29,0),MATCH(E$7,'18 KMP- Tháng'!$E$2:$P$2,0))</f>
        <v>506.18997171428572</v>
      </c>
      <c r="F14" s="189">
        <f>INDEX('18 KMP- Tháng'!$E$6:$Q$29,MATCH($A14,'18 KMP- Tháng'!$A$6:$A$29,0),MATCH(F$7,'18 KMP- Tháng'!$E$2:$P$2,0))</f>
        <v>672.82795971428573</v>
      </c>
      <c r="G14" s="189">
        <f>INDEX('18 KMP- Tháng'!$E$6:$Q$29,MATCH($A14,'18 KMP- Tháng'!$A$6:$A$29,0),MATCH(G$7,'18 KMP- Tháng'!$E$2:$P$2,0))</f>
        <v>560.09279471428579</v>
      </c>
      <c r="H14" s="189">
        <f>INDEX('18 KMP- Tháng'!$E$6:$Q$29,MATCH($A14,'18 KMP- Tháng'!$A$6:$A$29,0),MATCH(H$7,'18 KMP- Tháng'!$E$2:$P$2,0))</f>
        <v>560.44612071428571</v>
      </c>
      <c r="I14" s="189">
        <f>INDEX('18 KMP- Tháng'!$E$6:$Q$29,MATCH($A14,'18 KMP- Tháng'!$A$6:$A$29,0),MATCH(I$7,'18 KMP- Tháng'!$E$2:$P$2,0))</f>
        <v>799.14080971428575</v>
      </c>
      <c r="J14" s="189">
        <f>INDEX('18 KMP- Tháng'!$E$6:$Q$29,MATCH($A14,'18 KMP- Tháng'!$A$6:$A$29,0),MATCH(J$7,'18 KMP- Tháng'!$E$2:$P$2,0))</f>
        <v>873.28510571428558</v>
      </c>
      <c r="K14" s="189">
        <f>INDEX('18 KMP- Tháng'!$E$6:$Q$29,MATCH($A14,'18 KMP- Tháng'!$A$6:$A$29,0),MATCH(K$7,'18 KMP- Tháng'!$E$2:$P$2,0))</f>
        <v>761.8325617142857</v>
      </c>
      <c r="L14" s="189">
        <f>INDEX('18 KMP- Tháng'!$E$6:$Q$29,MATCH($A14,'18 KMP- Tháng'!$A$6:$A$29,0),MATCH(L$7,'18 KMP- Tháng'!$E$2:$P$2,0))</f>
        <v>645.47633700000006</v>
      </c>
      <c r="M14" s="189">
        <f>INDEX('18 KMP- Tháng'!$E$6:$Q$29,MATCH($A14,'18 KMP- Tháng'!$A$6:$A$29,0),MATCH(M$7,'18 KMP- Tháng'!$E$2:$P$2,0))</f>
        <v>350.176649</v>
      </c>
      <c r="N14" s="189">
        <f>INDEX('18 KMP- Tháng'!$E$6:$Q$29,MATCH($A14,'18 KMP- Tháng'!$A$6:$A$29,0),MATCH(N$7,'18 KMP- Tháng'!$E$2:$P$2,0))</f>
        <v>630.18526300000008</v>
      </c>
      <c r="O14" s="189">
        <f>INDEX('18 KMP- Tháng'!$E$6:$Q$29,MATCH($A14,'18 KMP- Tháng'!$A$6:$A$29,0),MATCH(O$7,'18 KMP- Tháng'!$E$2:$P$2,0))</f>
        <v>343.90646400000003</v>
      </c>
      <c r="P14" s="344">
        <f>INDEX('18 KMP- Tháng'!$E$6:$Q$29,MATCH($A14,'18 KMP- Tháng'!$A$6:$A$29,0),MATCH(P$7,'18 KMP- Tháng'!$E$2:$P$2,0))</f>
        <v>659.73066800000004</v>
      </c>
      <c r="Q14" s="362">
        <f t="shared" si="7"/>
        <v>613.60755875000007</v>
      </c>
      <c r="R14" s="189">
        <f>INDEX('18 KMP- Tháng'!$R$6:$AC$24,MATCH($A14,'18 KMP- Tháng'!$A$6:$A$24,0),MATCH(R$7,'18 KMP- Tháng'!$R$2:$AC$2,0))</f>
        <v>1024.1533429999999</v>
      </c>
      <c r="S14" s="189">
        <f>INDEX('18 KMP- Tháng'!$R$6:$AC$24,MATCH($A14,'18 KMP- Tháng'!$A$6:$A$24,0),MATCH(S$7,'18 KMP- Tháng'!$R$2:$AC$2,0))</f>
        <v>494.67674900000003</v>
      </c>
      <c r="T14" s="189">
        <f>INDEX('18 KMP- Tháng'!$R$6:$AC$24,MATCH($A14,'18 KMP- Tháng'!$A$6:$A$24,0),MATCH(T$7,'18 KMP- Tháng'!$R$2:$AC$2,0))</f>
        <v>832.50088600000004</v>
      </c>
      <c r="U14" s="189">
        <f>INDEX('18 KMP- Tháng'!$R$6:$AC$24,MATCH($A14,'18 KMP- Tháng'!$A$6:$A$24,0),MATCH(U$7,'18 KMP- Tháng'!$R$2:$AC$2,0))</f>
        <v>1314.4848100000002</v>
      </c>
      <c r="V14" s="189">
        <f>INDEX('18 KMP- Tháng'!$R$6:$AC$24,MATCH($A14,'18 KMP- Tháng'!$A$6:$A$24,0),MATCH(V$7,'18 KMP- Tháng'!$R$2:$AC$2,0))</f>
        <v>883.52530899999999</v>
      </c>
      <c r="W14" s="189">
        <f>INDEX('18 KMP- Tháng'!$R$6:$AC$24,MATCH($A14,'18 KMP- Tháng'!$A$6:$A$24,0),MATCH(W$7,'18 KMP- Tháng'!$R$2:$AC$2,0))</f>
        <v>901.03991800000006</v>
      </c>
      <c r="X14" s="189">
        <f>INDEX('18 KMP- Tháng'!$R$6:$AC$24,MATCH($A14,'18 KMP- Tháng'!$A$6:$A$24,0),MATCH(X$7,'18 KMP- Tháng'!$R$2:$AC$2,0))</f>
        <v>420.2372509999999</v>
      </c>
      <c r="Y14" s="189">
        <f>INDEX('18 KMP- Tháng'!$R$6:$AC$24,MATCH($A14,'18 KMP- Tháng'!$A$6:$A$24,0),MATCH(Y$7,'18 KMP- Tháng'!$R$2:$AC$2,0))</f>
        <v>546.30616100000009</v>
      </c>
      <c r="Z14" s="189">
        <f>INDEX('18 KMP- Tháng'!$R$6:$AC$24,MATCH($A14,'18 KMP- Tháng'!$A$6:$A$24,0),MATCH(Z$7,'18 KMP- Tháng'!$R$2:$AC$2,0))</f>
        <v>582.40284800000006</v>
      </c>
      <c r="AA14" s="189">
        <f>INDEX('18 KMP- Tháng'!$R$6:$AC$24,MATCH($A14,'18 KMP- Tháng'!$A$6:$A$24,0),MATCH(AA$7,'18 KMP- Tháng'!$R$2:$AC$2,0))</f>
        <v>600.29113600000005</v>
      </c>
      <c r="AB14" s="189">
        <f>INDEX('18 KMP- Tháng'!$R$6:$AC$24,MATCH($A14,'18 KMP- Tháng'!$A$6:$A$24,0),MATCH(AB$7,'18 KMP- Tháng'!$R$2:$AC$2,0))</f>
        <v>378.45344</v>
      </c>
      <c r="AC14" s="344">
        <f>INDEX('18 KMP- Tháng'!$R$6:$AC$24,MATCH($A14,'18 KMP- Tháng'!$A$6:$A$24,0),MATCH(AC$7,'18 KMP- Tháng'!$R$2:$AC$2,0))</f>
        <v>606.28838299999995</v>
      </c>
      <c r="AD14" s="362">
        <f t="shared" si="10"/>
        <v>715.36335283333335</v>
      </c>
      <c r="AE14" s="353">
        <f>INDEX('18 KMP- Tháng'!$AF$6:$AQ$29,MATCH($A14,'18 KMP- Tháng'!$A$6:$A$29,0),MATCH(AE$7,'18 KMP- Tháng'!$AF$2:$AQ$2,0))</f>
        <v>605.82138899999995</v>
      </c>
      <c r="AF14" s="189">
        <f>INDEX('18 KMP- Tháng'!$AF$6:$AQ$29,MATCH($A14,'18 KMP- Tháng'!$A$6:$A$29,0),MATCH(AF$7,'18 KMP- Tháng'!$AF$2:$AQ$2,0))</f>
        <v>632.16747199999998</v>
      </c>
      <c r="AG14" s="189">
        <f>INDEX('18 KMP- Tháng'!$AF$6:$AQ$29,MATCH($A14,'18 KMP- Tháng'!$A$6:$A$29,0),MATCH(AG$7,'18 KMP- Tháng'!$AF$2:$AQ$2,0))</f>
        <v>631.30052599999999</v>
      </c>
      <c r="AH14" s="189">
        <f>INDEX('18 KMP- Tháng'!$AF$6:$AQ$29,MATCH($A14,'18 KMP- Tháng'!$A$6:$A$29,0),MATCH(AH$7,'18 KMP- Tháng'!$AF$2:$AQ$2,0))</f>
        <v>952.50042100000007</v>
      </c>
      <c r="AI14" s="189">
        <f>INDEX('18 KMP- Tháng'!$AF$6:$AQ$29,MATCH($A14,'18 KMP- Tháng'!$A$6:$A$29,0),MATCH(AI$7,'18 KMP- Tháng'!$AF$2:$AQ$2,0))</f>
        <v>688.62718200000006</v>
      </c>
      <c r="AJ14" s="189">
        <f>INDEX('18 KMP- Tháng'!$AF$6:$AQ$29,MATCH($A14,'18 KMP- Tháng'!$A$6:$A$29,0),MATCH(AJ$7,'18 KMP- Tháng'!$AF$2:$AQ$2,0))</f>
        <v>708.02669099999991</v>
      </c>
      <c r="AK14" s="189">
        <f>INDEX('18 KMP- Tháng'!$AF$6:$AQ$29,MATCH($A14,'18 KMP- Tháng'!$A$6:$A$29,0),MATCH(AK$7,'18 KMP- Tháng'!$AF$2:$AQ$2,0))</f>
        <v>711.72475300000008</v>
      </c>
      <c r="AL14" s="189">
        <f>INDEX('18 KMP- Tháng'!$AF$6:$AQ$29,MATCH($A14,'18 KMP- Tháng'!$A$6:$A$29,0),MATCH(AL$7,'18 KMP- Tháng'!$AF$2:$AQ$2,0))</f>
        <v>825.34859499999993</v>
      </c>
      <c r="AM14" s="189">
        <f>INDEX('18 KMP- Tháng'!$AF$6:$AQ$29,MATCH($A14,'18 KMP- Tháng'!$A$6:$A$29,0),MATCH(AM$7,'18 KMP- Tháng'!$AF$2:$AQ$2,0))</f>
        <v>768.72887500000002</v>
      </c>
      <c r="AN14" s="189">
        <f>INDEX('18 KMP- Tháng'!$AF$6:$AQ$29,MATCH($A14,'18 KMP- Tháng'!$A$6:$A$29,0),MATCH(AN$7,'18 KMP- Tháng'!$AF$2:$AQ$2,0))</f>
        <v>485.68748800000003</v>
      </c>
      <c r="AO14" s="189">
        <f>INDEX('18 KMP- Tháng'!$AF$6:$AQ$29,MATCH($A14,'18 KMP- Tháng'!$A$6:$A$29,0),MATCH(AO$7,'18 KMP- Tháng'!$AF$2:$AQ$2,0))</f>
        <v>570.77404999999999</v>
      </c>
      <c r="AP14" s="344">
        <f>INDEX('18 KMP- Tháng'!$AF$6:$AQ$29,MATCH($A14,'18 KMP- Tháng'!$A$6:$A$29,0),MATCH(AP$7,'18 KMP- Tháng'!$AF$2:$AQ$2,0))</f>
        <v>605.37268300000005</v>
      </c>
      <c r="AQ14" s="583">
        <f t="shared" si="11"/>
        <v>682.17334375000007</v>
      </c>
      <c r="AR14" s="353">
        <f t="shared" si="12"/>
        <v>8186.0801250000004</v>
      </c>
      <c r="AS14" s="353">
        <f>INDEX('18 KMP- Tháng'!$BH$6:$BS$29,MATCH($A14,'18 KMP- Tháng'!$A$6:$A$29,0),MATCH(AS$7,'18 KMP- Tháng'!$BH$2:$BS$2,0))</f>
        <v>830.57138127141911</v>
      </c>
      <c r="AT14" s="189">
        <f>INDEX('18 KMP- Tháng'!$BH$6:$BS$29,MATCH($A14,'18 KMP- Tháng'!$A$6:$A$29,0),MATCH(AT$7,'18 KMP- Tháng'!$BH$2:$BS$2,0))</f>
        <v>821.44441360108567</v>
      </c>
      <c r="AU14" s="189">
        <f>INDEX('18 KMP- Tháng'!$BH$6:$BS$29,MATCH($A14,'18 KMP- Tháng'!$A$6:$A$29,0),MATCH(AU$7,'18 KMP- Tháng'!$BH$2:$BS$2,0))</f>
        <v>888.06935823132631</v>
      </c>
      <c r="AV14" s="189">
        <f>INDEX('18 KMP- Tháng'!$BH$6:$BS$29,MATCH($A14,'18 KMP- Tháng'!$A$6:$A$29,0),MATCH(AV$7,'18 KMP- Tháng'!$BH$2:$BS$2,0))</f>
        <v>885.3436825618104</v>
      </c>
      <c r="AW14" s="189">
        <f>INDEX('18 KMP- Tháng'!$BH$6:$BS$29,MATCH($A14,'18 KMP- Tháng'!$A$6:$A$29,0),MATCH(AW$7,'18 KMP- Tháng'!$BH$2:$BS$2,0))</f>
        <v>869.6954333806699</v>
      </c>
      <c r="AX14" s="189">
        <f>INDEX('18 KMP- Tháng'!$BH$6:$BS$29,MATCH($A14,'18 KMP- Tháng'!$A$6:$A$29,0),MATCH(AX$7,'18 KMP- Tháng'!$BH$2:$BS$2,0))</f>
        <v>895.7454474236082</v>
      </c>
      <c r="AY14" s="189">
        <f>INDEX('18 KMP- Tháng'!$BH$6:$BS$29,MATCH($A14,'18 KMP- Tháng'!$A$6:$A$29,0),MATCH(AY$7,'18 KMP- Tháng'!$BH$2:$BS$2,0))</f>
        <v>884.57374356629305</v>
      </c>
      <c r="AZ14" s="189">
        <f>INDEX('18 KMP- Tháng'!$BH$6:$BS$29,MATCH($A14,'18 KMP- Tháng'!$A$6:$A$29,0),MATCH(AZ$7,'18 KMP- Tháng'!$BH$2:$BS$2,0))</f>
        <v>863.51318310204533</v>
      </c>
      <c r="BA14" s="189">
        <f>INDEX('18 KMP- Tháng'!$BH$6:$BS$29,MATCH($A14,'18 KMP- Tháng'!$A$6:$A$29,0),MATCH(BA$7,'18 KMP- Tháng'!$BH$2:$BS$2,0))</f>
        <v>885.01171344948989</v>
      </c>
      <c r="BB14" s="189">
        <f>INDEX('18 KMP- Tháng'!$BH$6:$BS$29,MATCH($A14,'18 KMP- Tháng'!$A$6:$A$29,0),MATCH(BB$7,'18 KMP- Tháng'!$BH$2:$BS$2,0))</f>
        <v>912.98912161133808</v>
      </c>
      <c r="BC14" s="189">
        <f>INDEX('18 KMP- Tháng'!$BH$6:$BS$29,MATCH($A14,'18 KMP- Tháng'!$A$6:$A$29,0),MATCH(BC$7,'18 KMP- Tháng'!$BH$2:$BS$2,0))</f>
        <v>882.5899625090899</v>
      </c>
      <c r="BD14" s="344">
        <f>INDEX('18 KMP- Tháng'!$BH$6:$BS$29,MATCH($A14,'18 KMP- Tháng'!$A$6:$A$29,0),MATCH(BD$7,'18 KMP- Tháng'!$BH$2:$BS$2,0))</f>
        <v>862.72621214597655</v>
      </c>
      <c r="BE14" s="362">
        <f t="shared" si="8"/>
        <v>873.52280440451261</v>
      </c>
      <c r="BF14" s="353">
        <f>INDEX('18 KMP- Tháng'!$AS$6:$BD$29,MATCH($A14,'18 KMP- Tháng'!$A$6:$A$29,0),MATCH(BF$7,'18 KMP- Tháng'!$AS$2:$BD$2,0))</f>
        <v>716.76955099999998</v>
      </c>
      <c r="BG14" s="189">
        <f>INDEX('18 KMP- Tháng'!$AS$6:$BD$29,MATCH($A14,'18 KMP- Tháng'!$A$6:$A$29,0),MATCH(BG$7,'18 KMP- Tháng'!$AS$2:$BD$2,0))</f>
        <v>416.00507500000003</v>
      </c>
      <c r="BH14" s="189">
        <f>INDEX('18 KMP- Tháng'!$AS$6:$BD$29,MATCH($A14,'18 KMP- Tháng'!$A$6:$A$29,0),MATCH(BH$7,'18 KMP- Tháng'!$AS$2:$BD$2,0))</f>
        <v>995.70251800000005</v>
      </c>
      <c r="BI14" s="189">
        <f>INDEX('18 KMP- Tháng'!$AS$6:$BD$29,MATCH($A14,'18 KMP- Tháng'!$A$6:$A$29,0),MATCH(BI$7,'18 KMP- Tháng'!$AS$2:$BD$2,0))</f>
        <v>756.27038699999991</v>
      </c>
      <c r="BJ14" s="189">
        <f>INDEX('18 KMP- Tháng'!$AS$6:$BD$29,MATCH($A14,'18 KMP- Tháng'!$A$6:$A$29,0),MATCH(BJ$7,'18 KMP- Tháng'!$AS$2:$BD$2,0))</f>
        <v>660.65853100000004</v>
      </c>
      <c r="BK14" s="189">
        <f>INDEX('18 KMP- Tháng'!$AS$6:$BD$29,MATCH($A14,'18 KMP- Tháng'!$A$6:$A$29,0),MATCH(BK$7,'18 KMP- Tháng'!$AS$2:$BD$2,0))</f>
        <v>0</v>
      </c>
      <c r="BL14" s="189">
        <f>INDEX('18 KMP- Tháng'!$AS$6:$BD$29,MATCH($A14,'18 KMP- Tháng'!$A$6:$A$29,0),MATCH(BL$7,'18 KMP- Tháng'!$AS$2:$BD$2,0))</f>
        <v>0</v>
      </c>
      <c r="BM14" s="189">
        <f>INDEX('18 KMP- Tháng'!$AS$6:$BD$29,MATCH($A14,'18 KMP- Tháng'!$A$6:$A$29,0),MATCH(BM$7,'18 KMP- Tháng'!$AS$2:$BD$2,0))</f>
        <v>0</v>
      </c>
      <c r="BN14" s="189">
        <f>INDEX('18 KMP- Tháng'!$AS$6:$BD$29,MATCH($A14,'18 KMP- Tháng'!$A$6:$A$29,0),MATCH(BN$7,'18 KMP- Tháng'!$AS$2:$BD$2,0))</f>
        <v>0</v>
      </c>
      <c r="BO14" s="189">
        <f>INDEX('18 KMP- Tháng'!$AS$6:$BD$29,MATCH($A14,'18 KMP- Tháng'!$A$6:$A$29,0),MATCH(BO$7,'18 KMP- Tháng'!$AS$2:$BD$2,0))</f>
        <v>0</v>
      </c>
      <c r="BP14" s="189">
        <f>INDEX('18 KMP- Tháng'!$AS$6:$BD$29,MATCH($A14,'18 KMP- Tháng'!$A$6:$A$29,0),MATCH(BP$7,'18 KMP- Tháng'!$AS$2:$BD$2,0))</f>
        <v>0</v>
      </c>
      <c r="BQ14" s="344">
        <f>INDEX('18 KMP- Tháng'!$AS$6:$BD$29,MATCH($A14,'18 KMP- Tháng'!$A$6:$A$29,0),MATCH(BQ$7,'18 KMP- Tháng'!$AS$2:$BD$2,0))</f>
        <v>0</v>
      </c>
      <c r="BR14" s="583">
        <f t="shared" si="13"/>
        <v>709.08121240000003</v>
      </c>
      <c r="BS14" s="353">
        <f t="shared" si="14"/>
        <v>3545.406062</v>
      </c>
      <c r="BT14" s="184">
        <f t="shared" si="9"/>
        <v>-0.13701631531923719</v>
      </c>
      <c r="BU14" s="190">
        <f t="shared" si="6"/>
        <v>7.7859119462574478E-3</v>
      </c>
      <c r="BV14" s="648"/>
      <c r="BW14" s="648"/>
      <c r="BX14" s="648"/>
      <c r="BY14" s="648"/>
      <c r="BZ14" s="648"/>
      <c r="CA14" s="648"/>
      <c r="CB14" s="648"/>
      <c r="CD14" s="158"/>
      <c r="CE14" s="158"/>
      <c r="CF14" s="158"/>
      <c r="CG14" s="158"/>
      <c r="CH14" s="158"/>
      <c r="CI14" s="158"/>
      <c r="CJ14" s="158"/>
      <c r="CK14" s="158"/>
      <c r="CL14" s="158"/>
      <c r="CM14" s="158"/>
      <c r="CN14" s="158"/>
    </row>
    <row r="15" spans="1:92" s="186" customFormat="1" x14ac:dyDescent="0.3">
      <c r="A15" s="174">
        <v>9</v>
      </c>
      <c r="B15" s="187">
        <f t="shared" si="15"/>
        <v>6</v>
      </c>
      <c r="C15" s="188" t="s">
        <v>96</v>
      </c>
      <c r="D15" s="188" t="s">
        <v>56</v>
      </c>
      <c r="E15" s="189">
        <f>INDEX('18 KMP- Tháng'!$E$6:$Q$29,MATCH($A15,'18 KMP- Tháng'!$A$6:$A$29,0),MATCH(E$7,'18 KMP- Tháng'!$E$2:$P$2,0))</f>
        <v>152.05214899999999</v>
      </c>
      <c r="F15" s="189">
        <f>INDEX('18 KMP- Tháng'!$E$6:$Q$29,MATCH($A15,'18 KMP- Tháng'!$A$6:$A$29,0),MATCH(F$7,'18 KMP- Tháng'!$E$2:$P$2,0))</f>
        <v>295.56509199999999</v>
      </c>
      <c r="G15" s="189">
        <f>INDEX('18 KMP- Tháng'!$E$6:$Q$29,MATCH($A15,'18 KMP- Tháng'!$A$6:$A$29,0),MATCH(G$7,'18 KMP- Tháng'!$E$2:$P$2,0))</f>
        <v>305.73982000000001</v>
      </c>
      <c r="H15" s="189">
        <f>INDEX('18 KMP- Tháng'!$E$6:$Q$29,MATCH($A15,'18 KMP- Tháng'!$A$6:$A$29,0),MATCH(H$7,'18 KMP- Tháng'!$E$2:$P$2,0))</f>
        <v>277.99661799999996</v>
      </c>
      <c r="I15" s="189">
        <f>INDEX('18 KMP- Tháng'!$E$6:$Q$29,MATCH($A15,'18 KMP- Tháng'!$A$6:$A$29,0),MATCH(I$7,'18 KMP- Tháng'!$E$2:$P$2,0))</f>
        <v>375.61647699999997</v>
      </c>
      <c r="J15" s="189">
        <f>INDEX('18 KMP- Tháng'!$E$6:$Q$29,MATCH($A15,'18 KMP- Tháng'!$A$6:$A$29,0),MATCH(J$7,'18 KMP- Tháng'!$E$2:$P$2,0))</f>
        <v>369.88611800000001</v>
      </c>
      <c r="K15" s="189">
        <f>INDEX('18 KMP- Tháng'!$E$6:$Q$29,MATCH($A15,'18 KMP- Tháng'!$A$6:$A$29,0),MATCH(K$7,'18 KMP- Tháng'!$E$2:$P$2,0))</f>
        <v>387.17141699999996</v>
      </c>
      <c r="L15" s="189">
        <f>INDEX('18 KMP- Tháng'!$E$6:$Q$29,MATCH($A15,'18 KMP- Tháng'!$A$6:$A$29,0),MATCH(L$7,'18 KMP- Tháng'!$E$2:$P$2,0))</f>
        <v>391.41397599999993</v>
      </c>
      <c r="M15" s="189">
        <f>INDEX('18 KMP- Tháng'!$E$6:$Q$29,MATCH($A15,'18 KMP- Tháng'!$A$6:$A$29,0),MATCH(M$7,'18 KMP- Tháng'!$E$2:$P$2,0))</f>
        <v>380.972599</v>
      </c>
      <c r="N15" s="189">
        <f>INDEX('18 KMP- Tháng'!$E$6:$Q$29,MATCH($A15,'18 KMP- Tháng'!$A$6:$A$29,0),MATCH(N$7,'18 KMP- Tháng'!$E$2:$P$2,0))</f>
        <v>419.34907600000003</v>
      </c>
      <c r="O15" s="189">
        <f>INDEX('18 KMP- Tháng'!$E$6:$Q$29,MATCH($A15,'18 KMP- Tháng'!$A$6:$A$29,0),MATCH(O$7,'18 KMP- Tháng'!$E$2:$P$2,0))</f>
        <v>320.70876299999998</v>
      </c>
      <c r="P15" s="344">
        <f>INDEX('18 KMP- Tháng'!$E$6:$Q$29,MATCH($A15,'18 KMP- Tháng'!$A$6:$A$29,0),MATCH(P$7,'18 KMP- Tháng'!$E$2:$P$2,0))</f>
        <v>684.97181799999998</v>
      </c>
      <c r="Q15" s="362">
        <f t="shared" si="7"/>
        <v>363.45366024999998</v>
      </c>
      <c r="R15" s="189">
        <f>INDEX('18 KMP- Tháng'!$R$6:$AC$24,MATCH($A15,'18 KMP- Tháng'!$A$6:$A$24,0),MATCH(R$7,'18 KMP- Tháng'!$R$2:$AC$2,0))</f>
        <v>914.03018499999996</v>
      </c>
      <c r="S15" s="189">
        <f>INDEX('18 KMP- Tháng'!$R$6:$AC$24,MATCH($A15,'18 KMP- Tháng'!$A$6:$A$24,0),MATCH(S$7,'18 KMP- Tháng'!$R$2:$AC$2,0))</f>
        <v>427.32569400000011</v>
      </c>
      <c r="T15" s="189">
        <f>INDEX('18 KMP- Tháng'!$R$6:$AC$24,MATCH($A15,'18 KMP- Tháng'!$A$6:$A$24,0),MATCH(T$7,'18 KMP- Tháng'!$R$2:$AC$2,0))</f>
        <v>761.12916300000006</v>
      </c>
      <c r="U15" s="189">
        <f>INDEX('18 KMP- Tháng'!$R$6:$AC$24,MATCH($A15,'18 KMP- Tháng'!$A$6:$A$24,0),MATCH(U$7,'18 KMP- Tháng'!$R$2:$AC$2,0))</f>
        <v>676.13008899999988</v>
      </c>
      <c r="V15" s="189">
        <f>INDEX('18 KMP- Tháng'!$R$6:$AC$24,MATCH($A15,'18 KMP- Tháng'!$A$6:$A$24,0),MATCH(V$7,'18 KMP- Tháng'!$R$2:$AC$2,0))</f>
        <v>693.03544600000009</v>
      </c>
      <c r="W15" s="189">
        <f>INDEX('18 KMP- Tháng'!$R$6:$AC$24,MATCH($A15,'18 KMP- Tháng'!$A$6:$A$24,0),MATCH(W$7,'18 KMP- Tháng'!$R$2:$AC$2,0))</f>
        <v>782.97129899999982</v>
      </c>
      <c r="X15" s="189">
        <f>INDEX('18 KMP- Tháng'!$R$6:$AC$24,MATCH($A15,'18 KMP- Tháng'!$A$6:$A$24,0),MATCH(X$7,'18 KMP- Tháng'!$R$2:$AC$2,0))</f>
        <v>321.45073600000001</v>
      </c>
      <c r="Y15" s="189">
        <f>INDEX('18 KMP- Tháng'!$R$6:$AC$24,MATCH($A15,'18 KMP- Tháng'!$A$6:$A$24,0),MATCH(Y$7,'18 KMP- Tháng'!$R$2:$AC$2,0))</f>
        <v>361.48229300000003</v>
      </c>
      <c r="Z15" s="189">
        <f>INDEX('18 KMP- Tháng'!$R$6:$AC$24,MATCH($A15,'18 KMP- Tháng'!$A$6:$A$24,0),MATCH(Z$7,'18 KMP- Tháng'!$R$2:$AC$2,0))</f>
        <v>516.38720899999998</v>
      </c>
      <c r="AA15" s="189">
        <f>INDEX('18 KMP- Tháng'!$R$6:$AC$24,MATCH($A15,'18 KMP- Tháng'!$A$6:$A$24,0),MATCH(AA$7,'18 KMP- Tháng'!$R$2:$AC$2,0))</f>
        <v>707.21815000000004</v>
      </c>
      <c r="AB15" s="189">
        <f>INDEX('18 KMP- Tháng'!$R$6:$AC$24,MATCH($A15,'18 KMP- Tháng'!$A$6:$A$24,0),MATCH(AB$7,'18 KMP- Tháng'!$R$2:$AC$2,0))</f>
        <v>824.52075600000001</v>
      </c>
      <c r="AC15" s="344">
        <f>INDEX('18 KMP- Tháng'!$R$6:$AC$24,MATCH($A15,'18 KMP- Tháng'!$A$6:$A$24,0),MATCH(AC$7,'18 KMP- Tháng'!$R$2:$AC$2,0))</f>
        <v>612.23483699999997</v>
      </c>
      <c r="AD15" s="362">
        <f t="shared" si="10"/>
        <v>633.15965474999996</v>
      </c>
      <c r="AE15" s="353">
        <f>INDEX('18 KMP- Tháng'!$AF$6:$AQ$29,MATCH($A15,'18 KMP- Tháng'!$A$6:$A$29,0),MATCH(AE$7,'18 KMP- Tháng'!$AF$2:$AQ$2,0))</f>
        <v>300.54102</v>
      </c>
      <c r="AF15" s="189">
        <f>INDEX('18 KMP- Tháng'!$AF$6:$AQ$29,MATCH($A15,'18 KMP- Tháng'!$A$6:$A$29,0),MATCH(AF$7,'18 KMP- Tháng'!$AF$2:$AQ$2,0))</f>
        <v>507.62118800000002</v>
      </c>
      <c r="AG15" s="189">
        <f>INDEX('18 KMP- Tháng'!$AF$6:$AQ$29,MATCH($A15,'18 KMP- Tháng'!$A$6:$A$29,0),MATCH(AG$7,'18 KMP- Tháng'!$AF$2:$AQ$2,0))</f>
        <v>790.04556200000002</v>
      </c>
      <c r="AH15" s="189">
        <f>INDEX('18 KMP- Tháng'!$AF$6:$AQ$29,MATCH($A15,'18 KMP- Tháng'!$A$6:$A$29,0),MATCH(AH$7,'18 KMP- Tháng'!$AF$2:$AQ$2,0))</f>
        <v>662.42186100000004</v>
      </c>
      <c r="AI15" s="189">
        <f>INDEX('18 KMP- Tháng'!$AF$6:$AQ$29,MATCH($A15,'18 KMP- Tháng'!$A$6:$A$29,0),MATCH(AI$7,'18 KMP- Tháng'!$AF$2:$AQ$2,0))</f>
        <v>955.79570799999999</v>
      </c>
      <c r="AJ15" s="189">
        <f>INDEX('18 KMP- Tháng'!$AF$6:$AQ$29,MATCH($A15,'18 KMP- Tháng'!$A$6:$A$29,0),MATCH(AJ$7,'18 KMP- Tháng'!$AF$2:$AQ$2,0))</f>
        <v>756.01673500000004</v>
      </c>
      <c r="AK15" s="189">
        <f>INDEX('18 KMP- Tháng'!$AF$6:$AQ$29,MATCH($A15,'18 KMP- Tháng'!$A$6:$A$29,0),MATCH(AK$7,'18 KMP- Tháng'!$AF$2:$AQ$2,0))</f>
        <v>856.03756999999996</v>
      </c>
      <c r="AL15" s="189">
        <f>INDEX('18 KMP- Tháng'!$AF$6:$AQ$29,MATCH($A15,'18 KMP- Tháng'!$A$6:$A$29,0),MATCH(AL$7,'18 KMP- Tháng'!$AF$2:$AQ$2,0))</f>
        <v>870.71485299999995</v>
      </c>
      <c r="AM15" s="189">
        <f>INDEX('18 KMP- Tháng'!$AF$6:$AQ$29,MATCH($A15,'18 KMP- Tháng'!$A$6:$A$29,0),MATCH(AM$7,'18 KMP- Tháng'!$AF$2:$AQ$2,0))</f>
        <v>886.40273999999999</v>
      </c>
      <c r="AN15" s="189">
        <f>INDEX('18 KMP- Tháng'!$AF$6:$AQ$29,MATCH($A15,'18 KMP- Tháng'!$A$6:$A$29,0),MATCH(AN$7,'18 KMP- Tháng'!$AF$2:$AQ$2,0))</f>
        <v>635.75522799999999</v>
      </c>
      <c r="AO15" s="189">
        <f>INDEX('18 KMP- Tháng'!$AF$6:$AQ$29,MATCH($A15,'18 KMP- Tháng'!$A$6:$A$29,0),MATCH(AO$7,'18 KMP- Tháng'!$AF$2:$AQ$2,0))</f>
        <v>533.96862999999996</v>
      </c>
      <c r="AP15" s="344">
        <f>INDEX('18 KMP- Tháng'!$AF$6:$AQ$29,MATCH($A15,'18 KMP- Tháng'!$A$6:$A$29,0),MATCH(AP$7,'18 KMP- Tháng'!$AF$2:$AQ$2,0))</f>
        <v>735.36080700000002</v>
      </c>
      <c r="AQ15" s="583">
        <f t="shared" si="11"/>
        <v>707.55682516666673</v>
      </c>
      <c r="AR15" s="353">
        <f t="shared" si="12"/>
        <v>8490.6819020000003</v>
      </c>
      <c r="AS15" s="353">
        <f>INDEX('18 KMP- Tháng'!$BH$6:$BS$29,MATCH($A15,'18 KMP- Tháng'!$A$6:$A$29,0),MATCH(AS$7,'18 KMP- Tháng'!$BH$2:$BS$2,0))</f>
        <v>679.00817341923403</v>
      </c>
      <c r="AT15" s="189">
        <f>INDEX('18 KMP- Tháng'!$BH$6:$BS$29,MATCH($A15,'18 KMP- Tháng'!$A$6:$A$29,0),MATCH(AT$7,'18 KMP- Tháng'!$BH$2:$BS$2,0))</f>
        <v>562.30502743922989</v>
      </c>
      <c r="AU15" s="189">
        <f>INDEX('18 KMP- Tháng'!$BH$6:$BS$29,MATCH($A15,'18 KMP- Tháng'!$A$6:$A$29,0),MATCH(AU$7,'18 KMP- Tháng'!$BH$2:$BS$2,0))</f>
        <v>711.9129784782557</v>
      </c>
      <c r="AV15" s="189">
        <f>INDEX('18 KMP- Tháng'!$BH$6:$BS$29,MATCH($A15,'18 KMP- Tháng'!$A$6:$A$29,0),MATCH(AV$7,'18 KMP- Tháng'!$BH$2:$BS$2,0))</f>
        <v>715.21167396458748</v>
      </c>
      <c r="AW15" s="189">
        <f>INDEX('18 KMP- Tháng'!$BH$6:$BS$29,MATCH($A15,'18 KMP- Tháng'!$A$6:$A$29,0),MATCH(AW$7,'18 KMP- Tháng'!$BH$2:$BS$2,0))</f>
        <v>711.9129784782557</v>
      </c>
      <c r="AX15" s="189">
        <f>INDEX('18 KMP- Tháng'!$BH$6:$BS$29,MATCH($A15,'18 KMP- Tháng'!$A$6:$A$29,0),MATCH(AX$7,'18 KMP- Tháng'!$BH$2:$BS$2,0))</f>
        <v>735.360959548555</v>
      </c>
      <c r="AY15" s="189">
        <f>INDEX('18 KMP- Tháng'!$BH$6:$BS$29,MATCH($A15,'18 KMP- Tháng'!$A$6:$A$29,0),MATCH(AY$7,'18 KMP- Tháng'!$BH$2:$BS$2,0))</f>
        <v>745.36358318346674</v>
      </c>
      <c r="AZ15" s="189">
        <f>INDEX('18 KMP- Tháng'!$BH$6:$BS$29,MATCH($A15,'18 KMP- Tháng'!$A$6:$A$29,0),MATCH(AZ$7,'18 KMP- Tháng'!$BH$2:$BS$2,0))</f>
        <v>753.96743456527292</v>
      </c>
      <c r="BA15" s="189">
        <f>INDEX('18 KMP- Tháng'!$BH$6:$BS$29,MATCH($A15,'18 KMP- Tháng'!$A$6:$A$29,0),MATCH(BA$7,'18 KMP- Tháng'!$BH$2:$BS$2,0))</f>
        <v>753.61032189929642</v>
      </c>
      <c r="BB15" s="189">
        <f>INDEX('18 KMP- Tháng'!$BH$6:$BS$29,MATCH($A15,'18 KMP- Tháng'!$A$6:$A$29,0),MATCH(BB$7,'18 KMP- Tháng'!$BH$2:$BS$2,0))</f>
        <v>757.2661300516047</v>
      </c>
      <c r="BC15" s="189">
        <f>INDEX('18 KMP- Tháng'!$BH$6:$BS$29,MATCH($A15,'18 KMP- Tháng'!$A$6:$A$29,0),MATCH(BC$7,'18 KMP- Tháng'!$BH$2:$BS$2,0))</f>
        <v>742.06488769713496</v>
      </c>
      <c r="BD15" s="344">
        <f>INDEX('18 KMP- Tháng'!$BH$6:$BS$29,MATCH($A15,'18 KMP- Tháng'!$A$6:$A$29,0),MATCH(BD$7,'18 KMP- Tháng'!$BH$2:$BS$2,0))</f>
        <v>753.96743456527292</v>
      </c>
      <c r="BE15" s="362">
        <f t="shared" si="8"/>
        <v>718.49596527418055</v>
      </c>
      <c r="BF15" s="353">
        <f>INDEX('18 KMP- Tháng'!$AS$6:$BD$29,MATCH($A15,'18 KMP- Tháng'!$A$6:$A$29,0),MATCH(BF$7,'18 KMP- Tháng'!$AS$2:$BD$2,0))</f>
        <v>606.64757799999995</v>
      </c>
      <c r="BG15" s="189">
        <f>INDEX('18 KMP- Tháng'!$AS$6:$BD$29,MATCH($A15,'18 KMP- Tháng'!$A$6:$A$29,0),MATCH(BG$7,'18 KMP- Tháng'!$AS$2:$BD$2,0))</f>
        <v>347.65498300000002</v>
      </c>
      <c r="BH15" s="189">
        <f>INDEX('18 KMP- Tháng'!$AS$6:$BD$29,MATCH($A15,'18 KMP- Tháng'!$A$6:$A$29,0),MATCH(BH$7,'18 KMP- Tháng'!$AS$2:$BD$2,0))</f>
        <v>813.90419799999995</v>
      </c>
      <c r="BI15" s="189">
        <f>INDEX('18 KMP- Tháng'!$AS$6:$BD$29,MATCH($A15,'18 KMP- Tháng'!$A$6:$A$29,0),MATCH(BI$7,'18 KMP- Tháng'!$AS$2:$BD$2,0))</f>
        <v>1024.397252</v>
      </c>
      <c r="BJ15" s="189">
        <f>INDEX('18 KMP- Tháng'!$AS$6:$BD$29,MATCH($A15,'18 KMP- Tháng'!$A$6:$A$29,0),MATCH(BJ$7,'18 KMP- Tháng'!$AS$2:$BD$2,0))</f>
        <v>785.37370599999997</v>
      </c>
      <c r="BK15" s="189">
        <f>INDEX('18 KMP- Tháng'!$AS$6:$BD$29,MATCH($A15,'18 KMP- Tháng'!$A$6:$A$29,0),MATCH(BK$7,'18 KMP- Tháng'!$AS$2:$BD$2,0))</f>
        <v>0</v>
      </c>
      <c r="BL15" s="189">
        <f>INDEX('18 KMP- Tháng'!$AS$6:$BD$29,MATCH($A15,'18 KMP- Tháng'!$A$6:$A$29,0),MATCH(BL$7,'18 KMP- Tháng'!$AS$2:$BD$2,0))</f>
        <v>0</v>
      </c>
      <c r="BM15" s="189">
        <f>INDEX('18 KMP- Tháng'!$AS$6:$BD$29,MATCH($A15,'18 KMP- Tháng'!$A$6:$A$29,0),MATCH(BM$7,'18 KMP- Tháng'!$AS$2:$BD$2,0))</f>
        <v>0</v>
      </c>
      <c r="BN15" s="189">
        <f>INDEX('18 KMP- Tháng'!$AS$6:$BD$29,MATCH($A15,'18 KMP- Tháng'!$A$6:$A$29,0),MATCH(BN$7,'18 KMP- Tháng'!$AS$2:$BD$2,0))</f>
        <v>0</v>
      </c>
      <c r="BO15" s="189">
        <f>INDEX('18 KMP- Tháng'!$AS$6:$BD$29,MATCH($A15,'18 KMP- Tháng'!$A$6:$A$29,0),MATCH(BO$7,'18 KMP- Tháng'!$AS$2:$BD$2,0))</f>
        <v>0</v>
      </c>
      <c r="BP15" s="189">
        <f>INDEX('18 KMP- Tháng'!$AS$6:$BD$29,MATCH($A15,'18 KMP- Tháng'!$A$6:$A$29,0),MATCH(BP$7,'18 KMP- Tháng'!$AS$2:$BD$2,0))</f>
        <v>0</v>
      </c>
      <c r="BQ15" s="344">
        <f>INDEX('18 KMP- Tháng'!$AS$6:$BD$29,MATCH($A15,'18 KMP- Tháng'!$A$6:$A$29,0),MATCH(BQ$7,'18 KMP- Tháng'!$AS$2:$BD$2,0))</f>
        <v>0</v>
      </c>
      <c r="BR15" s="583">
        <f t="shared" si="13"/>
        <v>715.5955434</v>
      </c>
      <c r="BS15" s="353">
        <f t="shared" si="14"/>
        <v>3577.9777169999998</v>
      </c>
      <c r="BT15" s="184">
        <f t="shared" si="9"/>
        <v>-0.10656807716297856</v>
      </c>
      <c r="BU15" s="190">
        <f t="shared" si="6"/>
        <v>7.8574411401887111E-3</v>
      </c>
      <c r="BV15" s="647"/>
      <c r="BW15" s="647"/>
      <c r="BX15" s="647"/>
      <c r="BY15" s="648"/>
      <c r="BZ15" s="648"/>
      <c r="CA15" s="648"/>
      <c r="CB15" s="648"/>
      <c r="CD15" s="158"/>
      <c r="CE15" s="158"/>
      <c r="CF15" s="158"/>
      <c r="CG15" s="158"/>
      <c r="CH15" s="158"/>
      <c r="CI15" s="158"/>
      <c r="CJ15" s="158"/>
      <c r="CK15" s="158"/>
      <c r="CL15" s="158"/>
      <c r="CM15" s="158"/>
      <c r="CN15" s="158"/>
    </row>
    <row r="16" spans="1:92" s="186" customFormat="1" x14ac:dyDescent="0.3">
      <c r="A16" s="174">
        <v>10</v>
      </c>
      <c r="B16" s="187">
        <f t="shared" si="15"/>
        <v>7</v>
      </c>
      <c r="C16" s="188" t="s">
        <v>96</v>
      </c>
      <c r="D16" s="188" t="s">
        <v>28</v>
      </c>
      <c r="E16" s="189">
        <f>INDEX('18 KMP- Tháng'!$E$6:$Q$29,MATCH($A16,'18 KMP- Tháng'!$A$6:$A$29,0),MATCH(E$7,'18 KMP- Tháng'!$E$2:$P$2,0))</f>
        <v>182.590125</v>
      </c>
      <c r="F16" s="189">
        <f>INDEX('18 KMP- Tháng'!$E$6:$Q$29,MATCH($A16,'18 KMP- Tháng'!$A$6:$A$29,0),MATCH(F$7,'18 KMP- Tháng'!$E$2:$P$2,0))</f>
        <v>256.21135399999997</v>
      </c>
      <c r="G16" s="189">
        <f>INDEX('18 KMP- Tháng'!$E$6:$Q$29,MATCH($A16,'18 KMP- Tháng'!$A$6:$A$29,0),MATCH(G$7,'18 KMP- Tháng'!$E$2:$P$2,0))</f>
        <v>301.69390099999998</v>
      </c>
      <c r="H16" s="189">
        <f>INDEX('18 KMP- Tháng'!$E$6:$Q$29,MATCH($A16,'18 KMP- Tháng'!$A$6:$A$29,0),MATCH(H$7,'18 KMP- Tháng'!$E$2:$P$2,0))</f>
        <v>299.17255299999999</v>
      </c>
      <c r="I16" s="189">
        <f>INDEX('18 KMP- Tháng'!$E$6:$Q$29,MATCH($A16,'18 KMP- Tháng'!$A$6:$A$29,0),MATCH(I$7,'18 KMP- Tháng'!$E$2:$P$2,0))</f>
        <v>189.954498</v>
      </c>
      <c r="J16" s="189">
        <f>INDEX('18 KMP- Tháng'!$E$6:$Q$29,MATCH($A16,'18 KMP- Tháng'!$A$6:$A$29,0),MATCH(J$7,'18 KMP- Tháng'!$E$2:$P$2,0))</f>
        <v>375.78277400000002</v>
      </c>
      <c r="K16" s="189">
        <f>INDEX('18 KMP- Tháng'!$E$6:$Q$29,MATCH($A16,'18 KMP- Tháng'!$A$6:$A$29,0),MATCH(K$7,'18 KMP- Tháng'!$E$2:$P$2,0))</f>
        <v>320.30577699999998</v>
      </c>
      <c r="L16" s="189">
        <f>INDEX('18 KMP- Tháng'!$E$6:$Q$29,MATCH($A16,'18 KMP- Tháng'!$A$6:$A$29,0),MATCH(L$7,'18 KMP- Tháng'!$E$2:$P$2,0))</f>
        <v>367.61022300000002</v>
      </c>
      <c r="M16" s="189">
        <f>INDEX('18 KMP- Tháng'!$E$6:$Q$29,MATCH($A16,'18 KMP- Tháng'!$A$6:$A$29,0),MATCH(M$7,'18 KMP- Tháng'!$E$2:$P$2,0))</f>
        <v>353.52910800000001</v>
      </c>
      <c r="N16" s="189">
        <f>INDEX('18 KMP- Tháng'!$E$6:$Q$29,MATCH($A16,'18 KMP- Tháng'!$A$6:$A$29,0),MATCH(N$7,'18 KMP- Tháng'!$E$2:$P$2,0))</f>
        <v>388.27704899999998</v>
      </c>
      <c r="O16" s="189">
        <f>INDEX('18 KMP- Tháng'!$E$6:$Q$29,MATCH($A16,'18 KMP- Tháng'!$A$6:$A$29,0),MATCH(O$7,'18 KMP- Tháng'!$E$2:$P$2,0))</f>
        <v>446.71388200000001</v>
      </c>
      <c r="P16" s="344">
        <f>INDEX('18 KMP- Tháng'!$E$6:$Q$29,MATCH($A16,'18 KMP- Tháng'!$A$6:$A$29,0),MATCH(P$7,'18 KMP- Tháng'!$E$2:$P$2,0))</f>
        <v>393.87627199999997</v>
      </c>
      <c r="Q16" s="362">
        <f t="shared" si="7"/>
        <v>322.9764596666667</v>
      </c>
      <c r="R16" s="189">
        <f>INDEX('18 KMP- Tháng'!$R$6:$AC$24,MATCH($A16,'18 KMP- Tháng'!$A$6:$A$24,0),MATCH(R$7,'18 KMP- Tháng'!$R$2:$AC$2,0))</f>
        <v>377.49690900000002</v>
      </c>
      <c r="S16" s="189">
        <f>INDEX('18 KMP- Tháng'!$R$6:$AC$24,MATCH($A16,'18 KMP- Tháng'!$A$6:$A$24,0),MATCH(S$7,'18 KMP- Tháng'!$R$2:$AC$2,0))</f>
        <v>255.24872999999999</v>
      </c>
      <c r="T16" s="189">
        <f>INDEX('18 KMP- Tháng'!$R$6:$AC$24,MATCH($A16,'18 KMP- Tháng'!$A$6:$A$24,0),MATCH(T$7,'18 KMP- Tháng'!$R$2:$AC$2,0))</f>
        <v>394.67352</v>
      </c>
      <c r="U16" s="189">
        <f>INDEX('18 KMP- Tháng'!$R$6:$AC$24,MATCH($A16,'18 KMP- Tháng'!$A$6:$A$24,0),MATCH(U$7,'18 KMP- Tháng'!$R$2:$AC$2,0))</f>
        <v>371.32545199999998</v>
      </c>
      <c r="V16" s="189">
        <f>INDEX('18 KMP- Tháng'!$R$6:$AC$24,MATCH($A16,'18 KMP- Tháng'!$A$6:$A$24,0),MATCH(V$7,'18 KMP- Tháng'!$R$2:$AC$2,0))</f>
        <v>367.60268200000002</v>
      </c>
      <c r="W16" s="189">
        <f>INDEX('18 KMP- Tháng'!$R$6:$AC$24,MATCH($A16,'18 KMP- Tháng'!$A$6:$A$24,0),MATCH(W$7,'18 KMP- Tháng'!$R$2:$AC$2,0))</f>
        <v>326.45109400000001</v>
      </c>
      <c r="X16" s="189">
        <f>INDEX('18 KMP- Tháng'!$R$6:$AC$24,MATCH($A16,'18 KMP- Tháng'!$A$6:$A$24,0),MATCH(X$7,'18 KMP- Tháng'!$R$2:$AC$2,0))</f>
        <v>297.34214600000001</v>
      </c>
      <c r="Y16" s="189">
        <f>INDEX('18 KMP- Tháng'!$R$6:$AC$24,MATCH($A16,'18 KMP- Tháng'!$A$6:$A$24,0),MATCH(Y$7,'18 KMP- Tháng'!$R$2:$AC$2,0))</f>
        <v>252.431725</v>
      </c>
      <c r="Z16" s="189">
        <f>INDEX('18 KMP- Tháng'!$R$6:$AC$24,MATCH($A16,'18 KMP- Tháng'!$A$6:$A$24,0),MATCH(Z$7,'18 KMP- Tháng'!$R$2:$AC$2,0))</f>
        <v>251.48836299999999</v>
      </c>
      <c r="AA16" s="189">
        <f>INDEX('18 KMP- Tháng'!$R$6:$AC$24,MATCH($A16,'18 KMP- Tháng'!$A$6:$A$24,0),MATCH(AA$7,'18 KMP- Tháng'!$R$2:$AC$2,0))</f>
        <v>293.83949999999999</v>
      </c>
      <c r="AB16" s="189">
        <f>INDEX('18 KMP- Tháng'!$R$6:$AC$24,MATCH($A16,'18 KMP- Tháng'!$A$6:$A$24,0),MATCH(AB$7,'18 KMP- Tháng'!$R$2:$AC$2,0))</f>
        <v>302.22001899999998</v>
      </c>
      <c r="AC16" s="344">
        <f>INDEX('18 KMP- Tháng'!$R$6:$AC$24,MATCH($A16,'18 KMP- Tháng'!$A$6:$A$24,0),MATCH(AC$7,'18 KMP- Tháng'!$R$2:$AC$2,0))</f>
        <v>273.175363</v>
      </c>
      <c r="AD16" s="362">
        <f t="shared" si="10"/>
        <v>313.6079585833333</v>
      </c>
      <c r="AE16" s="353">
        <f>INDEX('18 KMP- Tháng'!$AF$6:$AQ$29,MATCH($A16,'18 KMP- Tháng'!$A$6:$A$29,0),MATCH(AE$7,'18 KMP- Tháng'!$AF$2:$AQ$2,0))</f>
        <v>165.849029</v>
      </c>
      <c r="AF16" s="189">
        <f>INDEX('18 KMP- Tháng'!$AF$6:$AQ$29,MATCH($A16,'18 KMP- Tháng'!$A$6:$A$29,0),MATCH(AF$7,'18 KMP- Tháng'!$AF$2:$AQ$2,0))</f>
        <v>208.231593</v>
      </c>
      <c r="AG16" s="189">
        <f>INDEX('18 KMP- Tháng'!$AF$6:$AQ$29,MATCH($A16,'18 KMP- Tháng'!$A$6:$A$29,0),MATCH(AG$7,'18 KMP- Tháng'!$AF$2:$AQ$2,0))</f>
        <v>262.06534900000003</v>
      </c>
      <c r="AH16" s="189">
        <f>INDEX('18 KMP- Tháng'!$AF$6:$AQ$29,MATCH($A16,'18 KMP- Tháng'!$A$6:$A$29,0),MATCH(AH$7,'18 KMP- Tháng'!$AF$2:$AQ$2,0))</f>
        <v>221.74891</v>
      </c>
      <c r="AI16" s="189">
        <f>INDEX('18 KMP- Tháng'!$AF$6:$AQ$29,MATCH($A16,'18 KMP- Tháng'!$A$6:$A$29,0),MATCH(AI$7,'18 KMP- Tháng'!$AF$2:$AQ$2,0))</f>
        <v>226.691428</v>
      </c>
      <c r="AJ16" s="189">
        <f>INDEX('18 KMP- Tháng'!$AF$6:$AQ$29,MATCH($A16,'18 KMP- Tháng'!$A$6:$A$29,0),MATCH(AJ$7,'18 KMP- Tháng'!$AF$2:$AQ$2,0))</f>
        <v>212.65319500000001</v>
      </c>
      <c r="AK16" s="189">
        <f>INDEX('18 KMP- Tháng'!$AF$6:$AQ$29,MATCH($A16,'18 KMP- Tháng'!$A$6:$A$29,0),MATCH(AK$7,'18 KMP- Tháng'!$AF$2:$AQ$2,0))</f>
        <v>238.15200100000001</v>
      </c>
      <c r="AL16" s="189">
        <f>INDEX('18 KMP- Tháng'!$AF$6:$AQ$29,MATCH($A16,'18 KMP- Tháng'!$A$6:$A$29,0),MATCH(AL$7,'18 KMP- Tháng'!$AF$2:$AQ$2,0))</f>
        <v>172.607721</v>
      </c>
      <c r="AM16" s="189">
        <f>INDEX('18 KMP- Tháng'!$AF$6:$AQ$29,MATCH($A16,'18 KMP- Tháng'!$A$6:$A$29,0),MATCH(AM$7,'18 KMP- Tháng'!$AF$2:$AQ$2,0))</f>
        <v>259.35824300000002</v>
      </c>
      <c r="AN16" s="189">
        <f>INDEX('18 KMP- Tháng'!$AF$6:$AQ$29,MATCH($A16,'18 KMP- Tháng'!$A$6:$A$29,0),MATCH(AN$7,'18 KMP- Tháng'!$AF$2:$AQ$2,0))</f>
        <v>201.66960800000001</v>
      </c>
      <c r="AO16" s="189">
        <f>INDEX('18 KMP- Tháng'!$AF$6:$AQ$29,MATCH($A16,'18 KMP- Tháng'!$A$6:$A$29,0),MATCH(AO$7,'18 KMP- Tháng'!$AF$2:$AQ$2,0))</f>
        <v>178.92975899999999</v>
      </c>
      <c r="AP16" s="344">
        <f>INDEX('18 KMP- Tháng'!$AF$6:$AQ$29,MATCH($A16,'18 KMP- Tháng'!$A$6:$A$29,0),MATCH(AP$7,'18 KMP- Tháng'!$AF$2:$AQ$2,0))</f>
        <v>180.051275</v>
      </c>
      <c r="AQ16" s="583">
        <f t="shared" si="11"/>
        <v>210.66734258333335</v>
      </c>
      <c r="AR16" s="353">
        <f t="shared" si="12"/>
        <v>2528.0081110000001</v>
      </c>
      <c r="AS16" s="353">
        <f>INDEX('18 KMP- Tháng'!$BH$6:$BS$29,MATCH($A16,'18 KMP- Tháng'!$A$6:$A$29,0),MATCH(AS$7,'18 KMP- Tháng'!$BH$2:$BS$2,0))</f>
        <v>214.12</v>
      </c>
      <c r="AT16" s="189">
        <f>INDEX('18 KMP- Tháng'!$BH$6:$BS$29,MATCH($A16,'18 KMP- Tháng'!$A$6:$A$29,0),MATCH(AT$7,'18 KMP- Tháng'!$BH$2:$BS$2,0))</f>
        <v>214.12</v>
      </c>
      <c r="AU16" s="189">
        <f>INDEX('18 KMP- Tháng'!$BH$6:$BS$29,MATCH($A16,'18 KMP- Tháng'!$A$6:$A$29,0),MATCH(AU$7,'18 KMP- Tháng'!$BH$2:$BS$2,0))</f>
        <v>214.12</v>
      </c>
      <c r="AV16" s="189">
        <f>INDEX('18 KMP- Tháng'!$BH$6:$BS$29,MATCH($A16,'18 KMP- Tháng'!$A$6:$A$29,0),MATCH(AV$7,'18 KMP- Tháng'!$BH$2:$BS$2,0))</f>
        <v>214.12</v>
      </c>
      <c r="AW16" s="189">
        <f>INDEX('18 KMP- Tháng'!$BH$6:$BS$29,MATCH($A16,'18 KMP- Tháng'!$A$6:$A$29,0),MATCH(AW$7,'18 KMP- Tháng'!$BH$2:$BS$2,0))</f>
        <v>214.12</v>
      </c>
      <c r="AX16" s="189">
        <f>INDEX('18 KMP- Tháng'!$BH$6:$BS$29,MATCH($A16,'18 KMP- Tháng'!$A$6:$A$29,0),MATCH(AX$7,'18 KMP- Tháng'!$BH$2:$BS$2,0))</f>
        <v>214.12</v>
      </c>
      <c r="AY16" s="189">
        <f>INDEX('18 KMP- Tháng'!$BH$6:$BS$29,MATCH($A16,'18 KMP- Tháng'!$A$6:$A$29,0),MATCH(AY$7,'18 KMP- Tháng'!$BH$2:$BS$2,0))</f>
        <v>214.12</v>
      </c>
      <c r="AZ16" s="189">
        <f>INDEX('18 KMP- Tháng'!$BH$6:$BS$29,MATCH($A16,'18 KMP- Tháng'!$A$6:$A$29,0),MATCH(AZ$7,'18 KMP- Tháng'!$BH$2:$BS$2,0))</f>
        <v>214.12</v>
      </c>
      <c r="BA16" s="189">
        <f>INDEX('18 KMP- Tháng'!$BH$6:$BS$29,MATCH($A16,'18 KMP- Tháng'!$A$6:$A$29,0),MATCH(BA$7,'18 KMP- Tháng'!$BH$2:$BS$2,0))</f>
        <v>214.12</v>
      </c>
      <c r="BB16" s="189">
        <f>INDEX('18 KMP- Tháng'!$BH$6:$BS$29,MATCH($A16,'18 KMP- Tháng'!$A$6:$A$29,0),MATCH(BB$7,'18 KMP- Tháng'!$BH$2:$BS$2,0))</f>
        <v>214.12</v>
      </c>
      <c r="BC16" s="189">
        <f>INDEX('18 KMP- Tháng'!$BH$6:$BS$29,MATCH($A16,'18 KMP- Tháng'!$A$6:$A$29,0),MATCH(BC$7,'18 KMP- Tháng'!$BH$2:$BS$2,0))</f>
        <v>214.12</v>
      </c>
      <c r="BD16" s="344">
        <f>INDEX('18 KMP- Tháng'!$BH$6:$BS$29,MATCH($A16,'18 KMP- Tháng'!$A$6:$A$29,0),MATCH(BD$7,'18 KMP- Tháng'!$BH$2:$BS$2,0))</f>
        <v>214.12</v>
      </c>
      <c r="BE16" s="362">
        <f t="shared" si="8"/>
        <v>214.11999999999992</v>
      </c>
      <c r="BF16" s="353">
        <f>INDEX('18 KMP- Tháng'!$AS$6:$BD$29,MATCH($A16,'18 KMP- Tháng'!$A$6:$A$29,0),MATCH(BF$7,'18 KMP- Tháng'!$AS$2:$BD$2,0))</f>
        <v>150.192657</v>
      </c>
      <c r="BG16" s="189">
        <f>INDEX('18 KMP- Tháng'!$AS$6:$BD$29,MATCH($A16,'18 KMP- Tháng'!$A$6:$A$29,0),MATCH(BG$7,'18 KMP- Tháng'!$AS$2:$BD$2,0))</f>
        <v>102.02831500000001</v>
      </c>
      <c r="BH16" s="189">
        <f>INDEX('18 KMP- Tháng'!$AS$6:$BD$29,MATCH($A16,'18 KMP- Tháng'!$A$6:$A$29,0),MATCH(BH$7,'18 KMP- Tháng'!$AS$2:$BD$2,0))</f>
        <v>337.283119</v>
      </c>
      <c r="BI16" s="189">
        <f>INDEX('18 KMP- Tháng'!$AS$6:$BD$29,MATCH($A16,'18 KMP- Tháng'!$A$6:$A$29,0),MATCH(BI$7,'18 KMP- Tháng'!$AS$2:$BD$2,0))</f>
        <v>388.21782000000002</v>
      </c>
      <c r="BJ16" s="189">
        <f>INDEX('18 KMP- Tháng'!$AS$6:$BD$29,MATCH($A16,'18 KMP- Tháng'!$A$6:$A$29,0),MATCH(BJ$7,'18 KMP- Tháng'!$AS$2:$BD$2,0))</f>
        <v>352.85559999999998</v>
      </c>
      <c r="BK16" s="189">
        <f>INDEX('18 KMP- Tháng'!$AS$6:$BD$29,MATCH($A16,'18 KMP- Tháng'!$A$6:$A$29,0),MATCH(BK$7,'18 KMP- Tháng'!$AS$2:$BD$2,0))</f>
        <v>0</v>
      </c>
      <c r="BL16" s="189">
        <f>INDEX('18 KMP- Tháng'!$AS$6:$BD$29,MATCH($A16,'18 KMP- Tháng'!$A$6:$A$29,0),MATCH(BL$7,'18 KMP- Tháng'!$AS$2:$BD$2,0))</f>
        <v>0</v>
      </c>
      <c r="BM16" s="189">
        <f>INDEX('18 KMP- Tháng'!$AS$6:$BD$29,MATCH($A16,'18 KMP- Tháng'!$A$6:$A$29,0),MATCH(BM$7,'18 KMP- Tháng'!$AS$2:$BD$2,0))</f>
        <v>0</v>
      </c>
      <c r="BN16" s="189">
        <f>INDEX('18 KMP- Tháng'!$AS$6:$BD$29,MATCH($A16,'18 KMP- Tháng'!$A$6:$A$29,0),MATCH(BN$7,'18 KMP- Tháng'!$AS$2:$BD$2,0))</f>
        <v>0</v>
      </c>
      <c r="BO16" s="189">
        <f>INDEX('18 KMP- Tháng'!$AS$6:$BD$29,MATCH($A16,'18 KMP- Tháng'!$A$6:$A$29,0),MATCH(BO$7,'18 KMP- Tháng'!$AS$2:$BD$2,0))</f>
        <v>0</v>
      </c>
      <c r="BP16" s="189">
        <f>INDEX('18 KMP- Tháng'!$AS$6:$BD$29,MATCH($A16,'18 KMP- Tháng'!$A$6:$A$29,0),MATCH(BP$7,'18 KMP- Tháng'!$AS$2:$BD$2,0))</f>
        <v>0</v>
      </c>
      <c r="BQ16" s="344">
        <f>INDEX('18 KMP- Tháng'!$AS$6:$BD$29,MATCH($A16,'18 KMP- Tháng'!$A$6:$A$29,0),MATCH(BQ$7,'18 KMP- Tháng'!$AS$2:$BD$2,0))</f>
        <v>0</v>
      </c>
      <c r="BR16" s="583">
        <f t="shared" si="13"/>
        <v>266.11550219999998</v>
      </c>
      <c r="BS16" s="353">
        <f t="shared" si="14"/>
        <v>1330.577511</v>
      </c>
      <c r="BT16" s="184">
        <f t="shared" si="9"/>
        <v>-0.2985584858957594</v>
      </c>
      <c r="BU16" s="190">
        <f t="shared" si="6"/>
        <v>2.922023361259882E-3</v>
      </c>
      <c r="BV16" s="648"/>
      <c r="BW16" s="648"/>
      <c r="BX16" s="648"/>
      <c r="BY16" s="648"/>
      <c r="BZ16" s="648"/>
      <c r="CA16" s="648"/>
      <c r="CB16" s="648"/>
      <c r="CD16" s="158"/>
      <c r="CE16" s="158"/>
      <c r="CF16" s="158"/>
      <c r="CG16" s="158"/>
      <c r="CH16" s="158"/>
      <c r="CI16" s="158"/>
      <c r="CJ16" s="158"/>
      <c r="CK16" s="158"/>
      <c r="CL16" s="158"/>
      <c r="CM16" s="158"/>
      <c r="CN16" s="158"/>
    </row>
    <row r="17" spans="1:92" s="186" customFormat="1" x14ac:dyDescent="0.3">
      <c r="A17" s="174">
        <v>11</v>
      </c>
      <c r="B17" s="187">
        <f t="shared" si="15"/>
        <v>8</v>
      </c>
      <c r="C17" s="188" t="s">
        <v>96</v>
      </c>
      <c r="D17" s="188" t="s">
        <v>53</v>
      </c>
      <c r="E17" s="189">
        <f>INDEX('18 KMP- Tháng'!$E$6:$Q$29,MATCH($A17,'18 KMP- Tháng'!$A$6:$A$29,0),MATCH(E$7,'18 KMP- Tháng'!$E$2:$P$2,0))</f>
        <v>188.62547899999998</v>
      </c>
      <c r="F17" s="189">
        <f>INDEX('18 KMP- Tháng'!$E$6:$Q$29,MATCH($A17,'18 KMP- Tháng'!$A$6:$A$29,0),MATCH(F$7,'18 KMP- Tháng'!$E$2:$P$2,0))</f>
        <v>196.28916999999998</v>
      </c>
      <c r="G17" s="189">
        <f>INDEX('18 KMP- Tháng'!$E$6:$Q$29,MATCH($A17,'18 KMP- Tháng'!$A$6:$A$29,0),MATCH(G$7,'18 KMP- Tháng'!$E$2:$P$2,0))</f>
        <v>460.43097999999998</v>
      </c>
      <c r="H17" s="189">
        <f>INDEX('18 KMP- Tháng'!$E$6:$Q$29,MATCH($A17,'18 KMP- Tháng'!$A$6:$A$29,0),MATCH(H$7,'18 KMP- Tháng'!$E$2:$P$2,0))</f>
        <v>381.88881900000001</v>
      </c>
      <c r="I17" s="189">
        <f>INDEX('18 KMP- Tháng'!$E$6:$Q$29,MATCH($A17,'18 KMP- Tháng'!$A$6:$A$29,0),MATCH(I$7,'18 KMP- Tháng'!$E$2:$P$2,0))</f>
        <v>279.47783400000003</v>
      </c>
      <c r="J17" s="189">
        <f>INDEX('18 KMP- Tháng'!$E$6:$Q$29,MATCH($A17,'18 KMP- Tháng'!$A$6:$A$29,0),MATCH(J$7,'18 KMP- Tháng'!$E$2:$P$2,0))</f>
        <v>269.28564700000004</v>
      </c>
      <c r="K17" s="189">
        <f>INDEX('18 KMP- Tháng'!$E$6:$Q$29,MATCH($A17,'18 KMP- Tháng'!$A$6:$A$29,0),MATCH(K$7,'18 KMP- Tháng'!$E$2:$P$2,0))</f>
        <v>204.96910300000002</v>
      </c>
      <c r="L17" s="189">
        <f>INDEX('18 KMP- Tháng'!$E$6:$Q$29,MATCH($A17,'18 KMP- Tháng'!$A$6:$A$29,0),MATCH(L$7,'18 KMP- Tháng'!$E$2:$P$2,0))</f>
        <v>144.59650099999999</v>
      </c>
      <c r="M17" s="189">
        <f>INDEX('18 KMP- Tháng'!$E$6:$Q$29,MATCH($A17,'18 KMP- Tháng'!$A$6:$A$29,0),MATCH(M$7,'18 KMP- Tháng'!$E$2:$P$2,0))</f>
        <v>209.92933399999998</v>
      </c>
      <c r="N17" s="189">
        <f>INDEX('18 KMP- Tháng'!$E$6:$Q$29,MATCH($A17,'18 KMP- Tháng'!$A$6:$A$29,0),MATCH(N$7,'18 KMP- Tháng'!$E$2:$P$2,0))</f>
        <v>179.10958100000002</v>
      </c>
      <c r="O17" s="189">
        <f>INDEX('18 KMP- Tháng'!$E$6:$Q$29,MATCH($A17,'18 KMP- Tháng'!$A$6:$A$29,0),MATCH(O$7,'18 KMP- Tháng'!$E$2:$P$2,0))</f>
        <v>139.36256900000001</v>
      </c>
      <c r="P17" s="344">
        <f>INDEX('18 KMP- Tháng'!$E$6:$Q$29,MATCH($A17,'18 KMP- Tháng'!$A$6:$A$29,0),MATCH(P$7,'18 KMP- Tháng'!$E$2:$P$2,0))</f>
        <v>234.21601099999998</v>
      </c>
      <c r="Q17" s="362">
        <f t="shared" si="7"/>
        <v>240.68175233333332</v>
      </c>
      <c r="R17" s="189">
        <f>INDEX('18 KMP- Tháng'!$R$6:$AC$24,MATCH($A17,'18 KMP- Tháng'!$A$6:$A$24,0),MATCH(R$7,'18 KMP- Tháng'!$R$2:$AC$2,0))</f>
        <v>168.93012999999999</v>
      </c>
      <c r="S17" s="189">
        <f>INDEX('18 KMP- Tháng'!$R$6:$AC$24,MATCH($A17,'18 KMP- Tháng'!$A$6:$A$24,0),MATCH(S$7,'18 KMP- Tháng'!$R$2:$AC$2,0))</f>
        <v>139.05925400000001</v>
      </c>
      <c r="T17" s="189">
        <f>INDEX('18 KMP- Tháng'!$R$6:$AC$24,MATCH($A17,'18 KMP- Tháng'!$A$6:$A$24,0),MATCH(T$7,'18 KMP- Tháng'!$R$2:$AC$2,0))</f>
        <v>130.98270099999999</v>
      </c>
      <c r="U17" s="189">
        <f>INDEX('18 KMP- Tháng'!$R$6:$AC$24,MATCH($A17,'18 KMP- Tháng'!$A$6:$A$24,0),MATCH(U$7,'18 KMP- Tháng'!$R$2:$AC$2,0))</f>
        <v>216.14341000000002</v>
      </c>
      <c r="V17" s="189">
        <f>INDEX('18 KMP- Tháng'!$R$6:$AC$24,MATCH($A17,'18 KMP- Tháng'!$A$6:$A$24,0),MATCH(V$7,'18 KMP- Tháng'!$R$2:$AC$2,0))</f>
        <v>304.87664899999999</v>
      </c>
      <c r="W17" s="189">
        <f>INDEX('18 KMP- Tháng'!$R$6:$AC$24,MATCH($A17,'18 KMP- Tháng'!$A$6:$A$24,0),MATCH(W$7,'18 KMP- Tháng'!$R$2:$AC$2,0))</f>
        <v>295.18419499999999</v>
      </c>
      <c r="X17" s="189">
        <f>INDEX('18 KMP- Tháng'!$R$6:$AC$24,MATCH($A17,'18 KMP- Tháng'!$A$6:$A$24,0),MATCH(X$7,'18 KMP- Tháng'!$R$2:$AC$2,0))</f>
        <v>186.81335799999999</v>
      </c>
      <c r="Y17" s="189">
        <f>INDEX('18 KMP- Tháng'!$R$6:$AC$24,MATCH($A17,'18 KMP- Tháng'!$A$6:$A$24,0),MATCH(Y$7,'18 KMP- Tháng'!$R$2:$AC$2,0))</f>
        <v>232.26438400000001</v>
      </c>
      <c r="Z17" s="189">
        <f>INDEX('18 KMP- Tháng'!$R$6:$AC$24,MATCH($A17,'18 KMP- Tháng'!$A$6:$A$24,0),MATCH(Z$7,'18 KMP- Tháng'!$R$2:$AC$2,0))</f>
        <v>145.066621</v>
      </c>
      <c r="AA17" s="189">
        <f>INDEX('18 KMP- Tháng'!$R$6:$AC$24,MATCH($A17,'18 KMP- Tháng'!$A$6:$A$24,0),MATCH(AA$7,'18 KMP- Tháng'!$R$2:$AC$2,0))</f>
        <v>272.26879300000002</v>
      </c>
      <c r="AB17" s="189">
        <f>INDEX('18 KMP- Tháng'!$R$6:$AC$24,MATCH($A17,'18 KMP- Tháng'!$A$6:$A$24,0),MATCH(AB$7,'18 KMP- Tháng'!$R$2:$AC$2,0))</f>
        <v>272.19795499999998</v>
      </c>
      <c r="AC17" s="344">
        <f>INDEX('18 KMP- Tháng'!$R$6:$AC$24,MATCH($A17,'18 KMP- Tháng'!$A$6:$A$24,0),MATCH(AC$7,'18 KMP- Tháng'!$R$2:$AC$2,0))</f>
        <v>306.84791300000001</v>
      </c>
      <c r="AD17" s="362">
        <f t="shared" si="10"/>
        <v>222.55294691666668</v>
      </c>
      <c r="AE17" s="353">
        <f>INDEX('18 KMP- Tháng'!$AF$6:$AQ$29,MATCH($A17,'18 KMP- Tháng'!$A$6:$A$29,0),MATCH(AE$7,'18 KMP- Tháng'!$AF$2:$AQ$2,0))</f>
        <v>210.76331500000001</v>
      </c>
      <c r="AF17" s="189">
        <f>INDEX('18 KMP- Tháng'!$AF$6:$AQ$29,MATCH($A17,'18 KMP- Tháng'!$A$6:$A$29,0),MATCH(AF$7,'18 KMP- Tháng'!$AF$2:$AQ$2,0))</f>
        <v>188.40178499999999</v>
      </c>
      <c r="AG17" s="189">
        <f>INDEX('18 KMP- Tháng'!$AF$6:$AQ$29,MATCH($A17,'18 KMP- Tháng'!$A$6:$A$29,0),MATCH(AG$7,'18 KMP- Tháng'!$AF$2:$AQ$2,0))</f>
        <v>282.89573000000001</v>
      </c>
      <c r="AH17" s="189">
        <f>INDEX('18 KMP- Tháng'!$AF$6:$AQ$29,MATCH($A17,'18 KMP- Tháng'!$A$6:$A$29,0),MATCH(AH$7,'18 KMP- Tháng'!$AF$2:$AQ$2,0))</f>
        <v>195.67146099999999</v>
      </c>
      <c r="AI17" s="189">
        <f>INDEX('18 KMP- Tháng'!$AF$6:$AQ$29,MATCH($A17,'18 KMP- Tháng'!$A$6:$A$29,0),MATCH(AI$7,'18 KMP- Tháng'!$AF$2:$AQ$2,0))</f>
        <v>294.51892900000001</v>
      </c>
      <c r="AJ17" s="189">
        <f>INDEX('18 KMP- Tháng'!$AF$6:$AQ$29,MATCH($A17,'18 KMP- Tháng'!$A$6:$A$29,0),MATCH(AJ$7,'18 KMP- Tháng'!$AF$2:$AQ$2,0))</f>
        <v>310.99886800000002</v>
      </c>
      <c r="AK17" s="189">
        <f>INDEX('18 KMP- Tháng'!$AF$6:$AQ$29,MATCH($A17,'18 KMP- Tháng'!$A$6:$A$29,0),MATCH(AK$7,'18 KMP- Tháng'!$AF$2:$AQ$2,0))</f>
        <v>473.82858199999998</v>
      </c>
      <c r="AL17" s="189">
        <f>INDEX('18 KMP- Tháng'!$AF$6:$AQ$29,MATCH($A17,'18 KMP- Tháng'!$A$6:$A$29,0),MATCH(AL$7,'18 KMP- Tháng'!$AF$2:$AQ$2,0))</f>
        <v>440.19381600000003</v>
      </c>
      <c r="AM17" s="189">
        <f>INDEX('18 KMP- Tháng'!$AF$6:$AQ$29,MATCH($A17,'18 KMP- Tháng'!$A$6:$A$29,0),MATCH(AM$7,'18 KMP- Tháng'!$AF$2:$AQ$2,0))</f>
        <v>448.54735499999998</v>
      </c>
      <c r="AN17" s="189">
        <f>INDEX('18 KMP- Tháng'!$AF$6:$AQ$29,MATCH($A17,'18 KMP- Tháng'!$A$6:$A$29,0),MATCH(AN$7,'18 KMP- Tháng'!$AF$2:$AQ$2,0))</f>
        <v>466.49071500000002</v>
      </c>
      <c r="AO17" s="189">
        <f>INDEX('18 KMP- Tháng'!$AF$6:$AQ$29,MATCH($A17,'18 KMP- Tháng'!$A$6:$A$29,0),MATCH(AO$7,'18 KMP- Tháng'!$AF$2:$AQ$2,0))</f>
        <v>176.16390100000001</v>
      </c>
      <c r="AP17" s="344">
        <f>INDEX('18 KMP- Tháng'!$AF$6:$AQ$29,MATCH($A17,'18 KMP- Tháng'!$A$6:$A$29,0),MATCH(AP$7,'18 KMP- Tháng'!$AF$2:$AQ$2,0))</f>
        <v>280.28190499999999</v>
      </c>
      <c r="AQ17" s="583">
        <f t="shared" si="11"/>
        <v>314.06303016666669</v>
      </c>
      <c r="AR17" s="353">
        <f t="shared" si="12"/>
        <v>3768.7563620000001</v>
      </c>
      <c r="AS17" s="353">
        <f>INDEX('18 KMP- Tháng'!$BH$6:$BS$29,MATCH($A17,'18 KMP- Tháng'!$A$6:$A$29,0),MATCH(AS$7,'18 KMP- Tháng'!$BH$2:$BS$2,0))</f>
        <v>452.49026332727141</v>
      </c>
      <c r="AT17" s="189">
        <f>INDEX('18 KMP- Tháng'!$BH$6:$BS$29,MATCH($A17,'18 KMP- Tháng'!$A$6:$A$29,0),MATCH(AT$7,'18 KMP- Tháng'!$BH$2:$BS$2,0))</f>
        <v>361.99221066181713</v>
      </c>
      <c r="AU17" s="189">
        <f>INDEX('18 KMP- Tháng'!$BH$6:$BS$29,MATCH($A17,'18 KMP- Tháng'!$A$6:$A$29,0),MATCH(AU$7,'18 KMP- Tháng'!$BH$2:$BS$2,0))</f>
        <v>471.88270318415442</v>
      </c>
      <c r="AV17" s="189">
        <f>INDEX('18 KMP- Tháng'!$BH$6:$BS$29,MATCH($A17,'18 KMP- Tháng'!$A$6:$A$29,0),MATCH(AV$7,'18 KMP- Tháng'!$BH$2:$BS$2,0))</f>
        <v>471.88270318415442</v>
      </c>
      <c r="AW17" s="189">
        <f>INDEX('18 KMP- Tháng'!$BH$6:$BS$29,MATCH($A17,'18 KMP- Tháng'!$A$6:$A$29,0),MATCH(AW$7,'18 KMP- Tháng'!$BH$2:$BS$2,0))</f>
        <v>471.88270318415442</v>
      </c>
      <c r="AX17" s="189">
        <f>INDEX('18 KMP- Tháng'!$BH$6:$BS$29,MATCH($A17,'18 KMP- Tháng'!$A$6:$A$29,0),MATCH(AX$7,'18 KMP- Tháng'!$BH$2:$BS$2,0))</f>
        <v>471.88270318415442</v>
      </c>
      <c r="AY17" s="189">
        <f>INDEX('18 KMP- Tháng'!$BH$6:$BS$29,MATCH($A17,'18 KMP- Tháng'!$A$6:$A$29,0),MATCH(AY$7,'18 KMP- Tháng'!$BH$2:$BS$2,0))</f>
        <v>496.89225642207646</v>
      </c>
      <c r="AZ17" s="189">
        <f>INDEX('18 KMP- Tháng'!$BH$6:$BS$29,MATCH($A17,'18 KMP- Tháng'!$A$6:$A$29,0),MATCH(AZ$7,'18 KMP- Tháng'!$BH$2:$BS$2,0))</f>
        <v>496.89225642207646</v>
      </c>
      <c r="BA17" s="189">
        <f>INDEX('18 KMP- Tháng'!$BH$6:$BS$29,MATCH($A17,'18 KMP- Tháng'!$A$6:$A$29,0),MATCH(BA$7,'18 KMP- Tháng'!$BH$2:$BS$2,0))</f>
        <v>496.89225642207646</v>
      </c>
      <c r="BB17" s="189">
        <f>INDEX('18 KMP- Tháng'!$BH$6:$BS$29,MATCH($A17,'18 KMP- Tháng'!$A$6:$A$29,0),MATCH(BB$7,'18 KMP- Tháng'!$BH$2:$BS$2,0))</f>
        <v>496.89225642207646</v>
      </c>
      <c r="BC17" s="189">
        <f>INDEX('18 KMP- Tháng'!$BH$6:$BS$29,MATCH($A17,'18 KMP- Tháng'!$A$6:$A$29,0),MATCH(BC$7,'18 KMP- Tháng'!$BH$2:$BS$2,0))</f>
        <v>496.89225642207646</v>
      </c>
      <c r="BD17" s="344">
        <f>INDEX('18 KMP- Tháng'!$BH$6:$BS$29,MATCH($A17,'18 KMP- Tháng'!$A$6:$A$29,0),MATCH(BD$7,'18 KMP- Tháng'!$BH$2:$BS$2,0))</f>
        <v>496.89225642207646</v>
      </c>
      <c r="BE17" s="362">
        <f t="shared" si="8"/>
        <v>473.61390210484711</v>
      </c>
      <c r="BF17" s="353">
        <f>INDEX('18 KMP- Tháng'!$AS$6:$BD$29,MATCH($A17,'18 KMP- Tháng'!$A$6:$A$29,0),MATCH(BF$7,'18 KMP- Tháng'!$AS$2:$BD$2,0))</f>
        <v>252.349603</v>
      </c>
      <c r="BG17" s="189">
        <f>INDEX('18 KMP- Tháng'!$AS$6:$BD$29,MATCH($A17,'18 KMP- Tháng'!$A$6:$A$29,0),MATCH(BG$7,'18 KMP- Tháng'!$AS$2:$BD$2,0))</f>
        <v>80.021953999999994</v>
      </c>
      <c r="BH17" s="189">
        <f>INDEX('18 KMP- Tháng'!$AS$6:$BD$29,MATCH($A17,'18 KMP- Tháng'!$A$6:$A$29,0),MATCH(BH$7,'18 KMP- Tháng'!$AS$2:$BD$2,0))</f>
        <v>348.78599300000002</v>
      </c>
      <c r="BI17" s="189">
        <f>INDEX('18 KMP- Tháng'!$AS$6:$BD$29,MATCH($A17,'18 KMP- Tháng'!$A$6:$A$29,0),MATCH(BI$7,'18 KMP- Tháng'!$AS$2:$BD$2,0))</f>
        <v>458.30997000000002</v>
      </c>
      <c r="BJ17" s="189">
        <f>INDEX('18 KMP- Tháng'!$AS$6:$BD$29,MATCH($A17,'18 KMP- Tháng'!$A$6:$A$29,0),MATCH(BJ$7,'18 KMP- Tháng'!$AS$2:$BD$2,0))</f>
        <v>385.67558700000001</v>
      </c>
      <c r="BK17" s="189">
        <f>INDEX('18 KMP- Tháng'!$AS$6:$BD$29,MATCH($A17,'18 KMP- Tháng'!$A$6:$A$29,0),MATCH(BK$7,'18 KMP- Tháng'!$AS$2:$BD$2,0))</f>
        <v>0</v>
      </c>
      <c r="BL17" s="189">
        <f>INDEX('18 KMP- Tháng'!$AS$6:$BD$29,MATCH($A17,'18 KMP- Tháng'!$A$6:$A$29,0),MATCH(BL$7,'18 KMP- Tháng'!$AS$2:$BD$2,0))</f>
        <v>0</v>
      </c>
      <c r="BM17" s="189">
        <f>INDEX('18 KMP- Tháng'!$AS$6:$BD$29,MATCH($A17,'18 KMP- Tháng'!$A$6:$A$29,0),MATCH(BM$7,'18 KMP- Tháng'!$AS$2:$BD$2,0))</f>
        <v>0</v>
      </c>
      <c r="BN17" s="189">
        <f>INDEX('18 KMP- Tháng'!$AS$6:$BD$29,MATCH($A17,'18 KMP- Tháng'!$A$6:$A$29,0),MATCH(BN$7,'18 KMP- Tháng'!$AS$2:$BD$2,0))</f>
        <v>0</v>
      </c>
      <c r="BO17" s="189">
        <f>INDEX('18 KMP- Tháng'!$AS$6:$BD$29,MATCH($A17,'18 KMP- Tháng'!$A$6:$A$29,0),MATCH(BO$7,'18 KMP- Tháng'!$AS$2:$BD$2,0))</f>
        <v>0</v>
      </c>
      <c r="BP17" s="189">
        <f>INDEX('18 KMP- Tháng'!$AS$6:$BD$29,MATCH($A17,'18 KMP- Tháng'!$A$6:$A$29,0),MATCH(BP$7,'18 KMP- Tháng'!$AS$2:$BD$2,0))</f>
        <v>0</v>
      </c>
      <c r="BQ17" s="344">
        <f>INDEX('18 KMP- Tháng'!$AS$6:$BD$29,MATCH($A17,'18 KMP- Tháng'!$A$6:$A$29,0),MATCH(BQ$7,'18 KMP- Tháng'!$AS$2:$BD$2,0))</f>
        <v>0</v>
      </c>
      <c r="BR17" s="583">
        <f t="shared" si="13"/>
        <v>305.02862140000002</v>
      </c>
      <c r="BS17" s="353">
        <f t="shared" si="14"/>
        <v>1525.1431070000001</v>
      </c>
      <c r="BT17" s="184">
        <f t="shared" si="9"/>
        <v>-0.44230931922288952</v>
      </c>
      <c r="BU17" s="190">
        <f t="shared" si="6"/>
        <v>3.349300398568423E-3</v>
      </c>
      <c r="BV17" s="648"/>
      <c r="BW17" s="648"/>
      <c r="BX17" s="648"/>
      <c r="BY17" s="648"/>
      <c r="BZ17" s="648"/>
      <c r="CA17" s="648"/>
      <c r="CB17" s="648"/>
      <c r="CD17" s="158"/>
      <c r="CE17" s="158"/>
      <c r="CF17" s="158"/>
      <c r="CG17" s="158"/>
      <c r="CH17" s="158"/>
      <c r="CI17" s="158"/>
      <c r="CJ17" s="158"/>
      <c r="CK17" s="158"/>
      <c r="CL17" s="158"/>
      <c r="CM17" s="158"/>
      <c r="CN17" s="158"/>
    </row>
    <row r="18" spans="1:92" s="186" customFormat="1" x14ac:dyDescent="0.3">
      <c r="A18" s="174">
        <v>12</v>
      </c>
      <c r="B18" s="187">
        <f t="shared" si="15"/>
        <v>9</v>
      </c>
      <c r="C18" s="188" t="s">
        <v>96</v>
      </c>
      <c r="D18" s="188" t="s">
        <v>42</v>
      </c>
      <c r="E18" s="189">
        <f>INDEX('18 KMP- Tháng'!$E$6:$Q$29,MATCH($A18,'18 KMP- Tháng'!$A$6:$A$29,0),MATCH(E$7,'18 KMP- Tháng'!$E$2:$P$2,0))</f>
        <v>92.851895999999996</v>
      </c>
      <c r="F18" s="189">
        <f>INDEX('18 KMP- Tháng'!$E$6:$Q$29,MATCH($A18,'18 KMP- Tháng'!$A$6:$A$29,0),MATCH(F$7,'18 KMP- Tháng'!$E$2:$P$2,0))</f>
        <v>113.22258100000001</v>
      </c>
      <c r="G18" s="189">
        <f>INDEX('18 KMP- Tháng'!$E$6:$Q$29,MATCH($A18,'18 KMP- Tháng'!$A$6:$A$29,0),MATCH(G$7,'18 KMP- Tháng'!$E$2:$P$2,0))</f>
        <v>159.68341899999999</v>
      </c>
      <c r="H18" s="189">
        <f>INDEX('18 KMP- Tháng'!$E$6:$Q$29,MATCH($A18,'18 KMP- Tháng'!$A$6:$A$29,0),MATCH(H$7,'18 KMP- Tháng'!$E$2:$P$2,0))</f>
        <v>108.30909699999999</v>
      </c>
      <c r="I18" s="189">
        <f>INDEX('18 KMP- Tháng'!$E$6:$Q$29,MATCH($A18,'18 KMP- Tháng'!$A$6:$A$29,0),MATCH(I$7,'18 KMP- Tháng'!$E$2:$P$2,0))</f>
        <v>162.76302200000001</v>
      </c>
      <c r="J18" s="189">
        <f>INDEX('18 KMP- Tháng'!$E$6:$Q$29,MATCH($A18,'18 KMP- Tháng'!$A$6:$A$29,0),MATCH(J$7,'18 KMP- Tháng'!$E$2:$P$2,0))</f>
        <v>193.360625</v>
      </c>
      <c r="K18" s="189">
        <f>INDEX('18 KMP- Tháng'!$E$6:$Q$29,MATCH($A18,'18 KMP- Tháng'!$A$6:$A$29,0),MATCH(K$7,'18 KMP- Tháng'!$E$2:$P$2,0))</f>
        <v>135.11064500000001</v>
      </c>
      <c r="L18" s="189">
        <f>INDEX('18 KMP- Tháng'!$E$6:$Q$29,MATCH($A18,'18 KMP- Tháng'!$A$6:$A$29,0),MATCH(L$7,'18 KMP- Tháng'!$E$2:$P$2,0))</f>
        <v>93.960159000000004</v>
      </c>
      <c r="M18" s="189">
        <f>INDEX('18 KMP- Tháng'!$E$6:$Q$29,MATCH($A18,'18 KMP- Tháng'!$A$6:$A$29,0),MATCH(M$7,'18 KMP- Tháng'!$E$2:$P$2,0))</f>
        <v>59.163989999999998</v>
      </c>
      <c r="N18" s="189">
        <f>INDEX('18 KMP- Tháng'!$E$6:$Q$29,MATCH($A18,'18 KMP- Tháng'!$A$6:$A$29,0),MATCH(N$7,'18 KMP- Tháng'!$E$2:$P$2,0))</f>
        <v>55.902678999999999</v>
      </c>
      <c r="O18" s="189">
        <f>INDEX('18 KMP- Tháng'!$E$6:$Q$29,MATCH($A18,'18 KMP- Tháng'!$A$6:$A$29,0),MATCH(O$7,'18 KMP- Tháng'!$E$2:$P$2,0))</f>
        <v>50.242654999999999</v>
      </c>
      <c r="P18" s="344">
        <f>INDEX('18 KMP- Tháng'!$E$6:$Q$29,MATCH($A18,'18 KMP- Tháng'!$A$6:$A$29,0),MATCH(P$7,'18 KMP- Tháng'!$E$2:$P$2,0))</f>
        <v>118.635864</v>
      </c>
      <c r="Q18" s="362">
        <f t="shared" si="7"/>
        <v>111.93388600000002</v>
      </c>
      <c r="R18" s="189">
        <f>INDEX('18 KMP- Tháng'!$R$6:$AC$24,MATCH($A18,'18 KMP- Tháng'!$A$6:$A$24,0),MATCH(R$7,'18 KMP- Tháng'!$R$2:$AC$2,0))</f>
        <v>69.344239000000002</v>
      </c>
      <c r="S18" s="189">
        <f>INDEX('18 KMP- Tháng'!$R$6:$AC$24,MATCH($A18,'18 KMP- Tháng'!$A$6:$A$24,0),MATCH(S$7,'18 KMP- Tháng'!$R$2:$AC$2,0))</f>
        <v>65.696956</v>
      </c>
      <c r="T18" s="189">
        <f>INDEX('18 KMP- Tháng'!$R$6:$AC$24,MATCH($A18,'18 KMP- Tháng'!$A$6:$A$24,0),MATCH(T$7,'18 KMP- Tháng'!$R$2:$AC$2,0))</f>
        <v>71.977480999999997</v>
      </c>
      <c r="U18" s="189">
        <f>INDEX('18 KMP- Tháng'!$R$6:$AC$24,MATCH($A18,'18 KMP- Tháng'!$A$6:$A$24,0),MATCH(U$7,'18 KMP- Tháng'!$R$2:$AC$2,0))+67</f>
        <v>154.504536</v>
      </c>
      <c r="V18" s="189">
        <f>INDEX('18 KMP- Tháng'!$R$6:$AC$24,MATCH($A18,'18 KMP- Tháng'!$A$6:$A$24,0),MATCH(V$7,'18 KMP- Tháng'!$R$2:$AC$2,0))-67</f>
        <v>114.65412699999999</v>
      </c>
      <c r="W18" s="189">
        <f>INDEX('18 KMP- Tháng'!$R$6:$AC$24,MATCH($A18,'18 KMP- Tháng'!$A$6:$A$24,0),MATCH(W$7,'18 KMP- Tháng'!$R$2:$AC$2,0))</f>
        <v>81.847181000000006</v>
      </c>
      <c r="X18" s="189">
        <f>INDEX('18 KMP- Tháng'!$R$6:$AC$24,MATCH($A18,'18 KMP- Tháng'!$A$6:$A$24,0),MATCH(X$7,'18 KMP- Tháng'!$R$2:$AC$2,0))</f>
        <v>73.038004000000001</v>
      </c>
      <c r="Y18" s="189">
        <f>INDEX('18 KMP- Tháng'!$R$6:$AC$24,MATCH($A18,'18 KMP- Tháng'!$A$6:$A$24,0),MATCH(Y$7,'18 KMP- Tháng'!$R$2:$AC$2,0))</f>
        <v>79.525662999999994</v>
      </c>
      <c r="Z18" s="189">
        <f>INDEX('18 KMP- Tháng'!$R$6:$AC$24,MATCH($A18,'18 KMP- Tháng'!$A$6:$A$24,0),MATCH(Z$7,'18 KMP- Tháng'!$R$2:$AC$2,0))</f>
        <v>60.357999999999997</v>
      </c>
      <c r="AA18" s="189">
        <f>INDEX('18 KMP- Tháng'!$R$6:$AC$24,MATCH($A18,'18 KMP- Tháng'!$A$6:$A$24,0),MATCH(AA$7,'18 KMP- Tháng'!$R$2:$AC$2,0))</f>
        <v>87.399765000000002</v>
      </c>
      <c r="AB18" s="189">
        <f>INDEX('18 KMP- Tháng'!$R$6:$AC$24,MATCH($A18,'18 KMP- Tháng'!$A$6:$A$24,0),MATCH(AB$7,'18 KMP- Tháng'!$R$2:$AC$2,0))</f>
        <v>74.767274</v>
      </c>
      <c r="AC18" s="344">
        <f>INDEX('18 KMP- Tháng'!$R$6:$AC$24,MATCH($A18,'18 KMP- Tháng'!$A$6:$A$24,0),MATCH(AC$7,'18 KMP- Tháng'!$R$2:$AC$2,0))</f>
        <v>71.777555000000007</v>
      </c>
      <c r="AD18" s="362">
        <f t="shared" si="10"/>
        <v>83.740898416666667</v>
      </c>
      <c r="AE18" s="353">
        <f>INDEX('18 KMP- Tháng'!$AF$6:$AQ$29,MATCH($A18,'18 KMP- Tháng'!$A$6:$A$29,0),MATCH(AE$7,'18 KMP- Tháng'!$AF$2:$AQ$2,0))</f>
        <v>45.727381999999999</v>
      </c>
      <c r="AF18" s="189">
        <f>INDEX('18 KMP- Tháng'!$AF$6:$AQ$29,MATCH($A18,'18 KMP- Tháng'!$A$6:$A$29,0),MATCH(AF$7,'18 KMP- Tháng'!$AF$2:$AQ$2,0))</f>
        <v>53.042850000000001</v>
      </c>
      <c r="AG18" s="189">
        <f>INDEX('18 KMP- Tháng'!$AF$6:$AQ$29,MATCH($A18,'18 KMP- Tháng'!$A$6:$A$29,0),MATCH(AG$7,'18 KMP- Tháng'!$AF$2:$AQ$2,0))</f>
        <v>68.456312999999994</v>
      </c>
      <c r="AH18" s="189">
        <f>INDEX('18 KMP- Tháng'!$AF$6:$AQ$29,MATCH($A18,'18 KMP- Tháng'!$A$6:$A$29,0),MATCH(AH$7,'18 KMP- Tháng'!$AF$2:$AQ$2,0))</f>
        <v>99.335018000000005</v>
      </c>
      <c r="AI18" s="189">
        <f>INDEX('18 KMP- Tháng'!$AF$6:$AQ$29,MATCH($A18,'18 KMP- Tháng'!$A$6:$A$29,0),MATCH(AI$7,'18 KMP- Tháng'!$AF$2:$AQ$2,0))</f>
        <v>84.974800999999999</v>
      </c>
      <c r="AJ18" s="189">
        <f>INDEX('18 KMP- Tháng'!$AF$6:$AQ$29,MATCH($A18,'18 KMP- Tháng'!$A$6:$A$29,0),MATCH(AJ$7,'18 KMP- Tháng'!$AF$2:$AQ$2,0))</f>
        <v>72.702527000000003</v>
      </c>
      <c r="AK18" s="189">
        <f>INDEX('18 KMP- Tháng'!$AF$6:$AQ$29,MATCH($A18,'18 KMP- Tháng'!$A$6:$A$29,0),MATCH(AK$7,'18 KMP- Tháng'!$AF$2:$AQ$2,0))</f>
        <v>138.852576</v>
      </c>
      <c r="AL18" s="189">
        <f>INDEX('18 KMP- Tháng'!$AF$6:$AQ$29,MATCH($A18,'18 KMP- Tháng'!$A$6:$A$29,0),MATCH(AL$7,'18 KMP- Tháng'!$AF$2:$AQ$2,0))</f>
        <v>95.803742</v>
      </c>
      <c r="AM18" s="189">
        <f>INDEX('18 KMP- Tháng'!$AF$6:$AQ$29,MATCH($A18,'18 KMP- Tháng'!$A$6:$A$29,0),MATCH(AM$7,'18 KMP- Tháng'!$AF$2:$AQ$2,0))</f>
        <v>141.52082899999999</v>
      </c>
      <c r="AN18" s="189">
        <f>INDEX('18 KMP- Tháng'!$AF$6:$AQ$29,MATCH($A18,'18 KMP- Tháng'!$A$6:$A$29,0),MATCH(AN$7,'18 KMP- Tháng'!$AF$2:$AQ$2,0))</f>
        <v>136.74355199999999</v>
      </c>
      <c r="AO18" s="189">
        <f>INDEX('18 KMP- Tháng'!$AF$6:$AQ$29,MATCH($A18,'18 KMP- Tháng'!$A$6:$A$29,0),MATCH(AO$7,'18 KMP- Tháng'!$AF$2:$AQ$2,0))</f>
        <v>54.052813</v>
      </c>
      <c r="AP18" s="344">
        <f>INDEX('18 KMP- Tháng'!$AF$6:$AQ$29,MATCH($A18,'18 KMP- Tháng'!$A$6:$A$29,0),MATCH(AP$7,'18 KMP- Tháng'!$AF$2:$AQ$2,0))</f>
        <v>79.987669999999994</v>
      </c>
      <c r="AQ18" s="583">
        <f t="shared" si="11"/>
        <v>89.266672750000012</v>
      </c>
      <c r="AR18" s="353">
        <f t="shared" si="12"/>
        <v>1071.2000730000002</v>
      </c>
      <c r="AS18" s="353">
        <f>INDEX('18 KMP- Tháng'!$BH$6:$BS$29,MATCH($A18,'18 KMP- Tháng'!$A$6:$A$29,0),MATCH(AS$7,'18 KMP- Tháng'!$BH$2:$BS$2,0))</f>
        <v>117.85857906666668</v>
      </c>
      <c r="AT18" s="189">
        <f>INDEX('18 KMP- Tháng'!$BH$6:$BS$29,MATCH($A18,'18 KMP- Tháng'!$A$6:$A$29,0),MATCH(AT$7,'18 KMP- Tháng'!$BH$2:$BS$2,0))</f>
        <v>130.10857906666666</v>
      </c>
      <c r="AU18" s="189">
        <f>INDEX('18 KMP- Tháng'!$BH$6:$BS$29,MATCH($A18,'18 KMP- Tháng'!$A$6:$A$29,0),MATCH(AU$7,'18 KMP- Tháng'!$BH$2:$BS$2,0))</f>
        <v>125.92056526666669</v>
      </c>
      <c r="AV18" s="189">
        <f>INDEX('18 KMP- Tháng'!$BH$6:$BS$29,MATCH($A18,'18 KMP- Tháng'!$A$6:$A$29,0),MATCH(AV$7,'18 KMP- Tháng'!$BH$2:$BS$2,0))</f>
        <v>121.27056526666668</v>
      </c>
      <c r="AW18" s="189">
        <f>INDEX('18 KMP- Tháng'!$BH$6:$BS$29,MATCH($A18,'18 KMP- Tháng'!$A$6:$A$29,0),MATCH(AW$7,'18 KMP- Tháng'!$BH$2:$BS$2,0))</f>
        <v>122.35857906666668</v>
      </c>
      <c r="AX18" s="189">
        <f>INDEX('18 KMP- Tháng'!$BH$6:$BS$29,MATCH($A18,'18 KMP- Tháng'!$A$6:$A$29,0),MATCH(AX$7,'18 KMP- Tháng'!$BH$2:$BS$2,0))</f>
        <v>133.31656526666669</v>
      </c>
      <c r="AY18" s="189">
        <f>INDEX('18 KMP- Tháng'!$BH$6:$BS$29,MATCH($A18,'18 KMP- Tháng'!$A$6:$A$29,0),MATCH(AY$7,'18 KMP- Tháng'!$BH$2:$BS$2,0))</f>
        <v>125.77056526666668</v>
      </c>
      <c r="AZ18" s="189">
        <f>INDEX('18 KMP- Tháng'!$BH$6:$BS$29,MATCH($A18,'18 KMP- Tháng'!$A$6:$A$29,0),MATCH(AZ$7,'18 KMP- Tháng'!$BH$2:$BS$2,0))</f>
        <v>133.52056526666669</v>
      </c>
      <c r="BA18" s="189">
        <f>INDEX('18 KMP- Tháng'!$BH$6:$BS$29,MATCH($A18,'18 KMP- Tháng'!$A$6:$A$29,0),MATCH(BA$7,'18 KMP- Tháng'!$BH$2:$BS$2,0))</f>
        <v>122.50857906666668</v>
      </c>
      <c r="BB18" s="189">
        <f>INDEX('18 KMP- Tháng'!$BH$6:$BS$29,MATCH($A18,'18 KMP- Tháng'!$A$6:$A$29,0),MATCH(BB$7,'18 KMP- Tháng'!$BH$2:$BS$2,0))</f>
        <v>133.52056526666669</v>
      </c>
      <c r="BC18" s="189">
        <f>INDEX('18 KMP- Tháng'!$BH$6:$BS$29,MATCH($A18,'18 KMP- Tháng'!$A$6:$A$29,0),MATCH(BC$7,'18 KMP- Tháng'!$BH$2:$BS$2,0))</f>
        <v>121.27056526666668</v>
      </c>
      <c r="BD18" s="344">
        <f>INDEX('18 KMP- Tháng'!$BH$6:$BS$29,MATCH($A18,'18 KMP- Tháng'!$A$6:$A$29,0),MATCH(BD$7,'18 KMP- Tháng'!$BH$2:$BS$2,0))</f>
        <v>117.85857906666668</v>
      </c>
      <c r="BE18" s="362">
        <f t="shared" si="8"/>
        <v>125.44023768333334</v>
      </c>
      <c r="BF18" s="353">
        <f>INDEX('18 KMP- Tháng'!$AS$6:$BD$29,MATCH($A18,'18 KMP- Tháng'!$A$6:$A$29,0),MATCH(BF$7,'18 KMP- Tháng'!$AS$2:$BD$2,0))</f>
        <v>70.029363000000004</v>
      </c>
      <c r="BG18" s="189">
        <f>INDEX('18 KMP- Tháng'!$AS$6:$BD$29,MATCH($A18,'18 KMP- Tháng'!$A$6:$A$29,0),MATCH(BG$7,'18 KMP- Tháng'!$AS$2:$BD$2,0))</f>
        <v>41.454301999999998</v>
      </c>
      <c r="BH18" s="189">
        <f>INDEX('18 KMP- Tháng'!$AS$6:$BD$29,MATCH($A18,'18 KMP- Tháng'!$A$6:$A$29,0),MATCH(BH$7,'18 KMP- Tháng'!$AS$2:$BD$2,0))</f>
        <v>99.310658000000004</v>
      </c>
      <c r="BI18" s="189">
        <f>INDEX('18 KMP- Tháng'!$AS$6:$BD$29,MATCH($A18,'18 KMP- Tháng'!$A$6:$A$29,0),MATCH(BI$7,'18 KMP- Tháng'!$AS$2:$BD$2,0))</f>
        <v>109.596222</v>
      </c>
      <c r="BJ18" s="189">
        <f>INDEX('18 KMP- Tháng'!$AS$6:$BD$29,MATCH($A18,'18 KMP- Tháng'!$A$6:$A$29,0),MATCH(BJ$7,'18 KMP- Tháng'!$AS$2:$BD$2,0))</f>
        <v>84.135278</v>
      </c>
      <c r="BK18" s="189">
        <f>INDEX('18 KMP- Tháng'!$AS$6:$BD$29,MATCH($A18,'18 KMP- Tháng'!$A$6:$A$29,0),MATCH(BK$7,'18 KMP- Tháng'!$AS$2:$BD$2,0))</f>
        <v>0</v>
      </c>
      <c r="BL18" s="189">
        <f>INDEX('18 KMP- Tháng'!$AS$6:$BD$29,MATCH($A18,'18 KMP- Tháng'!$A$6:$A$29,0),MATCH(BL$7,'18 KMP- Tháng'!$AS$2:$BD$2,0))</f>
        <v>0</v>
      </c>
      <c r="BM18" s="189">
        <f>INDEX('18 KMP- Tháng'!$AS$6:$BD$29,MATCH($A18,'18 KMP- Tháng'!$A$6:$A$29,0),MATCH(BM$7,'18 KMP- Tháng'!$AS$2:$BD$2,0))</f>
        <v>0</v>
      </c>
      <c r="BN18" s="189">
        <f>INDEX('18 KMP- Tháng'!$AS$6:$BD$29,MATCH($A18,'18 KMP- Tháng'!$A$6:$A$29,0),MATCH(BN$7,'18 KMP- Tháng'!$AS$2:$BD$2,0))</f>
        <v>0</v>
      </c>
      <c r="BO18" s="189">
        <f>INDEX('18 KMP- Tháng'!$AS$6:$BD$29,MATCH($A18,'18 KMP- Tháng'!$A$6:$A$29,0),MATCH(BO$7,'18 KMP- Tháng'!$AS$2:$BD$2,0))</f>
        <v>0</v>
      </c>
      <c r="BP18" s="189">
        <f>INDEX('18 KMP- Tháng'!$AS$6:$BD$29,MATCH($A18,'18 KMP- Tháng'!$A$6:$A$29,0),MATCH(BP$7,'18 KMP- Tháng'!$AS$2:$BD$2,0))</f>
        <v>0</v>
      </c>
      <c r="BQ18" s="344">
        <f>INDEX('18 KMP- Tháng'!$AS$6:$BD$29,MATCH($A18,'18 KMP- Tháng'!$A$6:$A$29,0),MATCH(BQ$7,'18 KMP- Tháng'!$AS$2:$BD$2,0))</f>
        <v>0</v>
      </c>
      <c r="BR18" s="583">
        <f t="shared" si="13"/>
        <v>80.905164600000006</v>
      </c>
      <c r="BS18" s="353">
        <f t="shared" si="14"/>
        <v>404.52582300000006</v>
      </c>
      <c r="BT18" s="184">
        <f t="shared" si="9"/>
        <v>-0.40581870615979587</v>
      </c>
      <c r="BU18" s="190">
        <f t="shared" si="6"/>
        <v>8.8836155373655655E-4</v>
      </c>
      <c r="BV18" s="648"/>
      <c r="BW18" s="648"/>
      <c r="BX18" s="648"/>
      <c r="BY18" s="648"/>
      <c r="BZ18" s="648"/>
      <c r="CA18" s="648"/>
      <c r="CB18" s="648"/>
      <c r="CD18" s="158"/>
      <c r="CE18" s="158"/>
      <c r="CF18" s="158"/>
      <c r="CG18" s="158"/>
      <c r="CH18" s="158"/>
      <c r="CI18" s="158"/>
      <c r="CJ18" s="158"/>
      <c r="CK18" s="158"/>
      <c r="CL18" s="158"/>
      <c r="CM18" s="158"/>
      <c r="CN18" s="158"/>
    </row>
    <row r="19" spans="1:92" s="186" customFormat="1" x14ac:dyDescent="0.3">
      <c r="A19" s="174">
        <v>13</v>
      </c>
      <c r="B19" s="187">
        <f t="shared" si="15"/>
        <v>10</v>
      </c>
      <c r="C19" s="188" t="s">
        <v>96</v>
      </c>
      <c r="D19" s="188" t="s">
        <v>52</v>
      </c>
      <c r="E19" s="189">
        <f>INDEX('18 KMP- Tháng'!$E$6:$Q$29,MATCH($A19,'18 KMP- Tháng'!$A$6:$A$29,0),MATCH(E$7,'18 KMP- Tháng'!$E$2:$P$2,0))</f>
        <v>148.21799999999999</v>
      </c>
      <c r="F19" s="189">
        <f>INDEX('18 KMP- Tháng'!$E$6:$Q$29,MATCH($A19,'18 KMP- Tháng'!$A$6:$A$29,0),MATCH(F$7,'18 KMP- Tháng'!$E$2:$P$2,0))</f>
        <v>141.316</v>
      </c>
      <c r="G19" s="189">
        <f>INDEX('18 KMP- Tháng'!$E$6:$Q$29,MATCH($A19,'18 KMP- Tháng'!$A$6:$A$29,0),MATCH(G$7,'18 KMP- Tháng'!$E$2:$P$2,0))</f>
        <v>135.04400000000001</v>
      </c>
      <c r="H19" s="189">
        <f>INDEX('18 KMP- Tháng'!$E$6:$Q$29,MATCH($A19,'18 KMP- Tháng'!$A$6:$A$29,0),MATCH(H$7,'18 KMP- Tháng'!$E$2:$P$2,0))</f>
        <v>119.938</v>
      </c>
      <c r="I19" s="189">
        <f>INDEX('18 KMP- Tháng'!$E$6:$Q$29,MATCH($A19,'18 KMP- Tháng'!$A$6:$A$29,0),MATCH(I$7,'18 KMP- Tháng'!$E$2:$P$2,0))</f>
        <v>155.708</v>
      </c>
      <c r="J19" s="189">
        <f>INDEX('18 KMP- Tháng'!$E$6:$Q$29,MATCH($A19,'18 KMP- Tháng'!$A$6:$A$29,0),MATCH(J$7,'18 KMP- Tháng'!$E$2:$P$2,0))</f>
        <v>100.15600000000001</v>
      </c>
      <c r="K19" s="189">
        <f>INDEX('18 KMP- Tháng'!$E$6:$Q$29,MATCH($A19,'18 KMP- Tháng'!$A$6:$A$29,0),MATCH(K$7,'18 KMP- Tháng'!$E$2:$P$2,0))</f>
        <v>110.04</v>
      </c>
      <c r="L19" s="189">
        <f>INDEX('18 KMP- Tháng'!$E$6:$Q$29,MATCH($A19,'18 KMP- Tháng'!$A$6:$A$29,0),MATCH(L$7,'18 KMP- Tháng'!$E$2:$P$2,0))</f>
        <v>130.928</v>
      </c>
      <c r="M19" s="189">
        <f>INDEX('18 KMP- Tháng'!$E$6:$Q$29,MATCH($A19,'18 KMP- Tháng'!$A$6:$A$29,0),MATCH(M$7,'18 KMP- Tháng'!$E$2:$P$2,0))</f>
        <v>129.892</v>
      </c>
      <c r="N19" s="189">
        <f>INDEX('18 KMP- Tháng'!$E$6:$Q$29,MATCH($A19,'18 KMP- Tháng'!$A$6:$A$29,0),MATCH(N$7,'18 KMP- Tháng'!$E$2:$P$2,0))</f>
        <v>122.262</v>
      </c>
      <c r="O19" s="189">
        <f>INDEX('18 KMP- Tháng'!$E$6:$Q$29,MATCH($A19,'18 KMP- Tháng'!$A$6:$A$29,0),MATCH(O$7,'18 KMP- Tháng'!$E$2:$P$2,0))</f>
        <v>113.988</v>
      </c>
      <c r="P19" s="344">
        <f>INDEX('18 KMP- Tháng'!$E$6:$Q$29,MATCH($A19,'18 KMP- Tháng'!$A$6:$A$29,0),MATCH(P$7,'18 KMP- Tháng'!$E$2:$P$2,0))</f>
        <v>133.602</v>
      </c>
      <c r="Q19" s="362">
        <f t="shared" si="7"/>
        <v>128.42433333333335</v>
      </c>
      <c r="R19" s="189">
        <f>INDEX('18 KMP- Tháng'!$R$6:$AC$24,MATCH($A19,'18 KMP- Tháng'!$A$6:$A$24,0),MATCH(R$7,'18 KMP- Tháng'!$R$2:$AC$2,0))</f>
        <v>106.229562</v>
      </c>
      <c r="S19" s="189">
        <f>INDEX('18 KMP- Tháng'!$R$6:$AC$24,MATCH($A19,'18 KMP- Tháng'!$A$6:$A$24,0),MATCH(S$7,'18 KMP- Tháng'!$R$2:$AC$2,0))</f>
        <v>95.315191999999996</v>
      </c>
      <c r="T19" s="189">
        <f>INDEX('18 KMP- Tháng'!$R$6:$AC$24,MATCH($A19,'18 KMP- Tháng'!$A$6:$A$24,0),MATCH(T$7,'18 KMP- Tháng'!$R$2:$AC$2,0))</f>
        <v>119.124152</v>
      </c>
      <c r="U19" s="189">
        <f>INDEX('18 KMP- Tháng'!$R$6:$AC$24,MATCH($A19,'18 KMP- Tháng'!$A$6:$A$24,0),MATCH(U$7,'18 KMP- Tháng'!$R$2:$AC$2,0))</f>
        <v>121.11321599999999</v>
      </c>
      <c r="V19" s="189">
        <f>INDEX('18 KMP- Tháng'!$R$6:$AC$24,MATCH($A19,'18 KMP- Tháng'!$A$6:$A$24,0),MATCH(V$7,'18 KMP- Tháng'!$R$2:$AC$2,0))</f>
        <v>108.694152</v>
      </c>
      <c r="W19" s="189">
        <f>INDEX('18 KMP- Tháng'!$R$6:$AC$24,MATCH($A19,'18 KMP- Tháng'!$A$6:$A$24,0),MATCH(W$7,'18 KMP- Tháng'!$R$2:$AC$2,0))</f>
        <v>114.626288</v>
      </c>
      <c r="X19" s="189">
        <f>INDEX('18 KMP- Tháng'!$R$6:$AC$24,MATCH($A19,'18 KMP- Tháng'!$A$6:$A$24,0),MATCH(X$7,'18 KMP- Tháng'!$R$2:$AC$2,0))</f>
        <v>91.745695999999995</v>
      </c>
      <c r="Y19" s="189">
        <f>INDEX('18 KMP- Tháng'!$R$6:$AC$24,MATCH($A19,'18 KMP- Tháng'!$A$6:$A$24,0),MATCH(Y$7,'18 KMP- Tháng'!$R$2:$AC$2,0))</f>
        <v>93.112375999999998</v>
      </c>
      <c r="Z19" s="189">
        <f>INDEX('18 KMP- Tháng'!$R$6:$AC$24,MATCH($A19,'18 KMP- Tháng'!$A$6:$A$24,0),MATCH(Z$7,'18 KMP- Tháng'!$R$2:$AC$2,0))</f>
        <v>86.641295999999997</v>
      </c>
      <c r="AA19" s="189">
        <f>INDEX('18 KMP- Tháng'!$R$6:$AC$24,MATCH($A19,'18 KMP- Tháng'!$A$6:$A$24,0),MATCH(AA$7,'18 KMP- Tháng'!$R$2:$AC$2,0))</f>
        <v>106.1704</v>
      </c>
      <c r="AB19" s="189">
        <f>INDEX('18 KMP- Tháng'!$R$6:$AC$24,MATCH($A19,'18 KMP- Tháng'!$A$6:$A$24,0),MATCH(AB$7,'18 KMP- Tháng'!$R$2:$AC$2,0))</f>
        <v>120.841448</v>
      </c>
      <c r="AC19" s="344">
        <f>INDEX('18 KMP- Tháng'!$R$6:$AC$24,MATCH($A19,'18 KMP- Tháng'!$A$6:$A$24,0),MATCH(AC$7,'18 KMP- Tháng'!$R$2:$AC$2,0))</f>
        <v>105.80516799999999</v>
      </c>
      <c r="AD19" s="362">
        <f t="shared" si="10"/>
        <v>105.78491216666667</v>
      </c>
      <c r="AE19" s="353">
        <f>INDEX('18 KMP- Tháng'!$AF$6:$AQ$29,MATCH($A19,'18 KMP- Tháng'!$A$6:$A$29,0),MATCH(AE$7,'18 KMP- Tháng'!$AF$2:$AQ$2,0))</f>
        <v>79.404359999999997</v>
      </c>
      <c r="AF19" s="189">
        <f>INDEX('18 KMP- Tháng'!$AF$6:$AQ$29,MATCH($A19,'18 KMP- Tháng'!$A$6:$A$29,0),MATCH(AF$7,'18 KMP- Tháng'!$AF$2:$AQ$2,0))</f>
        <v>119.94136</v>
      </c>
      <c r="AG19" s="189">
        <f>INDEX('18 KMP- Tháng'!$AF$6:$AQ$29,MATCH($A19,'18 KMP- Tháng'!$A$6:$A$29,0),MATCH(AG$7,'18 KMP- Tháng'!$AF$2:$AQ$2,0))</f>
        <v>104.151656</v>
      </c>
      <c r="AH19" s="189">
        <f>INDEX('18 KMP- Tháng'!$AF$6:$AQ$29,MATCH($A19,'18 KMP- Tháng'!$A$6:$A$29,0),MATCH(AH$7,'18 KMP- Tháng'!$AF$2:$AQ$2,0))</f>
        <v>104.034672</v>
      </c>
      <c r="AI19" s="189">
        <f>INDEX('18 KMP- Tháng'!$AF$6:$AQ$29,MATCH($A19,'18 KMP- Tháng'!$A$6:$A$29,0),MATCH(AI$7,'18 KMP- Tháng'!$AF$2:$AQ$2,0))</f>
        <v>141.02373600000001</v>
      </c>
      <c r="AJ19" s="189">
        <f>INDEX('18 KMP- Tháng'!$AF$6:$AQ$29,MATCH($A19,'18 KMP- Tháng'!$A$6:$A$29,0),MATCH(AJ$7,'18 KMP- Tháng'!$AF$2:$AQ$2,0))</f>
        <v>134.20881600000001</v>
      </c>
      <c r="AK19" s="189">
        <f>INDEX('18 KMP- Tháng'!$AF$6:$AQ$29,MATCH($A19,'18 KMP- Tháng'!$A$6:$A$29,0),MATCH(AK$7,'18 KMP- Tháng'!$AF$2:$AQ$2,0))</f>
        <v>136.272808</v>
      </c>
      <c r="AL19" s="189">
        <f>INDEX('18 KMP- Tháng'!$AF$6:$AQ$29,MATCH($A19,'18 KMP- Tháng'!$A$6:$A$29,0),MATCH(AL$7,'18 KMP- Tháng'!$AF$2:$AQ$2,0))</f>
        <v>171.71912800000001</v>
      </c>
      <c r="AM19" s="189">
        <f>INDEX('18 KMP- Tháng'!$AF$6:$AQ$29,MATCH($A19,'18 KMP- Tháng'!$A$6:$A$29,0),MATCH(AM$7,'18 KMP- Tháng'!$AF$2:$AQ$2,0))</f>
        <v>145.613552</v>
      </c>
      <c r="AN19" s="189">
        <f>INDEX('18 KMP- Tháng'!$AF$6:$AQ$29,MATCH($A19,'18 KMP- Tháng'!$A$6:$A$29,0),MATCH(AN$7,'18 KMP- Tháng'!$AF$2:$AQ$2,0))</f>
        <v>151.58830399999999</v>
      </c>
      <c r="AO19" s="189">
        <f>INDEX('18 KMP- Tháng'!$AF$6:$AQ$29,MATCH($A19,'18 KMP- Tháng'!$A$6:$A$29,0),MATCH(AO$7,'18 KMP- Tháng'!$AF$2:$AQ$2,0))</f>
        <v>118.740104</v>
      </c>
      <c r="AP19" s="344">
        <f>INDEX('18 KMP- Tháng'!$AF$6:$AQ$29,MATCH($A19,'18 KMP- Tháng'!$A$6:$A$29,0),MATCH(AP$7,'18 KMP- Tháng'!$AF$2:$AQ$2,0))</f>
        <v>108.986192</v>
      </c>
      <c r="AQ19" s="583">
        <f t="shared" si="11"/>
        <v>126.30705733333333</v>
      </c>
      <c r="AR19" s="353">
        <f t="shared" si="12"/>
        <v>1515.6846880000001</v>
      </c>
      <c r="AS19" s="353">
        <f>INDEX('18 KMP- Tháng'!$BH$6:$BS$29,MATCH($A19,'18 KMP- Tháng'!$A$6:$A$29,0),MATCH(AS$7,'18 KMP- Tháng'!$BH$2:$BS$2,0))</f>
        <v>184.84066944000003</v>
      </c>
      <c r="AT19" s="189">
        <f>INDEX('18 KMP- Tháng'!$BH$6:$BS$29,MATCH($A19,'18 KMP- Tháng'!$A$6:$A$29,0),MATCH(AT$7,'18 KMP- Tháng'!$BH$2:$BS$2,0))</f>
        <v>143.01354816000003</v>
      </c>
      <c r="AU19" s="189">
        <f>INDEX('18 KMP- Tháng'!$BH$6:$BS$29,MATCH($A19,'18 KMP- Tháng'!$A$6:$A$29,0),MATCH(AU$7,'18 KMP- Tháng'!$BH$2:$BS$2,0))</f>
        <v>184.84066944000003</v>
      </c>
      <c r="AV19" s="189">
        <f>INDEX('18 KMP- Tháng'!$BH$6:$BS$29,MATCH($A19,'18 KMP- Tháng'!$A$6:$A$29,0),MATCH(AV$7,'18 KMP- Tháng'!$BH$2:$BS$2,0))</f>
        <v>185.1681384</v>
      </c>
      <c r="AW19" s="189">
        <f>INDEX('18 KMP- Tháng'!$BH$6:$BS$29,MATCH($A19,'18 KMP- Tháng'!$A$6:$A$29,0),MATCH(AW$7,'18 KMP- Tháng'!$BH$2:$BS$2,0))</f>
        <v>185.39188416000002</v>
      </c>
      <c r="AX19" s="189">
        <f>INDEX('18 KMP- Tháng'!$BH$6:$BS$29,MATCH($A19,'18 KMP- Tháng'!$A$6:$A$29,0),MATCH(AX$7,'18 KMP- Tháng'!$BH$2:$BS$2,0))</f>
        <v>185.1681384</v>
      </c>
      <c r="AY19" s="189">
        <f>INDEX('18 KMP- Tháng'!$BH$6:$BS$29,MATCH($A19,'18 KMP- Tháng'!$A$6:$A$29,0),MATCH(AY$7,'18 KMP- Tháng'!$BH$2:$BS$2,0))</f>
        <v>188.51543424000008</v>
      </c>
      <c r="AZ19" s="189">
        <f>INDEX('18 KMP- Tháng'!$BH$6:$BS$29,MATCH($A19,'18 KMP- Tháng'!$A$6:$A$29,0),MATCH(AZ$7,'18 KMP- Tháng'!$BH$2:$BS$2,0))</f>
        <v>188.51543424000008</v>
      </c>
      <c r="BA19" s="189">
        <f>INDEX('18 KMP- Tháng'!$BH$6:$BS$29,MATCH($A19,'18 KMP- Tháng'!$A$6:$A$29,0),MATCH(BA$7,'18 KMP- Tháng'!$BH$2:$BS$2,0))</f>
        <v>188.90217360000003</v>
      </c>
      <c r="BB19" s="189">
        <f>INDEX('18 KMP- Tháng'!$BH$6:$BS$29,MATCH($A19,'18 KMP- Tháng'!$A$6:$A$29,0),MATCH(BB$7,'18 KMP- Tháng'!$BH$2:$BS$2,0))</f>
        <v>187.59674304000006</v>
      </c>
      <c r="BC19" s="189">
        <f>INDEX('18 KMP- Tháng'!$BH$6:$BS$29,MATCH($A19,'18 KMP- Tháng'!$A$6:$A$29,0),MATCH(BC$7,'18 KMP- Tháng'!$BH$2:$BS$2,0))</f>
        <v>189.25779600000001</v>
      </c>
      <c r="BD19" s="344">
        <f>INDEX('18 KMP- Tháng'!$BH$6:$BS$29,MATCH($A19,'18 KMP- Tháng'!$A$6:$A$29,0),MATCH(BD$7,'18 KMP- Tháng'!$BH$2:$BS$2,0))</f>
        <v>187.59674304000006</v>
      </c>
      <c r="BE19" s="362">
        <f t="shared" si="8"/>
        <v>183.23394768000003</v>
      </c>
      <c r="BF19" s="353">
        <f>INDEX('18 KMP- Tháng'!$AS$6:$BD$29,MATCH($A19,'18 KMP- Tháng'!$A$6:$A$29,0),MATCH(BF$7,'18 KMP- Tháng'!$AS$2:$BD$2,0))</f>
        <v>97.199703999999997</v>
      </c>
      <c r="BG19" s="189">
        <f>INDEX('18 KMP- Tháng'!$AS$6:$BD$29,MATCH($A19,'18 KMP- Tháng'!$A$6:$A$29,0),MATCH(BG$7,'18 KMP- Tháng'!$AS$2:$BD$2,0))</f>
        <v>70.051295999999994</v>
      </c>
      <c r="BH19" s="189">
        <f>INDEX('18 KMP- Tháng'!$AS$6:$BD$29,MATCH($A19,'18 KMP- Tháng'!$A$6:$A$29,0),MATCH(BH$7,'18 KMP- Tháng'!$AS$2:$BD$2,0))</f>
        <v>90.323352</v>
      </c>
      <c r="BI19" s="189">
        <f>INDEX('18 KMP- Tháng'!$AS$6:$BD$29,MATCH($A19,'18 KMP- Tháng'!$A$6:$A$29,0),MATCH(BI$7,'18 KMP- Tháng'!$AS$2:$BD$2,0))</f>
        <v>105.708792</v>
      </c>
      <c r="BJ19" s="189">
        <f>INDEX('18 KMP- Tháng'!$AS$6:$BD$29,MATCH($A19,'18 KMP- Tháng'!$A$6:$A$29,0),MATCH(BJ$7,'18 KMP- Tháng'!$AS$2:$BD$2,0))</f>
        <v>105.29355200000001</v>
      </c>
      <c r="BK19" s="189">
        <f>INDEX('18 KMP- Tháng'!$AS$6:$BD$29,MATCH($A19,'18 KMP- Tháng'!$A$6:$A$29,0),MATCH(BK$7,'18 KMP- Tháng'!$AS$2:$BD$2,0))</f>
        <v>0</v>
      </c>
      <c r="BL19" s="189">
        <f>INDEX('18 KMP- Tháng'!$AS$6:$BD$29,MATCH($A19,'18 KMP- Tháng'!$A$6:$A$29,0),MATCH(BL$7,'18 KMP- Tháng'!$AS$2:$BD$2,0))</f>
        <v>0</v>
      </c>
      <c r="BM19" s="189">
        <f>INDEX('18 KMP- Tháng'!$AS$6:$BD$29,MATCH($A19,'18 KMP- Tháng'!$A$6:$A$29,0),MATCH(BM$7,'18 KMP- Tháng'!$AS$2:$BD$2,0))</f>
        <v>0</v>
      </c>
      <c r="BN19" s="189">
        <f>INDEX('18 KMP- Tháng'!$AS$6:$BD$29,MATCH($A19,'18 KMP- Tháng'!$A$6:$A$29,0),MATCH(BN$7,'18 KMP- Tháng'!$AS$2:$BD$2,0))</f>
        <v>0</v>
      </c>
      <c r="BO19" s="189">
        <f>INDEX('18 KMP- Tháng'!$AS$6:$BD$29,MATCH($A19,'18 KMP- Tháng'!$A$6:$A$29,0),MATCH(BO$7,'18 KMP- Tháng'!$AS$2:$BD$2,0))</f>
        <v>0</v>
      </c>
      <c r="BP19" s="189">
        <f>INDEX('18 KMP- Tháng'!$AS$6:$BD$29,MATCH($A19,'18 KMP- Tháng'!$A$6:$A$29,0),MATCH(BP$7,'18 KMP- Tháng'!$AS$2:$BD$2,0))</f>
        <v>0</v>
      </c>
      <c r="BQ19" s="344">
        <f>INDEX('18 KMP- Tháng'!$AS$6:$BD$29,MATCH($A19,'18 KMP- Tháng'!$A$6:$A$29,0),MATCH(BQ$7,'18 KMP- Tháng'!$AS$2:$BD$2,0))</f>
        <v>0</v>
      </c>
      <c r="BR19" s="583">
        <f t="shared" si="13"/>
        <v>93.715339199999988</v>
      </c>
      <c r="BS19" s="353">
        <f t="shared" si="14"/>
        <v>468.57669599999997</v>
      </c>
      <c r="BT19" s="184">
        <f t="shared" si="9"/>
        <v>-0.47414330247515479</v>
      </c>
      <c r="BU19" s="190">
        <f t="shared" si="6"/>
        <v>1.0290208882494556E-3</v>
      </c>
      <c r="BV19" s="648"/>
      <c r="BW19" s="648"/>
      <c r="BX19" s="648"/>
      <c r="BY19" s="648"/>
      <c r="BZ19" s="648"/>
      <c r="CA19" s="648"/>
      <c r="CB19" s="648"/>
      <c r="CD19" s="158"/>
      <c r="CE19" s="158"/>
      <c r="CF19" s="158"/>
      <c r="CG19" s="158"/>
      <c r="CH19" s="158"/>
      <c r="CI19" s="158"/>
      <c r="CJ19" s="158"/>
      <c r="CK19" s="158"/>
      <c r="CL19" s="158"/>
      <c r="CM19" s="158"/>
      <c r="CN19" s="158"/>
    </row>
    <row r="20" spans="1:92" s="186" customFormat="1" x14ac:dyDescent="0.3">
      <c r="A20" s="174">
        <v>14</v>
      </c>
      <c r="B20" s="187">
        <f t="shared" si="15"/>
        <v>11</v>
      </c>
      <c r="C20" s="193" t="s">
        <v>96</v>
      </c>
      <c r="D20" s="193" t="s">
        <v>55</v>
      </c>
      <c r="E20" s="194">
        <f>INDEX('18 KMP- Tháng'!$E$6:$Q$29,MATCH($A20,'18 KMP- Tháng'!$A$6:$A$29,0),MATCH(E$7,'18 KMP- Tháng'!$E$2:$P$2,0))</f>
        <v>0</v>
      </c>
      <c r="F20" s="194">
        <f>INDEX('18 KMP- Tháng'!$E$6:$Q$29,MATCH($A20,'18 KMP- Tháng'!$A$6:$A$29,0),MATCH(F$7,'18 KMP- Tháng'!$E$2:$P$2,0))</f>
        <v>0</v>
      </c>
      <c r="G20" s="194">
        <f>INDEX('18 KMP- Tháng'!$E$6:$Q$29,MATCH($A20,'18 KMP- Tháng'!$A$6:$A$29,0),MATCH(G$7,'18 KMP- Tháng'!$E$2:$P$2,0))</f>
        <v>0</v>
      </c>
      <c r="H20" s="194">
        <f>INDEX('18 KMP- Tháng'!$E$6:$Q$29,MATCH($A20,'18 KMP- Tháng'!$A$6:$A$29,0),MATCH(H$7,'18 KMP- Tháng'!$E$2:$P$2,0))</f>
        <v>81.42</v>
      </c>
      <c r="I20" s="194">
        <f>INDEX('18 KMP- Tháng'!$E$6:$Q$29,MATCH($A20,'18 KMP- Tháng'!$A$6:$A$29,0),MATCH(I$7,'18 KMP- Tháng'!$E$2:$P$2,0))</f>
        <v>54.022096999999995</v>
      </c>
      <c r="J20" s="194">
        <f>INDEX('18 KMP- Tháng'!$E$6:$Q$29,MATCH($A20,'18 KMP- Tháng'!$A$6:$A$29,0),MATCH(J$7,'18 KMP- Tháng'!$E$2:$P$2,0))</f>
        <v>61.597110999999998</v>
      </c>
      <c r="K20" s="194">
        <f>INDEX('18 KMP- Tháng'!$E$6:$Q$29,MATCH($A20,'18 KMP- Tháng'!$A$6:$A$29,0),MATCH(K$7,'18 KMP- Tháng'!$E$2:$P$2,0))</f>
        <v>33.630000000000003</v>
      </c>
      <c r="L20" s="194">
        <f>INDEX('18 KMP- Tháng'!$E$6:$Q$29,MATCH($A20,'18 KMP- Tháng'!$A$6:$A$29,0),MATCH(L$7,'18 KMP- Tháng'!$E$2:$P$2,0))</f>
        <v>68.504600000000011</v>
      </c>
      <c r="M20" s="194">
        <f>INDEX('18 KMP- Tháng'!$E$6:$Q$29,MATCH($A20,'18 KMP- Tháng'!$A$6:$A$29,0),MATCH(M$7,'18 KMP- Tháng'!$E$2:$P$2,0))</f>
        <v>44.922600000000003</v>
      </c>
      <c r="N20" s="194">
        <f>INDEX('18 KMP- Tháng'!$E$6:$Q$29,MATCH($A20,'18 KMP- Tháng'!$A$6:$A$29,0),MATCH(N$7,'18 KMP- Tháng'!$E$2:$P$2,0))</f>
        <v>0</v>
      </c>
      <c r="O20" s="194">
        <f>INDEX('18 KMP- Tháng'!$E$6:$Q$29,MATCH($A20,'18 KMP- Tháng'!$A$6:$A$29,0),MATCH(O$7,'18 KMP- Tháng'!$E$2:$P$2,0))</f>
        <v>22.420062999999999</v>
      </c>
      <c r="P20" s="345">
        <f>INDEX('18 KMP- Tháng'!$E$6:$Q$29,MATCH($A20,'18 KMP- Tháng'!$A$6:$A$29,0),MATCH(P$7,'18 KMP- Tháng'!$E$2:$P$2,0))</f>
        <v>0.13513700000000001</v>
      </c>
      <c r="Q20" s="363">
        <f t="shared" si="7"/>
        <v>30.554300666666666</v>
      </c>
      <c r="R20" s="194">
        <f>INDEX('18 KMP- Tháng'!$R$6:$AC$24,MATCH($A20,'18 KMP- Tháng'!$A$6:$A$24,0),MATCH(R$7,'18 KMP- Tháng'!$R$2:$AC$2,0))</f>
        <v>22.973268999999998</v>
      </c>
      <c r="S20" s="194">
        <f>INDEX('18 KMP- Tháng'!$R$6:$AC$24,MATCH($A20,'18 KMP- Tháng'!$A$6:$A$24,0),MATCH(S$7,'18 KMP- Tháng'!$R$2:$AC$2,0))</f>
        <v>0</v>
      </c>
      <c r="T20" s="194">
        <f>INDEX('18 KMP- Tháng'!$R$6:$AC$24,MATCH($A20,'18 KMP- Tháng'!$A$6:$A$24,0),MATCH(T$7,'18 KMP- Tháng'!$R$2:$AC$2,0))</f>
        <v>23.045940000000002</v>
      </c>
      <c r="U20" s="194">
        <f>INDEX('18 KMP- Tháng'!$R$6:$AC$24,MATCH($A20,'18 KMP- Tháng'!$A$6:$A$24,0),MATCH(U$7,'18 KMP- Tháng'!$R$2:$AC$2,0))</f>
        <v>0</v>
      </c>
      <c r="V20" s="194">
        <f>INDEX('18 KMP- Tháng'!$R$6:$AC$24,MATCH($A20,'18 KMP- Tháng'!$A$6:$A$24,0),MATCH(V$7,'18 KMP- Tháng'!$R$2:$AC$2,0))</f>
        <v>0</v>
      </c>
      <c r="W20" s="194">
        <f>INDEX('18 KMP- Tháng'!$R$6:$AC$24,MATCH($A20,'18 KMP- Tháng'!$A$6:$A$24,0),MATCH(W$7,'18 KMP- Tháng'!$R$2:$AC$2,0))</f>
        <v>10.511874000000001</v>
      </c>
      <c r="X20" s="194">
        <f>INDEX('18 KMP- Tháng'!$R$6:$AC$24,MATCH($A20,'18 KMP- Tháng'!$A$6:$A$24,0),MATCH(X$7,'18 KMP- Tháng'!$R$2:$AC$2,0))</f>
        <v>20.243397999999999</v>
      </c>
      <c r="Y20" s="194">
        <f>INDEX('18 KMP- Tháng'!$R$6:$AC$24,MATCH($A20,'18 KMP- Tháng'!$A$6:$A$24,0),MATCH(Y$7,'18 KMP- Tháng'!$R$2:$AC$2,0))</f>
        <v>29.591062000000001</v>
      </c>
      <c r="Z20" s="194">
        <f>INDEX('18 KMP- Tháng'!$R$6:$AC$24,MATCH($A20,'18 KMP- Tháng'!$A$6:$A$24,0),MATCH(Z$7,'18 KMP- Tháng'!$R$2:$AC$2,0))</f>
        <v>0.11293499999999999</v>
      </c>
      <c r="AA20" s="194">
        <f>INDEX('18 KMP- Tháng'!$R$6:$AC$24,MATCH($A20,'18 KMP- Tháng'!$A$6:$A$24,0),MATCH(AA$7,'18 KMP- Tháng'!$R$2:$AC$2,0))</f>
        <v>40.229782999999998</v>
      </c>
      <c r="AB20" s="194">
        <f>INDEX('18 KMP- Tháng'!$R$6:$AC$24,MATCH($A20,'18 KMP- Tháng'!$A$6:$A$24,0),MATCH(AB$7,'18 KMP- Tháng'!$R$2:$AC$2,0))</f>
        <v>11.25</v>
      </c>
      <c r="AC20" s="345">
        <f>INDEX('18 KMP- Tháng'!$R$6:$AC$24,MATCH($A20,'18 KMP- Tháng'!$A$6:$A$24,0),MATCH(AC$7,'18 KMP- Tháng'!$R$2:$AC$2,0))</f>
        <v>7.5</v>
      </c>
      <c r="AD20" s="363">
        <f t="shared" si="10"/>
        <v>13.788188416666666</v>
      </c>
      <c r="AE20" s="354">
        <f>INDEX('18 KMP- Tháng'!$AF$6:$AQ$29,MATCH($A20,'18 KMP- Tháng'!$A$6:$A$29,0),MATCH(AE$7,'18 KMP- Tháng'!$AF$2:$AQ$2,0))</f>
        <v>69.350499999999997</v>
      </c>
      <c r="AF20" s="194">
        <f>INDEX('18 KMP- Tháng'!$AF$6:$AQ$29,MATCH($A20,'18 KMP- Tháng'!$A$6:$A$29,0),MATCH(AF$7,'18 KMP- Tháng'!$AF$2:$AQ$2,0))</f>
        <v>24.741620000000001</v>
      </c>
      <c r="AG20" s="194">
        <f>INDEX('18 KMP- Tháng'!$AF$6:$AQ$29,MATCH($A20,'18 KMP- Tháng'!$A$6:$A$29,0),MATCH(AG$7,'18 KMP- Tháng'!$AF$2:$AQ$2,0))</f>
        <v>27.060865</v>
      </c>
      <c r="AH20" s="194">
        <f>INDEX('18 KMP- Tháng'!$AF$6:$AQ$29,MATCH($A20,'18 KMP- Tháng'!$A$6:$A$29,0),MATCH(AH$7,'18 KMP- Tháng'!$AF$2:$AQ$2,0))</f>
        <v>59.404617999999999</v>
      </c>
      <c r="AI20" s="194">
        <f>INDEX('18 KMP- Tháng'!$AF$6:$AQ$29,MATCH($A20,'18 KMP- Tháng'!$A$6:$A$29,0),MATCH(AI$7,'18 KMP- Tháng'!$AF$2:$AQ$2,0))</f>
        <v>64.824844999999996</v>
      </c>
      <c r="AJ20" s="194">
        <f>INDEX('18 KMP- Tháng'!$AF$6:$AQ$29,MATCH($A20,'18 KMP- Tháng'!$A$6:$A$29,0),MATCH(AJ$7,'18 KMP- Tháng'!$AF$2:$AQ$2,0))</f>
        <v>51.009450999999999</v>
      </c>
      <c r="AK20" s="194">
        <f>INDEX('18 KMP- Tháng'!$AF$6:$AQ$29,MATCH($A20,'18 KMP- Tháng'!$A$6:$A$29,0),MATCH(AK$7,'18 KMP- Tháng'!$AF$2:$AQ$2,0))</f>
        <v>0.13318199999999999</v>
      </c>
      <c r="AL20" s="194">
        <f>INDEX('18 KMP- Tháng'!$AF$6:$AQ$29,MATCH($A20,'18 KMP- Tháng'!$A$6:$A$29,0),MATCH(AL$7,'18 KMP- Tháng'!$AF$2:$AQ$2,0))</f>
        <v>22.427802</v>
      </c>
      <c r="AM20" s="194">
        <f>INDEX('18 KMP- Tháng'!$AF$6:$AQ$29,MATCH($A20,'18 KMP- Tháng'!$A$6:$A$29,0),MATCH(AM$7,'18 KMP- Tháng'!$AF$2:$AQ$2,0))</f>
        <v>103.48003300000001</v>
      </c>
      <c r="AN20" s="194">
        <f>INDEX('18 KMP- Tháng'!$AF$6:$AQ$29,MATCH($A20,'18 KMP- Tháng'!$A$6:$A$29,0),MATCH(AN$7,'18 KMP- Tháng'!$AF$2:$AQ$2,0))</f>
        <v>147.881586</v>
      </c>
      <c r="AO20" s="194">
        <f>INDEX('18 KMP- Tháng'!$AF$6:$AQ$29,MATCH($A20,'18 KMP- Tháng'!$A$6:$A$29,0),MATCH(AO$7,'18 KMP- Tháng'!$AF$2:$AQ$2,0))</f>
        <v>106.00182599999999</v>
      </c>
      <c r="AP20" s="345">
        <f>INDEX('18 KMP- Tháng'!$AF$6:$AQ$29,MATCH($A20,'18 KMP- Tháng'!$A$6:$A$29,0),MATCH(AP$7,'18 KMP- Tháng'!$AF$2:$AQ$2,0))</f>
        <v>124.927651</v>
      </c>
      <c r="AQ20" s="363">
        <f t="shared" si="11"/>
        <v>66.770331583333316</v>
      </c>
      <c r="AR20" s="354">
        <f t="shared" si="12"/>
        <v>801.24397899999985</v>
      </c>
      <c r="AS20" s="354">
        <f>INDEX('18 KMP- Tháng'!$BH$6:$BS$29,MATCH($A20,'18 KMP- Tháng'!$A$6:$A$29,0),MATCH(AS$7,'18 KMP- Tháng'!$BH$2:$BS$2,0))</f>
        <v>55.069493307236243</v>
      </c>
      <c r="AT20" s="194">
        <f>INDEX('18 KMP- Tháng'!$BH$6:$BS$29,MATCH($A20,'18 KMP- Tháng'!$A$6:$A$29,0),MATCH(AT$7,'18 KMP- Tháng'!$BH$2:$BS$2,0))</f>
        <v>47.074623377166319</v>
      </c>
      <c r="AU20" s="194">
        <f>INDEX('18 KMP- Tháng'!$BH$6:$BS$29,MATCH($A20,'18 KMP- Tháng'!$A$6:$A$29,0),MATCH(AU$7,'18 KMP- Tháng'!$BH$2:$BS$2,0))</f>
        <v>49.856552724992397</v>
      </c>
      <c r="AV20" s="194">
        <f>INDEX('18 KMP- Tháng'!$BH$6:$BS$29,MATCH($A20,'18 KMP- Tháng'!$A$6:$A$29,0),MATCH(AV$7,'18 KMP- Tháng'!$BH$2:$BS$2,0))</f>
        <v>57.851422655062336</v>
      </c>
      <c r="AW20" s="194">
        <f>INDEX('18 KMP- Tháng'!$BH$6:$BS$29,MATCH($A20,'18 KMP- Tháng'!$A$6:$A$29,0),MATCH(AW$7,'18 KMP- Tháng'!$BH$2:$BS$2,0))</f>
        <v>49.856552724992397</v>
      </c>
      <c r="AX20" s="194">
        <f>INDEX('18 KMP- Tháng'!$BH$6:$BS$29,MATCH($A20,'18 KMP- Tháng'!$A$6:$A$29,0),MATCH(AX$7,'18 KMP- Tháng'!$BH$2:$BS$2,0))</f>
        <v>80.620526828063248</v>
      </c>
      <c r="AY20" s="194">
        <f>INDEX('18 KMP- Tháng'!$BH$6:$BS$29,MATCH($A20,'18 KMP- Tháng'!$A$6:$A$29,0),MATCH(AY$7,'18 KMP- Tháng'!$BH$2:$BS$2,0))</f>
        <v>59.242387328975376</v>
      </c>
      <c r="AZ20" s="194">
        <f>INDEX('18 KMP- Tháng'!$BH$6:$BS$29,MATCH($A20,'18 KMP- Tháng'!$A$6:$A$29,0),MATCH(AZ$7,'18 KMP- Tháng'!$BH$2:$BS$2,0))</f>
        <v>54.02944674673153</v>
      </c>
      <c r="BA20" s="194">
        <f>INDEX('18 KMP- Tháng'!$BH$6:$BS$29,MATCH($A20,'18 KMP- Tháng'!$A$6:$A$29,0),MATCH(BA$7,'18 KMP- Tháng'!$BH$2:$BS$2,0))</f>
        <v>79.229562154150202</v>
      </c>
      <c r="BB20" s="194">
        <f>INDEX('18 KMP- Tháng'!$BH$6:$BS$29,MATCH($A20,'18 KMP- Tháng'!$A$6:$A$29,0),MATCH(BB$7,'18 KMP- Tháng'!$BH$2:$BS$2,0))</f>
        <v>62.024316676801462</v>
      </c>
      <c r="BC20" s="194">
        <f>INDEX('18 KMP- Tháng'!$BH$6:$BS$29,MATCH($A20,'18 KMP- Tháng'!$A$6:$A$29,0),MATCH(BC$7,'18 KMP- Tháng'!$BH$2:$BS$2,0))</f>
        <v>51.247517398905444</v>
      </c>
      <c r="BD20" s="345">
        <f>INDEX('18 KMP- Tháng'!$BH$6:$BS$29,MATCH($A20,'18 KMP- Tháng'!$A$6:$A$29,0),MATCH(BD$7,'18 KMP- Tháng'!$BH$2:$BS$2,0))</f>
        <v>54.02944674673153</v>
      </c>
      <c r="BE20" s="363">
        <f t="shared" si="8"/>
        <v>58.344320722484042</v>
      </c>
      <c r="BF20" s="354">
        <f>INDEX('18 KMP- Tháng'!$AS$6:$BD$29,MATCH($A20,'18 KMP- Tháng'!$A$6:$A$29,0),MATCH(BF$7,'18 KMP- Tháng'!$AS$2:$BD$2,0))</f>
        <v>120.08</v>
      </c>
      <c r="BG20" s="194">
        <f>INDEX('18 KMP- Tháng'!$AS$6:$BD$29,MATCH($A20,'18 KMP- Tháng'!$A$6:$A$29,0),MATCH(BG$7,'18 KMP- Tháng'!$AS$2:$BD$2,0))</f>
        <v>39.67</v>
      </c>
      <c r="BH20" s="194">
        <f>INDEX('18 KMP- Tháng'!$AS$6:$BD$29,MATCH($A20,'18 KMP- Tháng'!$A$6:$A$29,0),MATCH(BH$7,'18 KMP- Tháng'!$AS$2:$BD$2,0))</f>
        <v>199.763631</v>
      </c>
      <c r="BI20" s="194">
        <f>INDEX('18 KMP- Tháng'!$AS$6:$BD$29,MATCH($A20,'18 KMP- Tháng'!$A$6:$A$29,0),MATCH(BI$7,'18 KMP- Tháng'!$AS$2:$BD$2,0))</f>
        <v>40.458143</v>
      </c>
      <c r="BJ20" s="194">
        <f>INDEX('18 KMP- Tháng'!$AS$6:$BD$29,MATCH($A20,'18 KMP- Tháng'!$A$6:$A$29,0),MATCH(BJ$7,'18 KMP- Tháng'!$AS$2:$BD$2,0))</f>
        <v>2.6549999999999998</v>
      </c>
      <c r="BK20" s="194">
        <f>INDEX('18 KMP- Tháng'!$AS$6:$BD$29,MATCH($A20,'18 KMP- Tháng'!$A$6:$A$29,0),MATCH(BK$7,'18 KMP- Tháng'!$AS$2:$BD$2,0))</f>
        <v>0</v>
      </c>
      <c r="BL20" s="194">
        <f>INDEX('18 KMP- Tháng'!$AS$6:$BD$29,MATCH($A20,'18 KMP- Tháng'!$A$6:$A$29,0),MATCH(BL$7,'18 KMP- Tháng'!$AS$2:$BD$2,0))</f>
        <v>0</v>
      </c>
      <c r="BM20" s="194">
        <f>INDEX('18 KMP- Tháng'!$AS$6:$BD$29,MATCH($A20,'18 KMP- Tháng'!$A$6:$A$29,0),MATCH(BM$7,'18 KMP- Tháng'!$AS$2:$BD$2,0))</f>
        <v>0</v>
      </c>
      <c r="BN20" s="194">
        <f>INDEX('18 KMP- Tháng'!$AS$6:$BD$29,MATCH($A20,'18 KMP- Tháng'!$A$6:$A$29,0),MATCH(BN$7,'18 KMP- Tháng'!$AS$2:$BD$2,0))</f>
        <v>0</v>
      </c>
      <c r="BO20" s="194">
        <f>INDEX('18 KMP- Tháng'!$AS$6:$BD$29,MATCH($A20,'18 KMP- Tháng'!$A$6:$A$29,0),MATCH(BO$7,'18 KMP- Tháng'!$AS$2:$BD$2,0))</f>
        <v>0</v>
      </c>
      <c r="BP20" s="194">
        <f>INDEX('18 KMP- Tháng'!$AS$6:$BD$29,MATCH($A20,'18 KMP- Tháng'!$A$6:$A$29,0),MATCH(BP$7,'18 KMP- Tháng'!$AS$2:$BD$2,0))</f>
        <v>0</v>
      </c>
      <c r="BQ20" s="345">
        <f>INDEX('18 KMP- Tháng'!$AS$6:$BD$29,MATCH($A20,'18 KMP- Tháng'!$A$6:$A$29,0),MATCH(BQ$7,'18 KMP- Tháng'!$AS$2:$BD$2,0))</f>
        <v>0</v>
      </c>
      <c r="BR20" s="363">
        <f t="shared" si="13"/>
        <v>80.525354800000002</v>
      </c>
      <c r="BS20" s="354">
        <f t="shared" si="14"/>
        <v>402.62677400000001</v>
      </c>
      <c r="BT20" s="184">
        <f t="shared" si="9"/>
        <v>1.1805176112673847</v>
      </c>
      <c r="BU20" s="195">
        <f t="shared" si="6"/>
        <v>8.8419113487985511E-4</v>
      </c>
      <c r="BV20" s="651"/>
      <c r="BW20" s="651"/>
      <c r="BX20" s="651"/>
      <c r="BY20" s="652"/>
      <c r="BZ20" s="652"/>
      <c r="CA20" s="652"/>
      <c r="CB20" s="652"/>
      <c r="CD20" s="158"/>
      <c r="CE20" s="158"/>
      <c r="CF20" s="158"/>
      <c r="CG20" s="158"/>
      <c r="CH20" s="158"/>
      <c r="CI20" s="158"/>
      <c r="CJ20" s="158"/>
      <c r="CK20" s="158"/>
      <c r="CL20" s="158"/>
      <c r="CM20" s="158"/>
      <c r="CN20" s="158"/>
    </row>
    <row r="21" spans="1:92" s="176" customFormat="1" x14ac:dyDescent="0.3">
      <c r="A21" s="174">
        <v>15</v>
      </c>
      <c r="B21" s="175" t="s">
        <v>164</v>
      </c>
      <c r="D21" s="177" t="s">
        <v>165</v>
      </c>
      <c r="E21" s="178">
        <f t="shared" ref="E21:Q21" si="16">SUM(E22:E28)</f>
        <v>12541.129863</v>
      </c>
      <c r="F21" s="178">
        <f t="shared" si="16"/>
        <v>12863.679181</v>
      </c>
      <c r="G21" s="178">
        <f t="shared" si="16"/>
        <v>13575.679185999998</v>
      </c>
      <c r="H21" s="178">
        <f t="shared" si="16"/>
        <v>12209.182043000001</v>
      </c>
      <c r="I21" s="178">
        <f t="shared" si="16"/>
        <v>12913.786542000002</v>
      </c>
      <c r="J21" s="178">
        <f t="shared" si="16"/>
        <v>13045.400177000001</v>
      </c>
      <c r="K21" s="178">
        <f t="shared" si="16"/>
        <v>13363.306664</v>
      </c>
      <c r="L21" s="178">
        <f t="shared" si="16"/>
        <v>13997.30572</v>
      </c>
      <c r="M21" s="178">
        <f t="shared" si="16"/>
        <v>12413.109417000001</v>
      </c>
      <c r="N21" s="178">
        <f t="shared" si="16"/>
        <v>12710.425177000001</v>
      </c>
      <c r="O21" s="178">
        <f t="shared" si="16"/>
        <v>13296.455884000001</v>
      </c>
      <c r="P21" s="341">
        <f t="shared" si="16"/>
        <v>14569.423120999998</v>
      </c>
      <c r="Q21" s="359">
        <f t="shared" si="16"/>
        <v>13124.906914583336</v>
      </c>
      <c r="R21" s="178">
        <f>SUM(R22:R28)</f>
        <v>16093.306337333332</v>
      </c>
      <c r="S21" s="178">
        <f>SUM(S22:S28)</f>
        <v>17064.566925333333</v>
      </c>
      <c r="T21" s="178">
        <f>SUM(T22:T28)</f>
        <v>17612.31567133333</v>
      </c>
      <c r="U21" s="178">
        <f>SUM(U22:U28)</f>
        <v>18478.719161333334</v>
      </c>
      <c r="V21" s="178">
        <f>SUM(V22:V28)</f>
        <v>18904.73839633333</v>
      </c>
      <c r="W21" s="178">
        <f t="shared" ref="W21:BS21" si="17">SUM(W22:W28)</f>
        <v>18724.396763333334</v>
      </c>
      <c r="X21" s="178">
        <f t="shared" si="17"/>
        <v>18099.627335333331</v>
      </c>
      <c r="Y21" s="178">
        <f t="shared" si="17"/>
        <v>18570.879595333328</v>
      </c>
      <c r="Z21" s="178">
        <f t="shared" si="17"/>
        <v>19357.666160333334</v>
      </c>
      <c r="AA21" s="178">
        <f t="shared" si="17"/>
        <v>18937.979961333338</v>
      </c>
      <c r="AB21" s="178">
        <f t="shared" si="17"/>
        <v>19292.985916333331</v>
      </c>
      <c r="AC21" s="341">
        <f t="shared" si="17"/>
        <v>20977.40843333333</v>
      </c>
      <c r="AD21" s="359">
        <f t="shared" si="17"/>
        <v>18509.549221416666</v>
      </c>
      <c r="AE21" s="351">
        <f t="shared" ref="AE21:AR21" si="18">SUM(AE22:AE28)</f>
        <v>20813.615067999999</v>
      </c>
      <c r="AF21" s="178">
        <f t="shared" si="18"/>
        <v>20696.187830999996</v>
      </c>
      <c r="AG21" s="178">
        <f t="shared" si="18"/>
        <v>20893.437736999997</v>
      </c>
      <c r="AH21" s="178">
        <f t="shared" si="18"/>
        <v>21484.394274999999</v>
      </c>
      <c r="AI21" s="178">
        <f t="shared" si="18"/>
        <v>21786.465023999997</v>
      </c>
      <c r="AJ21" s="178">
        <f t="shared" si="18"/>
        <v>23151.796897</v>
      </c>
      <c r="AK21" s="178">
        <f t="shared" si="18"/>
        <v>24413.874725999998</v>
      </c>
      <c r="AL21" s="178">
        <f t="shared" si="18"/>
        <v>24316.448155999995</v>
      </c>
      <c r="AM21" s="178">
        <f t="shared" si="18"/>
        <v>25207.086142</v>
      </c>
      <c r="AN21" s="178">
        <f t="shared" si="18"/>
        <v>24452.726852</v>
      </c>
      <c r="AO21" s="178">
        <f t="shared" si="18"/>
        <v>23648.855660000001</v>
      </c>
      <c r="AP21" s="341">
        <f t="shared" si="18"/>
        <v>23786.58929</v>
      </c>
      <c r="AQ21" s="359">
        <f t="shared" si="18"/>
        <v>22887.623138166666</v>
      </c>
      <c r="AR21" s="351">
        <f t="shared" si="18"/>
        <v>274651.47765800002</v>
      </c>
      <c r="AS21" s="351">
        <f t="shared" ref="AS21:BE21" si="19">SUM(AS22:AS28)</f>
        <v>23204.854348416855</v>
      </c>
      <c r="AT21" s="178">
        <f t="shared" si="19"/>
        <v>22540.515395683349</v>
      </c>
      <c r="AU21" s="178">
        <f t="shared" si="19"/>
        <v>23401.286864831814</v>
      </c>
      <c r="AV21" s="178">
        <f t="shared" si="19"/>
        <v>24055.088265454066</v>
      </c>
      <c r="AW21" s="178">
        <f t="shared" si="19"/>
        <v>23449.121647002896</v>
      </c>
      <c r="AX21" s="178">
        <f t="shared" si="19"/>
        <v>24386.655013002204</v>
      </c>
      <c r="AY21" s="178">
        <f t="shared" si="19"/>
        <v>23953.249705077003</v>
      </c>
      <c r="AZ21" s="178">
        <f t="shared" si="19"/>
        <v>23739.78698392614</v>
      </c>
      <c r="BA21" s="178">
        <f t="shared" si="19"/>
        <v>24223.293341682853</v>
      </c>
      <c r="BB21" s="178">
        <f t="shared" si="19"/>
        <v>23680.047459681424</v>
      </c>
      <c r="BC21" s="178">
        <f t="shared" si="19"/>
        <v>23906.748608321472</v>
      </c>
      <c r="BD21" s="341">
        <f t="shared" si="19"/>
        <v>23855.839399464869</v>
      </c>
      <c r="BE21" s="359">
        <f t="shared" si="19"/>
        <v>23699.70725271208</v>
      </c>
      <c r="BF21" s="351">
        <f t="shared" si="17"/>
        <v>21530.251133999998</v>
      </c>
      <c r="BG21" s="178">
        <f t="shared" ref="BG21:BQ21" si="20">SUM(BG22:BG28)</f>
        <v>19860.72407</v>
      </c>
      <c r="BH21" s="178">
        <f t="shared" si="20"/>
        <v>17672.724596</v>
      </c>
      <c r="BI21" s="178">
        <f t="shared" si="20"/>
        <v>22068.459129000003</v>
      </c>
      <c r="BJ21" s="178">
        <f t="shared" si="20"/>
        <v>22050.850056000003</v>
      </c>
      <c r="BK21" s="178">
        <f t="shared" si="20"/>
        <v>0</v>
      </c>
      <c r="BL21" s="178">
        <f t="shared" si="20"/>
        <v>0</v>
      </c>
      <c r="BM21" s="178">
        <f t="shared" si="20"/>
        <v>0</v>
      </c>
      <c r="BN21" s="178">
        <f t="shared" si="20"/>
        <v>0</v>
      </c>
      <c r="BO21" s="178">
        <f t="shared" si="20"/>
        <v>0</v>
      </c>
      <c r="BP21" s="178">
        <f t="shared" si="20"/>
        <v>0</v>
      </c>
      <c r="BQ21" s="341">
        <f t="shared" si="20"/>
        <v>0</v>
      </c>
      <c r="BR21" s="359">
        <f t="shared" si="17"/>
        <v>20636.601796999999</v>
      </c>
      <c r="BS21" s="351">
        <f t="shared" si="17"/>
        <v>103183.00898499999</v>
      </c>
      <c r="BT21" s="179">
        <f t="shared" si="9"/>
        <v>-7.2166073066996295E-2</v>
      </c>
      <c r="BU21" s="180">
        <f t="shared" si="6"/>
        <v>0.2265957152038911</v>
      </c>
      <c r="BV21" s="644"/>
      <c r="BW21" s="644"/>
      <c r="BX21" s="644"/>
      <c r="BY21" s="644"/>
      <c r="BZ21" s="644"/>
      <c r="CA21" s="644"/>
      <c r="CB21" s="644"/>
      <c r="CD21" s="158"/>
      <c r="CE21" s="158"/>
      <c r="CF21" s="158"/>
      <c r="CG21" s="158"/>
      <c r="CH21" s="158"/>
      <c r="CI21" s="158"/>
      <c r="CJ21" s="158"/>
      <c r="CK21" s="158"/>
      <c r="CL21" s="158"/>
      <c r="CM21" s="158"/>
      <c r="CN21" s="158"/>
    </row>
    <row r="22" spans="1:92" s="186" customFormat="1" x14ac:dyDescent="0.3">
      <c r="A22" s="174">
        <v>16</v>
      </c>
      <c r="B22" s="181">
        <v>1</v>
      </c>
      <c r="C22" s="182" t="s">
        <v>97</v>
      </c>
      <c r="D22" s="182" t="s">
        <v>169</v>
      </c>
      <c r="E22" s="519">
        <f>INDEX('18 KMP- Tháng'!$E$6:$Q$29,MATCH($A22,'18 KMP- Tháng'!$A$6:$A$29,0),MATCH(E$7,'18 KMP- Tháng'!$E$2:$P$2,0))</f>
        <v>3029.1393939999998</v>
      </c>
      <c r="F22" s="183">
        <f>INDEX('18 KMP- Tháng'!$E$6:$Q$29,MATCH($A22,'18 KMP- Tháng'!$A$6:$A$29,0),MATCH(F$7,'18 KMP- Tháng'!$E$2:$P$2,0))</f>
        <v>3029.1393939999998</v>
      </c>
      <c r="G22" s="183">
        <f>INDEX('18 KMP- Tháng'!$E$6:$Q$29,MATCH($A22,'18 KMP- Tháng'!$A$6:$A$29,0),MATCH(G$7,'18 KMP- Tháng'!$E$2:$P$2,0))</f>
        <v>3029.1393939999998</v>
      </c>
      <c r="H22" s="183">
        <f>INDEX('18 KMP- Tháng'!$E$6:$Q$29,MATCH($A22,'18 KMP- Tháng'!$A$6:$A$29,0),MATCH(H$7,'18 KMP- Tháng'!$E$2:$P$2,0))</f>
        <v>1200</v>
      </c>
      <c r="I22" s="183">
        <f>INDEX('18 KMP- Tháng'!$E$6:$Q$29,MATCH($A22,'18 KMP- Tháng'!$A$6:$A$29,0),MATCH(I$7,'18 KMP- Tháng'!$E$2:$P$2,0))</f>
        <v>1381.636364</v>
      </c>
      <c r="J22" s="183">
        <f>INDEX('18 KMP- Tháng'!$E$6:$Q$29,MATCH($A22,'18 KMP- Tháng'!$A$6:$A$29,0),MATCH(J$7,'18 KMP- Tháng'!$E$2:$P$2,0))</f>
        <v>1317.818182</v>
      </c>
      <c r="K22" s="183">
        <f>INDEX('18 KMP- Tháng'!$E$6:$Q$29,MATCH($A22,'18 KMP- Tháng'!$A$6:$A$29,0),MATCH(K$7,'18 KMP- Tháng'!$E$2:$P$2,0))</f>
        <v>1317.818182</v>
      </c>
      <c r="L22" s="183">
        <f>INDEX('18 KMP- Tháng'!$E$6:$Q$29,MATCH($A22,'18 KMP- Tháng'!$A$6:$A$29,0),MATCH(L$7,'18 KMP- Tháng'!$E$2:$P$2,0))</f>
        <v>1179.4181819999999</v>
      </c>
      <c r="M22" s="183">
        <f>INDEX('18 KMP- Tháng'!$E$6:$Q$29,MATCH($A22,'18 KMP- Tháng'!$A$6:$A$29,0),MATCH(M$7,'18 KMP- Tháng'!$E$2:$P$2,0))</f>
        <v>0</v>
      </c>
      <c r="N22" s="183">
        <f>INDEX('18 KMP- Tháng'!$E$6:$Q$29,MATCH($A22,'18 KMP- Tháng'!$A$6:$A$29,0),MATCH(N$7,'18 KMP- Tháng'!$E$2:$P$2,0))</f>
        <v>79.418182000000002</v>
      </c>
      <c r="O22" s="183">
        <f>INDEX('18 KMP- Tháng'!$E$6:$Q$29,MATCH($A22,'18 KMP- Tháng'!$A$6:$A$29,0),MATCH(O$7,'18 KMP- Tháng'!$E$2:$P$2,0))</f>
        <v>79.418182000000002</v>
      </c>
      <c r="P22" s="342">
        <f>INDEX('18 KMP- Tháng'!$E$6:$Q$29,MATCH($A22,'18 KMP- Tháng'!$A$6:$A$29,0),MATCH(P$7,'18 KMP- Tháng'!$E$2:$P$2,0))</f>
        <v>79.418182000000002</v>
      </c>
      <c r="Q22" s="360">
        <f t="shared" ref="Q22:Q28" si="21">AVERAGE(E22:P22)</f>
        <v>1310.196969833333</v>
      </c>
      <c r="R22" s="183">
        <f>INDEX('18 KMP- Tháng'!$R$6:$AC$24,MATCH($A22,'18 KMP- Tháng'!$A$6:$A$24,0),MATCH(R$7,'18 KMP- Tháng'!$R$2:$AC$2,0))+2727</f>
        <v>8656.4601823333323</v>
      </c>
      <c r="S22" s="183">
        <f>INDEX('18 KMP- Tháng'!$R$6:$AC$24,MATCH($A22,'18 KMP- Tháng'!$A$6:$A$24,0),MATCH(S$7,'18 KMP- Tháng'!$R$2:$AC$2,0))+2727</f>
        <v>10256.460182333332</v>
      </c>
      <c r="T22" s="183">
        <f>INDEX('18 KMP- Tháng'!$R$6:$AC$24,MATCH($A22,'18 KMP- Tháng'!$A$6:$A$24,0),MATCH(T$7,'18 KMP- Tháng'!$R$2:$AC$2,0))</f>
        <v>7579.4600823333321</v>
      </c>
      <c r="U22" s="183">
        <f>INDEX('18 KMP- Tháng'!$R$6:$AC$24,MATCH($A22,'18 KMP- Tháng'!$A$6:$A$24,0),MATCH(U$7,'18 KMP- Tháng'!$R$2:$AC$2,0))+150</f>
        <v>7615.6420003333324</v>
      </c>
      <c r="V22" s="183">
        <f>INDEX('18 KMP- Tháng'!$R$6:$AC$24,MATCH($A22,'18 KMP- Tháng'!$A$6:$A$24,0),MATCH(V$7,'18 KMP- Tháng'!$R$2:$AC$2,0))-150</f>
        <v>7541.6420003333324</v>
      </c>
      <c r="W22" s="183">
        <f>INDEX('18 KMP- Tháng'!$R$6:$AC$24,MATCH($A22,'18 KMP- Tháng'!$A$6:$A$24,0),MATCH(W$7,'18 KMP- Tháng'!$R$2:$AC$2,0))</f>
        <v>7541.6420003333324</v>
      </c>
      <c r="X22" s="183">
        <f>INDEX('18 KMP- Tháng'!$R$6:$AC$24,MATCH($A22,'18 KMP- Tháng'!$A$6:$A$24,0),MATCH(X$7,'18 KMP- Tháng'!$R$2:$AC$2,0))</f>
        <v>7541.6420003333324</v>
      </c>
      <c r="Y22" s="183">
        <f>INDEX('18 KMP- Tháng'!$R$6:$AC$24,MATCH($A22,'18 KMP- Tháng'!$A$6:$A$24,0),MATCH(Y$7,'18 KMP- Tháng'!$R$2:$AC$2,0))</f>
        <v>7541.6420003333324</v>
      </c>
      <c r="Z22" s="183">
        <f>INDEX('18 KMP- Tháng'!$R$6:$AC$24,MATCH($A22,'18 KMP- Tháng'!$A$6:$A$24,0),MATCH(Z$7,'18 KMP- Tháng'!$R$2:$AC$2,0))</f>
        <v>7541.6420003333324</v>
      </c>
      <c r="AA22" s="183">
        <f>INDEX('18 KMP- Tháng'!$R$6:$AC$24,MATCH($A22,'18 KMP- Tháng'!$A$6:$A$24,0),MATCH(AA$7,'18 KMP- Tháng'!$R$2:$AC$2,0))</f>
        <v>6941.6420003333324</v>
      </c>
      <c r="AB22" s="183">
        <f>INDEX('18 KMP- Tháng'!$R$6:$AC$24,MATCH($A22,'18 KMP- Tháng'!$A$6:$A$24,0),MATCH(AB$7,'18 KMP- Tháng'!$R$2:$AC$2,0))</f>
        <v>6791.6420003333324</v>
      </c>
      <c r="AC22" s="342">
        <f>INDEX('18 KMP- Tháng'!$R$6:$AC$24,MATCH($A22,'18 KMP- Tháng'!$A$6:$A$24,0),MATCH(AC$7,'18 KMP- Tháng'!$R$2:$AC$2,0))</f>
        <v>7115.8333383333302</v>
      </c>
      <c r="AD22" s="360">
        <f t="shared" si="10"/>
        <v>7722.112482333333</v>
      </c>
      <c r="AE22" s="352">
        <f>INDEX('18 KMP- Tháng'!$AF$6:$AQ$29,MATCH($A22,'18 KMP- Tháng'!$A$6:$A$29,0),MATCH(AE$7,'18 KMP- Tháng'!$AF$2:$AQ$2,0))</f>
        <v>7582.8694699999996</v>
      </c>
      <c r="AF22" s="183">
        <f>INDEX('18 KMP- Tháng'!$AF$6:$AQ$29,MATCH($A22,'18 KMP- Tháng'!$A$6:$A$29,0),MATCH(AF$7,'18 KMP- Tháng'!$AF$2:$AQ$2,0))</f>
        <v>7582.8694699999996</v>
      </c>
      <c r="AG22" s="183">
        <f>INDEX('18 KMP- Tháng'!$AF$6:$AQ$29,MATCH($A22,'18 KMP- Tháng'!$A$6:$A$29,0),MATCH(AG$7,'18 KMP- Tháng'!$AF$2:$AQ$2,0))</f>
        <v>7636.8694699999996</v>
      </c>
      <c r="AH22" s="183">
        <f>INDEX('18 KMP- Tháng'!$AF$6:$AQ$29,MATCH($A22,'18 KMP- Tháng'!$A$6:$A$29,0),MATCH(AH$7,'18 KMP- Tháng'!$AF$2:$AQ$2,0))</f>
        <v>7486.8694699999996</v>
      </c>
      <c r="AI22" s="183">
        <f>INDEX('18 KMP- Tháng'!$AF$6:$AQ$29,MATCH($A22,'18 KMP- Tháng'!$A$6:$A$29,0),MATCH(AI$7,'18 KMP- Tháng'!$AF$2:$AQ$2,0))</f>
        <v>7512.8694699999996</v>
      </c>
      <c r="AJ22" s="183">
        <f>INDEX('18 KMP- Tháng'!$AF$6:$AQ$29,MATCH($A22,'18 KMP- Tháng'!$A$6:$A$29,0),MATCH(AJ$7,'18 KMP- Tháng'!$AF$2:$AQ$2,0))</f>
        <v>8266.7444390000001</v>
      </c>
      <c r="AK22" s="183">
        <f>INDEX('18 KMP- Tháng'!$AF$6:$AQ$29,MATCH($A22,'18 KMP- Tháng'!$A$6:$A$29,0),MATCH(AK$7,'18 KMP- Tháng'!$AF$2:$AQ$2,0))</f>
        <v>8544.6585909999994</v>
      </c>
      <c r="AL22" s="183">
        <f>INDEX('18 KMP- Tháng'!$AF$6:$AQ$29,MATCH($A22,'18 KMP- Tháng'!$A$6:$A$29,0),MATCH(AL$7,'18 KMP- Tháng'!$AF$2:$AQ$2,0))</f>
        <v>8994.6585909999994</v>
      </c>
      <c r="AM22" s="183">
        <f>INDEX('18 KMP- Tháng'!$AF$6:$AQ$29,MATCH($A22,'18 KMP- Tháng'!$A$6:$A$29,0),MATCH(AM$7,'18 KMP- Tháng'!$AF$2:$AQ$2,0))</f>
        <v>8994.6585909999994</v>
      </c>
      <c r="AN22" s="183">
        <f>INDEX('18 KMP- Tháng'!$AF$6:$AQ$29,MATCH($A22,'18 KMP- Tháng'!$A$6:$A$29,0),MATCH(AN$7,'18 KMP- Tháng'!$AF$2:$AQ$2,0))</f>
        <v>8994.6585909999994</v>
      </c>
      <c r="AO22" s="183">
        <f>INDEX('18 KMP- Tháng'!$AF$6:$AQ$29,MATCH($A22,'18 KMP- Tháng'!$A$6:$A$29,0),MATCH(AO$7,'18 KMP- Tháng'!$AF$2:$AQ$2,0))</f>
        <v>8994.6585909999994</v>
      </c>
      <c r="AP22" s="342">
        <f>INDEX('18 KMP- Tháng'!$AF$6:$AQ$29,MATCH($A22,'18 KMP- Tháng'!$A$6:$A$29,0),MATCH(AP$7,'18 KMP- Tháng'!$AF$2:$AQ$2,0))</f>
        <v>8099.6585910000003</v>
      </c>
      <c r="AQ22" s="360">
        <f t="shared" ref="AQ22:AQ28" si="22">SUM(AE22:AP22)/COUNTIFS($AE$29:$AP$29,"&lt;&gt;"&amp;0)</f>
        <v>8224.3369445833323</v>
      </c>
      <c r="AR22" s="352">
        <f t="shared" ref="AR22:AR28" si="23">SUM(AE22:AP22)</f>
        <v>98692.043334999995</v>
      </c>
      <c r="AS22" s="352">
        <f>INDEX('18 KMP- Tháng'!$BH$6:$BS$29,MATCH($A22,'18 KMP- Tháng'!$A$6:$A$29,0),MATCH(AS$7,'18 KMP- Tháng'!$BH$2:$BS$2,0))</f>
        <v>5750</v>
      </c>
      <c r="AT22" s="183">
        <f>INDEX('18 KMP- Tháng'!$BH$6:$BS$29,MATCH($A22,'18 KMP- Tháng'!$A$6:$A$29,0),MATCH(AT$7,'18 KMP- Tháng'!$BH$2:$BS$2,0))</f>
        <v>5750</v>
      </c>
      <c r="AU22" s="183">
        <f>INDEX('18 KMP- Tháng'!$BH$6:$BS$29,MATCH($A22,'18 KMP- Tháng'!$A$6:$A$29,0),MATCH(AU$7,'18 KMP- Tháng'!$BH$2:$BS$2,0))</f>
        <v>5750</v>
      </c>
      <c r="AV22" s="183">
        <f>INDEX('18 KMP- Tháng'!$BH$6:$BS$29,MATCH($A22,'18 KMP- Tháng'!$A$6:$A$29,0),MATCH(AV$7,'18 KMP- Tháng'!$BH$2:$BS$2,0))</f>
        <v>5750</v>
      </c>
      <c r="AW22" s="183">
        <f>INDEX('18 KMP- Tháng'!$BH$6:$BS$29,MATCH($A22,'18 KMP- Tháng'!$A$6:$A$29,0),MATCH(AW$7,'18 KMP- Tháng'!$BH$2:$BS$2,0))</f>
        <v>5750</v>
      </c>
      <c r="AX22" s="183">
        <f>INDEX('18 KMP- Tháng'!$BH$6:$BS$29,MATCH($A22,'18 KMP- Tháng'!$A$6:$A$29,0),MATCH(AX$7,'18 KMP- Tháng'!$BH$2:$BS$2,0))</f>
        <v>5750</v>
      </c>
      <c r="AY22" s="183">
        <f>INDEX('18 KMP- Tháng'!$BH$6:$BS$29,MATCH($A22,'18 KMP- Tháng'!$A$6:$A$29,0),MATCH(AY$7,'18 KMP- Tháng'!$BH$2:$BS$2,0))</f>
        <v>5750</v>
      </c>
      <c r="AZ22" s="183">
        <f>INDEX('18 KMP- Tháng'!$BH$6:$BS$29,MATCH($A22,'18 KMP- Tháng'!$A$6:$A$29,0),MATCH(AZ$7,'18 KMP- Tháng'!$BH$2:$BS$2,0))</f>
        <v>5750</v>
      </c>
      <c r="BA22" s="183">
        <f>INDEX('18 KMP- Tháng'!$BH$6:$BS$29,MATCH($A22,'18 KMP- Tháng'!$A$6:$A$29,0),MATCH(BA$7,'18 KMP- Tháng'!$BH$2:$BS$2,0))</f>
        <v>5750</v>
      </c>
      <c r="BB22" s="183">
        <f>INDEX('18 KMP- Tháng'!$BH$6:$BS$29,MATCH($A22,'18 KMP- Tháng'!$A$6:$A$29,0),MATCH(BB$7,'18 KMP- Tháng'!$BH$2:$BS$2,0))</f>
        <v>5750</v>
      </c>
      <c r="BC22" s="183">
        <f>INDEX('18 KMP- Tháng'!$BH$6:$BS$29,MATCH($A22,'18 KMP- Tháng'!$A$6:$A$29,0),MATCH(BC$7,'18 KMP- Tháng'!$BH$2:$BS$2,0))</f>
        <v>5750</v>
      </c>
      <c r="BD22" s="342">
        <f>INDEX('18 KMP- Tháng'!$BH$6:$BS$29,MATCH($A22,'18 KMP- Tháng'!$A$6:$A$29,0),MATCH(BD$7,'18 KMP- Tháng'!$BH$2:$BS$2,0))</f>
        <v>5750</v>
      </c>
      <c r="BE22" s="360">
        <f t="shared" ref="BE22:BE28" si="24">AVERAGE(AS22:BD22)</f>
        <v>5750</v>
      </c>
      <c r="BF22" s="352">
        <f>INDEX('18 KMP- Tháng'!$AS$6:$BD$29,MATCH($A22,'18 KMP- Tháng'!$A$6:$A$29,0),MATCH(BF$7,'18 KMP- Tháng'!$AS$2:$BD$2,0))</f>
        <v>9266.6666700000005</v>
      </c>
      <c r="BG22" s="183">
        <f>INDEX('18 KMP- Tháng'!$AS$6:$BD$29,MATCH($A22,'18 KMP- Tháng'!$A$6:$A$29,0),MATCH(BG$7,'18 KMP- Tháng'!$AS$2:$BD$2,0))</f>
        <v>9266.6666700000005</v>
      </c>
      <c r="BH22" s="183">
        <f>INDEX('18 KMP- Tháng'!$AS$6:$BD$29,MATCH($A22,'18 KMP- Tháng'!$A$6:$A$29,0),MATCH(BH$7,'18 KMP- Tháng'!$AS$2:$BD$2,0))</f>
        <v>9266.6666700000005</v>
      </c>
      <c r="BI22" s="183">
        <f>INDEX('18 KMP- Tháng'!$AS$6:$BD$29,MATCH($A22,'18 KMP- Tháng'!$A$6:$A$29,0),MATCH(BI$7,'18 KMP- Tháng'!$AS$2:$BD$2,0))</f>
        <v>9266.6666700000005</v>
      </c>
      <c r="BJ22" s="183">
        <f>INDEX('18 KMP- Tháng'!$AS$6:$BD$29,MATCH($A22,'18 KMP- Tháng'!$A$6:$A$29,0),MATCH(BJ$7,'18 KMP- Tháng'!$AS$2:$BD$2,0))</f>
        <v>9266.666663</v>
      </c>
      <c r="BK22" s="183">
        <f>INDEX('18 KMP- Tháng'!$AS$6:$BD$29,MATCH($A22,'18 KMP- Tháng'!$A$6:$A$29,0),MATCH(BK$7,'18 KMP- Tháng'!$AS$2:$BD$2,0))</f>
        <v>0</v>
      </c>
      <c r="BL22" s="183">
        <f>INDEX('18 KMP- Tháng'!$AS$6:$BD$29,MATCH($A22,'18 KMP- Tháng'!$A$6:$A$29,0),MATCH(BL$7,'18 KMP- Tháng'!$AS$2:$BD$2,0))</f>
        <v>0</v>
      </c>
      <c r="BM22" s="183">
        <f>INDEX('18 KMP- Tháng'!$AS$6:$BD$29,MATCH($A22,'18 KMP- Tháng'!$A$6:$A$29,0),MATCH(BM$7,'18 KMP- Tháng'!$AS$2:$BD$2,0))</f>
        <v>0</v>
      </c>
      <c r="BN22" s="183">
        <f>INDEX('18 KMP- Tháng'!$AS$6:$BD$29,MATCH($A22,'18 KMP- Tháng'!$A$6:$A$29,0),MATCH(BN$7,'18 KMP- Tháng'!$AS$2:$BD$2,0))</f>
        <v>0</v>
      </c>
      <c r="BO22" s="183">
        <f>INDEX('18 KMP- Tháng'!$AS$6:$BD$29,MATCH($A22,'18 KMP- Tháng'!$A$6:$A$29,0),MATCH(BO$7,'18 KMP- Tháng'!$AS$2:$BD$2,0))</f>
        <v>0</v>
      </c>
      <c r="BP22" s="183">
        <f>INDEX('18 KMP- Tháng'!$AS$6:$BD$29,MATCH($A22,'18 KMP- Tháng'!$A$6:$A$29,0),MATCH(BP$7,'18 KMP- Tháng'!$AS$2:$BD$2,0))</f>
        <v>0</v>
      </c>
      <c r="BQ22" s="342">
        <f>INDEX('18 KMP- Tháng'!$AS$6:$BD$29,MATCH($A22,'18 KMP- Tháng'!$A$6:$A$29,0),MATCH(BQ$7,'18 KMP- Tháng'!$AS$2:$BD$2,0))</f>
        <v>0</v>
      </c>
      <c r="BR22" s="360">
        <f t="shared" ref="BR22:BR31" si="25">SUM(BF22:BQ22)/COUNTIFS($BF$29:$BQ$29,"&lt;&gt;"&amp;0)</f>
        <v>9266.6666686000008</v>
      </c>
      <c r="BS22" s="352">
        <f t="shared" ref="BS22:BS28" si="26">SUM(BF22:BQ22)</f>
        <v>46333.333343000006</v>
      </c>
      <c r="BT22" s="196">
        <f t="shared" si="9"/>
        <v>0.61159420347826088</v>
      </c>
      <c r="BU22" s="185">
        <f t="shared" si="6"/>
        <v>0.10175061679160413</v>
      </c>
      <c r="BV22" s="653"/>
      <c r="BW22" s="653"/>
      <c r="BX22" s="653"/>
      <c r="BY22" s="653"/>
      <c r="BZ22" s="653"/>
      <c r="CA22" s="653"/>
      <c r="CB22" s="653"/>
      <c r="CD22" s="158"/>
      <c r="CE22" s="158"/>
      <c r="CF22" s="158"/>
      <c r="CG22" s="158"/>
      <c r="CH22" s="158"/>
      <c r="CI22" s="158"/>
      <c r="CJ22" s="158"/>
      <c r="CK22" s="158"/>
      <c r="CL22" s="158"/>
      <c r="CM22" s="158"/>
      <c r="CN22" s="158"/>
    </row>
    <row r="23" spans="1:92" s="186" customFormat="1" x14ac:dyDescent="0.3">
      <c r="A23" s="174">
        <v>17</v>
      </c>
      <c r="B23" s="187">
        <f t="shared" ref="B23:B28" si="27">B22+1</f>
        <v>2</v>
      </c>
      <c r="C23" s="188" t="s">
        <v>97</v>
      </c>
      <c r="D23" s="188" t="s">
        <v>48</v>
      </c>
      <c r="E23" s="192">
        <f>INDEX('18 KMP- Tháng'!$E$6:$Q$29,MATCH($A23,'18 KMP- Tháng'!$A$6:$A$29,0),MATCH(E$7,'18 KMP- Tháng'!$E$2:$P$2,0))</f>
        <v>6125.5390770000004</v>
      </c>
      <c r="F23" s="189">
        <f>INDEX('18 KMP- Tháng'!$E$6:$Q$29,MATCH($A23,'18 KMP- Tháng'!$A$6:$A$29,0),MATCH(F$7,'18 KMP- Tháng'!$E$2:$P$2,0))</f>
        <v>6126.0910359999998</v>
      </c>
      <c r="G23" s="189">
        <f>INDEX('18 KMP- Tháng'!$E$6:$Q$29,MATCH($A23,'18 KMP- Tháng'!$A$6:$A$29,0),MATCH(G$7,'18 KMP- Tháng'!$E$2:$P$2,0))</f>
        <v>6407.0904010000004</v>
      </c>
      <c r="H23" s="189">
        <f>INDEX('18 KMP- Tháng'!$E$6:$Q$29,MATCH($A23,'18 KMP- Tháng'!$A$6:$A$29,0),MATCH(H$7,'18 KMP- Tháng'!$E$2:$P$2,0))</f>
        <v>7043.8874960000003</v>
      </c>
      <c r="I23" s="189">
        <f>INDEX('18 KMP- Tháng'!$E$6:$Q$29,MATCH($A23,'18 KMP- Tháng'!$A$6:$A$29,0),MATCH(I$7,'18 KMP- Tháng'!$E$2:$P$2,0))</f>
        <v>7372.1250959999998</v>
      </c>
      <c r="J23" s="189">
        <f>INDEX('18 KMP- Tháng'!$E$6:$Q$29,MATCH($A23,'18 KMP- Tháng'!$A$6:$A$29,0),MATCH(J$7,'18 KMP- Tháng'!$E$2:$P$2,0))</f>
        <v>7571.593116</v>
      </c>
      <c r="K23" s="189">
        <f>INDEX('18 KMP- Tháng'!$E$6:$Q$29,MATCH($A23,'18 KMP- Tháng'!$A$6:$A$29,0),MATCH(K$7,'18 KMP- Tháng'!$E$2:$P$2,0))</f>
        <v>7495.9041289999996</v>
      </c>
      <c r="L23" s="189">
        <f>INDEX('18 KMP- Tháng'!$E$6:$Q$29,MATCH($A23,'18 KMP- Tháng'!$A$6:$A$29,0),MATCH(L$7,'18 KMP- Tháng'!$E$2:$P$2,0))</f>
        <v>8307.0938870000009</v>
      </c>
      <c r="M23" s="189">
        <f>INDEX('18 KMP- Tháng'!$E$6:$Q$29,MATCH($A23,'18 KMP- Tháng'!$A$6:$A$29,0),MATCH(M$7,'18 KMP- Tháng'!$E$2:$P$2,0))</f>
        <v>8042.3777319999999</v>
      </c>
      <c r="N23" s="189">
        <f>INDEX('18 KMP- Tháng'!$E$6:$Q$29,MATCH($A23,'18 KMP- Tháng'!$A$6:$A$29,0),MATCH(N$7,'18 KMP- Tháng'!$E$2:$P$2,0))</f>
        <v>7933.8950500000001</v>
      </c>
      <c r="O23" s="189">
        <f>INDEX('18 KMP- Tháng'!$E$6:$Q$29,MATCH($A23,'18 KMP- Tháng'!$A$6:$A$29,0),MATCH(O$7,'18 KMP- Tháng'!$E$2:$P$2,0))</f>
        <v>8291.7686730000005</v>
      </c>
      <c r="P23" s="344">
        <f>INDEX('18 KMP- Tháng'!$E$6:$Q$29,MATCH($A23,'18 KMP- Tháng'!$A$6:$A$29,0),MATCH(P$7,'18 KMP- Tháng'!$E$2:$P$2,0))</f>
        <v>8517.5400150000005</v>
      </c>
      <c r="Q23" s="362">
        <f t="shared" si="21"/>
        <v>7436.2421423333353</v>
      </c>
      <c r="R23" s="189">
        <f>INDEX('18 KMP- Tháng'!$R$6:$AC$24,MATCH($A23,'18 KMP- Tháng'!$A$6:$A$24,0),MATCH(R$7,'18 KMP- Tháng'!$R$2:$AC$2,0))</f>
        <v>6073.4928609999997</v>
      </c>
      <c r="S23" s="189">
        <f>INDEX('18 KMP- Tháng'!$R$6:$AC$24,MATCH($A23,'18 KMP- Tháng'!$A$6:$A$24,0),MATCH(S$7,'18 KMP- Tháng'!$R$2:$AC$2,0))</f>
        <v>5327.4856149999996</v>
      </c>
      <c r="T23" s="189">
        <f>INDEX('18 KMP- Tháng'!$R$6:$AC$24,MATCH($A23,'18 KMP- Tháng'!$A$6:$A$24,0),MATCH(T$7,'18 KMP- Tháng'!$R$2:$AC$2,0))</f>
        <v>5623.891971</v>
      </c>
      <c r="U23" s="189">
        <f>INDEX('18 KMP- Tháng'!$R$6:$AC$24,MATCH($A23,'18 KMP- Tháng'!$A$6:$A$24,0),MATCH(U$7,'18 KMP- Tháng'!$R$2:$AC$2,0))</f>
        <v>6329.4198649999998</v>
      </c>
      <c r="V23" s="189">
        <f>INDEX('18 KMP- Tháng'!$R$6:$AC$24,MATCH($A23,'18 KMP- Tháng'!$A$6:$A$24,0),MATCH(V$7,'18 KMP- Tháng'!$R$2:$AC$2,0))</f>
        <v>6582.0558250000004</v>
      </c>
      <c r="W23" s="189">
        <f>INDEX('18 KMP- Tháng'!$R$6:$AC$24,MATCH($A23,'18 KMP- Tháng'!$A$6:$A$24,0),MATCH(W$7,'18 KMP- Tháng'!$R$2:$AC$2,0))</f>
        <v>6501.2386399999996</v>
      </c>
      <c r="X23" s="189">
        <f>INDEX('18 KMP- Tháng'!$R$6:$AC$24,MATCH($A23,'18 KMP- Tháng'!$A$6:$A$24,0),MATCH(X$7,'18 KMP- Tháng'!$R$2:$AC$2,0))</f>
        <v>6209.0240169999997</v>
      </c>
      <c r="Y23" s="189">
        <f>INDEX('18 KMP- Tháng'!$R$6:$AC$24,MATCH($A23,'18 KMP- Tháng'!$A$6:$A$24,0),MATCH(Y$7,'18 KMP- Tháng'!$R$2:$AC$2,0))</f>
        <v>6269.393822</v>
      </c>
      <c r="Z23" s="189">
        <f>INDEX('18 KMP- Tháng'!$R$6:$AC$24,MATCH($A23,'18 KMP- Tháng'!$A$6:$A$24,0),MATCH(Z$7,'18 KMP- Tháng'!$R$2:$AC$2,0))</f>
        <v>6638.2907679999998</v>
      </c>
      <c r="AA23" s="189">
        <f>INDEX('18 KMP- Tháng'!$R$6:$AC$24,MATCH($A23,'18 KMP- Tháng'!$A$6:$A$24,0),MATCH(AA$7,'18 KMP- Tháng'!$R$2:$AC$2,0))</f>
        <v>6894.8505660000001</v>
      </c>
      <c r="AB23" s="189">
        <f>INDEX('18 KMP- Tháng'!$R$6:$AC$24,MATCH($A23,'18 KMP- Tháng'!$A$6:$A$24,0),MATCH(AB$7,'18 KMP- Tháng'!$R$2:$AC$2,0))</f>
        <v>7084.2907859999996</v>
      </c>
      <c r="AC23" s="344">
        <f>INDEX('18 KMP- Tháng'!$R$6:$AC$24,MATCH($A23,'18 KMP- Tháng'!$A$6:$A$24,0),MATCH(AC$7,'18 KMP- Tháng'!$R$2:$AC$2,0))</f>
        <v>7756.3366020000003</v>
      </c>
      <c r="AD23" s="362">
        <f t="shared" si="10"/>
        <v>6440.8142781666656</v>
      </c>
      <c r="AE23" s="353">
        <f>INDEX('18 KMP- Tháng'!$AF$6:$AQ$29,MATCH($A23,'18 KMP- Tháng'!$A$6:$A$29,0),MATCH(AE$7,'18 KMP- Tháng'!$AF$2:$AQ$2,0))</f>
        <v>7630.4551659999997</v>
      </c>
      <c r="AF23" s="189">
        <f>INDEX('18 KMP- Tháng'!$AF$6:$AQ$29,MATCH($A23,'18 KMP- Tháng'!$A$6:$A$29,0),MATCH(AF$7,'18 KMP- Tháng'!$AF$2:$AQ$2,0))</f>
        <v>7418.3427659999998</v>
      </c>
      <c r="AG23" s="189">
        <f>INDEX('18 KMP- Tháng'!$AF$6:$AQ$29,MATCH($A23,'18 KMP- Tháng'!$A$6:$A$29,0),MATCH(AG$7,'18 KMP- Tháng'!$AF$2:$AQ$2,0))</f>
        <v>7287.9359670000003</v>
      </c>
      <c r="AH23" s="189">
        <f>INDEX('18 KMP- Tháng'!$AF$6:$AQ$29,MATCH($A23,'18 KMP- Tháng'!$A$6:$A$29,0),MATCH(AH$7,'18 KMP- Tháng'!$AF$2:$AQ$2,0))</f>
        <v>7981.2928599999996</v>
      </c>
      <c r="AI23" s="189">
        <f>INDEX('18 KMP- Tháng'!$AF$6:$AQ$29,MATCH($A23,'18 KMP- Tháng'!$A$6:$A$29,0),MATCH(AI$7,'18 KMP- Tháng'!$AF$2:$AQ$2,0))</f>
        <v>8206.672869</v>
      </c>
      <c r="AJ23" s="189">
        <f>INDEX('18 KMP- Tháng'!$AF$6:$AQ$29,MATCH($A23,'18 KMP- Tháng'!$A$6:$A$29,0),MATCH(AJ$7,'18 KMP- Tháng'!$AF$2:$AQ$2,0))</f>
        <v>8358.0732530000005</v>
      </c>
      <c r="AK23" s="189">
        <f>INDEX('18 KMP- Tháng'!$AF$6:$AQ$29,MATCH($A23,'18 KMP- Tháng'!$A$6:$A$29,0),MATCH(AK$7,'18 KMP- Tháng'!$AF$2:$AQ$2,0))</f>
        <v>9244.9189229999993</v>
      </c>
      <c r="AL23" s="189">
        <f>INDEX('18 KMP- Tháng'!$AF$6:$AQ$29,MATCH($A23,'18 KMP- Tháng'!$A$6:$A$29,0),MATCH(AL$7,'18 KMP- Tháng'!$AF$2:$AQ$2,0))</f>
        <v>8836.0536200000006</v>
      </c>
      <c r="AM23" s="189">
        <f>INDEX('18 KMP- Tháng'!$AF$6:$AQ$29,MATCH($A23,'18 KMP- Tháng'!$A$6:$A$29,0),MATCH(AM$7,'18 KMP- Tháng'!$AF$2:$AQ$2,0))</f>
        <v>9581.7786539999997</v>
      </c>
      <c r="AN23" s="189">
        <f>INDEX('18 KMP- Tháng'!$AF$6:$AQ$29,MATCH($A23,'18 KMP- Tháng'!$A$6:$A$29,0),MATCH(AN$7,'18 KMP- Tháng'!$AF$2:$AQ$2,0))</f>
        <v>8652.1705660000007</v>
      </c>
      <c r="AO23" s="189">
        <f>INDEX('18 KMP- Tháng'!$AF$6:$AQ$29,MATCH($A23,'18 KMP- Tháng'!$A$6:$A$29,0),MATCH(AO$7,'18 KMP- Tháng'!$AF$2:$AQ$2,0))</f>
        <v>8011.0479109999997</v>
      </c>
      <c r="AP23" s="344">
        <f>INDEX('18 KMP- Tháng'!$AF$6:$AQ$29,MATCH($A23,'18 KMP- Tháng'!$A$6:$A$29,0),MATCH(AP$7,'18 KMP- Tháng'!$AF$2:$AQ$2,0))</f>
        <v>9246.6498609999999</v>
      </c>
      <c r="AQ23" s="362">
        <f t="shared" si="22"/>
        <v>8371.2827013333335</v>
      </c>
      <c r="AR23" s="353">
        <f t="shared" si="23"/>
        <v>100455.392416</v>
      </c>
      <c r="AS23" s="353">
        <f>INDEX('18 KMP- Tháng'!$BH$6:$BS$29,MATCH($A23,'18 KMP- Tháng'!$A$6:$A$29,0),MATCH(AS$7,'18 KMP- Tháng'!$BH$2:$BS$2,0))</f>
        <v>9539.0331763653849</v>
      </c>
      <c r="AT23" s="189">
        <f>INDEX('18 KMP- Tháng'!$BH$6:$BS$29,MATCH($A23,'18 KMP- Tháng'!$A$6:$A$29,0),MATCH(AT$7,'18 KMP- Tháng'!$BH$2:$BS$2,0))</f>
        <v>9278.2257079999999</v>
      </c>
      <c r="AU23" s="189">
        <f>INDEX('18 KMP- Tháng'!$BH$6:$BS$29,MATCH($A23,'18 KMP- Tháng'!$A$6:$A$29,0),MATCH(AU$7,'18 KMP- Tháng'!$BH$2:$BS$2,0))</f>
        <v>9010.1469253846153</v>
      </c>
      <c r="AV23" s="189">
        <f>INDEX('18 KMP- Tháng'!$BH$6:$BS$29,MATCH($A23,'18 KMP- Tháng'!$A$6:$A$29,0),MATCH(AV$7,'18 KMP- Tháng'!$BH$2:$BS$2,0))</f>
        <v>9803.136994769231</v>
      </c>
      <c r="AW23" s="189">
        <f>INDEX('18 KMP- Tháng'!$BH$6:$BS$29,MATCH($A23,'18 KMP- Tháng'!$A$6:$A$29,0),MATCH(AW$7,'18 KMP- Tháng'!$BH$2:$BS$2,0))</f>
        <v>9369.8931213076939</v>
      </c>
      <c r="AX23" s="189">
        <f>INDEX('18 KMP- Tháng'!$BH$6:$BS$29,MATCH($A23,'18 KMP- Tháng'!$A$6:$A$29,0),MATCH(AX$7,'18 KMP- Tháng'!$BH$2:$BS$2,0))</f>
        <v>9844.1966404615378</v>
      </c>
      <c r="AY23" s="189">
        <f>INDEX('18 KMP- Tháng'!$BH$6:$BS$29,MATCH($A23,'18 KMP- Tháng'!$A$6:$A$29,0),MATCH(AY$7,'18 KMP- Tháng'!$BH$2:$BS$2,0))</f>
        <v>9597.9467935384619</v>
      </c>
      <c r="AZ23" s="189">
        <f>INDEX('18 KMP- Tháng'!$BH$6:$BS$29,MATCH($A23,'18 KMP- Tháng'!$A$6:$A$29,0),MATCH(AZ$7,'18 KMP- Tháng'!$BH$2:$BS$2,0))</f>
        <v>9602.6762322307695</v>
      </c>
      <c r="BA23" s="189">
        <f>INDEX('18 KMP- Tháng'!$BH$6:$BS$29,MATCH($A23,'18 KMP- Tháng'!$A$6:$A$29,0),MATCH(BA$7,'18 KMP- Tháng'!$BH$2:$BS$2,0))</f>
        <v>9866.0116400000006</v>
      </c>
      <c r="BB23" s="189">
        <f>INDEX('18 KMP- Tháng'!$BH$6:$BS$29,MATCH($A23,'18 KMP- Tháng'!$A$6:$A$29,0),MATCH(BB$7,'18 KMP- Tháng'!$BH$2:$BS$2,0))</f>
        <v>9398.6225113076925</v>
      </c>
      <c r="BC23" s="189">
        <f>INDEX('18 KMP- Tháng'!$BH$6:$BS$29,MATCH($A23,'18 KMP- Tháng'!$A$6:$A$29,0),MATCH(BC$7,'18 KMP- Tháng'!$BH$2:$BS$2,0))</f>
        <v>9888.7564864615379</v>
      </c>
      <c r="BD23" s="344">
        <f>INDEX('18 KMP- Tháng'!$BH$6:$BS$29,MATCH($A23,'18 KMP- Tháng'!$A$6:$A$29,0),MATCH(BD$7,'18 KMP- Tháng'!$BH$2:$BS$2,0))</f>
        <v>9646.0542322307683</v>
      </c>
      <c r="BE23" s="362">
        <f t="shared" si="24"/>
        <v>9570.3917051714743</v>
      </c>
      <c r="BF23" s="353">
        <f>INDEX('18 KMP- Tháng'!$AS$6:$BD$29,MATCH($A23,'18 KMP- Tháng'!$A$6:$A$29,0),MATCH(BF$7,'18 KMP- Tháng'!$AS$2:$BD$2,0))</f>
        <v>8188.3542829999997</v>
      </c>
      <c r="BG23" s="189">
        <f>INDEX('18 KMP- Tháng'!$AS$6:$BD$29,MATCH($A23,'18 KMP- Tháng'!$A$6:$A$29,0),MATCH(BG$7,'18 KMP- Tháng'!$AS$2:$BD$2,0))</f>
        <v>7018.1271100000004</v>
      </c>
      <c r="BH23" s="189">
        <f>INDEX('18 KMP- Tháng'!$AS$6:$BD$29,MATCH($A23,'18 KMP- Tháng'!$A$6:$A$29,0),MATCH(BH$7,'18 KMP- Tháng'!$AS$2:$BD$2,0))</f>
        <v>4582.358819</v>
      </c>
      <c r="BI23" s="189">
        <f>INDEX('18 KMP- Tháng'!$AS$6:$BD$29,MATCH($A23,'18 KMP- Tháng'!$A$6:$A$29,0),MATCH(BI$7,'18 KMP- Tháng'!$AS$2:$BD$2,0))</f>
        <v>8507.0222049999993</v>
      </c>
      <c r="BJ23" s="189">
        <f>INDEX('18 KMP- Tháng'!$AS$6:$BD$29,MATCH($A23,'18 KMP- Tháng'!$A$6:$A$29,0),MATCH(BJ$7,'18 KMP- Tháng'!$AS$2:$BD$2,0))</f>
        <v>8185.7246560000003</v>
      </c>
      <c r="BK23" s="189">
        <f>INDEX('18 KMP- Tháng'!$AS$6:$BD$29,MATCH($A23,'18 KMP- Tháng'!$A$6:$A$29,0),MATCH(BK$7,'18 KMP- Tháng'!$AS$2:$BD$2,0))</f>
        <v>0</v>
      </c>
      <c r="BL23" s="189">
        <f>INDEX('18 KMP- Tháng'!$AS$6:$BD$29,MATCH($A23,'18 KMP- Tháng'!$A$6:$A$29,0),MATCH(BL$7,'18 KMP- Tháng'!$AS$2:$BD$2,0))</f>
        <v>0</v>
      </c>
      <c r="BM23" s="189">
        <f>INDEX('18 KMP- Tháng'!$AS$6:$BD$29,MATCH($A23,'18 KMP- Tháng'!$A$6:$A$29,0),MATCH(BM$7,'18 KMP- Tháng'!$AS$2:$BD$2,0))</f>
        <v>0</v>
      </c>
      <c r="BN23" s="189">
        <f>INDEX('18 KMP- Tháng'!$AS$6:$BD$29,MATCH($A23,'18 KMP- Tháng'!$A$6:$A$29,0),MATCH(BN$7,'18 KMP- Tháng'!$AS$2:$BD$2,0))</f>
        <v>0</v>
      </c>
      <c r="BO23" s="189">
        <f>INDEX('18 KMP- Tháng'!$AS$6:$BD$29,MATCH($A23,'18 KMP- Tháng'!$A$6:$A$29,0),MATCH(BO$7,'18 KMP- Tháng'!$AS$2:$BD$2,0))</f>
        <v>0</v>
      </c>
      <c r="BP23" s="189">
        <f>INDEX('18 KMP- Tháng'!$AS$6:$BD$29,MATCH($A23,'18 KMP- Tháng'!$A$6:$A$29,0),MATCH(BP$7,'18 KMP- Tháng'!$AS$2:$BD$2,0))</f>
        <v>0</v>
      </c>
      <c r="BQ23" s="344">
        <f>INDEX('18 KMP- Tháng'!$AS$6:$BD$29,MATCH($A23,'18 KMP- Tháng'!$A$6:$A$29,0),MATCH(BQ$7,'18 KMP- Tháng'!$AS$2:$BD$2,0))</f>
        <v>0</v>
      </c>
      <c r="BR23" s="362">
        <f t="shared" si="25"/>
        <v>7296.3174145999992</v>
      </c>
      <c r="BS23" s="353">
        <f t="shared" si="26"/>
        <v>36481.587072999995</v>
      </c>
      <c r="BT23" s="196">
        <f t="shared" si="9"/>
        <v>-0.14159494661491767</v>
      </c>
      <c r="BU23" s="190">
        <f t="shared" si="6"/>
        <v>8.0115625585034031E-2</v>
      </c>
      <c r="BV23" s="647"/>
      <c r="BW23" s="647"/>
      <c r="BX23" s="647"/>
      <c r="BY23" s="648"/>
      <c r="BZ23" s="648"/>
      <c r="CA23" s="648"/>
      <c r="CB23" s="648"/>
      <c r="CC23" s="191"/>
      <c r="CD23" s="158"/>
      <c r="CE23" s="158"/>
      <c r="CF23" s="158"/>
      <c r="CG23" s="158"/>
      <c r="CH23" s="158"/>
      <c r="CI23" s="158"/>
      <c r="CJ23" s="158"/>
      <c r="CK23" s="158"/>
      <c r="CL23" s="158"/>
      <c r="CM23" s="158"/>
      <c r="CN23" s="158"/>
    </row>
    <row r="24" spans="1:92" s="186" customFormat="1" x14ac:dyDescent="0.3">
      <c r="A24" s="174">
        <v>5</v>
      </c>
      <c r="B24" s="187">
        <f t="shared" si="27"/>
        <v>3</v>
      </c>
      <c r="C24" s="188" t="s">
        <v>96</v>
      </c>
      <c r="D24" s="188" t="s">
        <v>16</v>
      </c>
      <c r="E24" s="192">
        <f>INDEX('18 KMP- Tháng'!$E$6:$Q$29,MATCH($A24,'18 KMP- Tháng'!$A$6:$A$29,0),MATCH(E$7,'18 KMP- Tháng'!$E$2:$P$2,0))</f>
        <v>1999.745032</v>
      </c>
      <c r="F24" s="189">
        <f>INDEX('18 KMP- Tháng'!$E$6:$Q$29,MATCH($A24,'18 KMP- Tháng'!$A$6:$A$29,0),MATCH(F$7,'18 KMP- Tháng'!$E$2:$P$2,0))</f>
        <v>2159.0866270000001</v>
      </c>
      <c r="G24" s="189">
        <f>INDEX('18 KMP- Tháng'!$E$6:$Q$29,MATCH($A24,'18 KMP- Tháng'!$A$6:$A$29,0),MATCH(G$7,'18 KMP- Tháng'!$E$2:$P$2,0))</f>
        <v>2355.4122550000002</v>
      </c>
      <c r="H24" s="189">
        <f>INDEX('18 KMP- Tháng'!$E$6:$Q$29,MATCH($A24,'18 KMP- Tháng'!$A$6:$A$29,0),MATCH(H$7,'18 KMP- Tháng'!$E$2:$P$2,0))</f>
        <v>2503.34139</v>
      </c>
      <c r="I24" s="189">
        <f>INDEX('18 KMP- Tháng'!$E$6:$Q$29,MATCH($A24,'18 KMP- Tháng'!$A$6:$A$29,0),MATCH(I$7,'18 KMP- Tháng'!$E$2:$P$2,0))</f>
        <v>2453.5862940000002</v>
      </c>
      <c r="J24" s="189">
        <f>INDEX('18 KMP- Tháng'!$E$6:$Q$29,MATCH($A24,'18 KMP- Tháng'!$A$6:$A$29,0),MATCH(J$7,'18 KMP- Tháng'!$E$2:$P$2,0))</f>
        <v>2496.0810230000002</v>
      </c>
      <c r="K24" s="189">
        <f>INDEX('18 KMP- Tháng'!$E$6:$Q$29,MATCH($A24,'18 KMP- Tháng'!$A$6:$A$29,0),MATCH(K$7,'18 KMP- Tháng'!$E$2:$P$2,0))</f>
        <v>2605.8116279999999</v>
      </c>
      <c r="L24" s="189">
        <f>INDEX('18 KMP- Tháng'!$E$6:$Q$29,MATCH($A24,'18 KMP- Tháng'!$A$6:$A$29,0),MATCH(L$7,'18 KMP- Tháng'!$E$2:$P$2,0))</f>
        <v>2747.3790829999998</v>
      </c>
      <c r="M24" s="189">
        <f>INDEX('18 KMP- Tháng'!$E$6:$Q$29,MATCH($A24,'18 KMP- Tháng'!$A$6:$A$29,0),MATCH(M$7,'18 KMP- Tháng'!$E$2:$P$2,0))</f>
        <v>2849.3270080000002</v>
      </c>
      <c r="N24" s="189">
        <f>INDEX('18 KMP- Tháng'!$E$6:$Q$29,MATCH($A24,'18 KMP- Tháng'!$A$6:$A$29,0),MATCH(N$7,'18 KMP- Tháng'!$E$2:$P$2,0))</f>
        <v>2883.5538980000001</v>
      </c>
      <c r="O24" s="189">
        <f>INDEX('18 KMP- Tháng'!$E$6:$Q$29,MATCH($A24,'18 KMP- Tháng'!$A$6:$A$29,0),MATCH(O$7,'18 KMP- Tháng'!$E$2:$P$2,0))</f>
        <v>2888.0607730000002</v>
      </c>
      <c r="P24" s="344">
        <f>INDEX('18 KMP- Tháng'!$E$6:$Q$29,MATCH($A24,'18 KMP- Tháng'!$A$6:$A$29,0),MATCH(P$7,'18 KMP- Tháng'!$E$2:$P$2,0))</f>
        <v>3035.1713089999998</v>
      </c>
      <c r="Q24" s="362">
        <f t="shared" si="21"/>
        <v>2581.3796933333338</v>
      </c>
      <c r="R24" s="189">
        <f>INDEX('18 KMP- Tháng'!$R$6:$AC$24,MATCH($A24,'18 KMP- Tháng'!$A$6:$A$24,0),MATCH(R$7,'18 KMP- Tháng'!$R$2:$AC$2,0))-2727</f>
        <v>131.54409299999998</v>
      </c>
      <c r="S24" s="189">
        <f>INDEX('18 KMP- Tháng'!$R$6:$AC$24,MATCH($A24,'18 KMP- Tháng'!$A$6:$A$24,0),MATCH(S$7,'18 KMP- Tháng'!$R$2:$AC$2,0))-2727</f>
        <v>136.42334600000004</v>
      </c>
      <c r="T24" s="189">
        <f>INDEX('18 KMP- Tháng'!$R$6:$AC$24,MATCH($A24,'18 KMP- Tháng'!$A$6:$A$24,0),MATCH(T$7,'18 KMP- Tháng'!$R$2:$AC$2,0))</f>
        <v>2863.4951820000001</v>
      </c>
      <c r="U24" s="189">
        <f>INDEX('18 KMP- Tháng'!$R$6:$AC$24,MATCH($A24,'18 KMP- Tháng'!$A$6:$A$24,0),MATCH(U$7,'18 KMP- Tháng'!$R$2:$AC$2,0))</f>
        <v>2985.926919</v>
      </c>
      <c r="V24" s="189">
        <f>INDEX('18 KMP- Tháng'!$R$6:$AC$24,MATCH($A24,'18 KMP- Tháng'!$A$6:$A$24,0),MATCH(V$7,'18 KMP- Tháng'!$R$2:$AC$2,0))</f>
        <v>3039.160644</v>
      </c>
      <c r="W24" s="189">
        <f>INDEX('18 KMP- Tháng'!$R$6:$AC$24,MATCH($A24,'18 KMP- Tháng'!$A$6:$A$24,0),MATCH(W$7,'18 KMP- Tháng'!$R$2:$AC$2,0))</f>
        <v>3042.3351680000001</v>
      </c>
      <c r="X24" s="189">
        <f>INDEX('18 KMP- Tháng'!$R$6:$AC$24,MATCH($A24,'18 KMP- Tháng'!$A$6:$A$24,0),MATCH(X$7,'18 KMP- Tháng'!$R$2:$AC$2,0))</f>
        <v>3076.391627</v>
      </c>
      <c r="Y24" s="189">
        <f>INDEX('18 KMP- Tháng'!$R$6:$AC$24,MATCH($A24,'18 KMP- Tháng'!$A$6:$A$24,0),MATCH(Y$7,'18 KMP- Tháng'!$R$2:$AC$2,0))</f>
        <v>3097.32494</v>
      </c>
      <c r="Z24" s="189">
        <f>INDEX('18 KMP- Tháng'!$R$6:$AC$24,MATCH($A24,'18 KMP- Tháng'!$A$6:$A$24,0),MATCH(Z$7,'18 KMP- Tháng'!$R$2:$AC$2,0))</f>
        <v>3236.6067619999999</v>
      </c>
      <c r="AA24" s="189">
        <f>INDEX('18 KMP- Tháng'!$R$6:$AC$24,MATCH($A24,'18 KMP- Tháng'!$A$6:$A$24,0),MATCH(AA$7,'18 KMP- Tháng'!$R$2:$AC$2,0))</f>
        <v>3236.6875519999999</v>
      </c>
      <c r="AB24" s="189">
        <f>INDEX('18 KMP- Tháng'!$R$6:$AC$24,MATCH($A24,'18 KMP- Tháng'!$A$6:$A$24,0),MATCH(AB$7,'18 KMP- Tháng'!$R$2:$AC$2,0))</f>
        <v>3251.798088</v>
      </c>
      <c r="AC24" s="344">
        <f>INDEX('18 KMP- Tháng'!$R$6:$AC$24,MATCH($A24,'18 KMP- Tháng'!$A$6:$A$24,0),MATCH(AC$7,'18 KMP- Tháng'!$R$2:$AC$2,0))</f>
        <v>3545.8212290000001</v>
      </c>
      <c r="AD24" s="362">
        <f t="shared" si="10"/>
        <v>2636.9596291666662</v>
      </c>
      <c r="AE24" s="353">
        <f>INDEX('18 KMP- Tháng'!$AF$6:$AQ$29,MATCH($A24,'18 KMP- Tháng'!$A$6:$A$29,0),MATCH(AE$7,'18 KMP- Tháng'!$AF$2:$AQ$2,0))</f>
        <v>3572.7668819999999</v>
      </c>
      <c r="AF24" s="189">
        <f>INDEX('18 KMP- Tháng'!$AF$6:$AQ$29,MATCH($A24,'18 KMP- Tháng'!$A$6:$A$29,0),MATCH(AF$7,'18 KMP- Tháng'!$AF$2:$AQ$2,0))</f>
        <v>3574.3113269999999</v>
      </c>
      <c r="AG24" s="189">
        <f>INDEX('18 KMP- Tháng'!$AF$6:$AQ$29,MATCH($A24,'18 KMP- Tháng'!$A$6:$A$29,0),MATCH(AG$7,'18 KMP- Tháng'!$AF$2:$AQ$2,0))</f>
        <v>3768.3419640000002</v>
      </c>
      <c r="AH24" s="189">
        <f>INDEX('18 KMP- Tháng'!$AF$6:$AQ$29,MATCH($A24,'18 KMP- Tháng'!$A$6:$A$29,0),MATCH(AH$7,'18 KMP- Tháng'!$AF$2:$AQ$2,0))</f>
        <v>3654.4486769999999</v>
      </c>
      <c r="AI24" s="189">
        <f>INDEX('18 KMP- Tháng'!$AF$6:$AQ$29,MATCH($A24,'18 KMP- Tháng'!$A$6:$A$29,0),MATCH(AI$7,'18 KMP- Tháng'!$AF$2:$AQ$2,0))</f>
        <v>3841.1077319999999</v>
      </c>
      <c r="AJ24" s="189">
        <f>INDEX('18 KMP- Tháng'!$AF$6:$AQ$29,MATCH($A24,'18 KMP- Tháng'!$A$6:$A$29,0),MATCH(AJ$7,'18 KMP- Tháng'!$AF$2:$AQ$2,0))</f>
        <v>3837.2882890000001</v>
      </c>
      <c r="AK24" s="189">
        <f>INDEX('18 KMP- Tháng'!$AF$6:$AQ$29,MATCH($A24,'18 KMP- Tháng'!$A$6:$A$29,0),MATCH(AK$7,'18 KMP- Tháng'!$AF$2:$AQ$2,0))</f>
        <v>3844.5911019999999</v>
      </c>
      <c r="AL24" s="189">
        <f>INDEX('18 KMP- Tháng'!$AF$6:$AQ$29,MATCH($A24,'18 KMP- Tháng'!$A$6:$A$29,0),MATCH(AL$7,'18 KMP- Tháng'!$AF$2:$AQ$2,0))</f>
        <v>3844.3518469999999</v>
      </c>
      <c r="AM24" s="189">
        <f>INDEX('18 KMP- Tháng'!$AF$6:$AQ$29,MATCH($A24,'18 KMP- Tháng'!$A$6:$A$29,0),MATCH(AM$7,'18 KMP- Tháng'!$AF$2:$AQ$2,0))</f>
        <v>4163.7774639999998</v>
      </c>
      <c r="AN24" s="189">
        <f>INDEX('18 KMP- Tháng'!$AF$6:$AQ$29,MATCH($A24,'18 KMP- Tháng'!$A$6:$A$29,0),MATCH(AN$7,'18 KMP- Tháng'!$AF$2:$AQ$2,0))</f>
        <v>3970.961581</v>
      </c>
      <c r="AO24" s="189">
        <f>INDEX('18 KMP- Tháng'!$AF$6:$AQ$29,MATCH($A24,'18 KMP- Tháng'!$A$6:$A$29,0),MATCH(AO$7,'18 KMP- Tháng'!$AF$2:$AQ$2,0))</f>
        <v>4132.0554480000001</v>
      </c>
      <c r="AP24" s="344">
        <f>INDEX('18 KMP- Tháng'!$AF$6:$AQ$29,MATCH($A24,'18 KMP- Tháng'!$A$6:$A$29,0),MATCH(AP$7,'18 KMP- Tháng'!$AF$2:$AQ$2,0))</f>
        <v>4161.3882309999999</v>
      </c>
      <c r="AQ24" s="362">
        <f t="shared" si="22"/>
        <v>3863.782545333333</v>
      </c>
      <c r="AR24" s="353">
        <f t="shared" si="23"/>
        <v>46365.390543999994</v>
      </c>
      <c r="AS24" s="353">
        <f>INDEX('18 KMP- Tháng'!$BH$6:$BS$29,MATCH($A24,'18 KMP- Tháng'!$A$6:$A$29,0),MATCH(AS$7,'18 KMP- Tháng'!$BH$2:$BS$2,0))</f>
        <v>5221.4244075821371</v>
      </c>
      <c r="AT24" s="189">
        <f>INDEX('18 KMP- Tháng'!$BH$6:$BS$29,MATCH($A24,'18 KMP- Tháng'!$A$6:$A$29,0),MATCH(AT$7,'18 KMP- Tháng'!$BH$2:$BS$2,0))</f>
        <v>5605.816359582137</v>
      </c>
      <c r="AU24" s="189">
        <f>INDEX('18 KMP- Tháng'!$BH$6:$BS$29,MATCH($A24,'18 KMP- Tháng'!$A$6:$A$29,0),MATCH(AU$7,'18 KMP- Tháng'!$BH$2:$BS$2,0))</f>
        <v>5690.9189125821367</v>
      </c>
      <c r="AV24" s="189">
        <f>INDEX('18 KMP- Tháng'!$BH$6:$BS$29,MATCH($A24,'18 KMP- Tháng'!$A$6:$A$29,0),MATCH(AV$7,'18 KMP- Tháng'!$BH$2:$BS$2,0))</f>
        <v>5725.1591905821369</v>
      </c>
      <c r="AW24" s="189">
        <f>INDEX('18 KMP- Tháng'!$BH$6:$BS$29,MATCH($A24,'18 KMP- Tháng'!$A$6:$A$29,0),MATCH(AW$7,'18 KMP- Tháng'!$BH$2:$BS$2,0))</f>
        <v>5741.1122465821372</v>
      </c>
      <c r="AX24" s="189">
        <f>INDEX('18 KMP- Tháng'!$BH$6:$BS$29,MATCH($A24,'18 KMP- Tháng'!$A$6:$A$29,0),MATCH(AX$7,'18 KMP- Tháng'!$BH$2:$BS$2,0))</f>
        <v>5883.087384582137</v>
      </c>
      <c r="AY24" s="189">
        <f>INDEX('18 KMP- Tháng'!$BH$6:$BS$29,MATCH($A24,'18 KMP- Tháng'!$A$6:$A$29,0),MATCH(AY$7,'18 KMP- Tháng'!$BH$2:$BS$2,0))</f>
        <v>5883.087384582137</v>
      </c>
      <c r="AZ24" s="189">
        <f>INDEX('18 KMP- Tháng'!$BH$6:$BS$29,MATCH($A24,'18 KMP- Tháng'!$A$6:$A$29,0),MATCH(AZ$7,'18 KMP- Tháng'!$BH$2:$BS$2,0))</f>
        <v>5883.087384582137</v>
      </c>
      <c r="BA24" s="189">
        <f>INDEX('18 KMP- Tháng'!$BH$6:$BS$29,MATCH($A24,'18 KMP- Tháng'!$A$6:$A$29,0),MATCH(BA$7,'18 KMP- Tháng'!$BH$2:$BS$2,0))</f>
        <v>5883.087384582137</v>
      </c>
      <c r="BB24" s="189">
        <f>INDEX('18 KMP- Tháng'!$BH$6:$BS$29,MATCH($A24,'18 KMP- Tháng'!$A$6:$A$29,0),MATCH(BB$7,'18 KMP- Tháng'!$BH$2:$BS$2,0))</f>
        <v>5883.087384582137</v>
      </c>
      <c r="BC24" s="189">
        <f>INDEX('18 KMP- Tháng'!$BH$6:$BS$29,MATCH($A24,'18 KMP- Tháng'!$A$6:$A$29,0),MATCH(BC$7,'18 KMP- Tháng'!$BH$2:$BS$2,0))</f>
        <v>5883.087384582137</v>
      </c>
      <c r="BD24" s="344">
        <f>INDEX('18 KMP- Tháng'!$BH$6:$BS$29,MATCH($A24,'18 KMP- Tháng'!$A$6:$A$29,0),MATCH(BD$7,'18 KMP- Tháng'!$BH$2:$BS$2,0))</f>
        <v>5895.3623845821367</v>
      </c>
      <c r="BE24" s="362">
        <f t="shared" si="24"/>
        <v>5764.8598174154695</v>
      </c>
      <c r="BF24" s="353">
        <f>INDEX('18 KMP- Tháng'!$AS$6:$BD$29,MATCH($A24,'18 KMP- Tháng'!$A$6:$A$29,0),MATCH(BF$7,'18 KMP- Tháng'!$AS$2:$BD$2,0))</f>
        <v>2044.939335</v>
      </c>
      <c r="BG24" s="189">
        <f>INDEX('18 KMP- Tháng'!$AS$6:$BD$29,MATCH($A24,'18 KMP- Tháng'!$A$6:$A$29,0),MATCH(BG$7,'18 KMP- Tháng'!$AS$2:$BD$2,0))</f>
        <v>2013.980354</v>
      </c>
      <c r="BH24" s="189">
        <f>INDEX('18 KMP- Tháng'!$AS$6:$BD$29,MATCH($A24,'18 KMP- Tháng'!$A$6:$A$29,0),MATCH(BH$7,'18 KMP- Tháng'!$AS$2:$BD$2,0))</f>
        <v>2036.7416499999999</v>
      </c>
      <c r="BI24" s="189">
        <f>INDEX('18 KMP- Tháng'!$AS$6:$BD$29,MATCH($A24,'18 KMP- Tháng'!$A$6:$A$29,0),MATCH(BI$7,'18 KMP- Tháng'!$AS$2:$BD$2,0))</f>
        <v>2196.3093429999999</v>
      </c>
      <c r="BJ24" s="189">
        <f>INDEX('18 KMP- Tháng'!$AS$6:$BD$29,MATCH($A24,'18 KMP- Tháng'!$A$6:$A$29,0),MATCH(BJ$7,'18 KMP- Tháng'!$AS$2:$BD$2,0))</f>
        <v>2247.3982420000002</v>
      </c>
      <c r="BK24" s="189">
        <f>INDEX('18 KMP- Tháng'!$AS$6:$BD$29,MATCH($A24,'18 KMP- Tháng'!$A$6:$A$29,0),MATCH(BK$7,'18 KMP- Tháng'!$AS$2:$BD$2,0))</f>
        <v>0</v>
      </c>
      <c r="BL24" s="189">
        <f>INDEX('18 KMP- Tháng'!$AS$6:$BD$29,MATCH($A24,'18 KMP- Tháng'!$A$6:$A$29,0),MATCH(BL$7,'18 KMP- Tháng'!$AS$2:$BD$2,0))</f>
        <v>0</v>
      </c>
      <c r="BM24" s="189">
        <f>INDEX('18 KMP- Tháng'!$AS$6:$BD$29,MATCH($A24,'18 KMP- Tháng'!$A$6:$A$29,0),MATCH(BM$7,'18 KMP- Tháng'!$AS$2:$BD$2,0))</f>
        <v>0</v>
      </c>
      <c r="BN24" s="189">
        <f>INDEX('18 KMP- Tháng'!$AS$6:$BD$29,MATCH($A24,'18 KMP- Tháng'!$A$6:$A$29,0),MATCH(BN$7,'18 KMP- Tháng'!$AS$2:$BD$2,0))</f>
        <v>0</v>
      </c>
      <c r="BO24" s="189">
        <f>INDEX('18 KMP- Tháng'!$AS$6:$BD$29,MATCH($A24,'18 KMP- Tháng'!$A$6:$A$29,0),MATCH(BO$7,'18 KMP- Tháng'!$AS$2:$BD$2,0))</f>
        <v>0</v>
      </c>
      <c r="BP24" s="189">
        <f>INDEX('18 KMP- Tháng'!$AS$6:$BD$29,MATCH($A24,'18 KMP- Tháng'!$A$6:$A$29,0),MATCH(BP$7,'18 KMP- Tháng'!$AS$2:$BD$2,0))</f>
        <v>0</v>
      </c>
      <c r="BQ24" s="344">
        <f>INDEX('18 KMP- Tháng'!$AS$6:$BD$29,MATCH($A24,'18 KMP- Tháng'!$A$6:$A$29,0),MATCH(BQ$7,'18 KMP- Tháng'!$AS$2:$BD$2,0))</f>
        <v>0</v>
      </c>
      <c r="BR24" s="362">
        <f t="shared" si="25"/>
        <v>2107.8737847999996</v>
      </c>
      <c r="BS24" s="353">
        <f t="shared" si="26"/>
        <v>10539.368923999999</v>
      </c>
      <c r="BT24" s="184">
        <f t="shared" si="9"/>
        <v>-0.60835603939214322</v>
      </c>
      <c r="BU24" s="190">
        <f t="shared" si="6"/>
        <v>2.314504938965891E-2</v>
      </c>
      <c r="BV24" s="649"/>
      <c r="BW24" s="649"/>
      <c r="BX24" s="649"/>
      <c r="BY24" s="650"/>
      <c r="BZ24" s="650"/>
      <c r="CA24" s="650"/>
      <c r="CB24" s="650"/>
      <c r="CC24" s="191"/>
      <c r="CD24" s="158"/>
      <c r="CE24" s="158"/>
      <c r="CF24" s="158"/>
      <c r="CG24" s="158"/>
      <c r="CH24" s="158"/>
      <c r="CI24" s="158"/>
      <c r="CJ24" s="158"/>
      <c r="CK24" s="158"/>
      <c r="CL24" s="158"/>
      <c r="CM24" s="158"/>
      <c r="CN24" s="158"/>
    </row>
    <row r="25" spans="1:92" s="186" customFormat="1" x14ac:dyDescent="0.3">
      <c r="A25" s="174">
        <v>18</v>
      </c>
      <c r="B25" s="187">
        <f t="shared" si="27"/>
        <v>4</v>
      </c>
      <c r="C25" s="188" t="s">
        <v>97</v>
      </c>
      <c r="D25" s="188" t="s">
        <v>36</v>
      </c>
      <c r="E25" s="189">
        <f>INDEX('18 KMP- Tháng'!$E$6:$Q$29,MATCH($A25,'18 KMP- Tháng'!$A$6:$A$29,0),MATCH(E$7,'18 KMP- Tháng'!$E$2:$P$2,0))</f>
        <v>630.61573399999986</v>
      </c>
      <c r="F25" s="189">
        <f>INDEX('18 KMP- Tháng'!$E$6:$Q$29,MATCH($A25,'18 KMP- Tháng'!$A$6:$A$29,0),MATCH(F$7,'18 KMP- Tháng'!$E$2:$P$2,0))</f>
        <v>854.1576580000002</v>
      </c>
      <c r="G25" s="189">
        <f>INDEX('18 KMP- Tháng'!$E$6:$Q$29,MATCH($A25,'18 KMP- Tháng'!$A$6:$A$29,0),MATCH(G$7,'18 KMP- Tháng'!$E$2:$P$2,0))</f>
        <v>966.39520199999981</v>
      </c>
      <c r="H25" s="189">
        <f>INDEX('18 KMP- Tháng'!$E$6:$Q$29,MATCH($A25,'18 KMP- Tháng'!$A$6:$A$29,0),MATCH(H$7,'18 KMP- Tháng'!$E$2:$P$2,0))</f>
        <v>754.47364200000004</v>
      </c>
      <c r="I25" s="189">
        <f>INDEX('18 KMP- Tháng'!$E$6:$Q$29,MATCH($A25,'18 KMP- Tháng'!$A$6:$A$29,0),MATCH(I$7,'18 KMP- Tháng'!$E$2:$P$2,0))</f>
        <v>658.77374900000007</v>
      </c>
      <c r="J25" s="189">
        <f>INDEX('18 KMP- Tháng'!$E$6:$Q$29,MATCH($A25,'18 KMP- Tháng'!$A$6:$A$29,0),MATCH(J$7,'18 KMP- Tháng'!$E$2:$P$2,0))</f>
        <v>768.27695300000005</v>
      </c>
      <c r="K25" s="189">
        <f>INDEX('18 KMP- Tháng'!$E$6:$Q$29,MATCH($A25,'18 KMP- Tháng'!$A$6:$A$29,0),MATCH(K$7,'18 KMP- Tháng'!$E$2:$P$2,0))</f>
        <v>802.81471999999985</v>
      </c>
      <c r="L25" s="189">
        <f>INDEX('18 KMP- Tháng'!$E$6:$Q$29,MATCH($A25,'18 KMP- Tháng'!$A$6:$A$29,0),MATCH(L$7,'18 KMP- Tháng'!$E$2:$P$2,0))</f>
        <v>656.1743909999999</v>
      </c>
      <c r="M25" s="189">
        <f>INDEX('18 KMP- Tháng'!$E$6:$Q$29,MATCH($A25,'18 KMP- Tháng'!$A$6:$A$29,0),MATCH(M$7,'18 KMP- Tháng'!$E$2:$P$2,0))</f>
        <v>591.34523200000001</v>
      </c>
      <c r="N25" s="189">
        <f>INDEX('18 KMP- Tháng'!$E$6:$Q$29,MATCH($A25,'18 KMP- Tháng'!$A$6:$A$29,0),MATCH(N$7,'18 KMP- Tháng'!$E$2:$P$2,0))</f>
        <v>628.2454120000001</v>
      </c>
      <c r="O25" s="189">
        <f>INDEX('18 KMP- Tháng'!$E$6:$Q$29,MATCH($A25,'18 KMP- Tháng'!$A$6:$A$29,0),MATCH(O$7,'18 KMP- Tháng'!$E$2:$P$2,0))</f>
        <v>639.27243399999986</v>
      </c>
      <c r="P25" s="344">
        <f>INDEX('18 KMP- Tháng'!$E$6:$Q$29,MATCH($A25,'18 KMP- Tháng'!$A$6:$A$29,0),MATCH(P$7,'18 KMP- Tháng'!$E$2:$P$2,0))</f>
        <v>1090.457459</v>
      </c>
      <c r="Q25" s="362">
        <f t="shared" si="21"/>
        <v>753.4168821666666</v>
      </c>
      <c r="R25" s="189">
        <f>INDEX('18 KMP- Tháng'!$R$6:$AC$24,MATCH($A25,'18 KMP- Tháng'!$A$6:$A$24,0),MATCH(R$7,'18 KMP- Tháng'!$R$2:$AC$2,0))</f>
        <v>131.210769</v>
      </c>
      <c r="S25" s="189">
        <f>INDEX('18 KMP- Tháng'!$R$6:$AC$24,MATCH($A25,'18 KMP- Tháng'!$A$6:$A$24,0),MATCH(S$7,'18 KMP- Tháng'!$R$2:$AC$2,0))</f>
        <v>180.74259799999999</v>
      </c>
      <c r="T25" s="189">
        <f>INDEX('18 KMP- Tháng'!$R$6:$AC$24,MATCH($A25,'18 KMP- Tháng'!$A$6:$A$24,0),MATCH(T$7,'18 KMP- Tháng'!$R$2:$AC$2,0))</f>
        <v>206.01249599999997</v>
      </c>
      <c r="U25" s="189">
        <f>INDEX('18 KMP- Tháng'!$R$6:$AC$24,MATCH($A25,'18 KMP- Tháng'!$A$6:$A$24,0),MATCH(U$7,'18 KMP- Tháng'!$R$2:$AC$2,0))</f>
        <v>230.52595599999998</v>
      </c>
      <c r="V25" s="189">
        <f>INDEX('18 KMP- Tháng'!$R$6:$AC$24,MATCH($A25,'18 KMP- Tháng'!$A$6:$A$24,0),MATCH(V$7,'18 KMP- Tháng'!$R$2:$AC$2,0))</f>
        <v>228.19252499999996</v>
      </c>
      <c r="W25" s="189">
        <f>INDEX('18 KMP- Tháng'!$R$6:$AC$24,MATCH($A25,'18 KMP- Tháng'!$A$6:$A$24,0),MATCH(W$7,'18 KMP- Tháng'!$R$2:$AC$2,0))</f>
        <v>219.52153400000003</v>
      </c>
      <c r="X25" s="189">
        <f>INDEX('18 KMP- Tháng'!$R$6:$AC$24,MATCH($A25,'18 KMP- Tháng'!$A$6:$A$24,0),MATCH(X$7,'18 KMP- Tháng'!$R$2:$AC$2,0))</f>
        <v>210.42664500000004</v>
      </c>
      <c r="Y25" s="189">
        <f>INDEX('18 KMP- Tháng'!$R$6:$AC$24,MATCH($A25,'18 KMP- Tháng'!$A$6:$A$24,0),MATCH(Y$7,'18 KMP- Tháng'!$R$2:$AC$2,0))</f>
        <v>234.972218</v>
      </c>
      <c r="Z25" s="189">
        <f>INDEX('18 KMP- Tháng'!$R$6:$AC$24,MATCH($A25,'18 KMP- Tháng'!$A$6:$A$24,0),MATCH(Z$7,'18 KMP- Tháng'!$R$2:$AC$2,0))</f>
        <v>187.086457</v>
      </c>
      <c r="AA25" s="189">
        <f>INDEX('18 KMP- Tháng'!$R$6:$AC$24,MATCH($A25,'18 KMP- Tháng'!$A$6:$A$24,0),MATCH(AA$7,'18 KMP- Tháng'!$R$2:$AC$2,0))</f>
        <v>234.67086900000001</v>
      </c>
      <c r="AB25" s="189">
        <f>INDEX('18 KMP- Tháng'!$R$6:$AC$24,MATCH($A25,'18 KMP- Tháng'!$A$6:$A$24,0),MATCH(AB$7,'18 KMP- Tháng'!$R$2:$AC$2,0))</f>
        <v>271.48286099999996</v>
      </c>
      <c r="AC25" s="344">
        <f>INDEX('18 KMP- Tháng'!$R$6:$AC$24,MATCH($A25,'18 KMP- Tháng'!$A$6:$A$24,0),MATCH(AC$7,'18 KMP- Tháng'!$R$2:$AC$2,0))</f>
        <v>393.78090400000002</v>
      </c>
      <c r="AD25" s="362">
        <f t="shared" si="10"/>
        <v>227.38548599999999</v>
      </c>
      <c r="AE25" s="353">
        <f>INDEX('18 KMP- Tháng'!$AF$6:$AQ$29,MATCH($A25,'18 KMP- Tháng'!$A$6:$A$29,0),MATCH(AE$7,'18 KMP- Tháng'!$AF$2:$AQ$2,0))</f>
        <v>407.86211399999996</v>
      </c>
      <c r="AF25" s="189">
        <f>INDEX('18 KMP- Tháng'!$AF$6:$AQ$29,MATCH($A25,'18 KMP- Tháng'!$A$6:$A$29,0),MATCH(AF$7,'18 KMP- Tháng'!$AF$2:$AQ$2,0))</f>
        <v>363.49893600000001</v>
      </c>
      <c r="AG25" s="189">
        <f>INDEX('18 KMP- Tháng'!$AF$6:$AQ$29,MATCH($A25,'18 KMP- Tháng'!$A$6:$A$29,0),MATCH(AG$7,'18 KMP- Tháng'!$AF$2:$AQ$2,0))</f>
        <v>408.98959699999995</v>
      </c>
      <c r="AH25" s="189">
        <f>INDEX('18 KMP- Tháng'!$AF$6:$AQ$29,MATCH($A25,'18 KMP- Tháng'!$A$6:$A$29,0),MATCH(AH$7,'18 KMP- Tháng'!$AF$2:$AQ$2,0))</f>
        <v>345.36312299999997</v>
      </c>
      <c r="AI25" s="189">
        <f>INDEX('18 KMP- Tháng'!$AF$6:$AQ$29,MATCH($A25,'18 KMP- Tháng'!$A$6:$A$29,0),MATCH(AI$7,'18 KMP- Tháng'!$AF$2:$AQ$2,0))</f>
        <v>348.18176699999998</v>
      </c>
      <c r="AJ25" s="189">
        <f>INDEX('18 KMP- Tháng'!$AF$6:$AQ$29,MATCH($A25,'18 KMP- Tháng'!$A$6:$A$29,0),MATCH(AJ$7,'18 KMP- Tháng'!$AF$2:$AQ$2,0))</f>
        <v>677.55413499999997</v>
      </c>
      <c r="AK25" s="189">
        <f>INDEX('18 KMP- Tháng'!$AF$6:$AQ$29,MATCH($A25,'18 KMP- Tháng'!$A$6:$A$29,0),MATCH(AK$7,'18 KMP- Tháng'!$AF$2:$AQ$2,0))</f>
        <v>702.19951900000001</v>
      </c>
      <c r="AL25" s="189">
        <f>INDEX('18 KMP- Tháng'!$AF$6:$AQ$29,MATCH($A25,'18 KMP- Tháng'!$A$6:$A$29,0),MATCH(AL$7,'18 KMP- Tháng'!$AF$2:$AQ$2,0))</f>
        <v>663.37157000000002</v>
      </c>
      <c r="AM25" s="189">
        <f>INDEX('18 KMP- Tháng'!$AF$6:$AQ$29,MATCH($A25,'18 KMP- Tháng'!$A$6:$A$29,0),MATCH(AM$7,'18 KMP- Tháng'!$AF$2:$AQ$2,0))</f>
        <v>644.74571600000002</v>
      </c>
      <c r="AN25" s="189">
        <f>INDEX('18 KMP- Tháng'!$AF$6:$AQ$29,MATCH($A25,'18 KMP- Tháng'!$A$6:$A$29,0),MATCH(AN$7,'18 KMP- Tháng'!$AF$2:$AQ$2,0))</f>
        <v>926.9186289999999</v>
      </c>
      <c r="AO25" s="189">
        <f>INDEX('18 KMP- Tháng'!$AF$6:$AQ$29,MATCH($A25,'18 KMP- Tháng'!$A$6:$A$29,0),MATCH(AO$7,'18 KMP- Tháng'!$AF$2:$AQ$2,0))</f>
        <v>618.54695500000003</v>
      </c>
      <c r="AP25" s="344">
        <f>INDEX('18 KMP- Tháng'!$AF$6:$AQ$29,MATCH($A25,'18 KMP- Tháng'!$A$6:$A$29,0),MATCH(AP$7,'18 KMP- Tháng'!$AF$2:$AQ$2,0))</f>
        <v>556.22009099999991</v>
      </c>
      <c r="AQ25" s="583">
        <f t="shared" si="22"/>
        <v>555.28767933333336</v>
      </c>
      <c r="AR25" s="353">
        <f t="shared" si="23"/>
        <v>6663.4521519999998</v>
      </c>
      <c r="AS25" s="353">
        <f>INDEX('18 KMP- Tháng'!$BH$6:$BS$29,MATCH($A25,'18 KMP- Tháng'!$A$6:$A$29,0),MATCH(AS$7,'18 KMP- Tháng'!$BH$2:$BS$2,0))</f>
        <v>740.00024123222636</v>
      </c>
      <c r="AT25" s="189">
        <f>INDEX('18 KMP- Tháng'!$BH$6:$BS$29,MATCH($A25,'18 KMP- Tháng'!$A$6:$A$29,0),MATCH(AT$7,'18 KMP- Tháng'!$BH$2:$BS$2,0))</f>
        <v>559.21882981185399</v>
      </c>
      <c r="AU25" s="189">
        <f>INDEX('18 KMP- Tháng'!$BH$6:$BS$29,MATCH($A25,'18 KMP- Tháng'!$A$6:$A$29,0),MATCH(AU$7,'18 KMP- Tháng'!$BH$2:$BS$2,0))</f>
        <v>914.83883919498282</v>
      </c>
      <c r="AV25" s="189">
        <f>INDEX('18 KMP- Tháng'!$BH$6:$BS$29,MATCH($A25,'18 KMP- Tháng'!$A$6:$A$29,0),MATCH(AV$7,'18 KMP- Tháng'!$BH$2:$BS$2,0))</f>
        <v>775.9150134633951</v>
      </c>
      <c r="AW25" s="189">
        <f>INDEX('18 KMP- Tháng'!$BH$6:$BS$29,MATCH($A25,'18 KMP- Tháng'!$A$6:$A$29,0),MATCH(AW$7,'18 KMP- Tháng'!$BH$2:$BS$2,0))</f>
        <v>770.06053341993425</v>
      </c>
      <c r="AX25" s="189">
        <f>INDEX('18 KMP- Tháng'!$BH$6:$BS$29,MATCH($A25,'18 KMP- Tháng'!$A$6:$A$29,0),MATCH(AX$7,'18 KMP- Tháng'!$BH$2:$BS$2,0))</f>
        <v>761.1535210441416</v>
      </c>
      <c r="AY25" s="189">
        <f>INDEX('18 KMP- Tháng'!$BH$6:$BS$29,MATCH($A25,'18 KMP- Tháng'!$A$6:$A$29,0),MATCH(AY$7,'18 KMP- Tháng'!$BH$2:$BS$2,0))</f>
        <v>685.63322617978429</v>
      </c>
      <c r="AZ25" s="189">
        <f>INDEX('18 KMP- Tháng'!$BH$6:$BS$29,MATCH($A25,'18 KMP- Tháng'!$A$6:$A$29,0),MATCH(AZ$7,'18 KMP- Tháng'!$BH$2:$BS$2,0))</f>
        <v>650.63783730403804</v>
      </c>
      <c r="BA25" s="189">
        <f>INDEX('18 KMP- Tháng'!$BH$6:$BS$29,MATCH($A25,'18 KMP- Tháng'!$A$6:$A$29,0),MATCH(BA$7,'18 KMP- Tháng'!$BH$2:$BS$2,0))</f>
        <v>700.15995685343478</v>
      </c>
      <c r="BB25" s="189">
        <f>INDEX('18 KMP- Tháng'!$BH$6:$BS$29,MATCH($A25,'18 KMP- Tháng'!$A$6:$A$29,0),MATCH(BB$7,'18 KMP- Tháng'!$BH$2:$BS$2,0))</f>
        <v>738.63650177511818</v>
      </c>
      <c r="BC25" s="189">
        <f>INDEX('18 KMP- Tháng'!$BH$6:$BS$29,MATCH($A25,'18 KMP- Tháng'!$A$6:$A$29,0),MATCH(BC$7,'18 KMP- Tháng'!$BH$2:$BS$2,0))</f>
        <v>625.5097570160716</v>
      </c>
      <c r="BD25" s="344">
        <f>INDEX('18 KMP- Tháng'!$BH$6:$BS$29,MATCH($A25,'18 KMP- Tháng'!$A$6:$A$29,0),MATCH(BD$7,'18 KMP- Tháng'!$BH$2:$BS$2,0))</f>
        <v>653.03633310085524</v>
      </c>
      <c r="BE25" s="362">
        <f t="shared" si="24"/>
        <v>714.56671586631967</v>
      </c>
      <c r="BF25" s="353">
        <f>INDEX('18 KMP- Tháng'!$AS$6:$BD$29,MATCH($A25,'18 KMP- Tháng'!$A$6:$A$29,0),MATCH(BF$7,'18 KMP- Tháng'!$AS$2:$BD$2,0))</f>
        <v>660.81040299999995</v>
      </c>
      <c r="BG25" s="189">
        <f>INDEX('18 KMP- Tháng'!$AS$6:$BD$29,MATCH($A25,'18 KMP- Tháng'!$A$6:$A$29,0),MATCH(BG$7,'18 KMP- Tháng'!$AS$2:$BD$2,0))</f>
        <v>495.21601699999997</v>
      </c>
      <c r="BH25" s="189">
        <f>INDEX('18 KMP- Tháng'!$AS$6:$BD$29,MATCH($A25,'18 KMP- Tháng'!$A$6:$A$29,0),MATCH(BH$7,'18 KMP- Tháng'!$AS$2:$BD$2,0))</f>
        <v>489.98578899999995</v>
      </c>
      <c r="BI25" s="189">
        <f>INDEX('18 KMP- Tháng'!$AS$6:$BD$29,MATCH($A25,'18 KMP- Tháng'!$A$6:$A$29,0),MATCH(BI$7,'18 KMP- Tháng'!$AS$2:$BD$2,0))</f>
        <v>634.15996799999994</v>
      </c>
      <c r="BJ25" s="189">
        <f>INDEX('18 KMP- Tháng'!$AS$6:$BD$29,MATCH($A25,'18 KMP- Tháng'!$A$6:$A$29,0),MATCH(BJ$7,'18 KMP- Tháng'!$AS$2:$BD$2,0))</f>
        <v>659.26054499999998</v>
      </c>
      <c r="BK25" s="189">
        <f>INDEX('18 KMP- Tháng'!$AS$6:$BD$29,MATCH($A25,'18 KMP- Tháng'!$A$6:$A$29,0),MATCH(BK$7,'18 KMP- Tháng'!$AS$2:$BD$2,0))</f>
        <v>0</v>
      </c>
      <c r="BL25" s="189">
        <f>INDEX('18 KMP- Tháng'!$AS$6:$BD$29,MATCH($A25,'18 KMP- Tháng'!$A$6:$A$29,0),MATCH(BL$7,'18 KMP- Tháng'!$AS$2:$BD$2,0))</f>
        <v>0</v>
      </c>
      <c r="BM25" s="189">
        <f>INDEX('18 KMP- Tháng'!$AS$6:$BD$29,MATCH($A25,'18 KMP- Tháng'!$A$6:$A$29,0),MATCH(BM$7,'18 KMP- Tháng'!$AS$2:$BD$2,0))</f>
        <v>0</v>
      </c>
      <c r="BN25" s="189">
        <f>INDEX('18 KMP- Tháng'!$AS$6:$BD$29,MATCH($A25,'18 KMP- Tháng'!$A$6:$A$29,0),MATCH(BN$7,'18 KMP- Tháng'!$AS$2:$BD$2,0))</f>
        <v>0</v>
      </c>
      <c r="BO25" s="189">
        <f>INDEX('18 KMP- Tháng'!$AS$6:$BD$29,MATCH($A25,'18 KMP- Tháng'!$A$6:$A$29,0),MATCH(BO$7,'18 KMP- Tháng'!$AS$2:$BD$2,0))</f>
        <v>0</v>
      </c>
      <c r="BP25" s="189">
        <f>INDEX('18 KMP- Tháng'!$AS$6:$BD$29,MATCH($A25,'18 KMP- Tháng'!$A$6:$A$29,0),MATCH(BP$7,'18 KMP- Tháng'!$AS$2:$BD$2,0))</f>
        <v>0</v>
      </c>
      <c r="BQ25" s="344">
        <f>INDEX('18 KMP- Tháng'!$AS$6:$BD$29,MATCH($A25,'18 KMP- Tháng'!$A$6:$A$29,0),MATCH(BQ$7,'18 KMP- Tháng'!$AS$2:$BD$2,0))</f>
        <v>0</v>
      </c>
      <c r="BR25" s="583">
        <f t="shared" si="25"/>
        <v>587.88654440000005</v>
      </c>
      <c r="BS25" s="353">
        <f t="shared" si="26"/>
        <v>2939.432722</v>
      </c>
      <c r="BT25" s="196">
        <f t="shared" si="9"/>
        <v>-0.10701326002321543</v>
      </c>
      <c r="BU25" s="190">
        <f t="shared" si="6"/>
        <v>6.455160268025696E-3</v>
      </c>
      <c r="BV25" s="655"/>
      <c r="BW25" s="655"/>
      <c r="BX25" s="655"/>
      <c r="BY25" s="656"/>
      <c r="BZ25" s="656"/>
      <c r="CA25" s="656"/>
      <c r="CB25" s="656"/>
      <c r="CC25" s="191"/>
      <c r="CD25" s="158"/>
      <c r="CE25" s="158"/>
      <c r="CF25" s="158"/>
      <c r="CG25" s="158"/>
      <c r="CH25" s="158"/>
      <c r="CI25" s="158"/>
      <c r="CJ25" s="158"/>
      <c r="CK25" s="158"/>
      <c r="CL25" s="158"/>
      <c r="CM25" s="158"/>
      <c r="CN25" s="158"/>
    </row>
    <row r="26" spans="1:92" s="186" customFormat="1" x14ac:dyDescent="0.3">
      <c r="A26" s="174">
        <v>19</v>
      </c>
      <c r="B26" s="187">
        <f t="shared" si="27"/>
        <v>5</v>
      </c>
      <c r="C26" s="188" t="s">
        <v>97</v>
      </c>
      <c r="D26" s="188" t="s">
        <v>12</v>
      </c>
      <c r="E26" s="189">
        <f>INDEX('18 KMP- Tháng'!$E$6:$Q$29,MATCH($A26,'18 KMP- Tháng'!$A$6:$A$29,0),MATCH(E$7,'18 KMP- Tháng'!$E$2:$P$2,0))</f>
        <v>465.27927</v>
      </c>
      <c r="F26" s="189">
        <f>INDEX('18 KMP- Tháng'!$E$6:$Q$29,MATCH($A26,'18 KMP- Tháng'!$A$6:$A$29,0),MATCH(F$7,'18 KMP- Tháng'!$E$2:$P$2,0))</f>
        <v>498.88963100000001</v>
      </c>
      <c r="G26" s="189">
        <f>INDEX('18 KMP- Tháng'!$E$6:$Q$29,MATCH($A26,'18 KMP- Tháng'!$A$6:$A$29,0),MATCH(G$7,'18 KMP- Tháng'!$E$2:$P$2,0))</f>
        <v>485.24326100000002</v>
      </c>
      <c r="H26" s="189">
        <f>INDEX('18 KMP- Tháng'!$E$6:$Q$29,MATCH($A26,'18 KMP- Tháng'!$A$6:$A$29,0),MATCH(H$7,'18 KMP- Tháng'!$E$2:$P$2,0))</f>
        <v>431.96916599999997</v>
      </c>
      <c r="I26" s="189">
        <f>INDEX('18 KMP- Tháng'!$E$6:$Q$29,MATCH($A26,'18 KMP- Tháng'!$A$6:$A$29,0),MATCH(I$7,'18 KMP- Tháng'!$E$2:$P$2,0))</f>
        <v>578.64694599999996</v>
      </c>
      <c r="J26" s="189">
        <f>INDEX('18 KMP- Tháng'!$E$6:$Q$29,MATCH($A26,'18 KMP- Tháng'!$A$6:$A$29,0),MATCH(J$7,'18 KMP- Tháng'!$E$2:$P$2,0))</f>
        <v>481.06259</v>
      </c>
      <c r="K26" s="189">
        <f>INDEX('18 KMP- Tháng'!$E$6:$Q$29,MATCH($A26,'18 KMP- Tháng'!$A$6:$A$29,0),MATCH(K$7,'18 KMP- Tháng'!$E$2:$P$2,0))</f>
        <v>502.90178500000002</v>
      </c>
      <c r="L26" s="189">
        <f>INDEX('18 KMP- Tháng'!$E$6:$Q$29,MATCH($A26,'18 KMP- Tháng'!$A$6:$A$29,0),MATCH(L$7,'18 KMP- Tháng'!$E$2:$P$2,0))</f>
        <v>554.27070400000002</v>
      </c>
      <c r="M26" s="189">
        <f>INDEX('18 KMP- Tháng'!$E$6:$Q$29,MATCH($A26,'18 KMP- Tháng'!$A$6:$A$29,0),MATCH(M$7,'18 KMP- Tháng'!$E$2:$P$2,0))</f>
        <v>469.50239099999999</v>
      </c>
      <c r="N26" s="189">
        <f>INDEX('18 KMP- Tháng'!$E$6:$Q$29,MATCH($A26,'18 KMP- Tháng'!$A$6:$A$29,0),MATCH(N$7,'18 KMP- Tháng'!$E$2:$P$2,0))</f>
        <v>547.69279300000005</v>
      </c>
      <c r="O26" s="189">
        <f>INDEX('18 KMP- Tháng'!$E$6:$Q$29,MATCH($A26,'18 KMP- Tháng'!$A$6:$A$29,0),MATCH(O$7,'18 KMP- Tháng'!$E$2:$P$2,0))</f>
        <v>615.94742800000006</v>
      </c>
      <c r="P26" s="344">
        <f>INDEX('18 KMP- Tháng'!$E$6:$Q$29,MATCH($A26,'18 KMP- Tháng'!$A$6:$A$29,0),MATCH(P$7,'18 KMP- Tháng'!$E$2:$P$2,0))</f>
        <v>681.05225900000005</v>
      </c>
      <c r="Q26" s="362">
        <f t="shared" si="21"/>
        <v>526.03818533333344</v>
      </c>
      <c r="R26" s="189">
        <f>INDEX('18 KMP- Tháng'!$R$6:$AC$24,MATCH($A26,'18 KMP- Tháng'!$A$6:$A$24,0),MATCH(R$7,'18 KMP- Tháng'!$R$2:$AC$2,0))</f>
        <v>594.323802</v>
      </c>
      <c r="S26" s="189">
        <f>INDEX('18 KMP- Tháng'!$R$6:$AC$24,MATCH($A26,'18 KMP- Tháng'!$A$6:$A$24,0),MATCH(S$7,'18 KMP- Tháng'!$R$2:$AC$2,0))</f>
        <v>570.37826399999994</v>
      </c>
      <c r="T26" s="189">
        <f>INDEX('18 KMP- Tháng'!$R$6:$AC$24,MATCH($A26,'18 KMP- Tháng'!$A$6:$A$24,0),MATCH(T$7,'18 KMP- Tháng'!$R$2:$AC$2,0))</f>
        <v>674.92623200000003</v>
      </c>
      <c r="U26" s="189">
        <f>INDEX('18 KMP- Tháng'!$R$6:$AC$24,MATCH($A26,'18 KMP- Tháng'!$A$6:$A$24,0),MATCH(U$7,'18 KMP- Tháng'!$R$2:$AC$2,0))</f>
        <v>723.31254100000001</v>
      </c>
      <c r="V26" s="189">
        <f>INDEX('18 KMP- Tháng'!$R$6:$AC$24,MATCH($A26,'18 KMP- Tháng'!$A$6:$A$24,0),MATCH(V$7,'18 KMP- Tháng'!$R$2:$AC$2,0))</f>
        <v>794.63473399999998</v>
      </c>
      <c r="W26" s="189">
        <f>INDEX('18 KMP- Tháng'!$R$6:$AC$24,MATCH($A26,'18 KMP- Tháng'!$A$6:$A$24,0),MATCH(W$7,'18 KMP- Tháng'!$R$2:$AC$2,0))</f>
        <v>626.50749900000005</v>
      </c>
      <c r="X26" s="189">
        <f>INDEX('18 KMP- Tháng'!$R$6:$AC$24,MATCH($A26,'18 KMP- Tháng'!$A$6:$A$24,0),MATCH(X$7,'18 KMP- Tháng'!$R$2:$AC$2,0))</f>
        <v>526.28645900000004</v>
      </c>
      <c r="Y26" s="189">
        <f>INDEX('18 KMP- Tháng'!$R$6:$AC$24,MATCH($A26,'18 KMP- Tháng'!$A$6:$A$24,0),MATCH(Y$7,'18 KMP- Tháng'!$R$2:$AC$2,0))</f>
        <v>676.44750099999999</v>
      </c>
      <c r="Z26" s="189">
        <f>INDEX('18 KMP- Tháng'!$R$6:$AC$24,MATCH($A26,'18 KMP- Tháng'!$A$6:$A$24,0),MATCH(Z$7,'18 KMP- Tháng'!$R$2:$AC$2,0))</f>
        <v>887.53877199999999</v>
      </c>
      <c r="AA26" s="189">
        <f>INDEX('18 KMP- Tháng'!$R$6:$AC$24,MATCH($A26,'18 KMP- Tháng'!$A$6:$A$24,0),MATCH(AA$7,'18 KMP- Tháng'!$R$2:$AC$2,0))</f>
        <v>694.86993199999995</v>
      </c>
      <c r="AB26" s="189">
        <f>INDEX('18 KMP- Tháng'!$R$6:$AC$24,MATCH($A26,'18 KMP- Tháng'!$A$6:$A$24,0),MATCH(AB$7,'18 KMP- Tháng'!$R$2:$AC$2,0))</f>
        <v>842.70942500000001</v>
      </c>
      <c r="AC26" s="344">
        <f>INDEX('18 KMP- Tháng'!$R$6:$AC$24,MATCH($A26,'18 KMP- Tháng'!$A$6:$A$24,0),MATCH(AC$7,'18 KMP- Tháng'!$R$2:$AC$2,0))</f>
        <v>924.13166999999999</v>
      </c>
      <c r="AD26" s="362">
        <f t="shared" si="10"/>
        <v>711.33890258333338</v>
      </c>
      <c r="AE26" s="353">
        <f>INDEX('18 KMP- Tháng'!$AF$6:$AQ$29,MATCH($A26,'18 KMP- Tháng'!$A$6:$A$29,0),MATCH(AE$7,'18 KMP- Tháng'!$AF$2:$AQ$2,0))</f>
        <v>709.08018800000002</v>
      </c>
      <c r="AF26" s="189">
        <f>INDEX('18 KMP- Tháng'!$AF$6:$AQ$29,MATCH($A26,'18 KMP- Tháng'!$A$6:$A$29,0),MATCH(AF$7,'18 KMP- Tháng'!$AF$2:$AQ$2,0))</f>
        <v>864.87728500000003</v>
      </c>
      <c r="AG26" s="189">
        <f>INDEX('18 KMP- Tháng'!$AF$6:$AQ$29,MATCH($A26,'18 KMP- Tháng'!$A$6:$A$29,0),MATCH(AG$7,'18 KMP- Tháng'!$AF$2:$AQ$2,0))</f>
        <v>848.98558400000002</v>
      </c>
      <c r="AH26" s="189">
        <f>INDEX('18 KMP- Tháng'!$AF$6:$AQ$29,MATCH($A26,'18 KMP- Tháng'!$A$6:$A$29,0),MATCH(AH$7,'18 KMP- Tháng'!$AF$2:$AQ$2,0))</f>
        <v>991.21175600000004</v>
      </c>
      <c r="AI26" s="189">
        <f>INDEX('18 KMP- Tháng'!$AF$6:$AQ$29,MATCH($A26,'18 KMP- Tháng'!$A$6:$A$29,0),MATCH(AI$7,'18 KMP- Tháng'!$AF$2:$AQ$2,0))</f>
        <v>917.71572100000003</v>
      </c>
      <c r="AJ26" s="189">
        <f>INDEX('18 KMP- Tháng'!$AF$6:$AQ$29,MATCH($A26,'18 KMP- Tháng'!$A$6:$A$29,0),MATCH(AJ$7,'18 KMP- Tháng'!$AF$2:$AQ$2,0))</f>
        <v>820.90210200000001</v>
      </c>
      <c r="AK26" s="189">
        <f>INDEX('18 KMP- Tháng'!$AF$6:$AQ$29,MATCH($A26,'18 KMP- Tháng'!$A$6:$A$29,0),MATCH(AK$7,'18 KMP- Tháng'!$AF$2:$AQ$2,0))</f>
        <v>838.19858399999998</v>
      </c>
      <c r="AL26" s="189">
        <f>INDEX('18 KMP- Tháng'!$AF$6:$AQ$29,MATCH($A26,'18 KMP- Tháng'!$A$6:$A$29,0),MATCH(AL$7,'18 KMP- Tháng'!$AF$2:$AQ$2,0))</f>
        <v>813.41289900000004</v>
      </c>
      <c r="AM26" s="189">
        <f>INDEX('18 KMP- Tháng'!$AF$6:$AQ$29,MATCH($A26,'18 KMP- Tháng'!$A$6:$A$29,0),MATCH(AM$7,'18 KMP- Tháng'!$AF$2:$AQ$2,0))</f>
        <v>846.74762199999998</v>
      </c>
      <c r="AN26" s="189">
        <f>INDEX('18 KMP- Tháng'!$AF$6:$AQ$29,MATCH($A26,'18 KMP- Tháng'!$A$6:$A$29,0),MATCH(AN$7,'18 KMP- Tháng'!$AF$2:$AQ$2,0))</f>
        <v>817.65499199999999</v>
      </c>
      <c r="AO26" s="189">
        <f>INDEX('18 KMP- Tháng'!$AF$6:$AQ$29,MATCH($A26,'18 KMP- Tháng'!$A$6:$A$29,0),MATCH(AO$7,'18 KMP- Tháng'!$AF$2:$AQ$2,0))</f>
        <v>895.35202400000003</v>
      </c>
      <c r="AP26" s="344">
        <f>INDEX('18 KMP- Tháng'!$AF$6:$AQ$29,MATCH($A26,'18 KMP- Tháng'!$A$6:$A$29,0),MATCH(AP$7,'18 KMP- Tháng'!$AF$2:$AQ$2,0))</f>
        <v>780.85826399999996</v>
      </c>
      <c r="AQ26" s="583">
        <f t="shared" si="22"/>
        <v>845.4164184166666</v>
      </c>
      <c r="AR26" s="353">
        <f t="shared" si="23"/>
        <v>10144.997020999999</v>
      </c>
      <c r="AS26" s="353">
        <f>INDEX('18 KMP- Tháng'!$BH$6:$BS$29,MATCH($A26,'18 KMP- Tháng'!$A$6:$A$29,0),MATCH(AS$7,'18 KMP- Tháng'!$BH$2:$BS$2,0))</f>
        <v>1004.1135733225151</v>
      </c>
      <c r="AT26" s="189">
        <f>INDEX('18 KMP- Tháng'!$BH$6:$BS$29,MATCH($A26,'18 KMP- Tháng'!$A$6:$A$29,0),MATCH(AT$7,'18 KMP- Tháng'!$BH$2:$BS$2,0))</f>
        <v>620.47600047781646</v>
      </c>
      <c r="AU26" s="189">
        <f>INDEX('18 KMP- Tháng'!$BH$6:$BS$29,MATCH($A26,'18 KMP- Tháng'!$A$6:$A$29,0),MATCH(AU$7,'18 KMP- Tháng'!$BH$2:$BS$2,0))</f>
        <v>846.65024144322979</v>
      </c>
      <c r="AV26" s="189">
        <f>INDEX('18 KMP- Tháng'!$BH$6:$BS$29,MATCH($A26,'18 KMP- Tháng'!$A$6:$A$29,0),MATCH(AV$7,'18 KMP- Tháng'!$BH$2:$BS$2,0))</f>
        <v>885.97974467720064</v>
      </c>
      <c r="AW26" s="189">
        <f>INDEX('18 KMP- Tháng'!$BH$6:$BS$29,MATCH($A26,'18 KMP- Tháng'!$A$6:$A$29,0),MATCH(AW$7,'18 KMP- Tháng'!$BH$2:$BS$2,0))</f>
        <v>703.92064204960741</v>
      </c>
      <c r="AX26" s="189">
        <f>INDEX('18 KMP- Tháng'!$BH$6:$BS$29,MATCH($A26,'18 KMP- Tháng'!$A$6:$A$29,0),MATCH(AX$7,'18 KMP- Tháng'!$BH$2:$BS$2,0))</f>
        <v>751.22790936895672</v>
      </c>
      <c r="AY26" s="189">
        <f>INDEX('18 KMP- Tháng'!$BH$6:$BS$29,MATCH($A26,'18 KMP- Tháng'!$A$6:$A$29,0),MATCH(AY$7,'18 KMP- Tháng'!$BH$2:$BS$2,0))</f>
        <v>757.9685684592622</v>
      </c>
      <c r="AZ26" s="189">
        <f>INDEX('18 KMP- Tháng'!$BH$6:$BS$29,MATCH($A26,'18 KMP- Tháng'!$A$6:$A$29,0),MATCH(AZ$7,'18 KMP- Tháng'!$BH$2:$BS$2,0))</f>
        <v>711.39020857517335</v>
      </c>
      <c r="BA26" s="189">
        <f>INDEX('18 KMP- Tháng'!$BH$6:$BS$29,MATCH($A26,'18 KMP- Tháng'!$A$6:$A$29,0),MATCH(BA$7,'18 KMP- Tháng'!$BH$2:$BS$2,0))</f>
        <v>744.20343259999515</v>
      </c>
      <c r="BB26" s="189">
        <f>INDEX('18 KMP- Tháng'!$BH$6:$BS$29,MATCH($A26,'18 KMP- Tháng'!$A$6:$A$29,0),MATCH(BB$7,'18 KMP- Tháng'!$BH$2:$BS$2,0))</f>
        <v>728.20449069912024</v>
      </c>
      <c r="BC26" s="189">
        <f>INDEX('18 KMP- Tháng'!$BH$6:$BS$29,MATCH($A26,'18 KMP- Tháng'!$A$6:$A$29,0),MATCH(BC$7,'18 KMP- Tháng'!$BH$2:$BS$2,0))</f>
        <v>620.61399207277384</v>
      </c>
      <c r="BD26" s="344">
        <f>INDEX('18 KMP- Tháng'!$BH$6:$BS$29,MATCH($A26,'18 KMP- Tháng'!$A$6:$A$29,0),MATCH(BD$7,'18 KMP- Tháng'!$BH$2:$BS$2,0))</f>
        <v>722.05437210875414</v>
      </c>
      <c r="BE26" s="362">
        <f t="shared" si="24"/>
        <v>758.06693132120051</v>
      </c>
      <c r="BF26" s="353">
        <f>INDEX('18 KMP- Tháng'!$AS$6:$BD$29,MATCH($A26,'18 KMP- Tháng'!$A$6:$A$29,0),MATCH(BF$7,'18 KMP- Tháng'!$AS$2:$BD$2,0))</f>
        <v>537.39596400000005</v>
      </c>
      <c r="BG26" s="189">
        <f>INDEX('18 KMP- Tháng'!$AS$6:$BD$29,MATCH($A26,'18 KMP- Tháng'!$A$6:$A$29,0),MATCH(BG$7,'18 KMP- Tháng'!$AS$2:$BD$2,0))</f>
        <v>457.20217000000002</v>
      </c>
      <c r="BH26" s="189">
        <f>INDEX('18 KMP- Tháng'!$AS$6:$BD$29,MATCH($A26,'18 KMP- Tháng'!$A$6:$A$29,0),MATCH(BH$7,'18 KMP- Tháng'!$AS$2:$BD$2,0))</f>
        <v>543.72858399999996</v>
      </c>
      <c r="BI26" s="189">
        <f>INDEX('18 KMP- Tháng'!$AS$6:$BD$29,MATCH($A26,'18 KMP- Tháng'!$A$6:$A$29,0),MATCH(BI$7,'18 KMP- Tháng'!$AS$2:$BD$2,0))</f>
        <v>511.43058200000002</v>
      </c>
      <c r="BJ26" s="189">
        <f>INDEX('18 KMP- Tháng'!$AS$6:$BD$29,MATCH($A26,'18 KMP- Tháng'!$A$6:$A$29,0),MATCH(BJ$7,'18 KMP- Tháng'!$AS$2:$BD$2,0))</f>
        <v>531.586591</v>
      </c>
      <c r="BK26" s="189">
        <f>INDEX('18 KMP- Tháng'!$AS$6:$BD$29,MATCH($A26,'18 KMP- Tháng'!$A$6:$A$29,0),MATCH(BK$7,'18 KMP- Tháng'!$AS$2:$BD$2,0))</f>
        <v>0</v>
      </c>
      <c r="BL26" s="189">
        <f>INDEX('18 KMP- Tháng'!$AS$6:$BD$29,MATCH($A26,'18 KMP- Tháng'!$A$6:$A$29,0),MATCH(BL$7,'18 KMP- Tháng'!$AS$2:$BD$2,0))</f>
        <v>0</v>
      </c>
      <c r="BM26" s="189">
        <f>INDEX('18 KMP- Tháng'!$AS$6:$BD$29,MATCH($A26,'18 KMP- Tháng'!$A$6:$A$29,0),MATCH(BM$7,'18 KMP- Tháng'!$AS$2:$BD$2,0))</f>
        <v>0</v>
      </c>
      <c r="BN26" s="189">
        <f>INDEX('18 KMP- Tháng'!$AS$6:$BD$29,MATCH($A26,'18 KMP- Tháng'!$A$6:$A$29,0),MATCH(BN$7,'18 KMP- Tháng'!$AS$2:$BD$2,0))</f>
        <v>0</v>
      </c>
      <c r="BO26" s="189">
        <f>INDEX('18 KMP- Tháng'!$AS$6:$BD$29,MATCH($A26,'18 KMP- Tháng'!$A$6:$A$29,0),MATCH(BO$7,'18 KMP- Tháng'!$AS$2:$BD$2,0))</f>
        <v>0</v>
      </c>
      <c r="BP26" s="189">
        <f>INDEX('18 KMP- Tháng'!$AS$6:$BD$29,MATCH($A26,'18 KMP- Tháng'!$A$6:$A$29,0),MATCH(BP$7,'18 KMP- Tháng'!$AS$2:$BD$2,0))</f>
        <v>0</v>
      </c>
      <c r="BQ26" s="344">
        <f>INDEX('18 KMP- Tháng'!$AS$6:$BD$29,MATCH($A26,'18 KMP- Tháng'!$A$6:$A$29,0),MATCH(BQ$7,'18 KMP- Tháng'!$AS$2:$BD$2,0))</f>
        <v>0</v>
      </c>
      <c r="BR26" s="583">
        <f t="shared" si="25"/>
        <v>516.26877820000004</v>
      </c>
      <c r="BS26" s="353">
        <f t="shared" si="26"/>
        <v>2581.3438910000004</v>
      </c>
      <c r="BT26" s="196">
        <f t="shared" si="9"/>
        <v>-0.46480559741682548</v>
      </c>
      <c r="BU26" s="190">
        <f t="shared" si="6"/>
        <v>5.6687769713458531E-3</v>
      </c>
      <c r="BV26" s="657"/>
      <c r="BW26" s="657"/>
      <c r="BX26" s="657"/>
      <c r="BY26" s="648"/>
      <c r="BZ26" s="648"/>
      <c r="CA26" s="648"/>
      <c r="CB26" s="648"/>
      <c r="CC26" s="191"/>
      <c r="CD26" s="158"/>
      <c r="CE26" s="158"/>
      <c r="CF26" s="158"/>
      <c r="CG26" s="158"/>
      <c r="CH26" s="158"/>
      <c r="CI26" s="158"/>
      <c r="CJ26" s="158"/>
      <c r="CK26" s="158"/>
      <c r="CL26" s="158"/>
      <c r="CM26" s="158"/>
      <c r="CN26" s="158"/>
    </row>
    <row r="27" spans="1:92" s="186" customFormat="1" x14ac:dyDescent="0.3">
      <c r="A27" s="174">
        <v>20</v>
      </c>
      <c r="B27" s="187">
        <f t="shared" si="27"/>
        <v>6</v>
      </c>
      <c r="C27" s="188" t="s">
        <v>97</v>
      </c>
      <c r="D27" s="188" t="s">
        <v>51</v>
      </c>
      <c r="E27" s="189">
        <f>INDEX('18 KMP- Tháng'!$E$6:$Q$29,MATCH($A27,'18 KMP- Tháng'!$A$6:$A$29,0),MATCH(E$7,'18 KMP- Tháng'!$E$2:$P$2,0))</f>
        <v>246.48996799999998</v>
      </c>
      <c r="F27" s="189">
        <f>INDEX('18 KMP- Tháng'!$E$6:$Q$29,MATCH($A27,'18 KMP- Tháng'!$A$6:$A$29,0),MATCH(F$7,'18 KMP- Tháng'!$E$2:$P$2,0))</f>
        <v>196.31483499999999</v>
      </c>
      <c r="G27" s="189">
        <f>INDEX('18 KMP- Tháng'!$E$6:$Q$29,MATCH($A27,'18 KMP- Tháng'!$A$6:$A$29,0),MATCH(G$7,'18 KMP- Tháng'!$E$2:$P$2,0))</f>
        <v>283.67628499999995</v>
      </c>
      <c r="H27" s="189">
        <f>INDEX('18 KMP- Tháng'!$E$6:$Q$29,MATCH($A27,'18 KMP- Tháng'!$A$6:$A$29,0),MATCH(H$7,'18 KMP- Tháng'!$E$2:$P$2,0))</f>
        <v>199.32285299999998</v>
      </c>
      <c r="I27" s="189">
        <f>INDEX('18 KMP- Tháng'!$E$6:$Q$29,MATCH($A27,'18 KMP- Tháng'!$A$6:$A$29,0),MATCH(I$7,'18 KMP- Tháng'!$E$2:$P$2,0))</f>
        <v>400.21661099999994</v>
      </c>
      <c r="J27" s="189">
        <f>INDEX('18 KMP- Tháng'!$E$6:$Q$29,MATCH($A27,'18 KMP- Tháng'!$A$6:$A$29,0),MATCH(J$7,'18 KMP- Tháng'!$E$2:$P$2,0))</f>
        <v>382.31868700000001</v>
      </c>
      <c r="K27" s="189">
        <f>INDEX('18 KMP- Tháng'!$E$6:$Q$29,MATCH($A27,'18 KMP- Tháng'!$A$6:$A$29,0),MATCH(K$7,'18 KMP- Tháng'!$E$2:$P$2,0))</f>
        <v>546.65978099999995</v>
      </c>
      <c r="L27" s="189">
        <f>INDEX('18 KMP- Tháng'!$E$6:$Q$29,MATCH($A27,'18 KMP- Tháng'!$A$6:$A$29,0),MATCH(L$7,'18 KMP- Tháng'!$E$2:$P$2,0))</f>
        <v>459.12409699999995</v>
      </c>
      <c r="M27" s="189">
        <f>INDEX('18 KMP- Tháng'!$E$6:$Q$29,MATCH($A27,'18 KMP- Tháng'!$A$6:$A$29,0),MATCH(M$7,'18 KMP- Tháng'!$E$2:$P$2,0))</f>
        <v>351.15703000000002</v>
      </c>
      <c r="N27" s="189">
        <f>INDEX('18 KMP- Tháng'!$E$6:$Q$29,MATCH($A27,'18 KMP- Tháng'!$A$6:$A$29,0),MATCH(N$7,'18 KMP- Tháng'!$E$2:$P$2,0))</f>
        <v>507.62330700000001</v>
      </c>
      <c r="O27" s="189">
        <f>INDEX('18 KMP- Tháng'!$E$6:$Q$29,MATCH($A27,'18 KMP- Tháng'!$A$6:$A$29,0),MATCH(O$7,'18 KMP- Tháng'!$E$2:$P$2,0))</f>
        <v>624.38641399999995</v>
      </c>
      <c r="P27" s="344">
        <f>INDEX('18 KMP- Tháng'!$E$6:$Q$29,MATCH($A27,'18 KMP- Tháng'!$A$6:$A$29,0),MATCH(P$7,'18 KMP- Tháng'!$E$2:$P$2,0))</f>
        <v>848.89990699999998</v>
      </c>
      <c r="Q27" s="362">
        <f t="shared" si="21"/>
        <v>420.51581458333322</v>
      </c>
      <c r="R27" s="189">
        <f>INDEX('18 KMP- Tháng'!$R$6:$AC$24,MATCH($A27,'18 KMP- Tháng'!$A$6:$A$24,0),MATCH(R$7,'18 KMP- Tháng'!$R$2:$AC$2,0))</f>
        <v>506.27463</v>
      </c>
      <c r="S27" s="189">
        <f>INDEX('18 KMP- Tháng'!$R$6:$AC$24,MATCH($A27,'18 KMP- Tháng'!$A$6:$A$24,0),MATCH(S$7,'18 KMP- Tháng'!$R$2:$AC$2,0))</f>
        <v>593.07691999999997</v>
      </c>
      <c r="T27" s="189">
        <f>INDEX('18 KMP- Tháng'!$R$6:$AC$24,MATCH($A27,'18 KMP- Tháng'!$A$6:$A$24,0),MATCH(T$7,'18 KMP- Tháng'!$R$2:$AC$2,0))</f>
        <v>664.52970800000003</v>
      </c>
      <c r="U27" s="189">
        <f>INDEX('18 KMP- Tháng'!$R$6:$AC$24,MATCH($A27,'18 KMP- Tháng'!$A$6:$A$24,0),MATCH(U$7,'18 KMP- Tháng'!$R$2:$AC$2,0))</f>
        <v>593.89188000000001</v>
      </c>
      <c r="V27" s="189">
        <f>INDEX('18 KMP- Tháng'!$R$6:$AC$24,MATCH($A27,'18 KMP- Tháng'!$A$6:$A$24,0),MATCH(V$7,'18 KMP- Tháng'!$R$2:$AC$2,0))</f>
        <v>719.05266800000004</v>
      </c>
      <c r="W27" s="189">
        <f>INDEX('18 KMP- Tháng'!$R$6:$AC$24,MATCH($A27,'18 KMP- Tháng'!$A$6:$A$24,0),MATCH(W$7,'18 KMP- Tháng'!$R$2:$AC$2,0))</f>
        <v>793.15192200000001</v>
      </c>
      <c r="X27" s="189">
        <f>INDEX('18 KMP- Tháng'!$R$6:$AC$24,MATCH($A27,'18 KMP- Tháng'!$A$6:$A$24,0),MATCH(X$7,'18 KMP- Tháng'!$R$2:$AC$2,0))</f>
        <v>535.85658699999999</v>
      </c>
      <c r="Y27" s="189">
        <f>INDEX('18 KMP- Tháng'!$R$6:$AC$24,MATCH($A27,'18 KMP- Tháng'!$A$6:$A$24,0),MATCH(Y$7,'18 KMP- Tháng'!$R$2:$AC$2,0))</f>
        <v>751.09911399999999</v>
      </c>
      <c r="Z27" s="189">
        <f>INDEX('18 KMP- Tháng'!$R$6:$AC$24,MATCH($A27,'18 KMP- Tháng'!$A$6:$A$24,0),MATCH(Z$7,'18 KMP- Tháng'!$R$2:$AC$2,0))</f>
        <v>866.50140099999999</v>
      </c>
      <c r="AA27" s="189">
        <f>INDEX('18 KMP- Tháng'!$R$6:$AC$24,MATCH($A27,'18 KMP- Tháng'!$A$6:$A$24,0),MATCH(AA$7,'18 KMP- Tháng'!$R$2:$AC$2,0))</f>
        <v>935.25904200000002</v>
      </c>
      <c r="AB27" s="189">
        <f>INDEX('18 KMP- Tháng'!$R$6:$AC$24,MATCH($A27,'18 KMP- Tháng'!$A$6:$A$24,0),MATCH(AB$7,'18 KMP- Tháng'!$R$2:$AC$2,0))</f>
        <v>1051.062756</v>
      </c>
      <c r="AC27" s="344">
        <f>INDEX('18 KMP- Tháng'!$R$6:$AC$24,MATCH($A27,'18 KMP- Tháng'!$A$6:$A$24,0),MATCH(AC$7,'18 KMP- Tháng'!$R$2:$AC$2,0))</f>
        <v>1241.50469</v>
      </c>
      <c r="AD27" s="362">
        <f t="shared" si="10"/>
        <v>770.93844316666673</v>
      </c>
      <c r="AE27" s="353">
        <f>INDEX('18 KMP- Tháng'!$AF$6:$AQ$29,MATCH($A27,'18 KMP- Tháng'!$A$6:$A$29,0),MATCH(AE$7,'18 KMP- Tháng'!$AF$2:$AQ$2,0))</f>
        <v>910.58124799999996</v>
      </c>
      <c r="AF27" s="189">
        <f>INDEX('18 KMP- Tháng'!$AF$6:$AQ$29,MATCH($A27,'18 KMP- Tháng'!$A$6:$A$29,0),MATCH(AF$7,'18 KMP- Tháng'!$AF$2:$AQ$2,0))</f>
        <v>892.28804700000001</v>
      </c>
      <c r="AG27" s="189">
        <f>INDEX('18 KMP- Tháng'!$AF$6:$AQ$29,MATCH($A27,'18 KMP- Tháng'!$A$6:$A$29,0),MATCH(AG$7,'18 KMP- Tháng'!$AF$2:$AQ$2,0))</f>
        <v>942.315155</v>
      </c>
      <c r="AH27" s="189">
        <f>INDEX('18 KMP- Tháng'!$AF$6:$AQ$29,MATCH($A27,'18 KMP- Tháng'!$A$6:$A$29,0),MATCH(AH$7,'18 KMP- Tháng'!$AF$2:$AQ$2,0))</f>
        <v>1025.2083890000001</v>
      </c>
      <c r="AI27" s="189">
        <f>INDEX('18 KMP- Tháng'!$AF$6:$AQ$29,MATCH($A27,'18 KMP- Tháng'!$A$6:$A$29,0),MATCH(AI$7,'18 KMP- Tháng'!$AF$2:$AQ$2,0))</f>
        <v>959.91746500000011</v>
      </c>
      <c r="AJ27" s="189">
        <f>INDEX('18 KMP- Tháng'!$AF$6:$AQ$29,MATCH($A27,'18 KMP- Tháng'!$A$6:$A$29,0),MATCH(AJ$7,'18 KMP- Tháng'!$AF$2:$AQ$2,0))</f>
        <v>1191.2346790000001</v>
      </c>
      <c r="AK27" s="189">
        <f>INDEX('18 KMP- Tháng'!$AF$6:$AQ$29,MATCH($A27,'18 KMP- Tháng'!$A$6:$A$29,0),MATCH(AK$7,'18 KMP- Tháng'!$AF$2:$AQ$2,0))</f>
        <v>1239.3080069999999</v>
      </c>
      <c r="AL27" s="189">
        <f>INDEX('18 KMP- Tháng'!$AF$6:$AQ$29,MATCH($A27,'18 KMP- Tháng'!$A$6:$A$29,0),MATCH(AL$7,'18 KMP- Tháng'!$AF$2:$AQ$2,0))</f>
        <v>1164.5996289999998</v>
      </c>
      <c r="AM27" s="189">
        <f>INDEX('18 KMP- Tháng'!$AF$6:$AQ$29,MATCH($A27,'18 KMP- Tháng'!$A$6:$A$29,0),MATCH(AM$7,'18 KMP- Tháng'!$AF$2:$AQ$2,0))</f>
        <v>975.37809500000003</v>
      </c>
      <c r="AN27" s="189">
        <f>INDEX('18 KMP- Tháng'!$AF$6:$AQ$29,MATCH($A27,'18 KMP- Tháng'!$A$6:$A$29,0),MATCH(AN$7,'18 KMP- Tháng'!$AF$2:$AQ$2,0))</f>
        <v>1090.3624930000001</v>
      </c>
      <c r="AO27" s="189">
        <f>INDEX('18 KMP- Tháng'!$AF$6:$AQ$29,MATCH($A27,'18 KMP- Tháng'!$A$6:$A$29,0),MATCH(AO$7,'18 KMP- Tháng'!$AF$2:$AQ$2,0))</f>
        <v>997.19473100000005</v>
      </c>
      <c r="AP27" s="344">
        <f>INDEX('18 KMP- Tháng'!$AF$6:$AQ$29,MATCH($A27,'18 KMP- Tháng'!$A$6:$A$29,0),MATCH(AP$7,'18 KMP- Tháng'!$AF$2:$AQ$2,0))</f>
        <v>941.81425200000001</v>
      </c>
      <c r="AQ27" s="583">
        <f t="shared" si="22"/>
        <v>1027.5168491666666</v>
      </c>
      <c r="AR27" s="353">
        <f t="shared" si="23"/>
        <v>12330.20219</v>
      </c>
      <c r="AS27" s="353">
        <f>INDEX('18 KMP- Tháng'!$BH$6:$BS$29,MATCH($A27,'18 KMP- Tháng'!$A$6:$A$29,0),MATCH(AS$7,'18 KMP- Tháng'!$BH$2:$BS$2,0))</f>
        <v>950.28294991459188</v>
      </c>
      <c r="AT27" s="189">
        <f>INDEX('18 KMP- Tháng'!$BH$6:$BS$29,MATCH($A27,'18 KMP- Tháng'!$A$6:$A$29,0),MATCH(AT$7,'18 KMP- Tháng'!$BH$2:$BS$2,0))</f>
        <v>726.77849781154021</v>
      </c>
      <c r="AU27" s="189">
        <f>INDEX('18 KMP- Tháng'!$BH$6:$BS$29,MATCH($A27,'18 KMP- Tháng'!$A$6:$A$29,0),MATCH(AU$7,'18 KMP- Tháng'!$BH$2:$BS$2,0))</f>
        <v>1188.7319462268538</v>
      </c>
      <c r="AV27" s="189">
        <f>INDEX('18 KMP- Tháng'!$BH$6:$BS$29,MATCH($A27,'18 KMP- Tháng'!$A$6:$A$29,0),MATCH(AV$7,'18 KMP- Tháng'!$BH$2:$BS$2,0))</f>
        <v>1114.8973219620987</v>
      </c>
      <c r="AW27" s="189">
        <f>INDEX('18 KMP- Tháng'!$BH$6:$BS$29,MATCH($A27,'18 KMP- Tháng'!$A$6:$A$29,0),MATCH(AW$7,'18 KMP- Tháng'!$BH$2:$BS$2,0))</f>
        <v>1114.1351036435206</v>
      </c>
      <c r="AX27" s="189">
        <f>INDEX('18 KMP- Tháng'!$BH$6:$BS$29,MATCH($A27,'18 KMP- Tháng'!$A$6:$A$29,0),MATCH(AX$7,'18 KMP- Tháng'!$BH$2:$BS$2,0))</f>
        <v>1396.989557545432</v>
      </c>
      <c r="AY27" s="189">
        <f>INDEX('18 KMP- Tháng'!$BH$6:$BS$29,MATCH($A27,'18 KMP- Tháng'!$A$6:$A$29,0),MATCH(AY$7,'18 KMP- Tháng'!$BH$2:$BS$2,0))</f>
        <v>1278.6137323173557</v>
      </c>
      <c r="AZ27" s="189">
        <f>INDEX('18 KMP- Tháng'!$BH$6:$BS$29,MATCH($A27,'18 KMP- Tháng'!$A$6:$A$29,0),MATCH(AZ$7,'18 KMP- Tháng'!$BH$2:$BS$2,0))</f>
        <v>1141.9953212340224</v>
      </c>
      <c r="BA27" s="189">
        <f>INDEX('18 KMP- Tháng'!$BH$6:$BS$29,MATCH($A27,'18 KMP- Tháng'!$A$6:$A$29,0),MATCH(BA$7,'18 KMP- Tháng'!$BH$2:$BS$2,0))</f>
        <v>1279.8309276472839</v>
      </c>
      <c r="BB27" s="189">
        <f>INDEX('18 KMP- Tháng'!$BH$6:$BS$29,MATCH($A27,'18 KMP- Tháng'!$A$6:$A$29,0),MATCH(BB$7,'18 KMP- Tháng'!$BH$2:$BS$2,0))</f>
        <v>1181.4965713173556</v>
      </c>
      <c r="BC27" s="189">
        <f>INDEX('18 KMP- Tháng'!$BH$6:$BS$29,MATCH($A27,'18 KMP- Tháng'!$A$6:$A$29,0),MATCH(BC$7,'18 KMP- Tháng'!$BH$2:$BS$2,0))</f>
        <v>1138.7809881889507</v>
      </c>
      <c r="BD27" s="344">
        <f>INDEX('18 KMP- Tháng'!$BH$6:$BS$29,MATCH($A27,'18 KMP- Tháng'!$A$6:$A$29,0),MATCH(BD$7,'18 KMP- Tháng'!$BH$2:$BS$2,0))</f>
        <v>1189.3320774423553</v>
      </c>
      <c r="BE27" s="362">
        <f t="shared" si="24"/>
        <v>1141.8220829376135</v>
      </c>
      <c r="BF27" s="353">
        <f>INDEX('18 KMP- Tháng'!$AS$6:$BD$29,MATCH($A27,'18 KMP- Tháng'!$A$6:$A$29,0),MATCH(BF$7,'18 KMP- Tháng'!$AS$2:$BD$2,0))</f>
        <v>832.08447899999999</v>
      </c>
      <c r="BG27" s="189">
        <f>INDEX('18 KMP- Tháng'!$AS$6:$BD$29,MATCH($A27,'18 KMP- Tháng'!$A$6:$A$29,0),MATCH(BG$7,'18 KMP- Tháng'!$AS$2:$BD$2,0))</f>
        <v>609.53174899999999</v>
      </c>
      <c r="BH27" s="189">
        <f>INDEX('18 KMP- Tháng'!$AS$6:$BD$29,MATCH($A27,'18 KMP- Tháng'!$A$6:$A$29,0),MATCH(BH$7,'18 KMP- Tháng'!$AS$2:$BD$2,0))</f>
        <v>753.24308400000007</v>
      </c>
      <c r="BI27" s="189">
        <f>INDEX('18 KMP- Tháng'!$AS$6:$BD$29,MATCH($A27,'18 KMP- Tháng'!$A$6:$A$29,0),MATCH(BI$7,'18 KMP- Tháng'!$AS$2:$BD$2,0))</f>
        <v>952.870361</v>
      </c>
      <c r="BJ27" s="189">
        <f>INDEX('18 KMP- Tháng'!$AS$6:$BD$29,MATCH($A27,'18 KMP- Tháng'!$A$6:$A$29,0),MATCH(BJ$7,'18 KMP- Tháng'!$AS$2:$BD$2,0))</f>
        <v>1160.2133589999999</v>
      </c>
      <c r="BK27" s="189">
        <f>INDEX('18 KMP- Tháng'!$AS$6:$BD$29,MATCH($A27,'18 KMP- Tháng'!$A$6:$A$29,0),MATCH(BK$7,'18 KMP- Tháng'!$AS$2:$BD$2,0))</f>
        <v>0</v>
      </c>
      <c r="BL27" s="189">
        <f>INDEX('18 KMP- Tháng'!$AS$6:$BD$29,MATCH($A27,'18 KMP- Tháng'!$A$6:$A$29,0),MATCH(BL$7,'18 KMP- Tháng'!$AS$2:$BD$2,0))</f>
        <v>0</v>
      </c>
      <c r="BM27" s="189">
        <f>INDEX('18 KMP- Tháng'!$AS$6:$BD$29,MATCH($A27,'18 KMP- Tháng'!$A$6:$A$29,0),MATCH(BM$7,'18 KMP- Tháng'!$AS$2:$BD$2,0))</f>
        <v>0</v>
      </c>
      <c r="BN27" s="189">
        <f>INDEX('18 KMP- Tháng'!$AS$6:$BD$29,MATCH($A27,'18 KMP- Tháng'!$A$6:$A$29,0),MATCH(BN$7,'18 KMP- Tháng'!$AS$2:$BD$2,0))</f>
        <v>0</v>
      </c>
      <c r="BO27" s="189">
        <f>INDEX('18 KMP- Tháng'!$AS$6:$BD$29,MATCH($A27,'18 KMP- Tháng'!$A$6:$A$29,0),MATCH(BO$7,'18 KMP- Tháng'!$AS$2:$BD$2,0))</f>
        <v>0</v>
      </c>
      <c r="BP27" s="189">
        <f>INDEX('18 KMP- Tháng'!$AS$6:$BD$29,MATCH($A27,'18 KMP- Tháng'!$A$6:$A$29,0),MATCH(BP$7,'18 KMP- Tháng'!$AS$2:$BD$2,0))</f>
        <v>0</v>
      </c>
      <c r="BQ27" s="344">
        <f>INDEX('18 KMP- Tháng'!$AS$6:$BD$29,MATCH($A27,'18 KMP- Tháng'!$A$6:$A$29,0),MATCH(BQ$7,'18 KMP- Tháng'!$AS$2:$BD$2,0))</f>
        <v>0</v>
      </c>
      <c r="BR27" s="583">
        <f t="shared" si="25"/>
        <v>861.58860639999989</v>
      </c>
      <c r="BS27" s="353">
        <f t="shared" si="26"/>
        <v>4307.9430319999992</v>
      </c>
      <c r="BT27" s="196">
        <f t="shared" si="9"/>
        <v>-0.12438239676426388</v>
      </c>
      <c r="BU27" s="190">
        <f t="shared" si="6"/>
        <v>9.4604861982224842E-3</v>
      </c>
      <c r="BV27" s="658"/>
      <c r="BW27" s="658"/>
      <c r="BX27" s="658"/>
      <c r="BY27" s="648"/>
      <c r="BZ27" s="648"/>
      <c r="CA27" s="648"/>
      <c r="CB27" s="648"/>
      <c r="CC27" s="191"/>
      <c r="CD27" s="158"/>
      <c r="CE27" s="158"/>
      <c r="CF27" s="158"/>
      <c r="CG27" s="158"/>
      <c r="CH27" s="158"/>
      <c r="CI27" s="158"/>
      <c r="CJ27" s="158"/>
      <c r="CK27" s="158"/>
      <c r="CL27" s="158"/>
      <c r="CM27" s="158"/>
      <c r="CN27" s="158"/>
    </row>
    <row r="28" spans="1:92" s="186" customFormat="1" x14ac:dyDescent="0.3">
      <c r="A28" s="174">
        <v>21</v>
      </c>
      <c r="B28" s="187">
        <f t="shared" si="27"/>
        <v>7</v>
      </c>
      <c r="C28" s="193" t="s">
        <v>97</v>
      </c>
      <c r="D28" s="193" t="s">
        <v>40</v>
      </c>
      <c r="E28" s="189">
        <f>INDEX('18 KMP- Tháng'!$E$6:$Q$29,MATCH($A28,'18 KMP- Tháng'!$A$6:$A$29,0),MATCH(E$7,'18 KMP- Tháng'!$E$2:$P$2,0))</f>
        <v>44.321387999999999</v>
      </c>
      <c r="F28" s="189">
        <f>INDEX('18 KMP- Tháng'!$E$6:$Q$29,MATCH($A28,'18 KMP- Tháng'!$A$6:$A$29,0),MATCH(F$7,'18 KMP- Tháng'!$E$2:$P$2,0))</f>
        <v>0</v>
      </c>
      <c r="G28" s="189">
        <f>INDEX('18 KMP- Tháng'!$E$6:$Q$29,MATCH($A28,'18 KMP- Tháng'!$A$6:$A$29,0),MATCH(G$7,'18 KMP- Tháng'!$E$2:$P$2,0))</f>
        <v>48.722388000000002</v>
      </c>
      <c r="H28" s="189">
        <f>INDEX('18 KMP- Tháng'!$E$6:$Q$29,MATCH($A28,'18 KMP- Tháng'!$A$6:$A$29,0),MATCH(H$7,'18 KMP- Tháng'!$E$2:$P$2,0))</f>
        <v>76.187495999999996</v>
      </c>
      <c r="I28" s="189">
        <f>INDEX('18 KMP- Tháng'!$E$6:$Q$29,MATCH($A28,'18 KMP- Tháng'!$A$6:$A$29,0),MATCH(I$7,'18 KMP- Tháng'!$E$2:$P$2,0))</f>
        <v>68.801481999999993</v>
      </c>
      <c r="J28" s="189">
        <f>INDEX('18 KMP- Tháng'!$E$6:$Q$29,MATCH($A28,'18 KMP- Tháng'!$A$6:$A$29,0),MATCH(J$7,'18 KMP- Tháng'!$E$2:$P$2,0))</f>
        <v>28.249625999999999</v>
      </c>
      <c r="K28" s="189">
        <f>INDEX('18 KMP- Tháng'!$E$6:$Q$29,MATCH($A28,'18 KMP- Tháng'!$A$6:$A$29,0),MATCH(K$7,'18 KMP- Tháng'!$E$2:$P$2,0))</f>
        <v>91.396439000000001</v>
      </c>
      <c r="L28" s="189">
        <f>INDEX('18 KMP- Tháng'!$E$6:$Q$29,MATCH($A28,'18 KMP- Tháng'!$A$6:$A$29,0),MATCH(L$7,'18 KMP- Tháng'!$E$2:$P$2,0))</f>
        <v>93.845376000000002</v>
      </c>
      <c r="M28" s="189">
        <f>INDEX('18 KMP- Tháng'!$E$6:$Q$29,MATCH($A28,'18 KMP- Tháng'!$A$6:$A$29,0),MATCH(M$7,'18 KMP- Tháng'!$E$2:$P$2,0))</f>
        <v>109.400024</v>
      </c>
      <c r="N28" s="189">
        <f>INDEX('18 KMP- Tháng'!$E$6:$Q$29,MATCH($A28,'18 KMP- Tháng'!$A$6:$A$29,0),MATCH(N$7,'18 KMP- Tháng'!$E$2:$P$2,0))</f>
        <v>129.99653499999999</v>
      </c>
      <c r="O28" s="189">
        <f>INDEX('18 KMP- Tháng'!$E$6:$Q$29,MATCH($A28,'18 KMP- Tháng'!$A$6:$A$29,0),MATCH(O$7,'18 KMP- Tháng'!$E$2:$P$2,0))</f>
        <v>157.60198</v>
      </c>
      <c r="P28" s="344">
        <f>INDEX('18 KMP- Tháng'!$E$6:$Q$29,MATCH($A28,'18 KMP- Tháng'!$A$6:$A$29,0),MATCH(P$7,'18 KMP- Tháng'!$E$2:$P$2,0))</f>
        <v>316.88398999999998</v>
      </c>
      <c r="Q28" s="363">
        <f t="shared" si="21"/>
        <v>97.117227</v>
      </c>
      <c r="R28" s="189">
        <f>INDEX('18 KMP- Tháng'!$R$6:$AC$24,MATCH($A28,'18 KMP- Tháng'!$A$6:$A$24,0),MATCH(R$7,'18 KMP- Tháng'!$R$2:$AC$2,0))</f>
        <v>0</v>
      </c>
      <c r="S28" s="189">
        <f>INDEX('18 KMP- Tháng'!$R$6:$AC$24,MATCH($A28,'18 KMP- Tháng'!$A$6:$A$24,0),MATCH(S$7,'18 KMP- Tháng'!$R$2:$AC$2,0))</f>
        <v>0</v>
      </c>
      <c r="T28" s="189">
        <f>INDEX('18 KMP- Tháng'!$R$6:$AC$24,MATCH($A28,'18 KMP- Tháng'!$A$6:$A$24,0),MATCH(T$7,'18 KMP- Tháng'!$R$2:$AC$2,0))</f>
        <v>0</v>
      </c>
      <c r="U28" s="189">
        <f>INDEX('18 KMP- Tháng'!$R$6:$AC$24,MATCH($A28,'18 KMP- Tháng'!$A$6:$A$24,0),MATCH(U$7,'18 KMP- Tháng'!$R$2:$AC$2,0))</f>
        <v>0</v>
      </c>
      <c r="V28" s="189">
        <f>INDEX('18 KMP- Tháng'!$R$6:$AC$24,MATCH($A28,'18 KMP- Tháng'!$A$6:$A$24,0),MATCH(V$7,'18 KMP- Tháng'!$R$2:$AC$2,0))</f>
        <v>0</v>
      </c>
      <c r="W28" s="189">
        <f>INDEX('18 KMP- Tháng'!$R$6:$AC$24,MATCH($A28,'18 KMP- Tháng'!$A$6:$A$24,0),MATCH(W$7,'18 KMP- Tháng'!$R$2:$AC$2,0))</f>
        <v>0</v>
      </c>
      <c r="X28" s="189">
        <f>INDEX('18 KMP- Tháng'!$R$6:$AC$24,MATCH($A28,'18 KMP- Tháng'!$A$6:$A$24,0),MATCH(X$7,'18 KMP- Tháng'!$R$2:$AC$2,0))</f>
        <v>0</v>
      </c>
      <c r="Y28" s="189">
        <f>INDEX('18 KMP- Tháng'!$R$6:$AC$24,MATCH($A28,'18 KMP- Tháng'!$A$6:$A$24,0),MATCH(Y$7,'18 KMP- Tháng'!$R$2:$AC$2,0))</f>
        <v>0</v>
      </c>
      <c r="Z28" s="189">
        <f>INDEX('18 KMP- Tháng'!$R$6:$AC$24,MATCH($A28,'18 KMP- Tháng'!$A$6:$A$24,0),MATCH(Z$7,'18 KMP- Tháng'!$R$2:$AC$2,0))</f>
        <v>0</v>
      </c>
      <c r="AA28" s="189">
        <f>INDEX('18 KMP- Tháng'!$R$6:$AC$24,MATCH($A28,'18 KMP- Tháng'!$A$6:$A$24,0),MATCH(AA$7,'18 KMP- Tháng'!$R$2:$AC$2,0))</f>
        <v>0</v>
      </c>
      <c r="AB28" s="189">
        <f>INDEX('18 KMP- Tháng'!$R$6:$AC$24,MATCH($A28,'18 KMP- Tháng'!$A$6:$A$24,0),MATCH(AB$7,'18 KMP- Tháng'!$R$2:$AC$2,0))</f>
        <v>0</v>
      </c>
      <c r="AC28" s="344">
        <f>INDEX('18 KMP- Tháng'!$R$6:$AC$24,MATCH($A28,'18 KMP- Tháng'!$A$6:$A$24,0),MATCH(AC$7,'18 KMP- Tháng'!$R$2:$AC$2,0))</f>
        <v>0</v>
      </c>
      <c r="AD28" s="363">
        <f t="shared" si="10"/>
        <v>0</v>
      </c>
      <c r="AE28" s="354">
        <f>INDEX('18 KMP- Tháng'!$AF$6:$AQ$29,MATCH($A28,'18 KMP- Tháng'!$A$6:$A$29,0),MATCH(AE$7,'18 KMP- Tháng'!$AF$2:$AQ$2,0))</f>
        <v>0</v>
      </c>
      <c r="AF28" s="194">
        <f>INDEX('18 KMP- Tháng'!$AF$6:$AQ$29,MATCH($A28,'18 KMP- Tháng'!$A$6:$A$29,0),MATCH(AF$7,'18 KMP- Tháng'!$AF$2:$AQ$2,0))</f>
        <v>0</v>
      </c>
      <c r="AG28" s="194">
        <f>INDEX('18 KMP- Tháng'!$AF$6:$AQ$29,MATCH($A28,'18 KMP- Tháng'!$A$6:$A$29,0),MATCH(AG$7,'18 KMP- Tháng'!$AF$2:$AQ$2,0))</f>
        <v>0</v>
      </c>
      <c r="AH28" s="194">
        <f>INDEX('18 KMP- Tháng'!$AF$6:$AQ$29,MATCH($A28,'18 KMP- Tháng'!$A$6:$A$29,0),MATCH(AH$7,'18 KMP- Tháng'!$AF$2:$AQ$2,0))</f>
        <v>0</v>
      </c>
      <c r="AI28" s="194">
        <f>INDEX('18 KMP- Tháng'!$AF$6:$AQ$29,MATCH($A28,'18 KMP- Tháng'!$A$6:$A$29,0),MATCH(AI$7,'18 KMP- Tháng'!$AF$2:$AQ$2,0))</f>
        <v>0</v>
      </c>
      <c r="AJ28" s="194">
        <f>INDEX('18 KMP- Tháng'!$AF$6:$AQ$29,MATCH($A28,'18 KMP- Tháng'!$A$6:$A$29,0),MATCH(AJ$7,'18 KMP- Tháng'!$AF$2:$AQ$2,0))</f>
        <v>0</v>
      </c>
      <c r="AK28" s="194">
        <f>INDEX('18 KMP- Tháng'!$AF$6:$AQ$29,MATCH($A28,'18 KMP- Tháng'!$A$6:$A$29,0),MATCH(AK$7,'18 KMP- Tháng'!$AF$2:$AQ$2,0))</f>
        <v>0</v>
      </c>
      <c r="AL28" s="194">
        <f>INDEX('18 KMP- Tháng'!$AF$6:$AQ$29,MATCH($A28,'18 KMP- Tháng'!$A$6:$A$29,0),MATCH(AL$7,'18 KMP- Tháng'!$AF$2:$AQ$2,0))</f>
        <v>0</v>
      </c>
      <c r="AM28" s="194">
        <f>INDEX('18 KMP- Tháng'!$AF$6:$AQ$29,MATCH($A28,'18 KMP- Tháng'!$A$6:$A$29,0),MATCH(AM$7,'18 KMP- Tháng'!$AF$2:$AQ$2,0))</f>
        <v>0</v>
      </c>
      <c r="AN28" s="194">
        <f>INDEX('18 KMP- Tháng'!$AF$6:$AQ$29,MATCH($A28,'18 KMP- Tháng'!$A$6:$A$29,0),MATCH(AN$7,'18 KMP- Tháng'!$AF$2:$AQ$2,0))</f>
        <v>0</v>
      </c>
      <c r="AO28" s="194">
        <f>INDEX('18 KMP- Tháng'!$AF$6:$AQ$29,MATCH($A28,'18 KMP- Tháng'!$A$6:$A$29,0),MATCH(AO$7,'18 KMP- Tháng'!$AF$2:$AQ$2,0))</f>
        <v>0</v>
      </c>
      <c r="AP28" s="345">
        <f>INDEX('18 KMP- Tháng'!$AF$6:$AQ$29,MATCH($A28,'18 KMP- Tháng'!$A$6:$A$29,0),MATCH(AP$7,'18 KMP- Tháng'!$AF$2:$AQ$2,0))</f>
        <v>0</v>
      </c>
      <c r="AQ28" s="363">
        <f t="shared" si="22"/>
        <v>0</v>
      </c>
      <c r="AR28" s="354">
        <f t="shared" si="23"/>
        <v>0</v>
      </c>
      <c r="AS28" s="354">
        <f>INDEX('18 KMP- Tháng'!$BH$6:$BS$29,MATCH($A28,'18 KMP- Tháng'!$A$6:$A$29,0),MATCH(AS$7,'18 KMP- Tháng'!$BH$2:$BS$2,0))</f>
        <v>0</v>
      </c>
      <c r="AT28" s="194">
        <f>INDEX('18 KMP- Tháng'!$BH$6:$BS$29,MATCH($A28,'18 KMP- Tháng'!$A$6:$A$29,0),MATCH(AT$7,'18 KMP- Tháng'!$BH$2:$BS$2,0))</f>
        <v>0</v>
      </c>
      <c r="AU28" s="194">
        <f>INDEX('18 KMP- Tháng'!$BH$6:$BS$29,MATCH($A28,'18 KMP- Tháng'!$A$6:$A$29,0),MATCH(AU$7,'18 KMP- Tháng'!$BH$2:$BS$2,0))</f>
        <v>0</v>
      </c>
      <c r="AV28" s="194">
        <f>INDEX('18 KMP- Tháng'!$BH$6:$BS$29,MATCH($A28,'18 KMP- Tháng'!$A$6:$A$29,0),MATCH(AV$7,'18 KMP- Tháng'!$BH$2:$BS$2,0))</f>
        <v>0</v>
      </c>
      <c r="AW28" s="194">
        <f>INDEX('18 KMP- Tháng'!$BH$6:$BS$29,MATCH($A28,'18 KMP- Tháng'!$A$6:$A$29,0),MATCH(AW$7,'18 KMP- Tháng'!$BH$2:$BS$2,0))</f>
        <v>0</v>
      </c>
      <c r="AX28" s="194">
        <f>INDEX('18 KMP- Tháng'!$BH$6:$BS$29,MATCH($A28,'18 KMP- Tháng'!$A$6:$A$29,0),MATCH(AX$7,'18 KMP- Tháng'!$BH$2:$BS$2,0))</f>
        <v>0</v>
      </c>
      <c r="AY28" s="194">
        <f>INDEX('18 KMP- Tháng'!$BH$6:$BS$29,MATCH($A28,'18 KMP- Tháng'!$A$6:$A$29,0),MATCH(AY$7,'18 KMP- Tháng'!$BH$2:$BS$2,0))</f>
        <v>0</v>
      </c>
      <c r="AZ28" s="194">
        <f>INDEX('18 KMP- Tháng'!$BH$6:$BS$29,MATCH($A28,'18 KMP- Tháng'!$A$6:$A$29,0),MATCH(AZ$7,'18 KMP- Tháng'!$BH$2:$BS$2,0))</f>
        <v>0</v>
      </c>
      <c r="BA28" s="194">
        <f>INDEX('18 KMP- Tháng'!$BH$6:$BS$29,MATCH($A28,'18 KMP- Tháng'!$A$6:$A$29,0),MATCH(BA$7,'18 KMP- Tháng'!$BH$2:$BS$2,0))</f>
        <v>0</v>
      </c>
      <c r="BB28" s="194">
        <f>INDEX('18 KMP- Tháng'!$BH$6:$BS$29,MATCH($A28,'18 KMP- Tháng'!$A$6:$A$29,0),MATCH(BB$7,'18 KMP- Tháng'!$BH$2:$BS$2,0))</f>
        <v>0</v>
      </c>
      <c r="BC28" s="194">
        <f>INDEX('18 KMP- Tháng'!$BH$6:$BS$29,MATCH($A28,'18 KMP- Tháng'!$A$6:$A$29,0),MATCH(BC$7,'18 KMP- Tháng'!$BH$2:$BS$2,0))</f>
        <v>0</v>
      </c>
      <c r="BD28" s="345">
        <f>INDEX('18 KMP- Tháng'!$BH$6:$BS$29,MATCH($A28,'18 KMP- Tháng'!$A$6:$A$29,0),MATCH(BD$7,'18 KMP- Tháng'!$BH$2:$BS$2,0))</f>
        <v>0</v>
      </c>
      <c r="BE28" s="363">
        <f t="shared" si="24"/>
        <v>0</v>
      </c>
      <c r="BF28" s="354">
        <f>INDEX('18 KMP- Tháng'!$AS$6:$BD$29,MATCH($A28,'18 KMP- Tháng'!$A$6:$A$29,0),MATCH(BF$7,'18 KMP- Tháng'!$AS$2:$BD$2,0))</f>
        <v>0</v>
      </c>
      <c r="BG28" s="194">
        <f>INDEX('18 KMP- Tháng'!$AS$6:$BD$29,MATCH($A28,'18 KMP- Tháng'!$A$6:$A$29,0),MATCH(BG$7,'18 KMP- Tháng'!$AS$2:$BD$2,0))</f>
        <v>0</v>
      </c>
      <c r="BH28" s="194">
        <f>INDEX('18 KMP- Tháng'!$AS$6:$BD$29,MATCH($A28,'18 KMP- Tháng'!$A$6:$A$29,0),MATCH(BH$7,'18 KMP- Tháng'!$AS$2:$BD$2,0))</f>
        <v>0</v>
      </c>
      <c r="BI28" s="194">
        <f>INDEX('18 KMP- Tháng'!$AS$6:$BD$29,MATCH($A28,'18 KMP- Tháng'!$A$6:$A$29,0),MATCH(BI$7,'18 KMP- Tháng'!$AS$2:$BD$2,0))</f>
        <v>0</v>
      </c>
      <c r="BJ28" s="194">
        <f>INDEX('18 KMP- Tháng'!$AS$6:$BD$29,MATCH($A28,'18 KMP- Tháng'!$A$6:$A$29,0),MATCH(BJ$7,'18 KMP- Tháng'!$AS$2:$BD$2,0))</f>
        <v>0</v>
      </c>
      <c r="BK28" s="194">
        <f>INDEX('18 KMP- Tháng'!$AS$6:$BD$29,MATCH($A28,'18 KMP- Tháng'!$A$6:$A$29,0),MATCH(BK$7,'18 KMP- Tháng'!$AS$2:$BD$2,0))</f>
        <v>0</v>
      </c>
      <c r="BL28" s="194">
        <f>INDEX('18 KMP- Tháng'!$AS$6:$BD$29,MATCH($A28,'18 KMP- Tháng'!$A$6:$A$29,0),MATCH(BL$7,'18 KMP- Tháng'!$AS$2:$BD$2,0))</f>
        <v>0</v>
      </c>
      <c r="BM28" s="194">
        <f>INDEX('18 KMP- Tháng'!$AS$6:$BD$29,MATCH($A28,'18 KMP- Tháng'!$A$6:$A$29,0),MATCH(BM$7,'18 KMP- Tháng'!$AS$2:$BD$2,0))</f>
        <v>0</v>
      </c>
      <c r="BN28" s="194">
        <f>INDEX('18 KMP- Tháng'!$AS$6:$BD$29,MATCH($A28,'18 KMP- Tháng'!$A$6:$A$29,0),MATCH(BN$7,'18 KMP- Tháng'!$AS$2:$BD$2,0))</f>
        <v>0</v>
      </c>
      <c r="BO28" s="194">
        <f>INDEX('18 KMP- Tháng'!$AS$6:$BD$29,MATCH($A28,'18 KMP- Tháng'!$A$6:$A$29,0),MATCH(BO$7,'18 KMP- Tháng'!$AS$2:$BD$2,0))</f>
        <v>0</v>
      </c>
      <c r="BP28" s="194">
        <f>INDEX('18 KMP- Tháng'!$AS$6:$BD$29,MATCH($A28,'18 KMP- Tháng'!$A$6:$A$29,0),MATCH(BP$7,'18 KMP- Tháng'!$AS$2:$BD$2,0))</f>
        <v>0</v>
      </c>
      <c r="BQ28" s="345">
        <f>INDEX('18 KMP- Tháng'!$AS$6:$BD$29,MATCH($A28,'18 KMP- Tháng'!$A$6:$A$29,0),MATCH(BQ$7,'18 KMP- Tháng'!$AS$2:$BD$2,0))</f>
        <v>0</v>
      </c>
      <c r="BR28" s="363">
        <f t="shared" si="25"/>
        <v>0</v>
      </c>
      <c r="BS28" s="354">
        <f t="shared" si="26"/>
        <v>0</v>
      </c>
      <c r="BT28" s="197" t="str">
        <f t="shared" si="9"/>
        <v>-</v>
      </c>
      <c r="BU28" s="195">
        <f t="shared" si="6"/>
        <v>0</v>
      </c>
      <c r="BV28" s="652"/>
      <c r="BW28" s="652"/>
      <c r="BX28" s="652"/>
      <c r="BY28" s="652"/>
      <c r="BZ28" s="652"/>
      <c r="CA28" s="652"/>
      <c r="CB28" s="652"/>
      <c r="CD28" s="158"/>
      <c r="CE28" s="158"/>
      <c r="CF28" s="158"/>
      <c r="CG28" s="158"/>
      <c r="CH28" s="158"/>
      <c r="CI28" s="158"/>
      <c r="CJ28" s="158"/>
      <c r="CK28" s="158"/>
      <c r="CL28" s="158"/>
      <c r="CM28" s="158"/>
      <c r="CN28" s="158"/>
    </row>
    <row r="29" spans="1:92" s="202" customFormat="1" x14ac:dyDescent="0.3">
      <c r="A29" s="174">
        <v>22</v>
      </c>
      <c r="B29" s="198" t="s">
        <v>173</v>
      </c>
      <c r="C29" s="198"/>
      <c r="D29" s="198"/>
      <c r="E29" s="199">
        <f t="shared" ref="E29:Q29" si="28">E9+E21</f>
        <v>34440.911711089284</v>
      </c>
      <c r="F29" s="199">
        <f t="shared" si="28"/>
        <v>46317.090426292285</v>
      </c>
      <c r="G29" s="199">
        <f t="shared" si="28"/>
        <v>55997.13712304928</v>
      </c>
      <c r="H29" s="199">
        <f t="shared" si="28"/>
        <v>48947.483193914282</v>
      </c>
      <c r="I29" s="199">
        <f t="shared" si="28"/>
        <v>58599.450388103287</v>
      </c>
      <c r="J29" s="199">
        <f t="shared" si="28"/>
        <v>52071.093139714292</v>
      </c>
      <c r="K29" s="199">
        <f t="shared" si="28"/>
        <v>60035.26051921428</v>
      </c>
      <c r="L29" s="199">
        <f t="shared" si="28"/>
        <v>62421.991991500006</v>
      </c>
      <c r="M29" s="199">
        <f t="shared" si="28"/>
        <v>55229.418362559998</v>
      </c>
      <c r="N29" s="199">
        <f t="shared" si="28"/>
        <v>62472.462763999996</v>
      </c>
      <c r="O29" s="199">
        <f t="shared" si="28"/>
        <v>51056.575212999996</v>
      </c>
      <c r="P29" s="346">
        <f t="shared" si="28"/>
        <v>96361.762473917581</v>
      </c>
      <c r="Q29" s="364">
        <f t="shared" si="28"/>
        <v>56995.886442196206</v>
      </c>
      <c r="R29" s="199">
        <f t="shared" ref="R29:BS29" si="29">R9+R21</f>
        <v>108373.94243726734</v>
      </c>
      <c r="S29" s="199">
        <f t="shared" si="29"/>
        <v>78862.726588976424</v>
      </c>
      <c r="T29" s="199">
        <f t="shared" si="29"/>
        <v>119016.18556831148</v>
      </c>
      <c r="U29" s="199">
        <f t="shared" si="29"/>
        <v>116568.03437345999</v>
      </c>
      <c r="V29" s="199">
        <f t="shared" si="29"/>
        <v>110456.39807920763</v>
      </c>
      <c r="W29" s="199">
        <f t="shared" si="29"/>
        <v>90042.392845521477</v>
      </c>
      <c r="X29" s="199">
        <f t="shared" si="29"/>
        <v>57716.515896626872</v>
      </c>
      <c r="Y29" s="199">
        <f t="shared" si="29"/>
        <v>64018.083603418039</v>
      </c>
      <c r="Z29" s="199">
        <f t="shared" si="29"/>
        <v>79882.565015458618</v>
      </c>
      <c r="AA29" s="199">
        <f t="shared" si="29"/>
        <v>108688.19498759185</v>
      </c>
      <c r="AB29" s="199">
        <f t="shared" si="29"/>
        <v>116871.96153004943</v>
      </c>
      <c r="AC29" s="346">
        <f t="shared" si="29"/>
        <v>88830.806626013044</v>
      </c>
      <c r="AD29" s="364">
        <f t="shared" si="29"/>
        <v>94943.983962658502</v>
      </c>
      <c r="AE29" s="355">
        <f t="shared" ref="AE29:AR29" si="30">AE9+AE21</f>
        <v>59444.159579729923</v>
      </c>
      <c r="AF29" s="199">
        <f t="shared" si="30"/>
        <v>82445.160311730258</v>
      </c>
      <c r="AG29" s="199">
        <f t="shared" si="30"/>
        <v>124615.91312334992</v>
      </c>
      <c r="AH29" s="199">
        <f t="shared" si="30"/>
        <v>113335.87948051281</v>
      </c>
      <c r="AI29" s="199">
        <f t="shared" si="30"/>
        <v>130012.27065389985</v>
      </c>
      <c r="AJ29" s="199">
        <f t="shared" si="30"/>
        <v>118462.2395749987</v>
      </c>
      <c r="AK29" s="199">
        <f t="shared" si="30"/>
        <v>130177.81185494356</v>
      </c>
      <c r="AL29" s="199">
        <f t="shared" si="30"/>
        <v>130034.2578283898</v>
      </c>
      <c r="AM29" s="199">
        <f t="shared" si="30"/>
        <v>129155.32693151021</v>
      </c>
      <c r="AN29" s="199">
        <f t="shared" si="30"/>
        <v>94101.449112082919</v>
      </c>
      <c r="AO29" s="199">
        <f t="shared" si="30"/>
        <v>72029.367448524004</v>
      </c>
      <c r="AP29" s="346">
        <f t="shared" si="30"/>
        <v>98287.187840182713</v>
      </c>
      <c r="AQ29" s="364">
        <f t="shared" si="30"/>
        <v>106841.7519783212</v>
      </c>
      <c r="AR29" s="355">
        <f t="shared" si="30"/>
        <v>1282101.0237398548</v>
      </c>
      <c r="AS29" s="355">
        <f t="shared" ref="AS29:BE29" si="31">AS9+AS21</f>
        <v>102075.21412614442</v>
      </c>
      <c r="AT29" s="199">
        <f t="shared" si="31"/>
        <v>87546.38443303926</v>
      </c>
      <c r="AU29" s="199">
        <f t="shared" si="31"/>
        <v>106012.90965511951</v>
      </c>
      <c r="AV29" s="199">
        <f t="shared" si="31"/>
        <v>106884.42050915735</v>
      </c>
      <c r="AW29" s="199">
        <f t="shared" si="31"/>
        <v>106047.54416953135</v>
      </c>
      <c r="AX29" s="199">
        <f t="shared" si="31"/>
        <v>108779.83289295097</v>
      </c>
      <c r="AY29" s="199">
        <f t="shared" si="31"/>
        <v>110508.54244716144</v>
      </c>
      <c r="AZ29" s="199">
        <f t="shared" si="31"/>
        <v>111127.61092045372</v>
      </c>
      <c r="BA29" s="199">
        <f t="shared" si="31"/>
        <v>111303.77082211521</v>
      </c>
      <c r="BB29" s="199">
        <f t="shared" si="31"/>
        <v>111455.76987171013</v>
      </c>
      <c r="BC29" s="199">
        <f t="shared" si="31"/>
        <v>110446.72082542148</v>
      </c>
      <c r="BD29" s="346">
        <f t="shared" si="31"/>
        <v>111365.13153969214</v>
      </c>
      <c r="BE29" s="364">
        <f t="shared" si="31"/>
        <v>106962.82101770806</v>
      </c>
      <c r="BF29" s="355">
        <f t="shared" si="29"/>
        <v>82760.536552348596</v>
      </c>
      <c r="BG29" s="199">
        <f t="shared" ref="BG29:BQ29" si="32">BG9+BG21</f>
        <v>56496.949398026307</v>
      </c>
      <c r="BH29" s="199">
        <f t="shared" si="32"/>
        <v>106967.75717628401</v>
      </c>
      <c r="BI29" s="199">
        <f t="shared" si="32"/>
        <v>109713.40654345049</v>
      </c>
      <c r="BJ29" s="199">
        <f t="shared" si="32"/>
        <v>99423.045462368289</v>
      </c>
      <c r="BK29" s="199">
        <f t="shared" si="32"/>
        <v>0</v>
      </c>
      <c r="BL29" s="199">
        <f t="shared" si="32"/>
        <v>0</v>
      </c>
      <c r="BM29" s="199">
        <f t="shared" si="32"/>
        <v>0</v>
      </c>
      <c r="BN29" s="199">
        <f t="shared" si="32"/>
        <v>0</v>
      </c>
      <c r="BO29" s="199">
        <f t="shared" si="32"/>
        <v>0</v>
      </c>
      <c r="BP29" s="199">
        <f t="shared" si="32"/>
        <v>0</v>
      </c>
      <c r="BQ29" s="346">
        <f t="shared" si="32"/>
        <v>0</v>
      </c>
      <c r="BR29" s="364">
        <f t="shared" ref="BR29" si="33">BR9+BR21</f>
        <v>91072.339026495538</v>
      </c>
      <c r="BS29" s="355">
        <f t="shared" si="29"/>
        <v>455361.69513247767</v>
      </c>
      <c r="BT29" s="200">
        <f t="shared" si="9"/>
        <v>-0.18922005443874723</v>
      </c>
      <c r="BU29" s="201">
        <f>BU21+BU9</f>
        <v>1</v>
      </c>
      <c r="BV29" s="654"/>
      <c r="BW29" s="654"/>
      <c r="BX29" s="654"/>
      <c r="BY29" s="654"/>
      <c r="BZ29" s="654"/>
      <c r="CA29" s="654"/>
      <c r="CB29" s="654"/>
      <c r="CD29" s="158"/>
      <c r="CE29" s="158"/>
      <c r="CF29" s="158"/>
      <c r="CG29" s="158"/>
      <c r="CH29" s="158"/>
      <c r="CI29" s="158"/>
      <c r="CJ29" s="158"/>
      <c r="CK29" s="158"/>
      <c r="CL29" s="158"/>
      <c r="CM29" s="158"/>
      <c r="CN29" s="158"/>
    </row>
    <row r="30" spans="1:92" s="202" customFormat="1" x14ac:dyDescent="0.3">
      <c r="A30" s="509">
        <v>27</v>
      </c>
      <c r="B30" s="198" t="s">
        <v>256</v>
      </c>
      <c r="C30" s="198"/>
      <c r="D30" s="198"/>
      <c r="E30" s="504">
        <f t="shared" ref="E30:Q30" si="34">E29-E22-E24</f>
        <v>29412.027285089287</v>
      </c>
      <c r="F30" s="504">
        <f t="shared" si="34"/>
        <v>41128.86440529229</v>
      </c>
      <c r="G30" s="504">
        <f t="shared" si="34"/>
        <v>50612.58547404928</v>
      </c>
      <c r="H30" s="504">
        <f t="shared" si="34"/>
        <v>45244.141803914281</v>
      </c>
      <c r="I30" s="504">
        <f t="shared" si="34"/>
        <v>54764.227730103288</v>
      </c>
      <c r="J30" s="504">
        <f t="shared" si="34"/>
        <v>48257.193934714291</v>
      </c>
      <c r="K30" s="504">
        <f t="shared" si="34"/>
        <v>56111.630709214274</v>
      </c>
      <c r="L30" s="504">
        <f t="shared" si="34"/>
        <v>58495.194726500005</v>
      </c>
      <c r="M30" s="504">
        <f t="shared" si="34"/>
        <v>52380.091354559998</v>
      </c>
      <c r="N30" s="504">
        <f t="shared" si="34"/>
        <v>59509.490683999997</v>
      </c>
      <c r="O30" s="504">
        <f t="shared" si="34"/>
        <v>48089.096257999998</v>
      </c>
      <c r="P30" s="505">
        <f t="shared" si="34"/>
        <v>93247.172982917589</v>
      </c>
      <c r="Q30" s="364">
        <f t="shared" si="34"/>
        <v>53104.309779029536</v>
      </c>
      <c r="R30" s="504">
        <f>R29-R22-R24</f>
        <v>99585.938161933998</v>
      </c>
      <c r="S30" s="504">
        <f t="shared" ref="S30:AR30" si="35">S29-S22-S24</f>
        <v>68469.843060643092</v>
      </c>
      <c r="T30" s="504">
        <f t="shared" si="35"/>
        <v>108573.23030397815</v>
      </c>
      <c r="U30" s="504">
        <f t="shared" si="35"/>
        <v>105966.46545412665</v>
      </c>
      <c r="V30" s="504">
        <f t="shared" si="35"/>
        <v>99875.595434874296</v>
      </c>
      <c r="W30" s="504">
        <f t="shared" si="35"/>
        <v>79458.415677188139</v>
      </c>
      <c r="X30" s="504">
        <f t="shared" si="35"/>
        <v>47098.482269293541</v>
      </c>
      <c r="Y30" s="504">
        <f t="shared" si="35"/>
        <v>53379.116663084707</v>
      </c>
      <c r="Z30" s="504">
        <f t="shared" si="35"/>
        <v>69104.316253125289</v>
      </c>
      <c r="AA30" s="504">
        <f t="shared" si="35"/>
        <v>98509.865435258514</v>
      </c>
      <c r="AB30" s="504">
        <f t="shared" si="35"/>
        <v>106828.5214417161</v>
      </c>
      <c r="AC30" s="505">
        <f t="shared" si="35"/>
        <v>78169.152058679727</v>
      </c>
      <c r="AD30" s="364">
        <f t="shared" si="35"/>
        <v>84584.911851158497</v>
      </c>
      <c r="AE30" s="355">
        <f t="shared" si="35"/>
        <v>48288.523227729922</v>
      </c>
      <c r="AF30" s="199">
        <f t="shared" si="35"/>
        <v>71287.97951473025</v>
      </c>
      <c r="AG30" s="199">
        <f t="shared" si="35"/>
        <v>113210.70168934991</v>
      </c>
      <c r="AH30" s="199">
        <f t="shared" si="35"/>
        <v>102194.56133351281</v>
      </c>
      <c r="AI30" s="199">
        <f t="shared" si="35"/>
        <v>118658.29345189984</v>
      </c>
      <c r="AJ30" s="199">
        <f t="shared" si="35"/>
        <v>106358.2068469987</v>
      </c>
      <c r="AK30" s="199">
        <f t="shared" si="35"/>
        <v>117788.56216194356</v>
      </c>
      <c r="AL30" s="199">
        <f t="shared" si="35"/>
        <v>117195.24739038981</v>
      </c>
      <c r="AM30" s="199">
        <f t="shared" si="35"/>
        <v>115996.89087651021</v>
      </c>
      <c r="AN30" s="199">
        <f t="shared" si="35"/>
        <v>81135.828940082924</v>
      </c>
      <c r="AO30" s="199">
        <f t="shared" si="35"/>
        <v>58902.653409524006</v>
      </c>
      <c r="AP30" s="346">
        <f t="shared" si="35"/>
        <v>86026.141018182709</v>
      </c>
      <c r="AQ30" s="364">
        <f t="shared" si="35"/>
        <v>94753.632488404532</v>
      </c>
      <c r="AR30" s="355">
        <f t="shared" si="35"/>
        <v>1137043.5898608547</v>
      </c>
      <c r="AS30" s="355">
        <f t="shared" ref="AS30:BE30" si="36">AS29-AS22-AS24</f>
        <v>91103.789718562286</v>
      </c>
      <c r="AT30" s="199">
        <f t="shared" si="36"/>
        <v>76190.568073457121</v>
      </c>
      <c r="AU30" s="199">
        <f t="shared" si="36"/>
        <v>94571.990742537368</v>
      </c>
      <c r="AV30" s="199">
        <f t="shared" si="36"/>
        <v>95409.261318575212</v>
      </c>
      <c r="AW30" s="199">
        <f t="shared" si="36"/>
        <v>94556.43192294921</v>
      </c>
      <c r="AX30" s="199">
        <f t="shared" si="36"/>
        <v>97146.74550836884</v>
      </c>
      <c r="AY30" s="199">
        <f t="shared" si="36"/>
        <v>98875.455062579305</v>
      </c>
      <c r="AZ30" s="199">
        <f t="shared" si="36"/>
        <v>99494.523535871587</v>
      </c>
      <c r="BA30" s="199">
        <f t="shared" si="36"/>
        <v>99670.68343753308</v>
      </c>
      <c r="BB30" s="199">
        <f t="shared" si="36"/>
        <v>99822.682487127997</v>
      </c>
      <c r="BC30" s="199">
        <f t="shared" si="36"/>
        <v>98813.633440839345</v>
      </c>
      <c r="BD30" s="346">
        <f t="shared" si="36"/>
        <v>99719.76915511</v>
      </c>
      <c r="BE30" s="364">
        <f t="shared" si="36"/>
        <v>95447.961200292586</v>
      </c>
      <c r="BF30" s="355">
        <f t="shared" ref="BF30" si="37">BF29-BF22-BF24</f>
        <v>71448.930547348587</v>
      </c>
      <c r="BG30" s="199">
        <f t="shared" ref="BG30" si="38">BG29-BG22-BG24</f>
        <v>45216.302374026309</v>
      </c>
      <c r="BH30" s="199">
        <f t="shared" ref="BH30" si="39">BH29-BH22-BH24</f>
        <v>95664.348856284007</v>
      </c>
      <c r="BI30" s="199">
        <f t="shared" ref="BI30" si="40">BI29-BI22-BI24</f>
        <v>98250.430530450481</v>
      </c>
      <c r="BJ30" s="199">
        <f t="shared" ref="BJ30" si="41">BJ29-BJ22-BJ24</f>
        <v>87908.980557368297</v>
      </c>
      <c r="BK30" s="199">
        <f t="shared" ref="BK30" si="42">BK29-BK22-BK24</f>
        <v>0</v>
      </c>
      <c r="BL30" s="199">
        <f t="shared" ref="BL30" si="43">BL29-BL22-BL24</f>
        <v>0</v>
      </c>
      <c r="BM30" s="199">
        <f t="shared" ref="BM30" si="44">BM29-BM22-BM24</f>
        <v>0</v>
      </c>
      <c r="BN30" s="199">
        <f t="shared" ref="BN30" si="45">BN29-BN22-BN24</f>
        <v>0</v>
      </c>
      <c r="BO30" s="199">
        <f t="shared" ref="BO30" si="46">BO29-BO22-BO24</f>
        <v>0</v>
      </c>
      <c r="BP30" s="199">
        <f t="shared" ref="BP30" si="47">BP29-BP22-BP24</f>
        <v>0</v>
      </c>
      <c r="BQ30" s="346">
        <f t="shared" ref="BQ30" si="48">BQ29-BQ22-BQ24</f>
        <v>0</v>
      </c>
      <c r="BR30" s="364">
        <f t="shared" ref="BR30:BS30" si="49">BR29-BR22-BR24</f>
        <v>79697.798573095541</v>
      </c>
      <c r="BS30" s="355">
        <f t="shared" si="49"/>
        <v>398488.99286547763</v>
      </c>
      <c r="BT30" s="200">
        <f t="shared" si="9"/>
        <v>-0.21574140035152722</v>
      </c>
      <c r="BU30" s="201"/>
      <c r="BV30" s="506"/>
      <c r="BW30" s="507"/>
      <c r="BX30" s="507"/>
      <c r="BY30" s="507"/>
      <c r="BZ30" s="507"/>
      <c r="CA30" s="507"/>
      <c r="CB30" s="508"/>
      <c r="CD30" s="158"/>
      <c r="CE30" s="158"/>
      <c r="CF30" s="158"/>
      <c r="CG30" s="158"/>
      <c r="CH30" s="158"/>
      <c r="CI30" s="158"/>
      <c r="CJ30" s="158"/>
      <c r="CK30" s="158"/>
      <c r="CL30" s="158"/>
      <c r="CM30" s="158"/>
      <c r="CN30" s="158"/>
    </row>
    <row r="31" spans="1:92" s="202" customFormat="1" x14ac:dyDescent="0.3">
      <c r="A31" s="203">
        <v>23</v>
      </c>
      <c r="B31" s="204" t="s">
        <v>172</v>
      </c>
      <c r="C31" s="204"/>
      <c r="D31" s="204"/>
      <c r="E31" s="205">
        <f>INDEX('18 KMP- Tháng'!$E$6:$Q$29,MATCH($A31,'18 KMP- Tháng'!$A$6:$A$29,0),MATCH(E$7,'18 KMP- Tháng'!$E$2:$P$2,0))</f>
        <v>841.88200000000006</v>
      </c>
      <c r="F31" s="205">
        <f>INDEX('18 KMP- Tháng'!$E$6:$Q$29,MATCH($A31,'18 KMP- Tháng'!$A$6:$A$29,0),MATCH(F$7,'18 KMP- Tháng'!$E$2:$P$2,0))</f>
        <v>1307.212</v>
      </c>
      <c r="G31" s="205">
        <f>INDEX('18 KMP- Tháng'!$E$6:$Q$29,MATCH($A31,'18 KMP- Tháng'!$A$6:$A$29,0),MATCH(G$7,'18 KMP- Tháng'!$E$2:$P$2,0))</f>
        <v>1683.5150000000001</v>
      </c>
      <c r="H31" s="205">
        <f>INDEX('18 KMP- Tháng'!$E$6:$Q$29,MATCH($A31,'18 KMP- Tháng'!$A$6:$A$29,0),MATCH(H$7,'18 KMP- Tháng'!$E$2:$P$2,0))</f>
        <v>1492.932</v>
      </c>
      <c r="I31" s="205">
        <f>INDEX('18 KMP- Tháng'!$E$6:$Q$29,MATCH($A31,'18 KMP- Tháng'!$A$6:$A$29,0),MATCH(I$7,'18 KMP- Tháng'!$E$2:$P$2,0))</f>
        <v>1899.635</v>
      </c>
      <c r="J31" s="205">
        <f>INDEX('18 KMP- Tháng'!$E$6:$Q$29,MATCH($A31,'18 KMP- Tháng'!$A$6:$A$29,0),MATCH(J$7,'18 KMP- Tháng'!$E$2:$P$2,0))</f>
        <v>1515.6790000000001</v>
      </c>
      <c r="K31" s="205">
        <f>INDEX('18 KMP- Tháng'!$E$6:$Q$29,MATCH($A31,'18 KMP- Tháng'!$A$6:$A$29,0),MATCH(K$7,'18 KMP- Tháng'!$E$2:$P$2,0))</f>
        <v>2178.2570000000001</v>
      </c>
      <c r="L31" s="205">
        <f>INDEX('18 KMP- Tháng'!$E$6:$Q$29,MATCH($A31,'18 KMP- Tháng'!$A$6:$A$29,0),MATCH(L$7,'18 KMP- Tháng'!$E$2:$P$2,0))</f>
        <v>2374.6089999999999</v>
      </c>
      <c r="M31" s="205">
        <f>INDEX('18 KMP- Tháng'!$E$6:$Q$29,MATCH($A31,'18 KMP- Tháng'!$A$6:$A$29,0),MATCH(M$7,'18 KMP- Tháng'!$E$2:$P$2,0))</f>
        <v>2017.2435</v>
      </c>
      <c r="N31" s="205">
        <f>INDEX('18 KMP- Tháng'!$E$6:$Q$29,MATCH($A31,'18 KMP- Tháng'!$A$6:$A$29,0),MATCH(N$7,'18 KMP- Tháng'!$E$2:$P$2,0))</f>
        <v>2500.7439999999997</v>
      </c>
      <c r="O31" s="205">
        <f>INDEX('18 KMP- Tháng'!$E$6:$Q$29,MATCH($A31,'18 KMP- Tháng'!$A$6:$A$29,0),MATCH(O$7,'18 KMP- Tháng'!$E$2:$P$2,0))</f>
        <v>1739.5754999999999</v>
      </c>
      <c r="P31" s="349">
        <f>INDEX('18 KMP- Tháng'!$E$6:$Q$29,MATCH($A31,'18 KMP- Tháng'!$A$6:$A$29,0),MATCH(P$7,'18 KMP- Tháng'!$E$2:$P$2,0))</f>
        <v>3906.0309999999995</v>
      </c>
      <c r="Q31" s="371">
        <f t="shared" ref="Q31" si="50">AVERAGE(E31:P31)</f>
        <v>1954.7762499999999</v>
      </c>
      <c r="R31" s="205">
        <f>INDEX('18 KMP- Tháng'!$R$6:$AC$28,MATCH($A31,'18 KMP- Tháng'!$A$6:$A$28,0),MATCH(R$7,'18 KMP- Tháng'!$R$2:$AC$2,0))</f>
        <v>4748.3130000000001</v>
      </c>
      <c r="S31" s="205">
        <f>INDEX('18 KMP- Tháng'!$R$6:$AC$28,MATCH($A31,'18 KMP- Tháng'!$A$6:$A$28,0),MATCH(S$7,'18 KMP- Tháng'!$R$2:$AC$2,0))</f>
        <v>2926.5019999999995</v>
      </c>
      <c r="T31" s="535">
        <f>INDEX('18 KMP- Tháng'!$R$6:$AC$28,MATCH($A31,'18 KMP- Tháng'!$A$6:$A$28,0),MATCH(T$7,'18 KMP- Tháng'!$R$2:$AC$2,0))</f>
        <v>4896.4380000000001</v>
      </c>
      <c r="U31" s="572">
        <f>INDEX('18 KMP- Tháng'!$R$6:$AC$28,MATCH($A31,'18 KMP- Tháng'!$A$6:$A$28,0),MATCH(U$7,'18 KMP- Tháng'!$R$2:$AC$2,0))</f>
        <v>4526.3689999999997</v>
      </c>
      <c r="V31" s="535">
        <f>INDEX('18 KMP- Tháng'!$R$6:$AC$28,MATCH($A31,'18 KMP- Tháng'!$A$6:$A$28,0),MATCH(V$7,'18 KMP- Tháng'!$R$2:$AC$2,0))</f>
        <v>4417.8749999999991</v>
      </c>
      <c r="W31" s="572">
        <f>INDEX('18 KMP- Tháng'!$R$6:$AC$28,MATCH($A31,'18 KMP- Tháng'!$A$6:$A$28,0),MATCH(W$7,'18 KMP- Tháng'!$R$2:$AC$2,0))</f>
        <v>3495.0745000000011</v>
      </c>
      <c r="X31" s="535">
        <f>INDEX('18 KMP- Tháng'!$R$6:$AC$28,MATCH($A31,'18 KMP- Tháng'!$A$6:$A$28,0),MATCH(X$7,'18 KMP- Tháng'!$R$2:$AC$2,0))</f>
        <v>1866.424</v>
      </c>
      <c r="Y31" s="535">
        <f>INDEX('18 KMP- Tháng'!$R$6:$AC$28,MATCH($A31,'18 KMP- Tháng'!$A$6:$A$28,0),MATCH(Y$7,'18 KMP- Tháng'!$R$2:$AC$2,0))</f>
        <v>2192.5824999999995</v>
      </c>
      <c r="Z31" s="535">
        <f>INDEX('18 KMP- Tháng'!$R$6:$AC$28,MATCH($A31,'18 KMP- Tháng'!$A$6:$A$28,0),MATCH(Z$7,'18 KMP- Tháng'!$R$2:$AC$2,0))</f>
        <v>2799.3996999999999</v>
      </c>
      <c r="AA31" s="535">
        <f>INDEX('18 KMP- Tháng'!$R$6:$AC$28,MATCH($A31,'18 KMP- Tháng'!$A$6:$A$28,0),MATCH(AA$7,'18 KMP- Tháng'!$R$2:$AC$2,0))</f>
        <v>4293.2714999999989</v>
      </c>
      <c r="AB31" s="535">
        <f>INDEX('18 KMP- Tháng'!$R$6:$AC$28,MATCH($A31,'18 KMP- Tháng'!$A$6:$A$28,0),MATCH(AB$7,'18 KMP- Tháng'!$R$2:$AC$2,0))</f>
        <v>4775.3970000000008</v>
      </c>
      <c r="AC31" s="536">
        <f>INDEX('18 KMP- Tháng'!$R$6:$AC$28,MATCH($A31,'18 KMP- Tháng'!$A$6:$A$28,0),MATCH(AC$7,'18 KMP- Tháng'!$R$2:$AC$2,0))</f>
        <v>3318.6420999999996</v>
      </c>
      <c r="AD31" s="534">
        <f t="shared" si="10"/>
        <v>3688.0240250000002</v>
      </c>
      <c r="AE31" s="369">
        <f>INDEX('18 KMP- Tháng'!$AF$6:$AQ$29,MATCH($A31,'18 KMP- Tháng'!$A$6:$A$29,0),MATCH(AE$7,'18 KMP- Tháng'!$AF$2:$AQ$2,0))</f>
        <v>1839.7309999999998</v>
      </c>
      <c r="AF31" s="206">
        <f>INDEX('18 KMP- Tháng'!$AF$6:$AQ$29,MATCH($A31,'18 KMP- Tháng'!$A$6:$A$29,0),MATCH(AF$7,'18 KMP- Tháng'!$AF$2:$AQ$2,0))</f>
        <v>2957.2660000000001</v>
      </c>
      <c r="AG31" s="206">
        <f>INDEX('18 KMP- Tháng'!$AF$6:$AQ$29,MATCH($A31,'18 KMP- Tháng'!$A$6:$A$29,0),MATCH(AG$7,'18 KMP- Tháng'!$AF$2:$AQ$2,0))</f>
        <v>4821.92</v>
      </c>
      <c r="AH31" s="206">
        <f>INDEX('18 KMP- Tháng'!$AF$6:$AQ$29,MATCH($A31,'18 KMP- Tháng'!$A$6:$A$29,0),MATCH(AH$7,'18 KMP- Tháng'!$AF$2:$AQ$2,0))</f>
        <v>4088.2489999999993</v>
      </c>
      <c r="AI31" s="206">
        <f>INDEX('18 KMP- Tháng'!$AF$6:$AQ$29,MATCH($A31,'18 KMP- Tháng'!$A$6:$A$29,0),MATCH(AI$7,'18 KMP- Tháng'!$AF$2:$AQ$2,0))</f>
        <v>4828.9710000000005</v>
      </c>
      <c r="AJ31" s="206">
        <f>INDEX('18 KMP- Tháng'!$AF$6:$AQ$29,MATCH($A31,'18 KMP- Tháng'!$A$6:$A$29,0),MATCH(AJ$7,'18 KMP- Tháng'!$AF$2:$AQ$2,0))</f>
        <v>4232.4530000000004</v>
      </c>
      <c r="AK31" s="206">
        <f>INDEX('18 KMP- Tháng'!$AF$6:$AQ$29,MATCH($A31,'18 KMP- Tháng'!$A$6:$A$29,0),MATCH(AK$7,'18 KMP- Tháng'!$AF$2:$AQ$2,0))</f>
        <v>4561.6410000000005</v>
      </c>
      <c r="AL31" s="206">
        <f>INDEX('18 KMP- Tháng'!$AF$6:$AQ$29,MATCH($A31,'18 KMP- Tháng'!$A$6:$A$29,0),MATCH(AL$7,'18 KMP- Tháng'!$AF$2:$AQ$2,0))</f>
        <v>4570.5645000000004</v>
      </c>
      <c r="AM31" s="206">
        <f>INDEX('18 KMP- Tháng'!$AF$6:$AQ$29,MATCH($A31,'18 KMP- Tháng'!$A$6:$A$29,0),MATCH(AM$7,'18 KMP- Tháng'!$AF$2:$AQ$2,0))</f>
        <v>4555.5080000000007</v>
      </c>
      <c r="AN31" s="206">
        <f>INDEX('18 KMP- Tháng'!$AF$6:$AQ$29,MATCH($A31,'18 KMP- Tháng'!$A$6:$A$29,0),MATCH(AN$7,'18 KMP- Tháng'!$AF$2:$AQ$2,0))</f>
        <v>3173.9179999999997</v>
      </c>
      <c r="AO31" s="206">
        <f>INDEX('18 KMP- Tháng'!$AF$6:$AQ$29,MATCH($A31,'18 KMP- Tháng'!$A$6:$A$29,0),MATCH(AO$7,'18 KMP- Tháng'!$AF$2:$AQ$2,0))</f>
        <v>2323.2630000000004</v>
      </c>
      <c r="AP31" s="347">
        <f>INDEX('18 KMP- Tháng'!$AF$6:$AQ$29,MATCH($A31,'18 KMP- Tháng'!$A$6:$A$29,0),MATCH(AP$7,'18 KMP- Tháng'!$AF$2:$AQ$2,0))</f>
        <v>3552.8617999999997</v>
      </c>
      <c r="AQ31" s="365">
        <f>SUM(AE31:AP31)/COUNTIFS($AE$29:$AP$29,"&lt;&gt;"&amp;0)</f>
        <v>3792.1955249999996</v>
      </c>
      <c r="AR31" s="369">
        <f>SUM(AE31:AP31)</f>
        <v>45506.346299999997</v>
      </c>
      <c r="AS31" s="356">
        <f>INDEX('18 KMP- Tháng'!$BH$6:$BS$30,MATCH($A31,'18 KMP- Tháng'!$A$6:$A$29,0),MATCH(AS$7,'18 KMP- Tháng'!$BH$2:$BS$2,0))</f>
        <v>3955</v>
      </c>
      <c r="AT31" s="207">
        <f>INDEX('18 KMP- Tháng'!$BH$6:$BS$30,MATCH($A31,'18 KMP- Tháng'!$A$6:$A$29,0),MATCH(AT$7,'18 KMP- Tháng'!$BH$2:$BS$2,0))</f>
        <v>3245</v>
      </c>
      <c r="AU31" s="207">
        <f>INDEX('18 KMP- Tháng'!$BH$6:$BS$30,MATCH($A31,'18 KMP- Tháng'!$A$6:$A$29,0),MATCH(AU$7,'18 KMP- Tháng'!$BH$2:$BS$2,0))</f>
        <v>4145</v>
      </c>
      <c r="AV31" s="207">
        <f>INDEX('18 KMP- Tháng'!$BH$6:$BS$30,MATCH($A31,'18 KMP- Tháng'!$A$6:$A$29,0),MATCH(AV$7,'18 KMP- Tháng'!$BH$2:$BS$2,0))</f>
        <v>4155</v>
      </c>
      <c r="AW31" s="207">
        <f>INDEX('18 KMP- Tháng'!$BH$6:$BS$30,MATCH($A31,'18 KMP- Tháng'!$A$6:$A$29,0),MATCH(AW$7,'18 KMP- Tháng'!$BH$2:$BS$2,0))</f>
        <v>4145</v>
      </c>
      <c r="AX31" s="207">
        <f>INDEX('18 KMP- Tháng'!$BH$6:$BS$30,MATCH($A31,'18 KMP- Tháng'!$A$6:$A$29,0),MATCH(AX$7,'18 KMP- Tháng'!$BH$2:$BS$2,0))</f>
        <v>4230</v>
      </c>
      <c r="AY31" s="207">
        <f>INDEX('18 KMP- Tháng'!$BH$6:$BS$30,MATCH($A31,'18 KMP- Tháng'!$A$6:$A$29,0),MATCH(AY$7,'18 KMP- Tháng'!$BH$2:$BS$2,0))</f>
        <v>4330</v>
      </c>
      <c r="AZ31" s="207">
        <f>INDEX('18 KMP- Tháng'!$BH$6:$BS$30,MATCH($A31,'18 KMP- Tháng'!$A$6:$A$29,0),MATCH(AZ$7,'18 KMP- Tháng'!$BH$2:$BS$2,0))</f>
        <v>4370</v>
      </c>
      <c r="BA31" s="207">
        <f>INDEX('18 KMP- Tháng'!$BH$6:$BS$30,MATCH($A31,'18 KMP- Tháng'!$A$6:$A$29,0),MATCH(BA$7,'18 KMP- Tháng'!$BH$2:$BS$2,0))</f>
        <v>4355</v>
      </c>
      <c r="BB31" s="207">
        <f>INDEX('18 KMP- Tháng'!$BH$6:$BS$30,MATCH($A31,'18 KMP- Tháng'!$A$6:$A$29,0),MATCH(BB$7,'18 KMP- Tháng'!$BH$2:$BS$2,0))</f>
        <v>4380</v>
      </c>
      <c r="BC31" s="207">
        <f>INDEX('18 KMP- Tháng'!$BH$6:$BS$30,MATCH($A31,'18 KMP- Tháng'!$A$6:$A$29,0),MATCH(BC$7,'18 KMP- Tháng'!$BH$2:$BS$2,0))</f>
        <v>4320</v>
      </c>
      <c r="BD31" s="377">
        <f>INDEX('18 KMP- Tháng'!$BH$6:$BS$30,MATCH($A31,'18 KMP- Tháng'!$A$6:$A$29,0),MATCH(BD$7,'18 KMP- Tháng'!$BH$2:$BS$2,0))</f>
        <v>4370</v>
      </c>
      <c r="BE31" s="365">
        <f>AVERAGE(AS31:BD31)</f>
        <v>4166.666666666667</v>
      </c>
      <c r="BF31" s="369">
        <f>INDEX('18 KMP- Tháng'!$AS$6:$BD$29,MATCH($A31,'18 KMP- Tháng'!$A$6:$A$29,0),MATCH(BF$7,'18 KMP- Tháng'!$AS$2:$BD$2,0))</f>
        <v>2868.56925</v>
      </c>
      <c r="BG31" s="206">
        <f>INDEX('18 KMP- Tháng'!$AS$6:$BD$29,MATCH($A31,'18 KMP- Tháng'!$A$6:$A$29,0),MATCH(BG$7,'18 KMP- Tháng'!$AS$2:$BD$2,0))</f>
        <v>1811.1000000000001</v>
      </c>
      <c r="BH31" s="206">
        <f>INDEX('18 KMP- Tháng'!$AS$6:$BD$29,MATCH($A31,'18 KMP- Tháng'!$A$6:$A$29,0),MATCH(BH$7,'18 KMP- Tháng'!$AS$2:$BD$2,0))</f>
        <v>4279.4889999999996</v>
      </c>
      <c r="BI31" s="206">
        <f>INDEX('18 KMP- Tháng'!$AS$6:$BD$29,MATCH($A31,'18 KMP- Tháng'!$A$6:$A$29,0),MATCH(BI$7,'18 KMP- Tháng'!$AS$2:$BD$2,0))</f>
        <v>4370.2853999999998</v>
      </c>
      <c r="BJ31" s="206">
        <f>INDEX('18 KMP- Tháng'!$AS$6:$BD$29,MATCH($A31,'18 KMP- Tháng'!$A$6:$A$29,0),MATCH(BJ$7,'18 KMP- Tháng'!$AS$2:$BD$2,0))</f>
        <v>3592.6819999999998</v>
      </c>
      <c r="BK31" s="206">
        <f>INDEX('18 KMP- Tháng'!$AS$6:$BD$29,MATCH($A31,'18 KMP- Tháng'!$A$6:$A$29,0),MATCH(BK$7,'18 KMP- Tháng'!$AS$2:$BD$2,0))</f>
        <v>0</v>
      </c>
      <c r="BL31" s="206">
        <f>INDEX('18 KMP- Tháng'!$AS$6:$BD$29,MATCH($A31,'18 KMP- Tháng'!$A$6:$A$29,0),MATCH(BL$7,'18 KMP- Tháng'!$AS$2:$BD$2,0))</f>
        <v>0</v>
      </c>
      <c r="BM31" s="206">
        <f>INDEX('18 KMP- Tháng'!$AS$6:$BD$29,MATCH($A31,'18 KMP- Tháng'!$A$6:$A$29,0),MATCH(BM$7,'18 KMP- Tháng'!$AS$2:$BD$2,0))</f>
        <v>0</v>
      </c>
      <c r="BN31" s="206">
        <f>INDEX('18 KMP- Tháng'!$AS$6:$BD$29,MATCH($A31,'18 KMP- Tháng'!$A$6:$A$29,0),MATCH(BN$7,'18 KMP- Tháng'!$AS$2:$BD$2,0))</f>
        <v>0</v>
      </c>
      <c r="BO31" s="206">
        <f>INDEX('18 KMP- Tháng'!$AS$6:$BD$29,MATCH($A31,'18 KMP- Tháng'!$A$6:$A$29,0),MATCH(BO$7,'18 KMP- Tháng'!$AS$2:$BD$2,0))</f>
        <v>0</v>
      </c>
      <c r="BP31" s="206">
        <f>INDEX('18 KMP- Tháng'!$AS$6:$BD$29,MATCH($A31,'18 KMP- Tháng'!$A$6:$A$29,0),MATCH(BP$7,'18 KMP- Tháng'!$AS$2:$BD$2,0))</f>
        <v>0</v>
      </c>
      <c r="BQ31" s="347">
        <f>INDEX('18 KMP- Tháng'!$AS$6:$BD$29,MATCH($A31,'18 KMP- Tháng'!$A$6:$A$29,0),MATCH(BQ$7,'18 KMP- Tháng'!$AS$2:$BD$2,0))</f>
        <v>0</v>
      </c>
      <c r="BR31" s="365">
        <f t="shared" si="25"/>
        <v>3384.4251300000005</v>
      </c>
      <c r="BS31" s="369">
        <f>SUM(BF31:BQ31)</f>
        <v>16922.125650000002</v>
      </c>
      <c r="BT31" s="208">
        <f t="shared" si="9"/>
        <v>-0.27469804045512014</v>
      </c>
      <c r="BU31" s="206"/>
      <c r="BV31" s="654"/>
      <c r="BW31" s="654"/>
      <c r="BX31" s="654"/>
      <c r="BY31" s="654"/>
      <c r="BZ31" s="654"/>
      <c r="CA31" s="654"/>
      <c r="CB31" s="654"/>
      <c r="CC31" s="186"/>
      <c r="CD31" s="158"/>
      <c r="CE31" s="158"/>
      <c r="CF31" s="158"/>
      <c r="CG31" s="158"/>
      <c r="CH31" s="158"/>
      <c r="CI31" s="158"/>
      <c r="CJ31" s="158"/>
      <c r="CK31" s="158"/>
      <c r="CL31" s="158"/>
      <c r="CM31" s="158"/>
      <c r="CN31" s="158"/>
    </row>
    <row r="32" spans="1:92" s="202" customFormat="1" x14ac:dyDescent="0.3">
      <c r="A32" s="174">
        <v>24</v>
      </c>
      <c r="B32" s="639" t="s">
        <v>190</v>
      </c>
      <c r="C32" s="639"/>
      <c r="D32" s="639"/>
      <c r="E32" s="209"/>
      <c r="F32" s="209"/>
      <c r="G32" s="209"/>
      <c r="H32" s="209"/>
      <c r="I32" s="209"/>
      <c r="J32" s="209"/>
      <c r="K32" s="209"/>
      <c r="L32" s="209"/>
      <c r="M32" s="209"/>
      <c r="N32" s="209"/>
      <c r="O32" s="209"/>
      <c r="P32" s="348"/>
      <c r="Q32" s="542"/>
      <c r="R32" s="543"/>
      <c r="S32" s="543"/>
      <c r="T32" s="543"/>
      <c r="U32" s="543"/>
      <c r="V32" s="543"/>
      <c r="W32" s="543"/>
      <c r="X32" s="543"/>
      <c r="Y32" s="543"/>
      <c r="Z32" s="543"/>
      <c r="AA32" s="543"/>
      <c r="AB32" s="543"/>
      <c r="AC32" s="544"/>
      <c r="AD32" s="542"/>
      <c r="AE32" s="545"/>
      <c r="AF32" s="543"/>
      <c r="AG32" s="543"/>
      <c r="AH32" s="543"/>
      <c r="AI32" s="543"/>
      <c r="AJ32" s="543"/>
      <c r="AK32" s="543"/>
      <c r="AL32" s="543"/>
      <c r="AM32" s="543"/>
      <c r="AN32" s="543"/>
      <c r="AO32" s="543"/>
      <c r="AP32" s="544"/>
      <c r="AQ32" s="542"/>
      <c r="AR32" s="545"/>
      <c r="AS32" s="605"/>
      <c r="AT32" s="543"/>
      <c r="AU32" s="543"/>
      <c r="AV32" s="543"/>
      <c r="AW32" s="543"/>
      <c r="AX32" s="543"/>
      <c r="AY32" s="543"/>
      <c r="AZ32" s="543"/>
      <c r="BA32" s="543"/>
      <c r="BB32" s="543"/>
      <c r="BC32" s="543"/>
      <c r="BD32" s="544"/>
      <c r="BE32" s="542"/>
      <c r="BF32" s="545"/>
      <c r="BG32" s="543"/>
      <c r="BH32" s="543"/>
      <c r="BI32" s="543"/>
      <c r="BJ32" s="543"/>
      <c r="BK32" s="543"/>
      <c r="BL32" s="543"/>
      <c r="BM32" s="543"/>
      <c r="BN32" s="543"/>
      <c r="BO32" s="543"/>
      <c r="BP32" s="543"/>
      <c r="BQ32" s="544"/>
      <c r="BR32" s="542"/>
      <c r="BS32" s="545"/>
      <c r="BT32" s="546"/>
      <c r="BU32" s="546"/>
      <c r="BV32" s="654"/>
      <c r="BW32" s="654"/>
      <c r="BX32" s="654"/>
      <c r="BY32" s="654"/>
      <c r="BZ32" s="654"/>
      <c r="CA32" s="654"/>
      <c r="CB32" s="654"/>
      <c r="CC32" s="186"/>
      <c r="CD32" s="158"/>
      <c r="CE32" s="158"/>
      <c r="CF32" s="158"/>
      <c r="CG32" s="158"/>
      <c r="CH32" s="158"/>
      <c r="CI32" s="158"/>
      <c r="CJ32" s="158"/>
      <c r="CK32" s="158"/>
      <c r="CL32" s="158"/>
      <c r="CM32" s="158"/>
      <c r="CN32" s="158"/>
    </row>
    <row r="33" spans="1:92" s="202" customFormat="1" x14ac:dyDescent="0.3">
      <c r="A33" s="174">
        <v>25</v>
      </c>
      <c r="B33" s="639" t="s">
        <v>191</v>
      </c>
      <c r="C33" s="639"/>
      <c r="D33" s="639"/>
      <c r="E33" s="209"/>
      <c r="F33" s="209"/>
      <c r="G33" s="209"/>
      <c r="H33" s="209"/>
      <c r="I33" s="209"/>
      <c r="J33" s="209"/>
      <c r="K33" s="209"/>
      <c r="L33" s="209"/>
      <c r="M33" s="209"/>
      <c r="N33" s="209"/>
      <c r="O33" s="209"/>
      <c r="P33" s="348"/>
      <c r="Q33" s="542"/>
      <c r="R33" s="543"/>
      <c r="S33" s="543"/>
      <c r="T33" s="543"/>
      <c r="U33" s="543"/>
      <c r="V33" s="543"/>
      <c r="W33" s="543"/>
      <c r="X33" s="543"/>
      <c r="Y33" s="543"/>
      <c r="Z33" s="543"/>
      <c r="AA33" s="543"/>
      <c r="AB33" s="543"/>
      <c r="AC33" s="544"/>
      <c r="AD33" s="542"/>
      <c r="AE33" s="545"/>
      <c r="AF33" s="543"/>
      <c r="AG33" s="543"/>
      <c r="AH33" s="543"/>
      <c r="AI33" s="543"/>
      <c r="AJ33" s="543"/>
      <c r="AK33" s="543"/>
      <c r="AL33" s="543"/>
      <c r="AM33" s="543"/>
      <c r="AN33" s="543"/>
      <c r="AO33" s="543"/>
      <c r="AP33" s="544"/>
      <c r="AQ33" s="542"/>
      <c r="AR33" s="545"/>
      <c r="AS33" s="605"/>
      <c r="AT33" s="543"/>
      <c r="AU33" s="543"/>
      <c r="AV33" s="543"/>
      <c r="AW33" s="543"/>
      <c r="AX33" s="543"/>
      <c r="AY33" s="543"/>
      <c r="AZ33" s="543"/>
      <c r="BA33" s="543"/>
      <c r="BB33" s="543"/>
      <c r="BC33" s="543"/>
      <c r="BD33" s="544"/>
      <c r="BE33" s="542"/>
      <c r="BF33" s="545"/>
      <c r="BG33" s="543"/>
      <c r="BH33" s="543"/>
      <c r="BI33" s="543"/>
      <c r="BJ33" s="543"/>
      <c r="BK33" s="543"/>
      <c r="BL33" s="543"/>
      <c r="BM33" s="543"/>
      <c r="BN33" s="543"/>
      <c r="BO33" s="543"/>
      <c r="BP33" s="543"/>
      <c r="BQ33" s="544"/>
      <c r="BR33" s="542"/>
      <c r="BS33" s="545"/>
      <c r="BT33" s="546"/>
      <c r="BU33" s="546"/>
      <c r="BV33" s="654"/>
      <c r="BW33" s="654"/>
      <c r="BX33" s="654"/>
      <c r="BY33" s="654"/>
      <c r="BZ33" s="654"/>
      <c r="CA33" s="654"/>
      <c r="CB33" s="654"/>
      <c r="CC33" s="186"/>
      <c r="CD33" s="158"/>
      <c r="CE33" s="158"/>
      <c r="CF33" s="158"/>
      <c r="CG33" s="158"/>
      <c r="CH33" s="158"/>
      <c r="CI33" s="158"/>
      <c r="CJ33" s="158"/>
      <c r="CK33" s="158"/>
      <c r="CL33" s="158"/>
      <c r="CM33" s="158"/>
      <c r="CN33" s="158"/>
    </row>
    <row r="34" spans="1:92" s="176" customFormat="1" ht="16.2" thickBot="1" x14ac:dyDescent="0.35">
      <c r="A34" s="174">
        <v>26</v>
      </c>
      <c r="B34" s="176" t="s">
        <v>170</v>
      </c>
      <c r="E34" s="205">
        <f>INDEX('18 KMP- Tháng'!$E$6:$Q$29,MATCH($A34,'18 KMP- Tháng'!$A$6:$A$29,0),MATCH(E$7,'18 KMP- Tháng'!$E$2:$P$2,0))</f>
        <v>0</v>
      </c>
      <c r="F34" s="205">
        <f>INDEX('18 KMP- Tháng'!$E$6:$Q$29,MATCH($A34,'18 KMP- Tháng'!$A$6:$A$29,0),MATCH(F$7,'18 KMP- Tháng'!$E$2:$P$2,0))</f>
        <v>0</v>
      </c>
      <c r="G34" s="205">
        <f>INDEX('18 KMP- Tháng'!$E$6:$Q$29,MATCH($A34,'18 KMP- Tháng'!$A$6:$A$29,0),MATCH(G$7,'18 KMP- Tháng'!$E$2:$P$2,0))</f>
        <v>0</v>
      </c>
      <c r="H34" s="205">
        <f>INDEX('18 KMP- Tháng'!$E$6:$Q$29,MATCH($A34,'18 KMP- Tháng'!$A$6:$A$29,0),MATCH(H$7,'18 KMP- Tháng'!$E$2:$P$2,0))</f>
        <v>0</v>
      </c>
      <c r="I34" s="205">
        <f>INDEX('18 KMP- Tháng'!$E$6:$Q$29,MATCH($A34,'18 KMP- Tháng'!$A$6:$A$29,0),MATCH(I$7,'18 KMP- Tháng'!$E$2:$P$2,0))</f>
        <v>0</v>
      </c>
      <c r="J34" s="205">
        <f>INDEX('18 KMP- Tháng'!$E$6:$Q$29,MATCH($A34,'18 KMP- Tháng'!$A$6:$A$29,0),MATCH(J$7,'18 KMP- Tháng'!$E$2:$P$2,0))</f>
        <v>0</v>
      </c>
      <c r="K34" s="205">
        <f>INDEX('18 KMP- Tháng'!$E$6:$Q$29,MATCH($A34,'18 KMP- Tháng'!$A$6:$A$29,0),MATCH(K$7,'18 KMP- Tháng'!$E$2:$P$2,0))</f>
        <v>0</v>
      </c>
      <c r="L34" s="205">
        <f>INDEX('18 KMP- Tháng'!$E$6:$Q$29,MATCH($A34,'18 KMP- Tháng'!$A$6:$A$29,0),MATCH(L$7,'18 KMP- Tháng'!$E$2:$P$2,0))</f>
        <v>0</v>
      </c>
      <c r="M34" s="205">
        <f>INDEX('18 KMP- Tháng'!$E$6:$Q$29,MATCH($A34,'18 KMP- Tháng'!$A$6:$A$29,0),MATCH(M$7,'18 KMP- Tháng'!$E$2:$P$2,0))</f>
        <v>0</v>
      </c>
      <c r="N34" s="205">
        <f>INDEX('18 KMP- Tháng'!$E$6:$Q$29,MATCH($A34,'18 KMP- Tháng'!$A$6:$A$29,0),MATCH(N$7,'18 KMP- Tháng'!$E$2:$P$2,0))</f>
        <v>0</v>
      </c>
      <c r="O34" s="205">
        <f>INDEX('18 KMP- Tháng'!$E$6:$Q$29,MATCH($A34,'18 KMP- Tháng'!$A$6:$A$29,0),MATCH(O$7,'18 KMP- Tháng'!$E$2:$P$2,0))</f>
        <v>0</v>
      </c>
      <c r="P34" s="349">
        <f>INDEX('18 KMP- Tháng'!$E$6:$Q$29,MATCH($A34,'18 KMP- Tháng'!$A$6:$A$29,0),MATCH(P$7,'18 KMP- Tháng'!$E$2:$P$2,0))</f>
        <v>0</v>
      </c>
      <c r="Q34" s="366">
        <f t="shared" ref="Q34" si="51">AVERAGE(E34:P34)</f>
        <v>0</v>
      </c>
      <c r="R34" s="205">
        <f>INDEX('18 KMP- Tháng'!$R$6:$AC$29,MATCH($A34,'18 KMP- Tháng'!$A$6:$A$29,0),MATCH(R$7,'18 KMP- Tháng'!$R$2:$AC$2,0))</f>
        <v>1539.6058633333323</v>
      </c>
      <c r="S34" s="205">
        <f>INDEX('18 KMP- Tháng'!$R$6:$AC$29,MATCH($A34,'18 KMP- Tháng'!$A$6:$A$29,0),MATCH(S$7,'18 KMP- Tháng'!$R$2:$AC$2,0))</f>
        <v>3139.6058633333323</v>
      </c>
      <c r="T34" s="205">
        <f>INDEX('18 KMP- Tháng'!$R$6:$AC$29,MATCH($A34,'18 KMP- Tháng'!$A$6:$A$29,0),MATCH(T$7,'18 KMP- Tháng'!$R$2:$AC$2,0))</f>
        <v>-60.394216666667489</v>
      </c>
      <c r="U34" s="205">
        <f>INDEX('18 KMP- Tháng'!$R$6:$AC$29,MATCH($A34,'18 KMP- Tháng'!$A$6:$A$29,0),MATCH(U$7,'18 KMP- Tháng'!$R$2:$AC$2,0))</f>
        <v>1539.6058633333323</v>
      </c>
      <c r="V34" s="205">
        <f>INDEX('18 KMP- Tháng'!$R$6:$AC$29,MATCH($A34,'18 KMP- Tháng'!$A$6:$A$29,0),MATCH(V$7,'18 KMP- Tháng'!$R$2:$AC$2,0))</f>
        <v>1539.6058633333323</v>
      </c>
      <c r="W34" s="205">
        <f>INDEX('18 KMP- Tháng'!$R$6:$AC$29,MATCH($A34,'18 KMP- Tháng'!$A$6:$A$29,0),MATCH(W$7,'18 KMP- Tháng'!$R$2:$AC$2,0))</f>
        <v>1539.6058633333323</v>
      </c>
      <c r="X34" s="205">
        <f>INDEX('18 KMP- Tháng'!$R$6:$AC$29,MATCH($A34,'18 KMP- Tháng'!$A$6:$A$29,0),MATCH(X$7,'18 KMP- Tháng'!$R$2:$AC$2,0))</f>
        <v>1539.6058633333323</v>
      </c>
      <c r="Y34" s="205">
        <f>INDEX('18 KMP- Tháng'!$R$6:$AC$29,MATCH($A34,'18 KMP- Tháng'!$A$6:$A$29,0),MATCH(Y$7,'18 KMP- Tháng'!$R$2:$AC$2,0))</f>
        <v>1539.6058633333323</v>
      </c>
      <c r="Z34" s="205">
        <f>INDEX('18 KMP- Tháng'!$R$6:$AC$29,MATCH($A34,'18 KMP- Tháng'!$A$6:$A$29,0),MATCH(Z$7,'18 KMP- Tháng'!$R$2:$AC$2,0))</f>
        <v>1539.6058633333323</v>
      </c>
      <c r="AA34" s="205">
        <f>INDEX('18 KMP- Tháng'!$R$6:$AC$29,MATCH($A34,'18 KMP- Tháng'!$A$6:$A$29,0),MATCH(AA$7,'18 KMP- Tháng'!$R$2:$AC$2,0))</f>
        <v>1539.6058633333323</v>
      </c>
      <c r="AB34" s="205">
        <f>INDEX('18 KMP- Tháng'!$R$6:$AC$29,MATCH($A34,'18 KMP- Tháng'!$A$6:$A$29,0),MATCH(AB$7,'18 KMP- Tháng'!$R$2:$AC$2,0))</f>
        <v>1539.6058633333323</v>
      </c>
      <c r="AC34" s="349">
        <f>INDEX('18 KMP- Tháng'!$R$6:$AC$29,MATCH($A34,'18 KMP- Tháng'!$A$6:$A$29,0),MATCH(AC$7,'18 KMP- Tháng'!$R$2:$AC$2,0))</f>
        <v>5666.6666713333307</v>
      </c>
      <c r="AD34" s="366">
        <f t="shared" ref="AD34" si="52">AVERAGE(R34:AC34)</f>
        <v>1883.5275906666654</v>
      </c>
      <c r="AE34" s="357">
        <f>INDEX('18 KMP- Tháng'!$AF$6:$AQ$29,MATCH($A34,'18 KMP- Tháng'!$A$6:$A$29,0),MATCH(AE$7,'18 KMP- Tháng'!$AF$2:$AQ$2,0))</f>
        <v>2190</v>
      </c>
      <c r="AF34" s="205">
        <f>INDEX('18 KMP- Tháng'!$AF$6:$AQ$29,MATCH($A34,'18 KMP- Tháng'!$A$6:$A$29,0),MATCH(AF$7,'18 KMP- Tháng'!$AF$2:$AQ$2,0))</f>
        <v>2310</v>
      </c>
      <c r="AG34" s="205">
        <f>INDEX('18 KMP- Tháng'!$AF$6:$AQ$29,MATCH($A34,'18 KMP- Tháng'!$A$6:$A$29,0),MATCH(AG$7,'18 KMP- Tháng'!$AF$2:$AQ$2,0))</f>
        <v>2250</v>
      </c>
      <c r="AH34" s="205">
        <f>INDEX('18 KMP- Tháng'!$AF$6:$AQ$29,MATCH($A34,'18 KMP- Tháng'!$A$6:$A$29,0),MATCH(AH$7,'18 KMP- Tháng'!$AF$2:$AQ$2,0))</f>
        <v>2100</v>
      </c>
      <c r="AI34" s="205">
        <f>INDEX('18 KMP- Tháng'!$AF$6:$AQ$29,MATCH($A34,'18 KMP- Tháng'!$A$6:$A$29,0),MATCH(AI$7,'18 KMP- Tháng'!$AF$2:$AQ$2,0))</f>
        <v>2100</v>
      </c>
      <c r="AJ34" s="205">
        <f>INDEX('18 KMP- Tháng'!$AF$6:$AQ$29,MATCH($A34,'18 KMP- Tháng'!$A$6:$A$29,0),MATCH(AJ$7,'18 KMP- Tháng'!$AF$2:$AQ$2,0))</f>
        <v>2767.9919239999999</v>
      </c>
      <c r="AK34" s="205">
        <f>INDEX('18 KMP- Tháng'!$AF$6:$AQ$29,MATCH($A34,'18 KMP- Tháng'!$A$6:$A$29,0),MATCH(AK$7,'18 KMP- Tháng'!$AF$2:$AQ$2,0))</f>
        <v>3045.9060760000002</v>
      </c>
      <c r="AL34" s="205">
        <f>INDEX('18 KMP- Tháng'!$AF$6:$AQ$29,MATCH($A34,'18 KMP- Tháng'!$A$6:$A$29,0),MATCH(AL$7,'18 KMP- Tháng'!$AF$2:$AQ$2,0))</f>
        <v>3495.9060760000002</v>
      </c>
      <c r="AM34" s="205">
        <f>INDEX('18 KMP- Tháng'!$AF$6:$AQ$29,MATCH($A34,'18 KMP- Tháng'!$A$6:$A$29,0),MATCH(AM$7,'18 KMP- Tháng'!$AF$2:$AQ$2,0))</f>
        <v>3495.9060760000002</v>
      </c>
      <c r="AN34" s="205">
        <f>INDEX('18 KMP- Tháng'!$AF$6:$AQ$29,MATCH($A34,'18 KMP- Tháng'!$A$6:$A$29,0),MATCH(AN$7,'18 KMP- Tháng'!$AF$2:$AQ$2,0))</f>
        <v>3495.9060760000002</v>
      </c>
      <c r="AO34" s="205">
        <f>INDEX('18 KMP- Tháng'!$AF$6:$AQ$29,MATCH($A34,'18 KMP- Tháng'!$A$6:$A$29,0),MATCH(AO$7,'18 KMP- Tháng'!$AF$2:$AQ$2,0))</f>
        <v>3495.9060760000002</v>
      </c>
      <c r="AP34" s="349">
        <f>INDEX('18 KMP- Tháng'!$AF$6:$AQ$29,MATCH($A34,'18 KMP- Tháng'!$A$6:$A$29,0),MATCH(AP$7,'18 KMP- Tháng'!$AF$2:$AQ$2,0))</f>
        <v>2655.9060760000002</v>
      </c>
      <c r="AQ34" s="366"/>
      <c r="AR34" s="356">
        <f>SUM(AE34:AP34)</f>
        <v>33403.428379999998</v>
      </c>
      <c r="AS34" s="357">
        <f>INDEX('18 KMP- Tháng'!$BH$6:$BS$29,MATCH($A34,'18 KMP- Tháng'!$A$6:$A$29,0),MATCH(AS$7,'18 KMP- Tháng'!$BH$2:$BS$2,0))</f>
        <v>0</v>
      </c>
      <c r="AT34" s="329">
        <f>INDEX('18 KMP- Tháng'!$BH$6:$BS$29,MATCH($A34,'18 KMP- Tháng'!$A$6:$A$29,0),MATCH(AT$7,'18 KMP- Tháng'!$BH$2:$BS$2,0))</f>
        <v>0</v>
      </c>
      <c r="AU34" s="329">
        <f>INDEX('18 KMP- Tháng'!$BH$6:$BS$29,MATCH($A34,'18 KMP- Tháng'!$A$6:$A$29,0),MATCH(AU$7,'18 KMP- Tháng'!$BH$2:$BS$2,0))</f>
        <v>0</v>
      </c>
      <c r="AV34" s="329">
        <f>INDEX('18 KMP- Tháng'!$BH$6:$BS$29,MATCH($A34,'18 KMP- Tháng'!$A$6:$A$29,0),MATCH(AV$7,'18 KMP- Tháng'!$BH$2:$BS$2,0))</f>
        <v>0</v>
      </c>
      <c r="AW34" s="329">
        <f>INDEX('18 KMP- Tháng'!$BH$6:$BS$29,MATCH($A34,'18 KMP- Tháng'!$A$6:$A$29,0),MATCH(AW$7,'18 KMP- Tháng'!$BH$2:$BS$2,0))</f>
        <v>0</v>
      </c>
      <c r="AX34" s="329">
        <f>INDEX('18 KMP- Tháng'!$BH$6:$BS$29,MATCH($A34,'18 KMP- Tháng'!$A$6:$A$29,0),MATCH(AX$7,'18 KMP- Tháng'!$BH$2:$BS$2,0))</f>
        <v>0</v>
      </c>
      <c r="AY34" s="329">
        <f>INDEX('18 KMP- Tháng'!$BH$6:$BS$29,MATCH($A34,'18 KMP- Tháng'!$A$6:$A$29,0),MATCH(AY$7,'18 KMP- Tháng'!$BH$2:$BS$2,0))</f>
        <v>0</v>
      </c>
      <c r="AZ34" s="329">
        <f>INDEX('18 KMP- Tháng'!$BH$6:$BS$29,MATCH($A34,'18 KMP- Tháng'!$A$6:$A$29,0),MATCH(AZ$7,'18 KMP- Tháng'!$BH$2:$BS$2,0))</f>
        <v>0</v>
      </c>
      <c r="BA34" s="329">
        <f>INDEX('18 KMP- Tháng'!$BH$6:$BS$29,MATCH($A34,'18 KMP- Tháng'!$A$6:$A$29,0),MATCH(BA$7,'18 KMP- Tháng'!$BH$2:$BS$2,0))</f>
        <v>0</v>
      </c>
      <c r="BB34" s="329">
        <f>INDEX('18 KMP- Tháng'!$BH$6:$BS$29,MATCH($A34,'18 KMP- Tháng'!$A$6:$A$29,0),MATCH(BB$7,'18 KMP- Tháng'!$BH$2:$BS$2,0))</f>
        <v>0</v>
      </c>
      <c r="BC34" s="329">
        <f>INDEX('18 KMP- Tháng'!$BH$6:$BS$29,MATCH($A34,'18 KMP- Tháng'!$A$6:$A$29,0),MATCH(BC$7,'18 KMP- Tháng'!$BH$2:$BS$2,0))</f>
        <v>0</v>
      </c>
      <c r="BD34" s="378">
        <f>INDEX('18 KMP- Tháng'!$BH$6:$BS$29,MATCH($A34,'18 KMP- Tháng'!$A$6:$A$29,0),MATCH(BD$7,'18 KMP- Tháng'!$BH$2:$BS$2,0))</f>
        <v>0</v>
      </c>
      <c r="BE34" s="380">
        <f>AVERAGE(AS34:BD34)</f>
        <v>0</v>
      </c>
      <c r="BF34" s="357">
        <f>INDEX('18 KMP- Tháng'!$AS$6:$BD$29,MATCH($A34,'18 KMP- Tháng'!$A$6:$A$29,0),MATCH(BF$7,'18 KMP- Tháng'!$AS$2:$BD$2,0))</f>
        <v>0</v>
      </c>
      <c r="BG34" s="205">
        <f>INDEX('18 KMP- Tháng'!$AS$6:$BD$29,MATCH($A34,'18 KMP- Tháng'!$A$6:$A$29,0),MATCH(BG$7,'18 KMP- Tháng'!$AS$2:$BD$2,0))</f>
        <v>0</v>
      </c>
      <c r="BH34" s="205">
        <f>INDEX('18 KMP- Tháng'!$AS$6:$BD$29,MATCH($A34,'18 KMP- Tháng'!$A$6:$A$29,0),MATCH(BH$7,'18 KMP- Tháng'!$AS$2:$BD$2,0))</f>
        <v>0</v>
      </c>
      <c r="BI34" s="205">
        <f>INDEX('18 KMP- Tháng'!$AS$6:$BD$29,MATCH($A34,'18 KMP- Tháng'!$A$6:$A$29,0),MATCH(BI$7,'18 KMP- Tháng'!$AS$2:$BD$2,0))</f>
        <v>0</v>
      </c>
      <c r="BJ34" s="205">
        <f>INDEX('18 KMP- Tháng'!$AS$6:$BD$29,MATCH($A34,'18 KMP- Tháng'!$A$6:$A$29,0),MATCH(BJ$7,'18 KMP- Tháng'!$AS$2:$BD$2,0))</f>
        <v>0</v>
      </c>
      <c r="BK34" s="205">
        <f>INDEX('18 KMP- Tháng'!$AS$6:$BD$29,MATCH($A34,'18 KMP- Tháng'!$A$6:$A$29,0),MATCH(BK$7,'18 KMP- Tháng'!$AS$2:$BD$2,0))</f>
        <v>0</v>
      </c>
      <c r="BL34" s="205">
        <f>INDEX('18 KMP- Tháng'!$AS$6:$BD$29,MATCH($A34,'18 KMP- Tháng'!$A$6:$A$29,0),MATCH(BL$7,'18 KMP- Tháng'!$AS$2:$BD$2,0))</f>
        <v>0</v>
      </c>
      <c r="BM34" s="205">
        <f>INDEX('18 KMP- Tháng'!$AS$6:$BD$29,MATCH($A34,'18 KMP- Tháng'!$A$6:$A$29,0),MATCH(BM$7,'18 KMP- Tháng'!$AS$2:$BD$2,0))</f>
        <v>0</v>
      </c>
      <c r="BN34" s="205">
        <f>INDEX('18 KMP- Tháng'!$AS$6:$BD$29,MATCH($A34,'18 KMP- Tháng'!$A$6:$A$29,0),MATCH(BN$7,'18 KMP- Tháng'!$AS$2:$BD$2,0))</f>
        <v>0</v>
      </c>
      <c r="BO34" s="205">
        <f>INDEX('18 KMP- Tháng'!$AS$6:$BD$29,MATCH($A34,'18 KMP- Tháng'!$A$6:$A$29,0),MATCH(BO$7,'18 KMP- Tháng'!$AS$2:$BD$2,0))</f>
        <v>0</v>
      </c>
      <c r="BP34" s="205">
        <f>INDEX('18 KMP- Tháng'!$AS$6:$BD$29,MATCH($A34,'18 KMP- Tháng'!$A$6:$A$29,0),MATCH(BP$7,'18 KMP- Tháng'!$AS$2:$BD$2,0))</f>
        <v>0</v>
      </c>
      <c r="BQ34" s="349">
        <f>INDEX('18 KMP- Tháng'!$AS$6:$BD$29,MATCH($A34,'18 KMP- Tháng'!$A$6:$A$29,0),MATCH(BQ$7,'18 KMP- Tháng'!$AS$2:$BD$2,0))</f>
        <v>0</v>
      </c>
      <c r="BR34" s="366">
        <f t="shared" ref="BR34" si="53">SUM(BF34:BQ34)/COUNTIFS($BF$29:$BQ$29,"&lt;&gt;"&amp;0)</f>
        <v>0</v>
      </c>
      <c r="BS34" s="356">
        <f>SUM(BF34:BQ34)</f>
        <v>0</v>
      </c>
      <c r="BT34" s="211"/>
      <c r="BU34" s="212"/>
      <c r="BV34" s="654"/>
      <c r="BW34" s="654"/>
      <c r="BX34" s="654"/>
      <c r="BY34" s="654"/>
      <c r="BZ34" s="654"/>
      <c r="CA34" s="654"/>
      <c r="CB34" s="654"/>
      <c r="CC34" s="186"/>
      <c r="CD34" s="158"/>
      <c r="CE34" s="158"/>
      <c r="CF34" s="158"/>
      <c r="CG34" s="158"/>
      <c r="CH34" s="158"/>
      <c r="CI34" s="158"/>
      <c r="CJ34" s="158"/>
      <c r="CK34" s="158"/>
      <c r="CL34" s="158"/>
      <c r="CM34" s="158"/>
      <c r="CN34" s="158"/>
    </row>
    <row r="35" spans="1:92" s="213" customFormat="1" ht="16.2" thickTop="1" x14ac:dyDescent="0.3">
      <c r="E35" s="214"/>
      <c r="F35" s="214"/>
      <c r="G35" s="214"/>
      <c r="H35" s="214"/>
      <c r="I35" s="214"/>
      <c r="J35" s="215"/>
      <c r="K35" s="215"/>
      <c r="L35" s="215"/>
      <c r="M35" s="215"/>
      <c r="N35" s="215"/>
      <c r="O35" s="215"/>
      <c r="P35" s="215"/>
      <c r="Q35" s="215"/>
      <c r="R35" s="541"/>
      <c r="S35" s="214"/>
      <c r="T35" s="214"/>
      <c r="U35" s="214"/>
      <c r="V35" s="214"/>
      <c r="W35" s="514"/>
      <c r="X35" s="514"/>
      <c r="Y35" s="514"/>
      <c r="Z35" s="514"/>
      <c r="AA35" s="514"/>
      <c r="AB35" s="514"/>
      <c r="AC35" s="514"/>
      <c r="AD35" s="515"/>
      <c r="AE35" s="559"/>
      <c r="AF35" s="559"/>
      <c r="AG35" s="215"/>
      <c r="AH35" s="215"/>
      <c r="AI35" s="215"/>
      <c r="AJ35" s="215"/>
      <c r="AK35" s="215"/>
      <c r="AL35" s="215"/>
      <c r="AM35" s="215"/>
      <c r="AN35" s="215"/>
      <c r="AO35" s="215"/>
      <c r="AP35" s="215"/>
      <c r="AQ35" s="215"/>
      <c r="AR35" s="215"/>
      <c r="AS35" s="514"/>
      <c r="AT35" s="514"/>
      <c r="AU35" s="514"/>
      <c r="AV35" s="514"/>
      <c r="AW35" s="514"/>
      <c r="AX35" s="514"/>
      <c r="AY35" s="514"/>
      <c r="AZ35" s="514"/>
      <c r="BA35" s="514"/>
      <c r="BB35" s="514"/>
      <c r="BC35" s="514"/>
      <c r="BD35" s="514"/>
      <c r="BE35" s="518"/>
      <c r="BF35" s="559"/>
      <c r="BG35" s="559"/>
      <c r="BH35" s="215"/>
      <c r="BI35" s="215"/>
      <c r="BJ35" s="215"/>
      <c r="BK35" s="215"/>
      <c r="BL35" s="215"/>
      <c r="BM35" s="215"/>
      <c r="BN35" s="215"/>
      <c r="BO35" s="215"/>
      <c r="BP35" s="215"/>
      <c r="BQ35" s="215"/>
      <c r="BR35" s="215"/>
      <c r="BS35" s="215"/>
      <c r="BV35" s="216"/>
      <c r="BW35" s="216"/>
      <c r="BX35" s="216"/>
      <c r="BY35" s="158"/>
      <c r="BZ35" s="158"/>
      <c r="CA35" s="158"/>
      <c r="CB35" s="158"/>
      <c r="CC35" s="158"/>
      <c r="CD35" s="158"/>
      <c r="CE35" s="158"/>
      <c r="CF35" s="158"/>
      <c r="CG35" s="158"/>
      <c r="CH35" s="158"/>
      <c r="CI35" s="158"/>
      <c r="CJ35" s="158"/>
      <c r="CK35" s="158"/>
      <c r="CL35" s="158"/>
      <c r="CM35" s="158"/>
      <c r="CN35" s="158"/>
    </row>
    <row r="36" spans="1:92" s="217" customFormat="1" ht="21.6" thickBot="1" x14ac:dyDescent="0.45">
      <c r="B36" s="218"/>
      <c r="C36" s="218"/>
      <c r="D36" s="510"/>
      <c r="E36" s="219"/>
      <c r="F36" s="219"/>
      <c r="G36" s="220"/>
      <c r="H36" s="220"/>
      <c r="I36" s="220"/>
      <c r="J36" s="220"/>
      <c r="K36" s="219"/>
      <c r="L36" s="219"/>
      <c r="M36" s="219"/>
      <c r="N36" s="219"/>
      <c r="O36" s="219"/>
      <c r="P36" s="219"/>
      <c r="Q36" s="219"/>
      <c r="R36" s="298"/>
      <c r="S36" s="517"/>
      <c r="T36" s="517"/>
      <c r="U36" s="517"/>
      <c r="V36" s="517"/>
      <c r="W36" s="517"/>
      <c r="X36" s="517"/>
      <c r="Y36" s="517"/>
      <c r="Z36" s="517"/>
      <c r="AA36" s="517"/>
      <c r="AB36" s="517"/>
      <c r="AC36" s="517"/>
      <c r="AD36" s="516"/>
      <c r="AE36" s="517"/>
      <c r="AF36" s="561"/>
      <c r="AG36" s="219"/>
      <c r="AH36" s="219"/>
      <c r="AI36" s="219"/>
      <c r="AJ36" s="220"/>
      <c r="AK36" s="219"/>
      <c r="AL36" s="219"/>
      <c r="AM36" s="219"/>
      <c r="AN36" s="219"/>
      <c r="AO36" s="219"/>
      <c r="AP36" s="219"/>
      <c r="AQ36" s="219"/>
      <c r="AR36" s="219"/>
      <c r="AS36" s="517"/>
      <c r="AT36" s="517"/>
      <c r="AU36" s="517"/>
      <c r="AV36" s="517"/>
      <c r="AW36" s="517"/>
      <c r="AX36" s="517"/>
      <c r="AY36" s="517"/>
      <c r="AZ36" s="517"/>
      <c r="BA36" s="517"/>
      <c r="BB36" s="517"/>
      <c r="BC36" s="517"/>
      <c r="BD36" s="517"/>
      <c r="BE36" s="516"/>
      <c r="BF36" s="517"/>
      <c r="BG36" s="561"/>
      <c r="BH36" s="219"/>
      <c r="BI36" s="219"/>
      <c r="BJ36" s="219"/>
      <c r="BK36" s="220"/>
      <c r="BL36" s="219"/>
      <c r="BM36" s="219"/>
      <c r="BN36" s="219"/>
      <c r="BO36" s="219"/>
      <c r="BP36" s="219"/>
      <c r="BQ36" s="219"/>
      <c r="BR36" s="219"/>
      <c r="BS36" s="219"/>
      <c r="BT36" s="221"/>
      <c r="BU36" s="219"/>
      <c r="BV36" s="222"/>
      <c r="BW36" s="222"/>
      <c r="BX36" s="222"/>
      <c r="BY36" s="219"/>
      <c r="BZ36" s="219"/>
      <c r="CA36" s="219"/>
      <c r="CB36" s="219"/>
      <c r="CC36" s="219"/>
      <c r="CD36" s="158"/>
      <c r="CE36" s="158"/>
      <c r="CF36" s="158"/>
      <c r="CG36" s="158"/>
      <c r="CH36" s="158"/>
      <c r="CI36" s="158"/>
      <c r="CJ36" s="158"/>
      <c r="CK36" s="158"/>
      <c r="CL36" s="158"/>
      <c r="CM36" s="158"/>
      <c r="CN36" s="158"/>
    </row>
    <row r="37" spans="1:92" s="217" customFormat="1" ht="16.2" thickBot="1" x14ac:dyDescent="0.35">
      <c r="B37" s="218"/>
      <c r="C37" s="218"/>
      <c r="D37" s="223" t="s">
        <v>260</v>
      </c>
      <c r="E37" s="224">
        <v>651.79999999999995</v>
      </c>
      <c r="F37" s="224">
        <v>653.07500000000005</v>
      </c>
      <c r="G37" s="224">
        <v>1875.95</v>
      </c>
      <c r="H37" s="224">
        <v>1792.575</v>
      </c>
      <c r="I37" s="224">
        <v>1632.875</v>
      </c>
      <c r="J37" s="224">
        <v>1573.9749999999999</v>
      </c>
      <c r="K37" s="224">
        <v>1591.575</v>
      </c>
      <c r="L37" s="224">
        <v>2445.1750000000002</v>
      </c>
      <c r="M37" s="224">
        <v>1846.875</v>
      </c>
      <c r="N37" s="224">
        <v>2330.5250000000001</v>
      </c>
      <c r="O37" s="224">
        <v>2108.8000000000002</v>
      </c>
      <c r="P37" s="511">
        <v>3265.8</v>
      </c>
      <c r="Q37" s="513">
        <f>AVERAGE(E37:P37)</f>
        <v>1814.0833333333333</v>
      </c>
      <c r="R37" s="512">
        <v>2153</v>
      </c>
      <c r="S37" s="224">
        <v>2064</v>
      </c>
      <c r="T37" s="224">
        <v>2908</v>
      </c>
      <c r="U37" s="224">
        <v>3201</v>
      </c>
      <c r="V37" s="224">
        <v>3202</v>
      </c>
      <c r="W37" s="224">
        <v>1891</v>
      </c>
      <c r="X37" s="224">
        <v>1784</v>
      </c>
      <c r="Y37" s="224">
        <v>4611</v>
      </c>
      <c r="Z37" s="224">
        <v>4683.5999999999995</v>
      </c>
      <c r="AA37" s="224">
        <v>3573.5250000000001</v>
      </c>
      <c r="AB37" s="224">
        <v>1971.9250000000002</v>
      </c>
      <c r="AC37" s="511">
        <v>2927.35</v>
      </c>
      <c r="AD37" s="513">
        <f>AVERAGE(R37:AC37)</f>
        <v>2914.2000000000003</v>
      </c>
      <c r="AE37" s="512">
        <v>3487.9992999999999</v>
      </c>
      <c r="AF37" s="224">
        <v>5476.6750000000002</v>
      </c>
      <c r="AG37" s="224">
        <v>4580.05</v>
      </c>
      <c r="AH37" s="224">
        <v>3850.9250000000002</v>
      </c>
      <c r="AI37" s="224">
        <v>4582.7242999999999</v>
      </c>
      <c r="AJ37" s="224">
        <v>3673.2080000000001</v>
      </c>
      <c r="AK37" s="224">
        <v>4560.4241000000002</v>
      </c>
      <c r="AL37" s="224">
        <v>5189.3680000000004</v>
      </c>
      <c r="AM37" s="224">
        <v>2657.0430000000001</v>
      </c>
      <c r="AN37" s="224">
        <v>3219.1950000000002</v>
      </c>
      <c r="AO37" s="224">
        <v>2510.4150000000004</v>
      </c>
      <c r="AP37" s="511">
        <v>2781.1109999999999</v>
      </c>
      <c r="AQ37" s="513">
        <f>AVERAGE(AE37:AP37)</f>
        <v>3880.7614749999993</v>
      </c>
      <c r="AR37" s="512">
        <f>SUM(AE37:AP37)</f>
        <v>46569.137699999992</v>
      </c>
      <c r="AS37" s="512">
        <f>'18 KMP- Tháng'!BH30</f>
        <v>4307.222932676138</v>
      </c>
      <c r="AT37" s="224">
        <f>'18 KMP- Tháng'!BI30</f>
        <v>4242.3145678240326</v>
      </c>
      <c r="AU37" s="224">
        <f>'18 KMP- Tháng'!BJ30</f>
        <v>4667.5574034757401</v>
      </c>
      <c r="AV37" s="224">
        <f>'18 KMP- Tháng'!BK30</f>
        <v>4383.231518676721</v>
      </c>
      <c r="AW37" s="224">
        <f>'18 KMP- Tháng'!BL30</f>
        <v>4652.4364391825347</v>
      </c>
      <c r="AX37" s="224">
        <f>'18 KMP- Tháng'!BM30</f>
        <v>4680.9521822275929</v>
      </c>
      <c r="AY37" s="224">
        <f>'18 KMP- Tháng'!BN30</f>
        <v>4678.4225169732681</v>
      </c>
      <c r="AZ37" s="224">
        <f>'18 KMP- Tháng'!BO30</f>
        <v>4551.8494989087394</v>
      </c>
      <c r="BA37" s="224">
        <f>'18 KMP- Tháng'!BP30</f>
        <v>4763.6231018888839</v>
      </c>
      <c r="BB37" s="224">
        <f>'18 KMP- Tháng'!BQ30</f>
        <v>4457.6262974285746</v>
      </c>
      <c r="BC37" s="224">
        <f>'18 KMP- Tháng'!BR30</f>
        <v>4709.2431243544625</v>
      </c>
      <c r="BD37" s="511">
        <f>'18 KMP- Tháng'!BS30</f>
        <v>4773.5204185700304</v>
      </c>
      <c r="BE37" s="513">
        <f>AVERAGE(AS37:BD37)</f>
        <v>4572.3333335155603</v>
      </c>
      <c r="BF37" s="512">
        <v>4106.8499999999995</v>
      </c>
      <c r="BG37" s="224">
        <v>3166.7500000000005</v>
      </c>
      <c r="BH37" s="224">
        <v>5734.1250000000009</v>
      </c>
      <c r="BI37" s="224">
        <v>5105.2749999999996</v>
      </c>
      <c r="BJ37" s="224">
        <v>4987.1499999999996</v>
      </c>
      <c r="BK37" s="224"/>
      <c r="BL37" s="224"/>
      <c r="BM37" s="224"/>
      <c r="BN37" s="224"/>
      <c r="BO37" s="224"/>
      <c r="BP37" s="224"/>
      <c r="BQ37" s="511"/>
      <c r="BR37" s="513">
        <f>AVERAGE(BF37:BQ37)</f>
        <v>4620.0300000000007</v>
      </c>
      <c r="BS37" s="512">
        <f>SUM(BF37:BQ37)</f>
        <v>23100.15</v>
      </c>
      <c r="BT37" s="225"/>
      <c r="BU37" s="219"/>
      <c r="BV37" s="222"/>
      <c r="BW37" s="222"/>
      <c r="BX37" s="222"/>
      <c r="BY37" s="219"/>
      <c r="BZ37" s="219"/>
      <c r="CA37" s="219"/>
      <c r="CB37" s="219"/>
      <c r="CC37" s="219"/>
      <c r="CD37" s="158"/>
      <c r="CE37" s="158"/>
      <c r="CF37" s="158"/>
      <c r="CG37" s="158"/>
      <c r="CH37" s="158"/>
      <c r="CI37" s="158"/>
      <c r="CJ37" s="158"/>
      <c r="CK37" s="158"/>
      <c r="CL37" s="158"/>
      <c r="CM37" s="158"/>
      <c r="CN37" s="158"/>
    </row>
    <row r="38" spans="1:92" ht="16.2" thickBot="1" x14ac:dyDescent="0.35">
      <c r="D38" s="164"/>
    </row>
    <row r="39" spans="1:92" s="186" customFormat="1" ht="47.4" thickTop="1" x14ac:dyDescent="0.3">
      <c r="A39" s="174">
        <v>1</v>
      </c>
      <c r="B39" s="228" t="s">
        <v>57</v>
      </c>
      <c r="C39" s="228" t="s">
        <v>58</v>
      </c>
      <c r="D39" s="229" t="s">
        <v>207</v>
      </c>
      <c r="E39" s="621" t="s">
        <v>116</v>
      </c>
      <c r="F39" s="621" t="s">
        <v>119</v>
      </c>
      <c r="G39" s="621" t="s">
        <v>120</v>
      </c>
      <c r="H39" s="621" t="s">
        <v>121</v>
      </c>
      <c r="I39" s="621" t="s">
        <v>122</v>
      </c>
      <c r="J39" s="621" t="s">
        <v>123</v>
      </c>
      <c r="K39" s="621" t="s">
        <v>124</v>
      </c>
      <c r="L39" s="621" t="s">
        <v>259</v>
      </c>
      <c r="M39" s="621" t="s">
        <v>125</v>
      </c>
      <c r="N39" s="621" t="s">
        <v>69</v>
      </c>
      <c r="O39" s="621" t="s">
        <v>70</v>
      </c>
      <c r="P39" s="622" t="s">
        <v>71</v>
      </c>
      <c r="Q39" s="620" t="s">
        <v>258</v>
      </c>
      <c r="R39" s="623" t="s">
        <v>72</v>
      </c>
      <c r="S39" s="623" t="s">
        <v>73</v>
      </c>
      <c r="T39" s="623" t="s">
        <v>74</v>
      </c>
      <c r="U39" s="623" t="s">
        <v>75</v>
      </c>
      <c r="V39" s="623" t="s">
        <v>76</v>
      </c>
      <c r="W39" s="623" t="s">
        <v>77</v>
      </c>
      <c r="X39" s="623" t="s">
        <v>78</v>
      </c>
      <c r="Y39" s="623" t="s">
        <v>79</v>
      </c>
      <c r="Z39" s="623" t="s">
        <v>80</v>
      </c>
      <c r="AA39" s="623" t="s">
        <v>81</v>
      </c>
      <c r="AB39" s="623" t="s">
        <v>82</v>
      </c>
      <c r="AC39" s="624" t="s">
        <v>83</v>
      </c>
      <c r="AD39" s="619" t="s">
        <v>175</v>
      </c>
      <c r="AE39" s="626" t="s">
        <v>229</v>
      </c>
      <c r="AF39" s="538" t="s">
        <v>230</v>
      </c>
      <c r="AG39" s="538" t="s">
        <v>231</v>
      </c>
      <c r="AH39" s="538" t="s">
        <v>232</v>
      </c>
      <c r="AI39" s="538" t="s">
        <v>233</v>
      </c>
      <c r="AJ39" s="538" t="s">
        <v>234</v>
      </c>
      <c r="AK39" s="538" t="s">
        <v>235</v>
      </c>
      <c r="AL39" s="538" t="s">
        <v>236</v>
      </c>
      <c r="AM39" s="538" t="s">
        <v>237</v>
      </c>
      <c r="AN39" s="538" t="s">
        <v>238</v>
      </c>
      <c r="AO39" s="538" t="s">
        <v>239</v>
      </c>
      <c r="AP39" s="537" t="s">
        <v>240</v>
      </c>
      <c r="AQ39" s="370" t="s">
        <v>241</v>
      </c>
      <c r="AR39" s="626" t="s">
        <v>249</v>
      </c>
      <c r="AS39" s="350" t="str">
        <f>AS8</f>
        <v>KH T1.2026</v>
      </c>
      <c r="AT39" s="350" t="str">
        <f t="shared" ref="AT39:BE39" si="54">AT8</f>
        <v>KH T2.2026</v>
      </c>
      <c r="AU39" s="350" t="str">
        <f t="shared" si="54"/>
        <v>KH T3.2026</v>
      </c>
      <c r="AV39" s="350" t="str">
        <f t="shared" si="54"/>
        <v>KH T4.2026</v>
      </c>
      <c r="AW39" s="350" t="str">
        <f t="shared" si="54"/>
        <v>KH T5.2026</v>
      </c>
      <c r="AX39" s="350" t="str">
        <f t="shared" si="54"/>
        <v>KH T6.2026</v>
      </c>
      <c r="AY39" s="350" t="str">
        <f t="shared" si="54"/>
        <v>KH T7.2026</v>
      </c>
      <c r="AZ39" s="350" t="str">
        <f t="shared" si="54"/>
        <v>KH T8.2026</v>
      </c>
      <c r="BA39" s="350" t="str">
        <f t="shared" si="54"/>
        <v>KH T9.2026</v>
      </c>
      <c r="BB39" s="350" t="str">
        <f t="shared" si="54"/>
        <v>KH T10.2026</v>
      </c>
      <c r="BC39" s="350" t="str">
        <f t="shared" si="54"/>
        <v>KH T11.2026</v>
      </c>
      <c r="BD39" s="350" t="str">
        <f t="shared" si="54"/>
        <v>KH T12.2026</v>
      </c>
      <c r="BE39" s="350" t="str">
        <f t="shared" si="54"/>
        <v>BQ KH 2026</v>
      </c>
      <c r="BF39" s="367" t="str">
        <f>BF8</f>
        <v>T1.26</v>
      </c>
      <c r="BG39" s="367" t="str">
        <f t="shared" ref="BG39:BR39" si="55">BG8</f>
        <v>T2.26</v>
      </c>
      <c r="BH39" s="367" t="str">
        <f t="shared" si="55"/>
        <v>T3.26</v>
      </c>
      <c r="BI39" s="367" t="str">
        <f t="shared" si="55"/>
        <v>T4.26</v>
      </c>
      <c r="BJ39" s="367" t="str">
        <f t="shared" si="55"/>
        <v>T5.26</v>
      </c>
      <c r="BK39" s="367" t="str">
        <f t="shared" si="55"/>
        <v>T6.26</v>
      </c>
      <c r="BL39" s="367" t="str">
        <f t="shared" si="55"/>
        <v>T7.26</v>
      </c>
      <c r="BM39" s="367" t="str">
        <f t="shared" si="55"/>
        <v>T8.26</v>
      </c>
      <c r="BN39" s="367" t="str">
        <f t="shared" si="55"/>
        <v>T9.26</v>
      </c>
      <c r="BO39" s="367" t="str">
        <f t="shared" si="55"/>
        <v>T10.26</v>
      </c>
      <c r="BP39" s="367" t="str">
        <f t="shared" si="55"/>
        <v>T11.26</v>
      </c>
      <c r="BQ39" s="367" t="str">
        <f t="shared" si="55"/>
        <v>T12.26</v>
      </c>
      <c r="BR39" s="358" t="str">
        <f t="shared" si="55"/>
        <v>BQ TT 2026</v>
      </c>
      <c r="BS39" s="367" t="s">
        <v>291</v>
      </c>
      <c r="BT39" s="231" t="s">
        <v>292</v>
      </c>
      <c r="BU39" s="339" t="str">
        <f>"KH T"&amp;$D$4&amp;".26"</f>
        <v>KH T1.26</v>
      </c>
      <c r="BV39" s="537" t="str">
        <f>"T"&amp;$D$4&amp;".26"&amp; "sv KHT"&amp;D4&amp;".26"</f>
        <v>T1.26sv KHT1.26</v>
      </c>
      <c r="BW39" s="407" t="s">
        <v>179</v>
      </c>
      <c r="BX39" s="609" t="s">
        <v>248</v>
      </c>
      <c r="BY39" s="408" t="s">
        <v>311</v>
      </c>
      <c r="BZ39" s="409" t="s">
        <v>310</v>
      </c>
      <c r="CA39" s="367" t="s">
        <v>312</v>
      </c>
      <c r="CB39" s="367" t="s">
        <v>293</v>
      </c>
      <c r="CC39" s="231" t="s">
        <v>177</v>
      </c>
      <c r="CD39" s="233"/>
      <c r="CE39" s="158"/>
      <c r="CF39" s="158"/>
      <c r="CG39" s="158"/>
      <c r="CH39" s="158"/>
      <c r="CI39" s="158"/>
      <c r="CJ39" s="158"/>
      <c r="CK39" s="158"/>
      <c r="CL39" s="158"/>
      <c r="CM39" s="158"/>
      <c r="CN39" s="158"/>
    </row>
    <row r="40" spans="1:92" x14ac:dyDescent="0.3">
      <c r="A40" s="170">
        <v>2</v>
      </c>
      <c r="B40" s="175" t="s">
        <v>162</v>
      </c>
      <c r="C40" s="176"/>
      <c r="D40" s="177" t="s">
        <v>163</v>
      </c>
      <c r="E40" s="410">
        <f t="shared" ref="E40:O40" si="56">SUM(E41:E51)</f>
        <v>26.012887611434014</v>
      </c>
      <c r="F40" s="410">
        <f t="shared" si="56"/>
        <v>25.591419942053992</v>
      </c>
      <c r="G40" s="410">
        <f t="shared" si="56"/>
        <v>25.167345217605202</v>
      </c>
      <c r="H40" s="410">
        <f t="shared" si="56"/>
        <v>24.565129581440026</v>
      </c>
      <c r="I40" s="410">
        <f t="shared" si="56"/>
        <v>24.0818356080105</v>
      </c>
      <c r="J40" s="410">
        <f t="shared" si="56"/>
        <v>25.73218650115065</v>
      </c>
      <c r="K40" s="410">
        <f t="shared" si="56"/>
        <v>21.50443947466734</v>
      </c>
      <c r="L40" s="410">
        <f t="shared" si="56"/>
        <v>20.384035757168984</v>
      </c>
      <c r="M40" s="410">
        <f t="shared" si="56"/>
        <v>21.242199175054022</v>
      </c>
      <c r="N40" s="410">
        <f t="shared" si="56"/>
        <v>19.920693122245044</v>
      </c>
      <c r="O40" s="410">
        <f t="shared" si="56"/>
        <v>21.643473166644831</v>
      </c>
      <c r="P40" s="410">
        <f>SUM(P41:P51)</f>
        <v>20.966796622919013</v>
      </c>
      <c r="Q40" s="411">
        <f>SUM(Q41:Q51)</f>
        <v>21.103404110336594</v>
      </c>
      <c r="R40" s="410">
        <f t="shared" ref="R40:Z40" si="57">SUM(R41:R51)</f>
        <v>19.436943289773112</v>
      </c>
      <c r="S40" s="410">
        <f t="shared" si="57"/>
        <v>21.116732421041604</v>
      </c>
      <c r="T40" s="410">
        <f t="shared" si="57"/>
        <v>20.709023781588659</v>
      </c>
      <c r="U40" s="410">
        <f t="shared" si="57"/>
        <v>21.670640465266235</v>
      </c>
      <c r="V40" s="410">
        <f t="shared" si="57"/>
        <v>20.725758614356931</v>
      </c>
      <c r="W40" s="410">
        <f t="shared" si="57"/>
        <v>20.405286377211159</v>
      </c>
      <c r="X40" s="410">
        <f t="shared" si="57"/>
        <v>21.22609254986731</v>
      </c>
      <c r="Y40" s="410">
        <f t="shared" si="57"/>
        <v>20.727705346587737</v>
      </c>
      <c r="Z40" s="410">
        <f t="shared" si="57"/>
        <v>21.620670622750048</v>
      </c>
      <c r="AA40" s="410">
        <f t="shared" ref="AA40:AB40" si="58">SUM(AA41:AA51)</f>
        <v>20.90485426469268</v>
      </c>
      <c r="AB40" s="410">
        <f t="shared" si="58"/>
        <v>20.440651297631792</v>
      </c>
      <c r="AC40" s="410">
        <f t="shared" ref="AC40:BF40" si="59">SUM(AC41:AC51)</f>
        <v>20.446133131584062</v>
      </c>
      <c r="AD40" s="411">
        <f t="shared" si="59"/>
        <v>20.725399419055883</v>
      </c>
      <c r="AE40" s="412">
        <f t="shared" ref="AE40:AP40" si="60">SUM(AE41:AE51)</f>
        <v>20.997930953889426</v>
      </c>
      <c r="AF40" s="410">
        <f t="shared" si="60"/>
        <v>20.880425528420602</v>
      </c>
      <c r="AG40" s="410">
        <f t="shared" si="60"/>
        <v>21.510617220184056</v>
      </c>
      <c r="AH40" s="410">
        <f t="shared" si="60"/>
        <v>22.467194440826091</v>
      </c>
      <c r="AI40" s="410">
        <f t="shared" si="60"/>
        <v>22.411773777456904</v>
      </c>
      <c r="AJ40" s="410">
        <f t="shared" si="60"/>
        <v>22.518960677885545</v>
      </c>
      <c r="AK40" s="410">
        <f t="shared" si="60"/>
        <v>23.185502131567027</v>
      </c>
      <c r="AL40" s="410">
        <f t="shared" si="60"/>
        <v>23.130142824237527</v>
      </c>
      <c r="AM40" s="410">
        <f t="shared" si="60"/>
        <v>22.818144713939741</v>
      </c>
      <c r="AN40" s="410">
        <f t="shared" si="60"/>
        <v>21.944083703511847</v>
      </c>
      <c r="AO40" s="410">
        <f t="shared" si="60"/>
        <v>20.824380101832631</v>
      </c>
      <c r="AP40" s="413">
        <f t="shared" si="60"/>
        <v>20.969179986168534</v>
      </c>
      <c r="AQ40" s="411">
        <f>SUM(AQ41:AQ51)</f>
        <v>22.13866038464738</v>
      </c>
      <c r="AR40" s="414">
        <f>SUM(AR41:AR51)</f>
        <v>1.4132609655914916</v>
      </c>
      <c r="AS40" s="412">
        <f t="shared" si="59"/>
        <v>19.941936732674471</v>
      </c>
      <c r="AT40" s="410">
        <f t="shared" si="59"/>
        <v>20.032625281157443</v>
      </c>
      <c r="AU40" s="410">
        <f t="shared" si="59"/>
        <v>19.930427693676165</v>
      </c>
      <c r="AV40" s="410">
        <f t="shared" si="59"/>
        <v>19.9348573390381</v>
      </c>
      <c r="AW40" s="410">
        <f t="shared" si="59"/>
        <v>19.927243069367549</v>
      </c>
      <c r="AX40" s="410">
        <f t="shared" si="59"/>
        <v>19.951105881784578</v>
      </c>
      <c r="AY40" s="410">
        <f t="shared" si="59"/>
        <v>19.989674998171925</v>
      </c>
      <c r="AZ40" s="410">
        <f t="shared" si="59"/>
        <v>19.997213715452542</v>
      </c>
      <c r="BA40" s="410">
        <f t="shared" si="59"/>
        <v>19.995517217091237</v>
      </c>
      <c r="BB40" s="410">
        <f t="shared" si="59"/>
        <v>20.040119272152676</v>
      </c>
      <c r="BC40" s="410">
        <f t="shared" si="59"/>
        <v>20.032400976180551</v>
      </c>
      <c r="BD40" s="413">
        <f t="shared" si="59"/>
        <v>20.025009643072607</v>
      </c>
      <c r="BE40" s="411">
        <f t="shared" si="59"/>
        <v>19.98314730359904</v>
      </c>
      <c r="BF40" s="412">
        <f t="shared" si="59"/>
        <v>21.345235231238917</v>
      </c>
      <c r="BG40" s="410">
        <f t="shared" ref="BG40:BQ40" si="61">SUM(BG41:BG51)</f>
        <v>20.22871477446099</v>
      </c>
      <c r="BH40" s="410">
        <f t="shared" si="61"/>
        <v>20.865816591720183</v>
      </c>
      <c r="BI40" s="410">
        <f t="shared" si="61"/>
        <v>20.054742286270479</v>
      </c>
      <c r="BJ40" s="410">
        <f t="shared" si="61"/>
        <v>21.536054514807685</v>
      </c>
      <c r="BK40" s="410">
        <f t="shared" si="61"/>
        <v>0</v>
      </c>
      <c r="BL40" s="410">
        <f t="shared" si="61"/>
        <v>0</v>
      </c>
      <c r="BM40" s="410">
        <f t="shared" si="61"/>
        <v>0</v>
      </c>
      <c r="BN40" s="410">
        <f t="shared" si="61"/>
        <v>0</v>
      </c>
      <c r="BO40" s="410">
        <f t="shared" si="61"/>
        <v>0</v>
      </c>
      <c r="BP40" s="410">
        <f t="shared" si="61"/>
        <v>0</v>
      </c>
      <c r="BQ40" s="413">
        <f t="shared" si="61"/>
        <v>0</v>
      </c>
      <c r="BR40" s="411">
        <f>SUM(BR41:BR51)</f>
        <v>20.811728587269865</v>
      </c>
      <c r="BS40" s="414">
        <f>SUM(BS41:BS51)</f>
        <v>-1.3269317973775125</v>
      </c>
      <c r="BT40" s="410">
        <f>SUM(BT41:BT51)</f>
        <v>19.98314730359904</v>
      </c>
      <c r="BU40" s="410">
        <f>SUM(BU41:BU51)</f>
        <v>19.941936732674471</v>
      </c>
      <c r="BV40" s="415" cm="1">
        <f t="array" ref="BV40">INDEX($BF40:$BQ40,,$D$4)-BU40</f>
        <v>1.4032984985644461</v>
      </c>
      <c r="BW40" s="416">
        <f t="shared" ref="BW40:BW60" si="62">AD40/$AD$60</f>
        <v>0.80505043133103338</v>
      </c>
      <c r="BX40" s="610">
        <f>AQ40/$AQ$60</f>
        <v>0.78578015883892771</v>
      </c>
      <c r="BY40" s="417">
        <f t="shared" ref="BY40:BY60" si="63">BE40/$BE$60</f>
        <v>0.77843042070862634</v>
      </c>
      <c r="BZ40" s="418">
        <f t="shared" ref="BZ40:BZ60" si="64">BR40/$BR$60</f>
        <v>0.7734042847961089</v>
      </c>
      <c r="CA40" s="419">
        <f>BZ40-BX40</f>
        <v>-1.2375874042818813E-2</v>
      </c>
      <c r="CB40" s="420">
        <f t="shared" ref="CB40:CB60" si="65">BZ40-BY40</f>
        <v>-5.0261359125174376E-3</v>
      </c>
      <c r="CC40" s="421"/>
    </row>
    <row r="41" spans="1:92" x14ac:dyDescent="0.3">
      <c r="A41" s="170">
        <v>3</v>
      </c>
      <c r="B41" s="181">
        <v>1</v>
      </c>
      <c r="C41" s="182" t="s">
        <v>96</v>
      </c>
      <c r="D41" s="182" t="s">
        <v>261</v>
      </c>
      <c r="E41" s="422">
        <f t="shared" ref="E41:AD41" si="66">E10/E$31</f>
        <v>22.787976772724683</v>
      </c>
      <c r="F41" s="422">
        <f t="shared" si="66"/>
        <v>22.500568382617356</v>
      </c>
      <c r="G41" s="422">
        <f t="shared" si="66"/>
        <v>21.921839870945607</v>
      </c>
      <c r="H41" s="422">
        <f t="shared" si="66"/>
        <v>21.077276720038153</v>
      </c>
      <c r="I41" s="422">
        <f t="shared" si="66"/>
        <v>20.804906279042552</v>
      </c>
      <c r="J41" s="422">
        <f t="shared" si="66"/>
        <v>21.787397200858489</v>
      </c>
      <c r="K41" s="422">
        <f t="shared" si="66"/>
        <v>18.394117330278288</v>
      </c>
      <c r="L41" s="422">
        <f t="shared" si="66"/>
        <v>17.565370316755306</v>
      </c>
      <c r="M41" s="422">
        <f t="shared" si="66"/>
        <v>18.266013295648243</v>
      </c>
      <c r="N41" s="422">
        <f t="shared" si="66"/>
        <v>16.836670943127327</v>
      </c>
      <c r="O41" s="422">
        <f t="shared" si="66"/>
        <v>18.010185937316315</v>
      </c>
      <c r="P41" s="422">
        <f t="shared" si="66"/>
        <v>18.373415593987865</v>
      </c>
      <c r="Q41" s="423">
        <f t="shared" si="66"/>
        <v>19.326224119829444</v>
      </c>
      <c r="R41" s="422">
        <f t="shared" si="66"/>
        <v>17.351007297036663</v>
      </c>
      <c r="S41" s="422">
        <f t="shared" si="66"/>
        <v>18.684196801383731</v>
      </c>
      <c r="T41" s="422">
        <f t="shared" si="66"/>
        <v>18.83512308069216</v>
      </c>
      <c r="U41" s="422">
        <f t="shared" si="66"/>
        <v>19.509038092149947</v>
      </c>
      <c r="V41" s="422">
        <f t="shared" si="66"/>
        <v>18.677036197917399</v>
      </c>
      <c r="W41" s="422">
        <f t="shared" si="66"/>
        <v>18.148150232044589</v>
      </c>
      <c r="X41" s="422">
        <f t="shared" si="66"/>
        <v>18.283593702204584</v>
      </c>
      <c r="Y41" s="422">
        <f t="shared" si="66"/>
        <v>18.161253005227746</v>
      </c>
      <c r="Z41" s="422">
        <f t="shared" si="66"/>
        <v>18.997197306667314</v>
      </c>
      <c r="AA41" s="422">
        <f t="shared" si="66"/>
        <v>18.690373015370334</v>
      </c>
      <c r="AB41" s="422">
        <f t="shared" si="66"/>
        <v>18.319005490374114</v>
      </c>
      <c r="AC41" s="422">
        <f t="shared" si="66"/>
        <v>18.284387312413024</v>
      </c>
      <c r="AD41" s="423">
        <f t="shared" si="66"/>
        <v>18.507378036232243</v>
      </c>
      <c r="AE41" s="424">
        <f t="shared" ref="AE41:AE42" si="67">AE10/AE$31</f>
        <v>18.312543345592342</v>
      </c>
      <c r="AF41" s="428">
        <f t="shared" ref="AF41" si="68">IFERROR(AF10/AF$31,0)</f>
        <v>18.593106932798833</v>
      </c>
      <c r="AG41" s="428">
        <f>IFERROR(AG10/AG$31,0)</f>
        <v>19.38928178326266</v>
      </c>
      <c r="AH41" s="428">
        <f t="shared" ref="AH41:AP41" si="69">IFERROR(AH10/AH$31,0)</f>
        <v>20.007140382474947</v>
      </c>
      <c r="AI41" s="428">
        <f t="shared" si="69"/>
        <v>20.139657074540278</v>
      </c>
      <c r="AJ41" s="428">
        <f t="shared" si="69"/>
        <v>20.023008833411428</v>
      </c>
      <c r="AK41" s="428">
        <f t="shared" si="69"/>
        <v>20.520410238978375</v>
      </c>
      <c r="AL41" s="428">
        <f t="shared" si="69"/>
        <v>20.479350977628648</v>
      </c>
      <c r="AM41" s="428">
        <f t="shared" si="69"/>
        <v>20.244864144352331</v>
      </c>
      <c r="AN41" s="428">
        <f t="shared" si="69"/>
        <v>19.089916937073646</v>
      </c>
      <c r="AO41" s="428">
        <f t="shared" si="69"/>
        <v>17.98575426523988</v>
      </c>
      <c r="AP41" s="429">
        <f t="shared" si="69"/>
        <v>18.684364862765758</v>
      </c>
      <c r="AQ41" s="423">
        <f>AQ10/AQ$31</f>
        <v>19.649038096535882</v>
      </c>
      <c r="AR41" s="430">
        <f>AQ41-AD41</f>
        <v>1.1416600603036393</v>
      </c>
      <c r="AS41" s="424">
        <f t="shared" ref="AS41:BD41" si="70">AS10/AS$31</f>
        <v>17.812843069157459</v>
      </c>
      <c r="AT41" s="425">
        <f t="shared" si="70"/>
        <v>17.824923409943459</v>
      </c>
      <c r="AU41" s="425">
        <f t="shared" si="70"/>
        <v>17.818768695321094</v>
      </c>
      <c r="AV41" s="425">
        <f t="shared" si="70"/>
        <v>17.816697779741421</v>
      </c>
      <c r="AW41" s="425">
        <f t="shared" si="70"/>
        <v>17.818768695321094</v>
      </c>
      <c r="AX41" s="425">
        <f t="shared" si="70"/>
        <v>17.816918280639356</v>
      </c>
      <c r="AY41" s="425">
        <f t="shared" si="70"/>
        <v>17.823654708306016</v>
      </c>
      <c r="AZ41" s="425">
        <f t="shared" si="70"/>
        <v>17.83067947934212</v>
      </c>
      <c r="BA41" s="425">
        <f t="shared" si="70"/>
        <v>17.818687134044602</v>
      </c>
      <c r="BB41" s="425">
        <f t="shared" si="70"/>
        <v>17.828687752841265</v>
      </c>
      <c r="BC41" s="425">
        <f t="shared" si="70"/>
        <v>17.825657836630874</v>
      </c>
      <c r="BD41" s="426">
        <f t="shared" si="70"/>
        <v>17.83067947934212</v>
      </c>
      <c r="BE41" s="427">
        <f>BE10/BE$31</f>
        <v>17.822332942135915</v>
      </c>
      <c r="BF41" s="424">
        <f>BF10/BF$31</f>
        <v>18.923355557251615</v>
      </c>
      <c r="BG41" s="428">
        <f t="shared" ref="BG41:BQ41" si="71">IFERROR(BG10/BG$31,0)</f>
        <v>18.104205808086963</v>
      </c>
      <c r="BH41" s="428">
        <f>IFERROR(BH10/BH$31,0)</f>
        <v>18.460638735672415</v>
      </c>
      <c r="BI41" s="428">
        <f t="shared" si="71"/>
        <v>17.780534371153539</v>
      </c>
      <c r="BJ41" s="428">
        <f t="shared" si="71"/>
        <v>18.757434115061756</v>
      </c>
      <c r="BK41" s="428">
        <f t="shared" si="71"/>
        <v>0</v>
      </c>
      <c r="BL41" s="428">
        <f t="shared" si="71"/>
        <v>0</v>
      </c>
      <c r="BM41" s="428">
        <f t="shared" si="71"/>
        <v>0</v>
      </c>
      <c r="BN41" s="428">
        <f t="shared" si="71"/>
        <v>0</v>
      </c>
      <c r="BO41" s="428">
        <f t="shared" si="71"/>
        <v>0</v>
      </c>
      <c r="BP41" s="428">
        <f t="shared" si="71"/>
        <v>0</v>
      </c>
      <c r="BQ41" s="429">
        <f t="shared" si="71"/>
        <v>0</v>
      </c>
      <c r="BR41" s="423">
        <f>BR10/BR$31</f>
        <v>18.388297990062355</v>
      </c>
      <c r="BS41" s="608">
        <f>BR41-AQ41</f>
        <v>-1.2607401064735271</v>
      </c>
      <c r="BT41" s="428">
        <f t="shared" ref="BT41:BT51" si="72">BE41</f>
        <v>17.822332942135915</v>
      </c>
      <c r="BU41" s="428" cm="1">
        <f t="array" ref="BU41">INDEX($AS41:$BD41,,$D$4)</f>
        <v>17.812843069157459</v>
      </c>
      <c r="BV41" s="431" cm="1">
        <f t="array" ref="BV41">INDEX($BF41:$BQ41,,$D$4)-BU41</f>
        <v>1.1105124880941553</v>
      </c>
      <c r="BW41" s="432">
        <f t="shared" si="62"/>
        <v>0.71889435612884234</v>
      </c>
      <c r="BX41" s="611">
        <f t="shared" ref="BX41:BX60" si="73">AQ41/$AQ$60</f>
        <v>0.69741456837357907</v>
      </c>
      <c r="BY41" s="433">
        <f t="shared" si="63"/>
        <v>0.69425731189287743</v>
      </c>
      <c r="BZ41" s="434">
        <f t="shared" si="64"/>
        <v>0.68334489352897743</v>
      </c>
      <c r="CA41" s="435">
        <f t="shared" ref="CA41:CA60" si="74">BZ41-BX41</f>
        <v>-1.4069674844601643E-2</v>
      </c>
      <c r="CB41" s="435">
        <f t="shared" si="65"/>
        <v>-1.0912418363900001E-2</v>
      </c>
      <c r="CC41" s="436"/>
      <c r="CD41" s="158" t="s">
        <v>147</v>
      </c>
    </row>
    <row r="42" spans="1:92" x14ac:dyDescent="0.3">
      <c r="A42" s="170">
        <v>4</v>
      </c>
      <c r="B42" s="187">
        <f>B41+1</f>
        <v>2</v>
      </c>
      <c r="C42" s="188" t="s">
        <v>96</v>
      </c>
      <c r="D42" s="188" t="s">
        <v>25</v>
      </c>
      <c r="E42" s="422">
        <f t="shared" ref="E42:P42" si="75">E11/E$31</f>
        <v>1.6355703055772661</v>
      </c>
      <c r="F42" s="422">
        <f t="shared" si="75"/>
        <v>1.6970403423469187</v>
      </c>
      <c r="G42" s="422">
        <f t="shared" si="75"/>
        <v>1.5294980442704695</v>
      </c>
      <c r="H42" s="422">
        <f t="shared" si="75"/>
        <v>1.5999950084799575</v>
      </c>
      <c r="I42" s="422">
        <f t="shared" si="75"/>
        <v>1.4673998426013419</v>
      </c>
      <c r="J42" s="422">
        <f t="shared" si="75"/>
        <v>1.7522353347905459</v>
      </c>
      <c r="K42" s="437">
        <f t="shared" si="75"/>
        <v>1.439343975022231</v>
      </c>
      <c r="L42" s="422">
        <f t="shared" si="75"/>
        <v>1.2544633706012231</v>
      </c>
      <c r="M42" s="422">
        <f t="shared" si="75"/>
        <v>1.4452928587946869</v>
      </c>
      <c r="N42" s="422">
        <f t="shared" si="75"/>
        <v>1.3344620640897271</v>
      </c>
      <c r="O42" s="422">
        <f t="shared" si="75"/>
        <v>1.6169318394056482</v>
      </c>
      <c r="P42" s="422">
        <f t="shared" si="75"/>
        <v>1.3372299144579243</v>
      </c>
      <c r="Q42" s="438">
        <f>Q11/$AD$31</f>
        <v>0.77740656314822498</v>
      </c>
      <c r="R42" s="422">
        <f t="shared" ref="R42:AC42" si="76">R11/R$31</f>
        <v>1.1519559582529626</v>
      </c>
      <c r="S42" s="422">
        <f t="shared" si="76"/>
        <v>1.4092069972957479</v>
      </c>
      <c r="T42" s="422">
        <f t="shared" si="76"/>
        <v>1.0380261865870659</v>
      </c>
      <c r="U42" s="422">
        <f t="shared" si="76"/>
        <v>1.300083014000847</v>
      </c>
      <c r="V42" s="422">
        <f t="shared" si="76"/>
        <v>1.2590749625102569</v>
      </c>
      <c r="W42" s="422">
        <f t="shared" si="76"/>
        <v>1.3690785738615867</v>
      </c>
      <c r="X42" s="437">
        <f t="shared" si="76"/>
        <v>1.6093813629700433</v>
      </c>
      <c r="Y42" s="422">
        <f t="shared" si="76"/>
        <v>1.5886035348726906</v>
      </c>
      <c r="Z42" s="422">
        <f t="shared" si="76"/>
        <v>1.6538538380210586</v>
      </c>
      <c r="AA42" s="422">
        <f t="shared" si="76"/>
        <v>1.2825760017739389</v>
      </c>
      <c r="AB42" s="422">
        <f t="shared" si="76"/>
        <v>1.3339495158203598</v>
      </c>
      <c r="AC42" s="422">
        <f t="shared" si="76"/>
        <v>1.4670998068758305</v>
      </c>
      <c r="AD42" s="438">
        <f>AD11/$AD$31</f>
        <v>1.327963674283096</v>
      </c>
      <c r="AE42" s="439">
        <f t="shared" si="67"/>
        <v>1.7012988491252257</v>
      </c>
      <c r="AF42" s="422">
        <f t="shared" ref="AF42:AP42" si="77">IFERROR(AF11/AF$31,0)</f>
        <v>1.4030238527748264</v>
      </c>
      <c r="AG42" s="422">
        <f t="shared" si="77"/>
        <v>1.3464536240750573</v>
      </c>
      <c r="AH42" s="422">
        <f t="shared" si="77"/>
        <v>1.4980922602806241</v>
      </c>
      <c r="AI42" s="422">
        <f t="shared" si="77"/>
        <v>1.3573402745636698</v>
      </c>
      <c r="AJ42" s="422">
        <f t="shared" si="77"/>
        <v>1.500904769172865</v>
      </c>
      <c r="AK42" s="422">
        <f t="shared" si="77"/>
        <v>1.5466098493941105</v>
      </c>
      <c r="AL42" s="422">
        <f t="shared" si="77"/>
        <v>1.5814864969086422</v>
      </c>
      <c r="AM42" s="422">
        <f t="shared" si="77"/>
        <v>1.5380250084074047</v>
      </c>
      <c r="AN42" s="422">
        <f t="shared" si="77"/>
        <v>1.9571102303210104</v>
      </c>
      <c r="AO42" s="422">
        <f t="shared" si="77"/>
        <v>1.841202536260423</v>
      </c>
      <c r="AP42" s="440">
        <f t="shared" si="77"/>
        <v>1.3677399773894949</v>
      </c>
      <c r="AQ42" s="438">
        <f>AQ11/AQ$31</f>
        <v>1.5259789145937213</v>
      </c>
      <c r="AR42" s="430">
        <f t="shared" ref="AR42:AR51" si="78">AQ42-AD42</f>
        <v>0.19801524031062523</v>
      </c>
      <c r="AS42" s="439">
        <f t="shared" ref="AS42:BE42" si="79">AS11/AS$31</f>
        <v>1.169529951389251</v>
      </c>
      <c r="AT42" s="422">
        <f t="shared" si="79"/>
        <v>1.1778577980768046</v>
      </c>
      <c r="AU42" s="422">
        <f t="shared" si="79"/>
        <v>1.1509121791904675</v>
      </c>
      <c r="AV42" s="422">
        <f t="shared" si="79"/>
        <v>1.1587032598636653</v>
      </c>
      <c r="AW42" s="422">
        <f t="shared" si="79"/>
        <v>1.15288670960577</v>
      </c>
      <c r="AX42" s="422">
        <f t="shared" si="79"/>
        <v>1.1687572800788488</v>
      </c>
      <c r="AY42" s="422">
        <f t="shared" si="79"/>
        <v>1.2203902538658384</v>
      </c>
      <c r="AZ42" s="422">
        <f t="shared" si="79"/>
        <v>1.2245384499402929</v>
      </c>
      <c r="BA42" s="422">
        <f t="shared" si="79"/>
        <v>1.2307050101500794</v>
      </c>
      <c r="BB42" s="422">
        <f t="shared" si="79"/>
        <v>1.2579218393367178</v>
      </c>
      <c r="BC42" s="422">
        <f t="shared" si="79"/>
        <v>1.2628674286314605</v>
      </c>
      <c r="BD42" s="440">
        <f t="shared" si="79"/>
        <v>1.2563086678020194</v>
      </c>
      <c r="BE42" s="438">
        <f t="shared" si="79"/>
        <v>1.20411476433981</v>
      </c>
      <c r="BF42" s="439">
        <f t="shared" ref="BF42" si="80">BF11/BF$31</f>
        <v>1.4093729007936622</v>
      </c>
      <c r="BG42" s="422">
        <f t="shared" ref="BG42:BQ42" si="81">IFERROR(BG11/BG$31,0)</f>
        <v>1.3595334150516258</v>
      </c>
      <c r="BH42" s="422">
        <f t="shared" si="81"/>
        <v>1.3189712846557149</v>
      </c>
      <c r="BI42" s="422">
        <f t="shared" si="81"/>
        <v>1.297256858556652</v>
      </c>
      <c r="BJ42" s="422">
        <f t="shared" si="81"/>
        <v>1.6118907234205533</v>
      </c>
      <c r="BK42" s="422">
        <f t="shared" si="81"/>
        <v>0</v>
      </c>
      <c r="BL42" s="422">
        <f t="shared" si="81"/>
        <v>0</v>
      </c>
      <c r="BM42" s="422">
        <f t="shared" si="81"/>
        <v>0</v>
      </c>
      <c r="BN42" s="422">
        <f t="shared" si="81"/>
        <v>0</v>
      </c>
      <c r="BO42" s="422">
        <f t="shared" si="81"/>
        <v>0</v>
      </c>
      <c r="BP42" s="422">
        <f t="shared" si="81"/>
        <v>0</v>
      </c>
      <c r="BQ42" s="440">
        <f t="shared" si="81"/>
        <v>0</v>
      </c>
      <c r="BR42" s="438">
        <f>BR11/BR$31</f>
        <v>1.3952178244226663</v>
      </c>
      <c r="BS42" s="430">
        <f>BR42-AQ42</f>
        <v>-0.13076109017105497</v>
      </c>
      <c r="BT42" s="422">
        <f t="shared" si="72"/>
        <v>1.20411476433981</v>
      </c>
      <c r="BU42" s="422" cm="1">
        <f t="array" ref="BU42">INDEX($AS42:$BD42,,$D$4)</f>
        <v>1.169529951389251</v>
      </c>
      <c r="BV42" s="441" cm="1">
        <f t="array" ref="BV42">INDEX($BF42:$BQ42,,$D$4)-BU42</f>
        <v>0.2398429494044112</v>
      </c>
      <c r="BW42" s="442">
        <f t="shared" si="62"/>
        <v>5.1582973488587695E-2</v>
      </c>
      <c r="BX42" s="612">
        <f t="shared" si="73"/>
        <v>5.4162444026009997E-2</v>
      </c>
      <c r="BY42" s="443">
        <f t="shared" si="63"/>
        <v>4.6905502338847896E-2</v>
      </c>
      <c r="BZ42" s="444">
        <f t="shared" si="64"/>
        <v>5.184900615571357E-2</v>
      </c>
      <c r="CA42" s="445">
        <f t="shared" si="74"/>
        <v>-2.3134378702964267E-3</v>
      </c>
      <c r="CB42" s="445">
        <f t="shared" si="65"/>
        <v>4.9435038168656742E-3</v>
      </c>
      <c r="CC42" s="446"/>
    </row>
    <row r="43" spans="1:92" x14ac:dyDescent="0.3">
      <c r="A43" s="170">
        <v>6</v>
      </c>
      <c r="B43" s="187">
        <f t="shared" ref="B43:B51" si="82">B42+1</f>
        <v>3</v>
      </c>
      <c r="C43" s="188" t="s">
        <v>96</v>
      </c>
      <c r="D43" s="188" t="s">
        <v>166</v>
      </c>
      <c r="E43" s="422">
        <f t="shared" ref="E43:AD43" si="83">E12/E37</f>
        <v>0</v>
      </c>
      <c r="F43" s="422">
        <f t="shared" si="83"/>
        <v>0</v>
      </c>
      <c r="G43" s="422">
        <f t="shared" si="83"/>
        <v>0.26946632905994294</v>
      </c>
      <c r="H43" s="422">
        <f t="shared" si="83"/>
        <v>0.21436547703722297</v>
      </c>
      <c r="I43" s="422">
        <f t="shared" si="83"/>
        <v>0.22879719268161985</v>
      </c>
      <c r="J43" s="422">
        <f t="shared" si="83"/>
        <v>0.41097603329150717</v>
      </c>
      <c r="K43" s="422">
        <f t="shared" si="83"/>
        <v>0.29017757755682266</v>
      </c>
      <c r="L43" s="422">
        <f t="shared" si="83"/>
        <v>0.29152150050609871</v>
      </c>
      <c r="M43" s="422">
        <f t="shared" si="83"/>
        <v>0.20179355939086294</v>
      </c>
      <c r="N43" s="422">
        <f t="shared" si="83"/>
        <v>0.32027102905997573</v>
      </c>
      <c r="O43" s="422">
        <f t="shared" si="83"/>
        <v>0.29701082511380883</v>
      </c>
      <c r="P43" s="422">
        <f t="shared" si="83"/>
        <v>0.16340699981627779</v>
      </c>
      <c r="Q43" s="438">
        <f t="shared" si="83"/>
        <v>0.24640421535210622</v>
      </c>
      <c r="R43" s="422">
        <f t="shared" si="83"/>
        <v>4.6446818392940088E-3</v>
      </c>
      <c r="S43" s="422">
        <f t="shared" si="83"/>
        <v>0</v>
      </c>
      <c r="T43" s="422">
        <f t="shared" si="83"/>
        <v>-1.7193947730398899E-3</v>
      </c>
      <c r="U43" s="422">
        <f t="shared" si="83"/>
        <v>0</v>
      </c>
      <c r="V43" s="422">
        <f t="shared" si="83"/>
        <v>9.9937539038101181E-3</v>
      </c>
      <c r="W43" s="422">
        <f t="shared" si="83"/>
        <v>0</v>
      </c>
      <c r="X43" s="422">
        <f t="shared" si="83"/>
        <v>0</v>
      </c>
      <c r="Y43" s="422">
        <f t="shared" si="83"/>
        <v>0</v>
      </c>
      <c r="Z43" s="422">
        <f t="shared" si="83"/>
        <v>0</v>
      </c>
      <c r="AA43" s="422">
        <f t="shared" si="83"/>
        <v>0</v>
      </c>
      <c r="AB43" s="422">
        <f t="shared" si="83"/>
        <v>1.1860033216273437E-2</v>
      </c>
      <c r="AC43" s="422">
        <f t="shared" si="83"/>
        <v>0</v>
      </c>
      <c r="AD43" s="438">
        <f t="shared" si="83"/>
        <v>1.7268059844897396E-3</v>
      </c>
      <c r="AE43" s="439">
        <f t="shared" ref="AE43:AQ43" si="84">IFERROR(AE12/AE37,0)</f>
        <v>0</v>
      </c>
      <c r="AF43" s="422">
        <f t="shared" si="84"/>
        <v>0</v>
      </c>
      <c r="AG43" s="422">
        <f t="shared" si="84"/>
        <v>0</v>
      </c>
      <c r="AH43" s="422">
        <f t="shared" si="84"/>
        <v>0</v>
      </c>
      <c r="AI43" s="422">
        <f t="shared" si="84"/>
        <v>0</v>
      </c>
      <c r="AJ43" s="422">
        <f t="shared" si="84"/>
        <v>0</v>
      </c>
      <c r="AK43" s="422">
        <f t="shared" si="84"/>
        <v>0</v>
      </c>
      <c r="AL43" s="422">
        <f t="shared" si="84"/>
        <v>0</v>
      </c>
      <c r="AM43" s="422">
        <f t="shared" si="84"/>
        <v>0</v>
      </c>
      <c r="AN43" s="422">
        <f t="shared" si="84"/>
        <v>0</v>
      </c>
      <c r="AO43" s="422">
        <f t="shared" si="84"/>
        <v>0</v>
      </c>
      <c r="AP43" s="440">
        <f t="shared" si="84"/>
        <v>0</v>
      </c>
      <c r="AQ43" s="438">
        <f t="shared" si="84"/>
        <v>0</v>
      </c>
      <c r="AR43" s="430">
        <f t="shared" si="78"/>
        <v>-1.7268059844897396E-3</v>
      </c>
      <c r="AS43" s="439">
        <f t="shared" ref="AS43:BE43" si="85">AS12/AS37</f>
        <v>0</v>
      </c>
      <c r="AT43" s="422">
        <f t="shared" si="85"/>
        <v>0</v>
      </c>
      <c r="AU43" s="422">
        <f t="shared" si="85"/>
        <v>0</v>
      </c>
      <c r="AV43" s="422">
        <f t="shared" si="85"/>
        <v>0</v>
      </c>
      <c r="AW43" s="422">
        <f t="shared" si="85"/>
        <v>0</v>
      </c>
      <c r="AX43" s="422">
        <f t="shared" si="85"/>
        <v>0</v>
      </c>
      <c r="AY43" s="422">
        <f t="shared" si="85"/>
        <v>0</v>
      </c>
      <c r="AZ43" s="422">
        <f t="shared" si="85"/>
        <v>0</v>
      </c>
      <c r="BA43" s="422">
        <f t="shared" si="85"/>
        <v>0</v>
      </c>
      <c r="BB43" s="422">
        <f t="shared" si="85"/>
        <v>0</v>
      </c>
      <c r="BC43" s="422">
        <f t="shared" si="85"/>
        <v>0</v>
      </c>
      <c r="BD43" s="440">
        <f t="shared" si="85"/>
        <v>0</v>
      </c>
      <c r="BE43" s="438">
        <f t="shared" si="85"/>
        <v>0</v>
      </c>
      <c r="BF43" s="439">
        <f t="shared" ref="BF43:BR43" si="86">IFERROR(BF12/BF37,0)</f>
        <v>0</v>
      </c>
      <c r="BG43" s="422">
        <f t="shared" si="86"/>
        <v>0</v>
      </c>
      <c r="BH43" s="422">
        <f t="shared" si="86"/>
        <v>0</v>
      </c>
      <c r="BI43" s="422">
        <f t="shared" si="86"/>
        <v>0</v>
      </c>
      <c r="BJ43" s="422">
        <f t="shared" si="86"/>
        <v>0</v>
      </c>
      <c r="BK43" s="422">
        <f t="shared" si="86"/>
        <v>0</v>
      </c>
      <c r="BL43" s="422">
        <f t="shared" si="86"/>
        <v>0</v>
      </c>
      <c r="BM43" s="422">
        <f t="shared" si="86"/>
        <v>0</v>
      </c>
      <c r="BN43" s="422">
        <f t="shared" si="86"/>
        <v>0</v>
      </c>
      <c r="BO43" s="422">
        <f t="shared" si="86"/>
        <v>0</v>
      </c>
      <c r="BP43" s="422">
        <f t="shared" si="86"/>
        <v>0</v>
      </c>
      <c r="BQ43" s="440">
        <f t="shared" si="86"/>
        <v>0</v>
      </c>
      <c r="BR43" s="438">
        <f t="shared" si="86"/>
        <v>0</v>
      </c>
      <c r="BS43" s="430">
        <f t="shared" ref="BS43:BS59" si="87">BR43-AQ43</f>
        <v>0</v>
      </c>
      <c r="BT43" s="422">
        <f t="shared" si="72"/>
        <v>0</v>
      </c>
      <c r="BU43" s="422" cm="1">
        <f t="array" ref="BU43">INDEX($AS43:$BD43,,$D$4)</f>
        <v>0</v>
      </c>
      <c r="BV43" s="441" cm="1">
        <f t="array" ref="BV43">INDEX($BF43:$BQ43,,$D$4)-BU43</f>
        <v>0</v>
      </c>
      <c r="BW43" s="442">
        <f t="shared" si="62"/>
        <v>6.7075469790960573E-5</v>
      </c>
      <c r="BX43" s="612">
        <f t="shared" si="73"/>
        <v>0</v>
      </c>
      <c r="BY43" s="443">
        <f t="shared" si="63"/>
        <v>0</v>
      </c>
      <c r="BZ43" s="444">
        <f t="shared" si="64"/>
        <v>0</v>
      </c>
      <c r="CA43" s="445">
        <f t="shared" si="74"/>
        <v>0</v>
      </c>
      <c r="CB43" s="445">
        <f t="shared" si="65"/>
        <v>0</v>
      </c>
      <c r="CC43" s="446"/>
      <c r="CD43" s="158" t="s">
        <v>147</v>
      </c>
    </row>
    <row r="44" spans="1:92" x14ac:dyDescent="0.3">
      <c r="A44" s="170">
        <v>7</v>
      </c>
      <c r="B44" s="187">
        <f t="shared" si="82"/>
        <v>4</v>
      </c>
      <c r="C44" s="188" t="s">
        <v>96</v>
      </c>
      <c r="D44" s="188" t="s">
        <v>54</v>
      </c>
      <c r="E44" s="422">
        <f t="shared" ref="E44:P44" si="88">E13/E$31</f>
        <v>8.0188869699078971E-2</v>
      </c>
      <c r="F44" s="422">
        <f t="shared" si="88"/>
        <v>0.11212763652720448</v>
      </c>
      <c r="G44" s="422">
        <f t="shared" si="88"/>
        <v>0.30447516772942329</v>
      </c>
      <c r="H44" s="422">
        <f t="shared" si="88"/>
        <v>0.44827166408115038</v>
      </c>
      <c r="I44" s="422">
        <f t="shared" si="88"/>
        <v>0.51911638446333108</v>
      </c>
      <c r="J44" s="422">
        <f t="shared" si="88"/>
        <v>0.30147998223898326</v>
      </c>
      <c r="K44" s="437">
        <f t="shared" si="88"/>
        <v>0.4841848555978473</v>
      </c>
      <c r="L44" s="422">
        <f t="shared" si="88"/>
        <v>0.49676765227454295</v>
      </c>
      <c r="M44" s="422">
        <f t="shared" si="88"/>
        <v>0.57133953783963121</v>
      </c>
      <c r="N44" s="422">
        <f t="shared" si="88"/>
        <v>0.71146845018922378</v>
      </c>
      <c r="O44" s="422">
        <f t="shared" si="88"/>
        <v>0.89308413748066706</v>
      </c>
      <c r="P44" s="422">
        <f t="shared" si="88"/>
        <v>0.52306922728406158</v>
      </c>
      <c r="Q44" s="438">
        <f t="shared" ref="Q44:Q51" si="89">Q13/$AD$31</f>
        <v>0.26214899795194962</v>
      </c>
      <c r="R44" s="422">
        <f t="shared" ref="R44:AC44" si="90">R13/R$31</f>
        <v>0.36425936944763326</v>
      </c>
      <c r="S44" s="422">
        <f t="shared" si="90"/>
        <v>0.51852029658616339</v>
      </c>
      <c r="T44" s="422">
        <f t="shared" si="90"/>
        <v>0.36103649265037152</v>
      </c>
      <c r="U44" s="422">
        <f t="shared" si="90"/>
        <v>0.23105783178525657</v>
      </c>
      <c r="V44" s="422">
        <f t="shared" si="90"/>
        <v>0.22002076224429171</v>
      </c>
      <c r="W44" s="422">
        <f t="shared" si="90"/>
        <v>0.16915105042825263</v>
      </c>
      <c r="X44" s="437">
        <f t="shared" si="90"/>
        <v>0.57719568503729857</v>
      </c>
      <c r="Y44" s="422">
        <f t="shared" si="90"/>
        <v>0.25052672670239096</v>
      </c>
      <c r="Z44" s="422">
        <f t="shared" si="90"/>
        <v>0.38290180712672073</v>
      </c>
      <c r="AA44" s="422">
        <f t="shared" si="90"/>
        <v>0.44104005837972288</v>
      </c>
      <c r="AB44" s="422">
        <f t="shared" si="90"/>
        <v>0.36032087970905868</v>
      </c>
      <c r="AC44" s="422">
        <f t="shared" si="90"/>
        <v>9.6922859503289022E-2</v>
      </c>
      <c r="AD44" s="438">
        <f t="shared" ref="AD44:AD51" si="91">AD13/$AD$31</f>
        <v>0.32217463623852971</v>
      </c>
      <c r="AE44" s="439">
        <f t="shared" ref="AE44:AE51" si="92">AE13/AE$31</f>
        <v>0.18100559375256492</v>
      </c>
      <c r="AF44" s="422">
        <f t="shared" ref="AF44:AP44" si="93">IFERROR(AF13/AF$31,0)</f>
        <v>0.29789234685009736</v>
      </c>
      <c r="AG44" s="422">
        <f t="shared" si="93"/>
        <v>0.32568813045425887</v>
      </c>
      <c r="AH44" s="422">
        <f t="shared" si="93"/>
        <v>0.4005681645124845</v>
      </c>
      <c r="AI44" s="422">
        <f t="shared" si="93"/>
        <v>0.40608490193873598</v>
      </c>
      <c r="AJ44" s="422">
        <f t="shared" si="93"/>
        <v>0.46447620233467446</v>
      </c>
      <c r="AK44" s="422">
        <f t="shared" si="93"/>
        <v>0.55837626722488676</v>
      </c>
      <c r="AL44" s="422">
        <f t="shared" si="93"/>
        <v>0.50070695074973781</v>
      </c>
      <c r="AM44" s="422">
        <f t="shared" si="93"/>
        <v>0.43078913789636625</v>
      </c>
      <c r="AN44" s="422">
        <f t="shared" si="93"/>
        <v>0.19577298657369221</v>
      </c>
      <c r="AO44" s="422">
        <f t="shared" si="93"/>
        <v>0.249065889656057</v>
      </c>
      <c r="AP44" s="440">
        <f t="shared" si="93"/>
        <v>0.32178934485996619</v>
      </c>
      <c r="AQ44" s="438">
        <f t="shared" ref="AQ44:AQ51" si="94">AQ13/AQ$31</f>
        <v>0.38434713500609036</v>
      </c>
      <c r="AR44" s="430">
        <f t="shared" si="78"/>
        <v>6.2172498767560647E-2</v>
      </c>
      <c r="AS44" s="439">
        <f t="shared" ref="AS44:BE44" si="95">AS13/AS$31</f>
        <v>0.31886622544462456</v>
      </c>
      <c r="AT44" s="422">
        <f t="shared" si="95"/>
        <v>0.32720666102440171</v>
      </c>
      <c r="AU44" s="422">
        <f t="shared" si="95"/>
        <v>0.32224191510539973</v>
      </c>
      <c r="AV44" s="422">
        <f t="shared" si="95"/>
        <v>0.32146636296314846</v>
      </c>
      <c r="AW44" s="422">
        <f t="shared" si="95"/>
        <v>0.32224191510539973</v>
      </c>
      <c r="AX44" s="422">
        <f t="shared" si="95"/>
        <v>0.32329927126707048</v>
      </c>
      <c r="AY44" s="422">
        <f t="shared" si="95"/>
        <v>0.31872981197987044</v>
      </c>
      <c r="AZ44" s="422">
        <f t="shared" si="95"/>
        <v>0.32310372201845883</v>
      </c>
      <c r="BA44" s="422">
        <f t="shared" si="95"/>
        <v>0.31690013452878046</v>
      </c>
      <c r="BB44" s="422">
        <f t="shared" si="95"/>
        <v>0.32236604228782306</v>
      </c>
      <c r="BC44" s="422">
        <f t="shared" si="95"/>
        <v>0.31946761247056454</v>
      </c>
      <c r="BD44" s="440">
        <f t="shared" si="95"/>
        <v>0.32310372201845883</v>
      </c>
      <c r="BE44" s="438">
        <f t="shared" si="95"/>
        <v>0.32147451443467079</v>
      </c>
      <c r="BF44" s="439">
        <f t="shared" ref="BF44" si="96">BF13/BF$31</f>
        <v>0.31066962702748069</v>
      </c>
      <c r="BG44" s="422">
        <f t="shared" ref="BG44:BQ44" si="97">IFERROR(BG13/BG$31,0)</f>
        <v>0.15932930042515597</v>
      </c>
      <c r="BH44" s="422">
        <f t="shared" si="97"/>
        <v>0.41204349514626631</v>
      </c>
      <c r="BI44" s="422">
        <f t="shared" si="97"/>
        <v>0.3172782155142545</v>
      </c>
      <c r="BJ44" s="422">
        <f t="shared" si="97"/>
        <v>0.50520515119345388</v>
      </c>
      <c r="BK44" s="422">
        <f t="shared" si="97"/>
        <v>0</v>
      </c>
      <c r="BL44" s="422">
        <f t="shared" si="97"/>
        <v>0</v>
      </c>
      <c r="BM44" s="422">
        <f t="shared" si="97"/>
        <v>0</v>
      </c>
      <c r="BN44" s="422">
        <f t="shared" si="97"/>
        <v>0</v>
      </c>
      <c r="BO44" s="422">
        <f t="shared" si="97"/>
        <v>0</v>
      </c>
      <c r="BP44" s="422">
        <f t="shared" si="97"/>
        <v>0</v>
      </c>
      <c r="BQ44" s="440">
        <f t="shared" si="97"/>
        <v>0</v>
      </c>
      <c r="BR44" s="438">
        <f t="shared" ref="BR44:BR51" si="98">BR13/BR$31</f>
        <v>0.3631170322860709</v>
      </c>
      <c r="BS44" s="430">
        <f t="shared" si="87"/>
        <v>-2.1230102720019461E-2</v>
      </c>
      <c r="BT44" s="422">
        <f t="shared" si="72"/>
        <v>0.32147451443467079</v>
      </c>
      <c r="BU44" s="422" cm="1">
        <f t="array" ref="BU44">INDEX($AS44:$BD44,,$D$4)</f>
        <v>0.31886622544462456</v>
      </c>
      <c r="BV44" s="441" cm="1">
        <f t="array" ref="BV44">INDEX($BF44:$BQ44,,$D$4)-BU44</f>
        <v>-8.1965984171438744E-3</v>
      </c>
      <c r="BW44" s="442">
        <f t="shared" si="62"/>
        <v>1.2514443008961911E-2</v>
      </c>
      <c r="BX44" s="612">
        <f t="shared" si="73"/>
        <v>1.3641853099829411E-2</v>
      </c>
      <c r="BY44" s="443">
        <f t="shared" si="63"/>
        <v>1.2522829247893899E-2</v>
      </c>
      <c r="BZ44" s="444">
        <f t="shared" si="64"/>
        <v>1.3494134688277475E-2</v>
      </c>
      <c r="CA44" s="445">
        <f t="shared" si="74"/>
        <v>-1.4771841155193643E-4</v>
      </c>
      <c r="CB44" s="445">
        <f t="shared" si="65"/>
        <v>9.7130544038357552E-4</v>
      </c>
      <c r="CC44" s="446"/>
      <c r="CD44" s="158" t="s">
        <v>147</v>
      </c>
    </row>
    <row r="45" spans="1:92" x14ac:dyDescent="0.3">
      <c r="A45" s="170">
        <v>8</v>
      </c>
      <c r="B45" s="187">
        <f t="shared" si="82"/>
        <v>5</v>
      </c>
      <c r="C45" s="188" t="s">
        <v>96</v>
      </c>
      <c r="D45" s="188" t="s">
        <v>49</v>
      </c>
      <c r="E45" s="422">
        <f t="shared" ref="E45:P45" si="99">E14/E$31</f>
        <v>0.60126000046833838</v>
      </c>
      <c r="F45" s="422">
        <f t="shared" si="99"/>
        <v>0.51470454655731868</v>
      </c>
      <c r="G45" s="422">
        <f t="shared" si="99"/>
        <v>0.332692488462702</v>
      </c>
      <c r="H45" s="422">
        <f t="shared" si="99"/>
        <v>0.37539963020036121</v>
      </c>
      <c r="I45" s="422">
        <f t="shared" si="99"/>
        <v>0.42068124124596873</v>
      </c>
      <c r="J45" s="422">
        <f t="shared" si="99"/>
        <v>0.57616758278915625</v>
      </c>
      <c r="K45" s="437">
        <f t="shared" si="99"/>
        <v>0.34974411270767669</v>
      </c>
      <c r="L45" s="422">
        <f t="shared" si="99"/>
        <v>0.27182426117310265</v>
      </c>
      <c r="M45" s="422">
        <f t="shared" si="99"/>
        <v>0.17359166060022005</v>
      </c>
      <c r="N45" s="422">
        <f t="shared" si="99"/>
        <v>0.25199911026478528</v>
      </c>
      <c r="O45" s="422">
        <f t="shared" si="99"/>
        <v>0.19769562401861837</v>
      </c>
      <c r="P45" s="422">
        <f t="shared" si="99"/>
        <v>0.16890052024676713</v>
      </c>
      <c r="Q45" s="438">
        <f t="shared" si="89"/>
        <v>0.16637840604902243</v>
      </c>
      <c r="R45" s="422">
        <f t="shared" ref="R45:AC45" si="100">R14/R$31</f>
        <v>0.21568783334207325</v>
      </c>
      <c r="S45" s="422">
        <f t="shared" si="100"/>
        <v>0.16903345666601291</v>
      </c>
      <c r="T45" s="422">
        <f t="shared" si="100"/>
        <v>0.17002173539213608</v>
      </c>
      <c r="U45" s="422">
        <f t="shared" si="100"/>
        <v>0.29040602080829031</v>
      </c>
      <c r="V45" s="422">
        <f t="shared" si="100"/>
        <v>0.19998875228475232</v>
      </c>
      <c r="W45" s="422">
        <f t="shared" si="100"/>
        <v>0.25780277873905111</v>
      </c>
      <c r="X45" s="437">
        <f t="shared" si="100"/>
        <v>0.22515636907798009</v>
      </c>
      <c r="Y45" s="422">
        <f t="shared" si="100"/>
        <v>0.24916105140855599</v>
      </c>
      <c r="Z45" s="422">
        <f t="shared" si="100"/>
        <v>0.20804562063788179</v>
      </c>
      <c r="AA45" s="422">
        <f t="shared" si="100"/>
        <v>0.13982137770695383</v>
      </c>
      <c r="AB45" s="422">
        <f t="shared" si="100"/>
        <v>7.9250675912390101E-2</v>
      </c>
      <c r="AC45" s="422">
        <f t="shared" si="100"/>
        <v>0.18269170483915698</v>
      </c>
      <c r="AD45" s="438">
        <f t="shared" si="91"/>
        <v>0.19396927676829148</v>
      </c>
      <c r="AE45" s="439">
        <f t="shared" si="92"/>
        <v>0.32929889695830533</v>
      </c>
      <c r="AF45" s="422">
        <f t="shared" ref="AF45:AP45" si="101">IFERROR(AF14/AF$31,0)</f>
        <v>0.21376753798948081</v>
      </c>
      <c r="AG45" s="422">
        <f t="shared" si="101"/>
        <v>0.13092306093838138</v>
      </c>
      <c r="AH45" s="422">
        <f t="shared" si="101"/>
        <v>0.23298493340302909</v>
      </c>
      <c r="AI45" s="422">
        <f t="shared" si="101"/>
        <v>0.14260329623019066</v>
      </c>
      <c r="AJ45" s="422">
        <f t="shared" si="101"/>
        <v>0.16728518686444949</v>
      </c>
      <c r="AK45" s="422">
        <f t="shared" si="101"/>
        <v>0.1560238416394451</v>
      </c>
      <c r="AL45" s="422">
        <f t="shared" si="101"/>
        <v>0.18057913743477416</v>
      </c>
      <c r="AM45" s="422">
        <f t="shared" si="101"/>
        <v>0.16874712436022501</v>
      </c>
      <c r="AN45" s="422">
        <f t="shared" si="101"/>
        <v>0.15302458601639995</v>
      </c>
      <c r="AO45" s="422">
        <f t="shared" si="101"/>
        <v>0.24567776011583703</v>
      </c>
      <c r="AP45" s="440">
        <f t="shared" si="101"/>
        <v>0.17039015787216943</v>
      </c>
      <c r="AQ45" s="438">
        <f t="shared" si="94"/>
        <v>0.17988875817525263</v>
      </c>
      <c r="AR45" s="430">
        <f t="shared" si="78"/>
        <v>-1.4080518593038854E-2</v>
      </c>
      <c r="AS45" s="439">
        <f t="shared" ref="AS45:BE45" si="102">AS14/AS$31</f>
        <v>0.21000540613689483</v>
      </c>
      <c r="AT45" s="422">
        <f t="shared" si="102"/>
        <v>0.25314157584008801</v>
      </c>
      <c r="AU45" s="422">
        <f t="shared" si="102"/>
        <v>0.21425074987486761</v>
      </c>
      <c r="AV45" s="422">
        <f t="shared" si="102"/>
        <v>0.21307910530970167</v>
      </c>
      <c r="AW45" s="422">
        <f t="shared" si="102"/>
        <v>0.20981795738978767</v>
      </c>
      <c r="AX45" s="422">
        <f t="shared" si="102"/>
        <v>0.21176015305522652</v>
      </c>
      <c r="AY45" s="422">
        <f t="shared" si="102"/>
        <v>0.20428954816773512</v>
      </c>
      <c r="AZ45" s="422">
        <f t="shared" si="102"/>
        <v>0.19760027073273348</v>
      </c>
      <c r="BA45" s="422">
        <f t="shared" si="102"/>
        <v>0.20321738540746037</v>
      </c>
      <c r="BB45" s="422">
        <f t="shared" si="102"/>
        <v>0.20844500493409546</v>
      </c>
      <c r="BC45" s="422">
        <f t="shared" si="102"/>
        <v>0.20430323206228934</v>
      </c>
      <c r="BD45" s="440">
        <f t="shared" si="102"/>
        <v>0.19742018584576124</v>
      </c>
      <c r="BE45" s="438">
        <f t="shared" si="102"/>
        <v>0.209645473057083</v>
      </c>
      <c r="BF45" s="439">
        <f t="shared" ref="BF45" si="103">BF14/BF$31</f>
        <v>0.24987005316326247</v>
      </c>
      <c r="BG45" s="422">
        <f t="shared" ref="BG45:BQ45" si="104">IFERROR(BG14/BG$31,0)</f>
        <v>0.22969746286787035</v>
      </c>
      <c r="BH45" s="422">
        <f t="shared" si="104"/>
        <v>0.23266855411942877</v>
      </c>
      <c r="BI45" s="422">
        <f t="shared" si="104"/>
        <v>0.17304828352857687</v>
      </c>
      <c r="BJ45" s="422">
        <f t="shared" si="104"/>
        <v>0.18389006625134094</v>
      </c>
      <c r="BK45" s="422">
        <f t="shared" si="104"/>
        <v>0</v>
      </c>
      <c r="BL45" s="422">
        <f t="shared" si="104"/>
        <v>0</v>
      </c>
      <c r="BM45" s="422">
        <f t="shared" si="104"/>
        <v>0</v>
      </c>
      <c r="BN45" s="422">
        <f t="shared" si="104"/>
        <v>0</v>
      </c>
      <c r="BO45" s="422">
        <f t="shared" si="104"/>
        <v>0</v>
      </c>
      <c r="BP45" s="422">
        <f t="shared" si="104"/>
        <v>0</v>
      </c>
      <c r="BQ45" s="440">
        <f t="shared" si="104"/>
        <v>0</v>
      </c>
      <c r="BR45" s="438">
        <f t="shared" si="98"/>
        <v>0.20951304436153975</v>
      </c>
      <c r="BS45" s="430">
        <f t="shared" si="87"/>
        <v>2.9624286186287124E-2</v>
      </c>
      <c r="BT45" s="422">
        <f t="shared" si="72"/>
        <v>0.209645473057083</v>
      </c>
      <c r="BU45" s="422" cm="1">
        <f t="array" ref="BU45">INDEX($AS45:$BD45,,$D$4)</f>
        <v>0.21000540613689483</v>
      </c>
      <c r="BV45" s="441" cm="1">
        <f t="array" ref="BV45">INDEX($BF45:$BQ45,,$D$4)-BU45</f>
        <v>3.9864647026367633E-2</v>
      </c>
      <c r="BW45" s="442">
        <f t="shared" si="62"/>
        <v>7.5344772262244336E-3</v>
      </c>
      <c r="BX45" s="612">
        <f t="shared" si="73"/>
        <v>6.3848947730510523E-3</v>
      </c>
      <c r="BY45" s="443">
        <f t="shared" si="63"/>
        <v>8.1666021529097268E-3</v>
      </c>
      <c r="BZ45" s="444">
        <f t="shared" si="64"/>
        <v>7.7859119462574478E-3</v>
      </c>
      <c r="CA45" s="445">
        <f t="shared" si="74"/>
        <v>1.4010171732063955E-3</v>
      </c>
      <c r="CB45" s="445">
        <f t="shared" si="65"/>
        <v>-3.8069020665227899E-4</v>
      </c>
      <c r="CC45" s="446"/>
    </row>
    <row r="46" spans="1:92" x14ac:dyDescent="0.3">
      <c r="A46" s="170">
        <v>9</v>
      </c>
      <c r="B46" s="187">
        <f t="shared" si="82"/>
        <v>6</v>
      </c>
      <c r="C46" s="188" t="s">
        <v>96</v>
      </c>
      <c r="D46" s="188" t="s">
        <v>56</v>
      </c>
      <c r="E46" s="422">
        <f t="shared" ref="E46:P46" si="105">E15/E$31</f>
        <v>0.18060981111367147</v>
      </c>
      <c r="F46" s="422">
        <f t="shared" si="105"/>
        <v>0.22610341092340033</v>
      </c>
      <c r="G46" s="422">
        <f t="shared" si="105"/>
        <v>0.181608016560589</v>
      </c>
      <c r="H46" s="422">
        <f t="shared" si="105"/>
        <v>0.18620849308608828</v>
      </c>
      <c r="I46" s="422">
        <f t="shared" si="105"/>
        <v>0.19773086777196672</v>
      </c>
      <c r="J46" s="422">
        <f t="shared" si="105"/>
        <v>0.24403987783692985</v>
      </c>
      <c r="K46" s="422">
        <f t="shared" si="105"/>
        <v>0.17774368084206774</v>
      </c>
      <c r="L46" s="422">
        <f t="shared" si="105"/>
        <v>0.16483302135214681</v>
      </c>
      <c r="M46" s="422">
        <f t="shared" si="105"/>
        <v>0.18885801292704624</v>
      </c>
      <c r="N46" s="422">
        <f t="shared" si="105"/>
        <v>0.16768972593756101</v>
      </c>
      <c r="O46" s="422">
        <f t="shared" si="105"/>
        <v>0.18436035860472857</v>
      </c>
      <c r="P46" s="422">
        <f t="shared" si="105"/>
        <v>0.17536261693775601</v>
      </c>
      <c r="Q46" s="438">
        <f t="shared" si="89"/>
        <v>9.8549699727078097E-2</v>
      </c>
      <c r="R46" s="422">
        <f t="shared" ref="R46:AC46" si="106">R15/R$31</f>
        <v>0.19249577376217616</v>
      </c>
      <c r="S46" s="422">
        <f t="shared" si="106"/>
        <v>0.14601927283835794</v>
      </c>
      <c r="T46" s="422">
        <f t="shared" si="106"/>
        <v>0.15544548159294574</v>
      </c>
      <c r="U46" s="422">
        <f t="shared" si="106"/>
        <v>0.14937582176795572</v>
      </c>
      <c r="V46" s="422">
        <f t="shared" si="106"/>
        <v>0.15687076841241551</v>
      </c>
      <c r="W46" s="422">
        <f t="shared" si="106"/>
        <v>0.22402134747056165</v>
      </c>
      <c r="X46" s="422">
        <f t="shared" si="106"/>
        <v>0.17222814108691273</v>
      </c>
      <c r="Y46" s="422">
        <f t="shared" si="106"/>
        <v>0.16486599386796169</v>
      </c>
      <c r="Z46" s="422">
        <f t="shared" si="106"/>
        <v>0.18446355088199803</v>
      </c>
      <c r="AA46" s="422">
        <f t="shared" si="106"/>
        <v>0.16472709680717845</v>
      </c>
      <c r="AB46" s="422">
        <f t="shared" si="106"/>
        <v>0.17266014867454996</v>
      </c>
      <c r="AC46" s="422">
        <f t="shared" si="106"/>
        <v>0.18448353831225128</v>
      </c>
      <c r="AD46" s="438">
        <f t="shared" si="91"/>
        <v>0.17167991598156684</v>
      </c>
      <c r="AE46" s="439">
        <f t="shared" si="92"/>
        <v>0.1633613935950419</v>
      </c>
      <c r="AF46" s="422">
        <f t="shared" ref="AF46:AP46" si="107">IFERROR(AF15/AF$31,0)</f>
        <v>0.17165219090876505</v>
      </c>
      <c r="AG46" s="422">
        <f t="shared" si="107"/>
        <v>0.1638446017354083</v>
      </c>
      <c r="AH46" s="422">
        <f t="shared" si="107"/>
        <v>0.16203070336469236</v>
      </c>
      <c r="AI46" s="422">
        <f t="shared" si="107"/>
        <v>0.19792947772931332</v>
      </c>
      <c r="AJ46" s="422">
        <f t="shared" si="107"/>
        <v>0.17862377562137133</v>
      </c>
      <c r="AK46" s="422">
        <f t="shared" si="107"/>
        <v>0.18766000437123392</v>
      </c>
      <c r="AL46" s="422">
        <f t="shared" si="107"/>
        <v>0.19050488249317998</v>
      </c>
      <c r="AM46" s="422">
        <f t="shared" si="107"/>
        <v>0.19457824242653066</v>
      </c>
      <c r="AN46" s="422">
        <f t="shared" si="107"/>
        <v>0.20030612889179875</v>
      </c>
      <c r="AO46" s="422">
        <f t="shared" si="107"/>
        <v>0.22983563634422788</v>
      </c>
      <c r="AP46" s="440">
        <f t="shared" si="107"/>
        <v>0.20697703665253742</v>
      </c>
      <c r="AQ46" s="438">
        <f t="shared" si="94"/>
        <v>0.18658236910573509</v>
      </c>
      <c r="AR46" s="430">
        <f t="shared" si="78"/>
        <v>1.4902453124168241E-2</v>
      </c>
      <c r="AS46" s="439">
        <f t="shared" ref="AS46:BE46" si="108">AS15/AS$31</f>
        <v>0.17168348253330823</v>
      </c>
      <c r="AT46" s="422">
        <f t="shared" si="108"/>
        <v>0.17328352155292137</v>
      </c>
      <c r="AU46" s="422">
        <f t="shared" si="108"/>
        <v>0.17175222641212443</v>
      </c>
      <c r="AV46" s="422">
        <f t="shared" si="108"/>
        <v>0.17213277351734957</v>
      </c>
      <c r="AW46" s="422">
        <f t="shared" si="108"/>
        <v>0.17175222641212443</v>
      </c>
      <c r="AX46" s="422">
        <f t="shared" si="108"/>
        <v>0.1738441984748357</v>
      </c>
      <c r="AY46" s="422">
        <f t="shared" si="108"/>
        <v>0.1721393956543803</v>
      </c>
      <c r="AZ46" s="422">
        <f t="shared" si="108"/>
        <v>0.17253259372203042</v>
      </c>
      <c r="BA46" s="422">
        <f t="shared" si="108"/>
        <v>0.17304485003428161</v>
      </c>
      <c r="BB46" s="422">
        <f t="shared" si="108"/>
        <v>0.17289181051406499</v>
      </c>
      <c r="BC46" s="422">
        <f t="shared" si="108"/>
        <v>0.17177427955952199</v>
      </c>
      <c r="BD46" s="440">
        <f t="shared" si="108"/>
        <v>0.17253259372203042</v>
      </c>
      <c r="BE46" s="438">
        <f t="shared" si="108"/>
        <v>0.17243903166580332</v>
      </c>
      <c r="BF46" s="439">
        <f t="shared" ref="BF46" si="109">BF15/BF$31</f>
        <v>0.21148088999420181</v>
      </c>
      <c r="BG46" s="422">
        <f t="shared" ref="BG46:BQ46" si="110">IFERROR(BG15/BG$31,0)</f>
        <v>0.19195791673568549</v>
      </c>
      <c r="BH46" s="422">
        <f t="shared" si="110"/>
        <v>0.19018723917738778</v>
      </c>
      <c r="BI46" s="422">
        <f t="shared" si="110"/>
        <v>0.23440053869250738</v>
      </c>
      <c r="BJ46" s="422">
        <f t="shared" si="110"/>
        <v>0.21860373559363172</v>
      </c>
      <c r="BK46" s="422">
        <f t="shared" si="110"/>
        <v>0</v>
      </c>
      <c r="BL46" s="422">
        <f t="shared" si="110"/>
        <v>0</v>
      </c>
      <c r="BM46" s="422">
        <f t="shared" si="110"/>
        <v>0</v>
      </c>
      <c r="BN46" s="422">
        <f t="shared" si="110"/>
        <v>0</v>
      </c>
      <c r="BO46" s="422">
        <f t="shared" si="110"/>
        <v>0</v>
      </c>
      <c r="BP46" s="422">
        <f t="shared" si="110"/>
        <v>0</v>
      </c>
      <c r="BQ46" s="440">
        <f t="shared" si="110"/>
        <v>0</v>
      </c>
      <c r="BR46" s="438">
        <f t="shared" si="98"/>
        <v>0.21143784126198115</v>
      </c>
      <c r="BS46" s="430">
        <f t="shared" si="87"/>
        <v>2.4855472156246061E-2</v>
      </c>
      <c r="BT46" s="422">
        <f t="shared" si="72"/>
        <v>0.17243903166580332</v>
      </c>
      <c r="BU46" s="422" cm="1">
        <f t="array" ref="BU46">INDEX($AS46:$BD46,,$D$4)</f>
        <v>0.17168348253330823</v>
      </c>
      <c r="BV46" s="441" cm="1">
        <f t="array" ref="BV46">INDEX($BF46:$BQ46,,$D$4)-BU46</f>
        <v>3.979740746089358E-2</v>
      </c>
      <c r="BW46" s="442">
        <f t="shared" si="62"/>
        <v>6.6686768065255453E-3</v>
      </c>
      <c r="BX46" s="612">
        <f t="shared" si="73"/>
        <v>6.6224749413528331E-3</v>
      </c>
      <c r="BY46" s="443">
        <f t="shared" si="63"/>
        <v>6.7172495867066839E-3</v>
      </c>
      <c r="BZ46" s="444">
        <f t="shared" si="64"/>
        <v>7.8574411401887111E-3</v>
      </c>
      <c r="CA46" s="445">
        <f t="shared" si="74"/>
        <v>1.234966198835878E-3</v>
      </c>
      <c r="CB46" s="445">
        <f t="shared" si="65"/>
        <v>1.1401915534820272E-3</v>
      </c>
      <c r="CC46" s="446"/>
      <c r="CD46" s="158" t="s">
        <v>147</v>
      </c>
    </row>
    <row r="47" spans="1:92" x14ac:dyDescent="0.3">
      <c r="A47" s="170">
        <v>10</v>
      </c>
      <c r="B47" s="187">
        <f t="shared" si="82"/>
        <v>7</v>
      </c>
      <c r="C47" s="188" t="s">
        <v>96</v>
      </c>
      <c r="D47" s="188" t="s">
        <v>28</v>
      </c>
      <c r="E47" s="422">
        <f t="shared" ref="E47:P47" si="111">E16/E$31</f>
        <v>0.21688327461568246</v>
      </c>
      <c r="F47" s="422">
        <f t="shared" si="111"/>
        <v>0.19599831855888714</v>
      </c>
      <c r="G47" s="422">
        <f t="shared" si="111"/>
        <v>0.17920475968435087</v>
      </c>
      <c r="H47" s="422">
        <f t="shared" si="111"/>
        <v>0.20039261868591468</v>
      </c>
      <c r="I47" s="422">
        <f t="shared" si="111"/>
        <v>9.9995261194913768E-2</v>
      </c>
      <c r="J47" s="422">
        <f t="shared" si="111"/>
        <v>0.2479303163796556</v>
      </c>
      <c r="K47" s="422">
        <f t="shared" si="111"/>
        <v>0.14704682551232476</v>
      </c>
      <c r="L47" s="422">
        <f t="shared" si="111"/>
        <v>0.15480873819647784</v>
      </c>
      <c r="M47" s="422">
        <f t="shared" si="111"/>
        <v>0.17525356160523012</v>
      </c>
      <c r="N47" s="422">
        <f t="shared" si="111"/>
        <v>0.15526461285121548</v>
      </c>
      <c r="O47" s="422">
        <f t="shared" si="111"/>
        <v>0.2567947651596611</v>
      </c>
      <c r="P47" s="422">
        <f t="shared" si="111"/>
        <v>0.10083797901245536</v>
      </c>
      <c r="Q47" s="438">
        <f t="shared" si="89"/>
        <v>8.7574391456592168E-2</v>
      </c>
      <c r="R47" s="422">
        <f t="shared" ref="R47:AC47" si="112">R16/R$31</f>
        <v>7.9501268977002992E-2</v>
      </c>
      <c r="S47" s="422">
        <f t="shared" si="112"/>
        <v>8.7219735370076643E-2</v>
      </c>
      <c r="T47" s="422">
        <f t="shared" si="112"/>
        <v>8.0604210652723468E-2</v>
      </c>
      <c r="U47" s="422">
        <f t="shared" si="112"/>
        <v>8.2036054064527214E-2</v>
      </c>
      <c r="V47" s="422">
        <f t="shared" si="112"/>
        <v>8.3208031463090304E-2</v>
      </c>
      <c r="W47" s="422">
        <f t="shared" si="112"/>
        <v>9.3403186112341788E-2</v>
      </c>
      <c r="X47" s="422">
        <f t="shared" si="112"/>
        <v>0.15931114580609765</v>
      </c>
      <c r="Y47" s="422">
        <f t="shared" si="112"/>
        <v>0.11512986398459353</v>
      </c>
      <c r="Z47" s="422">
        <f t="shared" si="112"/>
        <v>8.9836532810945141E-2</v>
      </c>
      <c r="AA47" s="422">
        <f t="shared" si="112"/>
        <v>6.8441863040807002E-2</v>
      </c>
      <c r="AB47" s="422">
        <f t="shared" si="112"/>
        <v>6.3286888817830206E-2</v>
      </c>
      <c r="AC47" s="422">
        <f t="shared" si="112"/>
        <v>8.2315403339215165E-2</v>
      </c>
      <c r="AD47" s="438">
        <f t="shared" si="91"/>
        <v>8.5034141984292877E-2</v>
      </c>
      <c r="AE47" s="439">
        <f t="shared" si="92"/>
        <v>9.0148521169671009E-2</v>
      </c>
      <c r="AF47" s="422">
        <f t="shared" ref="AF47:AP47" si="113">IFERROR(AF16/AF$31,0)</f>
        <v>7.0413548527592712E-2</v>
      </c>
      <c r="AG47" s="422">
        <f t="shared" si="113"/>
        <v>5.4348755060224976E-2</v>
      </c>
      <c r="AH47" s="422">
        <f t="shared" si="113"/>
        <v>5.4240558733090874E-2</v>
      </c>
      <c r="AI47" s="422">
        <f t="shared" si="113"/>
        <v>4.6944044186639347E-2</v>
      </c>
      <c r="AJ47" s="422">
        <f t="shared" si="113"/>
        <v>5.0243486460452125E-2</v>
      </c>
      <c r="AK47" s="422">
        <f t="shared" si="113"/>
        <v>5.2207528168043034E-2</v>
      </c>
      <c r="AL47" s="422">
        <f t="shared" si="113"/>
        <v>3.7765077158412264E-2</v>
      </c>
      <c r="AM47" s="422">
        <f t="shared" si="113"/>
        <v>5.6932891567746113E-2</v>
      </c>
      <c r="AN47" s="422">
        <f t="shared" si="113"/>
        <v>6.3539640280561763E-2</v>
      </c>
      <c r="AO47" s="422">
        <f t="shared" si="113"/>
        <v>7.7016574963747086E-2</v>
      </c>
      <c r="AP47" s="440">
        <f t="shared" si="113"/>
        <v>5.0677815557025052E-2</v>
      </c>
      <c r="AQ47" s="438">
        <f t="shared" si="94"/>
        <v>5.5552869358795359E-2</v>
      </c>
      <c r="AR47" s="430">
        <f t="shared" si="78"/>
        <v>-2.9481272625497518E-2</v>
      </c>
      <c r="AS47" s="439">
        <f t="shared" ref="AS47:BE47" si="114">AS16/AS$31</f>
        <v>5.4139064475347665E-2</v>
      </c>
      <c r="AT47" s="422">
        <f t="shared" si="114"/>
        <v>6.5984591679506932E-2</v>
      </c>
      <c r="AU47" s="422">
        <f t="shared" si="114"/>
        <v>5.1657418576598314E-2</v>
      </c>
      <c r="AV47" s="422">
        <f t="shared" si="114"/>
        <v>5.1533092659446451E-2</v>
      </c>
      <c r="AW47" s="422">
        <f t="shared" si="114"/>
        <v>5.1657418576598314E-2</v>
      </c>
      <c r="AX47" s="422">
        <f t="shared" si="114"/>
        <v>5.0619385342789598E-2</v>
      </c>
      <c r="AY47" s="422">
        <f t="shared" si="114"/>
        <v>4.9450346420323324E-2</v>
      </c>
      <c r="AZ47" s="422">
        <f t="shared" si="114"/>
        <v>4.8997711670480552E-2</v>
      </c>
      <c r="BA47" s="422">
        <f t="shared" si="114"/>
        <v>4.9166475315729048E-2</v>
      </c>
      <c r="BB47" s="422">
        <f t="shared" si="114"/>
        <v>4.8885844748858445E-2</v>
      </c>
      <c r="BC47" s="422">
        <f t="shared" si="114"/>
        <v>4.9564814814814818E-2</v>
      </c>
      <c r="BD47" s="440">
        <f t="shared" si="114"/>
        <v>4.8997711670480552E-2</v>
      </c>
      <c r="BE47" s="438">
        <f t="shared" si="114"/>
        <v>5.1388799999999978E-2</v>
      </c>
      <c r="BF47" s="439">
        <f t="shared" ref="BF47" si="115">BF16/BF$31</f>
        <v>5.2358037722115301E-2</v>
      </c>
      <c r="BG47" s="422">
        <f t="shared" ref="BG47:BQ47" si="116">IFERROR(BG16/BG$31,0)</f>
        <v>5.6334998067472802E-2</v>
      </c>
      <c r="BH47" s="422">
        <f t="shared" si="116"/>
        <v>7.8813876843707276E-2</v>
      </c>
      <c r="BI47" s="422">
        <f t="shared" si="116"/>
        <v>8.8831228276304339E-2</v>
      </c>
      <c r="BJ47" s="422">
        <f t="shared" si="116"/>
        <v>9.8215093904776438E-2</v>
      </c>
      <c r="BK47" s="422">
        <f t="shared" si="116"/>
        <v>0</v>
      </c>
      <c r="BL47" s="422">
        <f t="shared" si="116"/>
        <v>0</v>
      </c>
      <c r="BM47" s="422">
        <f t="shared" si="116"/>
        <v>0</v>
      </c>
      <c r="BN47" s="422">
        <f t="shared" si="116"/>
        <v>0</v>
      </c>
      <c r="BO47" s="422">
        <f t="shared" si="116"/>
        <v>0</v>
      </c>
      <c r="BP47" s="422">
        <f t="shared" si="116"/>
        <v>0</v>
      </c>
      <c r="BQ47" s="440">
        <f t="shared" si="116"/>
        <v>0</v>
      </c>
      <c r="BR47" s="438">
        <f t="shared" si="98"/>
        <v>7.8629454627646006E-2</v>
      </c>
      <c r="BS47" s="430">
        <f t="shared" si="87"/>
        <v>2.3076585268850647E-2</v>
      </c>
      <c r="BT47" s="422">
        <f t="shared" si="72"/>
        <v>5.1388799999999978E-2</v>
      </c>
      <c r="BU47" s="422" cm="1">
        <f t="array" ref="BU47">INDEX($AS47:$BD47,,$D$4)</f>
        <v>5.4139064475347665E-2</v>
      </c>
      <c r="BV47" s="441" cm="1">
        <f t="array" ref="BV47">INDEX($BF47:$BQ47,,$D$4)-BU47</f>
        <v>-1.7810267532323634E-3</v>
      </c>
      <c r="BW47" s="442">
        <f t="shared" si="62"/>
        <v>3.3030375578372217E-3</v>
      </c>
      <c r="BX47" s="612">
        <f t="shared" si="73"/>
        <v>1.9717698248347603E-3</v>
      </c>
      <c r="BY47" s="443">
        <f t="shared" si="63"/>
        <v>2.0018170609444903E-3</v>
      </c>
      <c r="BZ47" s="444">
        <f t="shared" si="64"/>
        <v>2.9220233612598815E-3</v>
      </c>
      <c r="CA47" s="445">
        <f t="shared" si="74"/>
        <v>9.502535364251212E-4</v>
      </c>
      <c r="CB47" s="445">
        <f t="shared" si="65"/>
        <v>9.2020630031539128E-4</v>
      </c>
      <c r="CC47" s="446"/>
    </row>
    <row r="48" spans="1:92" x14ac:dyDescent="0.3">
      <c r="A48" s="170">
        <v>11</v>
      </c>
      <c r="B48" s="187">
        <f t="shared" si="82"/>
        <v>8</v>
      </c>
      <c r="C48" s="188" t="s">
        <v>96</v>
      </c>
      <c r="D48" s="188" t="s">
        <v>53</v>
      </c>
      <c r="E48" s="422">
        <f t="shared" ref="E48:P48" si="117">E17/E$31</f>
        <v>0.22405215814092708</v>
      </c>
      <c r="F48" s="422">
        <f t="shared" si="117"/>
        <v>0.1501586353246451</v>
      </c>
      <c r="G48" s="422">
        <f t="shared" si="117"/>
        <v>0.27349383878373518</v>
      </c>
      <c r="H48" s="422">
        <f t="shared" si="117"/>
        <v>0.25579786554243594</v>
      </c>
      <c r="I48" s="422">
        <f t="shared" si="117"/>
        <v>0.14712185972568417</v>
      </c>
      <c r="J48" s="422">
        <f t="shared" si="117"/>
        <v>0.17766667414406351</v>
      </c>
      <c r="K48" s="422">
        <f t="shared" si="117"/>
        <v>9.4097759355301056E-2</v>
      </c>
      <c r="L48" s="422">
        <f t="shared" si="117"/>
        <v>6.0892762134734602E-2</v>
      </c>
      <c r="M48" s="422">
        <f t="shared" si="117"/>
        <v>0.10406742368980243</v>
      </c>
      <c r="N48" s="422">
        <f t="shared" si="117"/>
        <v>7.1622517538780475E-2</v>
      </c>
      <c r="O48" s="422">
        <f t="shared" si="117"/>
        <v>8.0112975263217964E-2</v>
      </c>
      <c r="P48" s="422">
        <f t="shared" si="117"/>
        <v>5.9962660562601786E-2</v>
      </c>
      <c r="Q48" s="438">
        <f t="shared" si="89"/>
        <v>6.5260353702097512E-2</v>
      </c>
      <c r="R48" s="422">
        <f t="shared" ref="R48:AC48" si="118">R17/R$31</f>
        <v>3.5576873302160153E-2</v>
      </c>
      <c r="S48" s="422">
        <f t="shared" si="118"/>
        <v>4.7517225001042211E-2</v>
      </c>
      <c r="T48" s="422">
        <f t="shared" si="118"/>
        <v>2.6750609524719804E-2</v>
      </c>
      <c r="U48" s="422">
        <f t="shared" si="118"/>
        <v>4.7752052472964539E-2</v>
      </c>
      <c r="V48" s="422">
        <f t="shared" si="118"/>
        <v>6.9009795206971689E-2</v>
      </c>
      <c r="W48" s="422">
        <f t="shared" si="118"/>
        <v>8.4457196835146117E-2</v>
      </c>
      <c r="X48" s="422">
        <f t="shared" si="118"/>
        <v>0.1000915965504087</v>
      </c>
      <c r="Y48" s="422">
        <f t="shared" si="118"/>
        <v>0.10593187896008477</v>
      </c>
      <c r="Z48" s="422">
        <f t="shared" si="118"/>
        <v>5.1820617470238355E-2</v>
      </c>
      <c r="AA48" s="422">
        <f t="shared" si="118"/>
        <v>6.341755768299305E-2</v>
      </c>
      <c r="AB48" s="422">
        <f t="shared" si="118"/>
        <v>5.700006826657552E-2</v>
      </c>
      <c r="AC48" s="422">
        <f t="shared" si="118"/>
        <v>9.246188764977098E-2</v>
      </c>
      <c r="AD48" s="438">
        <f t="shared" si="91"/>
        <v>6.0344766034073405E-2</v>
      </c>
      <c r="AE48" s="439">
        <f t="shared" si="92"/>
        <v>0.11456202836175508</v>
      </c>
      <c r="AF48" s="422">
        <f t="shared" ref="AF48:AP48" si="119">IFERROR(AF17/AF$31,0)</f>
        <v>6.3708095585584795E-2</v>
      </c>
      <c r="AG48" s="422">
        <f t="shared" si="119"/>
        <v>5.8668690065368151E-2</v>
      </c>
      <c r="AH48" s="422">
        <f t="shared" si="119"/>
        <v>4.7861923527652062E-2</v>
      </c>
      <c r="AI48" s="422">
        <f t="shared" si="119"/>
        <v>6.0989997454944329E-2</v>
      </c>
      <c r="AJ48" s="422">
        <f t="shared" si="119"/>
        <v>7.347957980868304E-2</v>
      </c>
      <c r="AK48" s="422">
        <f t="shared" si="119"/>
        <v>0.10387239635911724</v>
      </c>
      <c r="AL48" s="422">
        <f t="shared" si="119"/>
        <v>9.6310601458528808E-2</v>
      </c>
      <c r="AM48" s="422">
        <f t="shared" si="119"/>
        <v>9.846264236612029E-2</v>
      </c>
      <c r="AN48" s="422">
        <f t="shared" si="119"/>
        <v>0.14697629711920726</v>
      </c>
      <c r="AO48" s="422">
        <f t="shared" si="119"/>
        <v>7.5826069196642823E-2</v>
      </c>
      <c r="AP48" s="440">
        <f t="shared" si="119"/>
        <v>7.8889053607432758E-2</v>
      </c>
      <c r="AQ48" s="438">
        <f t="shared" si="94"/>
        <v>8.2818258735924938E-2</v>
      </c>
      <c r="AR48" s="430">
        <f t="shared" si="78"/>
        <v>2.2473492701851533E-2</v>
      </c>
      <c r="AS48" s="439">
        <f t="shared" ref="AS48:BE48" si="120">AS17/AS$31</f>
        <v>0.11440967467187646</v>
      </c>
      <c r="AT48" s="422">
        <f t="shared" si="120"/>
        <v>0.11155383995741668</v>
      </c>
      <c r="AU48" s="422">
        <f t="shared" si="120"/>
        <v>0.11384383671511566</v>
      </c>
      <c r="AV48" s="422">
        <f t="shared" si="120"/>
        <v>0.11356984432831635</v>
      </c>
      <c r="AW48" s="422">
        <f t="shared" si="120"/>
        <v>0.11384383671511566</v>
      </c>
      <c r="AX48" s="422">
        <f t="shared" si="120"/>
        <v>0.11155619460618307</v>
      </c>
      <c r="AY48" s="422">
        <f t="shared" si="120"/>
        <v>0.11475571741849341</v>
      </c>
      <c r="AZ48" s="422">
        <f t="shared" si="120"/>
        <v>0.11370532183571544</v>
      </c>
      <c r="BA48" s="422">
        <f t="shared" si="120"/>
        <v>0.11409695899473626</v>
      </c>
      <c r="BB48" s="422">
        <f t="shared" si="120"/>
        <v>0.11344572064430969</v>
      </c>
      <c r="BC48" s="422">
        <f t="shared" si="120"/>
        <v>0.11502135565325844</v>
      </c>
      <c r="BD48" s="440">
        <f t="shared" si="120"/>
        <v>0.11370532183571544</v>
      </c>
      <c r="BE48" s="438">
        <f t="shared" si="120"/>
        <v>0.11366733650516329</v>
      </c>
      <c r="BF48" s="439">
        <f t="shared" ref="BF48" si="121">BF17/BF$31</f>
        <v>8.7970545943766215E-2</v>
      </c>
      <c r="BG48" s="422">
        <f t="shared" ref="BG48:BQ48" si="122">IFERROR(BG17/BG$31,0)</f>
        <v>4.4184172050135272E-2</v>
      </c>
      <c r="BH48" s="422">
        <f t="shared" si="122"/>
        <v>8.1501785143039282E-2</v>
      </c>
      <c r="BI48" s="422">
        <f t="shared" si="122"/>
        <v>0.1048695744218444</v>
      </c>
      <c r="BJ48" s="422">
        <f t="shared" si="122"/>
        <v>0.10735032685887591</v>
      </c>
      <c r="BK48" s="422">
        <f t="shared" si="122"/>
        <v>0</v>
      </c>
      <c r="BL48" s="422">
        <f t="shared" si="122"/>
        <v>0</v>
      </c>
      <c r="BM48" s="422">
        <f t="shared" si="122"/>
        <v>0</v>
      </c>
      <c r="BN48" s="422">
        <f t="shared" si="122"/>
        <v>0</v>
      </c>
      <c r="BO48" s="422">
        <f t="shared" si="122"/>
        <v>0</v>
      </c>
      <c r="BP48" s="422">
        <f t="shared" si="122"/>
        <v>0</v>
      </c>
      <c r="BQ48" s="440">
        <f t="shared" si="122"/>
        <v>0</v>
      </c>
      <c r="BR48" s="438">
        <f t="shared" si="98"/>
        <v>9.0127158877348235E-2</v>
      </c>
      <c r="BS48" s="430">
        <f t="shared" si="87"/>
        <v>7.3089001414232968E-3</v>
      </c>
      <c r="BT48" s="422">
        <f t="shared" si="72"/>
        <v>0.11366733650516329</v>
      </c>
      <c r="BU48" s="422" cm="1">
        <f t="array" ref="BU48">INDEX($AS48:$BD48,,$D$4)</f>
        <v>0.11440967467187646</v>
      </c>
      <c r="BV48" s="441" cm="1">
        <f t="array" ref="BV48">INDEX($BF48:$BQ48,,$D$4)-BU48</f>
        <v>-2.6439128728110245E-2</v>
      </c>
      <c r="BW48" s="442">
        <f t="shared" si="62"/>
        <v>2.3440117578450081E-3</v>
      </c>
      <c r="BX48" s="612">
        <f t="shared" si="73"/>
        <v>2.9395159135016035E-3</v>
      </c>
      <c r="BY48" s="443">
        <f t="shared" si="63"/>
        <v>4.427836678189692E-3</v>
      </c>
      <c r="BZ48" s="444">
        <f t="shared" si="64"/>
        <v>3.3493003985684221E-3</v>
      </c>
      <c r="CA48" s="445">
        <f t="shared" si="74"/>
        <v>4.0978448506681859E-4</v>
      </c>
      <c r="CB48" s="445">
        <f t="shared" si="65"/>
        <v>-1.0785362796212699E-3</v>
      </c>
      <c r="CC48" s="446"/>
      <c r="CD48" s="158" t="s">
        <v>147</v>
      </c>
    </row>
    <row r="49" spans="1:82" x14ac:dyDescent="0.3">
      <c r="A49" s="170">
        <v>12</v>
      </c>
      <c r="B49" s="187">
        <f t="shared" si="82"/>
        <v>9</v>
      </c>
      <c r="C49" s="188" t="s">
        <v>96</v>
      </c>
      <c r="D49" s="188" t="s">
        <v>42</v>
      </c>
      <c r="E49" s="422">
        <f t="shared" ref="E49:P49" si="123">E18/E$31</f>
        <v>0.11029086736621045</v>
      </c>
      <c r="F49" s="422">
        <f t="shared" si="123"/>
        <v>8.6613786440148957E-2</v>
      </c>
      <c r="G49" s="422">
        <f t="shared" si="123"/>
        <v>9.4851200613003131E-2</v>
      </c>
      <c r="H49" s="422">
        <f t="shared" si="123"/>
        <v>7.2547910420568379E-2</v>
      </c>
      <c r="I49" s="422">
        <f t="shared" si="123"/>
        <v>8.5681208232107745E-2</v>
      </c>
      <c r="J49" s="422">
        <f t="shared" si="123"/>
        <v>0.12757359902723464</v>
      </c>
      <c r="K49" s="422">
        <f t="shared" si="123"/>
        <v>6.2026953201573552E-2</v>
      </c>
      <c r="L49" s="422">
        <f t="shared" si="123"/>
        <v>3.9568686465856068E-2</v>
      </c>
      <c r="M49" s="422">
        <f t="shared" si="123"/>
        <v>2.9329126602713057E-2</v>
      </c>
      <c r="N49" s="422">
        <f t="shared" si="123"/>
        <v>2.2354418924927944E-2</v>
      </c>
      <c r="O49" s="422">
        <f t="shared" si="123"/>
        <v>2.8882135325543502E-2</v>
      </c>
      <c r="P49" s="422">
        <f t="shared" si="123"/>
        <v>3.0372483986942249E-2</v>
      </c>
      <c r="Q49" s="438">
        <f t="shared" si="89"/>
        <v>3.0350639052575047E-2</v>
      </c>
      <c r="R49" s="422">
        <f t="shared" ref="R49:AC49" si="124">R18/R$31</f>
        <v>1.46039738745108E-2</v>
      </c>
      <c r="S49" s="422">
        <f t="shared" si="124"/>
        <v>2.2448970135677343E-2</v>
      </c>
      <c r="T49" s="422">
        <f t="shared" si="124"/>
        <v>1.469996781333696E-2</v>
      </c>
      <c r="U49" s="422">
        <f t="shared" si="124"/>
        <v>3.4134321793031018E-2</v>
      </c>
      <c r="V49" s="422">
        <f t="shared" si="124"/>
        <v>2.5952324816795408E-2</v>
      </c>
      <c r="W49" s="422">
        <f t="shared" si="124"/>
        <v>2.3417864483289263E-2</v>
      </c>
      <c r="X49" s="422">
        <f t="shared" si="124"/>
        <v>3.9132589379476473E-2</v>
      </c>
      <c r="Y49" s="422">
        <f t="shared" si="124"/>
        <v>3.6270317308470724E-2</v>
      </c>
      <c r="Z49" s="422">
        <f t="shared" si="124"/>
        <v>2.1561051106778355E-2</v>
      </c>
      <c r="AA49" s="422">
        <f t="shared" si="124"/>
        <v>2.0357381311664084E-2</v>
      </c>
      <c r="AB49" s="422">
        <f t="shared" si="124"/>
        <v>1.5656766128554336E-2</v>
      </c>
      <c r="AC49" s="422">
        <f t="shared" si="124"/>
        <v>2.1628591706228283E-2</v>
      </c>
      <c r="AD49" s="438">
        <f t="shared" si="91"/>
        <v>2.2706169441688132E-2</v>
      </c>
      <c r="AE49" s="439">
        <f t="shared" si="92"/>
        <v>2.4855471805388944E-2</v>
      </c>
      <c r="AF49" s="422">
        <f t="shared" ref="AF49:AP49" si="125">IFERROR(AF18/AF$31,0)</f>
        <v>1.7936448733390908E-2</v>
      </c>
      <c r="AG49" s="422">
        <f t="shared" si="125"/>
        <v>1.4196899367886649E-2</v>
      </c>
      <c r="AH49" s="422">
        <f t="shared" si="125"/>
        <v>2.4297692728598483E-2</v>
      </c>
      <c r="AI49" s="422">
        <f t="shared" si="125"/>
        <v>1.7596875400577056E-2</v>
      </c>
      <c r="AJ49" s="422">
        <f t="shared" si="125"/>
        <v>1.717739736271141E-2</v>
      </c>
      <c r="AK49" s="422">
        <f t="shared" si="125"/>
        <v>3.043917221894489E-2</v>
      </c>
      <c r="AL49" s="422">
        <f t="shared" si="125"/>
        <v>2.0961030524785283E-2</v>
      </c>
      <c r="AM49" s="422">
        <f t="shared" si="125"/>
        <v>3.1065872126665121E-2</v>
      </c>
      <c r="AN49" s="422">
        <f t="shared" si="125"/>
        <v>4.3083517595602659E-2</v>
      </c>
      <c r="AO49" s="422">
        <f t="shared" si="125"/>
        <v>2.3265903601959827E-2</v>
      </c>
      <c r="AP49" s="440">
        <f t="shared" si="125"/>
        <v>2.2513588904583905E-2</v>
      </c>
      <c r="AQ49" s="438">
        <f t="shared" si="94"/>
        <v>2.3539575467960615E-2</v>
      </c>
      <c r="AR49" s="430">
        <f t="shared" si="78"/>
        <v>8.3340602627248253E-4</v>
      </c>
      <c r="AS49" s="439">
        <f t="shared" ref="AS49:BE49" si="126">AS18/AS$31</f>
        <v>2.9799893569321535E-2</v>
      </c>
      <c r="AT49" s="422">
        <f t="shared" si="126"/>
        <v>4.0095093703133022E-2</v>
      </c>
      <c r="AU49" s="422">
        <f t="shared" si="126"/>
        <v>3.0378905975070369E-2</v>
      </c>
      <c r="AV49" s="422">
        <f t="shared" si="126"/>
        <v>2.9186658307260333E-2</v>
      </c>
      <c r="AW49" s="422">
        <f t="shared" si="126"/>
        <v>2.9519560691596305E-2</v>
      </c>
      <c r="AX49" s="422">
        <f t="shared" si="126"/>
        <v>3.1516918502758083E-2</v>
      </c>
      <c r="AY49" s="422">
        <f t="shared" si="126"/>
        <v>2.9046319923017708E-2</v>
      </c>
      <c r="AZ49" s="422">
        <f t="shared" si="126"/>
        <v>3.055390509534707E-2</v>
      </c>
      <c r="BA49" s="422">
        <f t="shared" si="126"/>
        <v>2.8130557765021054E-2</v>
      </c>
      <c r="BB49" s="422">
        <f t="shared" si="126"/>
        <v>3.0484147321156778E-2</v>
      </c>
      <c r="BC49" s="422">
        <f t="shared" si="126"/>
        <v>2.8071890108024695E-2</v>
      </c>
      <c r="BD49" s="440">
        <f t="shared" si="126"/>
        <v>2.6969926559877958E-2</v>
      </c>
      <c r="BE49" s="438">
        <f t="shared" si="126"/>
        <v>3.0105657043999999E-2</v>
      </c>
      <c r="BF49" s="439">
        <f t="shared" ref="BF49" si="127">BF18/BF$31</f>
        <v>2.4412645084304661E-2</v>
      </c>
      <c r="BG49" s="422">
        <f t="shared" ref="BG49:BQ49" si="128">IFERROR(BG18/BG$31,0)</f>
        <v>2.2889018828336369E-2</v>
      </c>
      <c r="BH49" s="422">
        <f t="shared" si="128"/>
        <v>2.320619541258314E-2</v>
      </c>
      <c r="BI49" s="422">
        <f t="shared" si="128"/>
        <v>2.5077589211908221E-2</v>
      </c>
      <c r="BJ49" s="422">
        <f t="shared" si="128"/>
        <v>2.3418515192828088E-2</v>
      </c>
      <c r="BK49" s="422">
        <f t="shared" si="128"/>
        <v>0</v>
      </c>
      <c r="BL49" s="422">
        <f t="shared" si="128"/>
        <v>0</v>
      </c>
      <c r="BM49" s="422">
        <f t="shared" si="128"/>
        <v>0</v>
      </c>
      <c r="BN49" s="422">
        <f t="shared" si="128"/>
        <v>0</v>
      </c>
      <c r="BO49" s="422">
        <f t="shared" si="128"/>
        <v>0</v>
      </c>
      <c r="BP49" s="422">
        <f t="shared" si="128"/>
        <v>0</v>
      </c>
      <c r="BQ49" s="440">
        <f t="shared" si="128"/>
        <v>0</v>
      </c>
      <c r="BR49" s="438">
        <f t="shared" si="98"/>
        <v>2.3905142377902151E-2</v>
      </c>
      <c r="BS49" s="430">
        <f t="shared" si="87"/>
        <v>3.6556690994153651E-4</v>
      </c>
      <c r="BT49" s="422">
        <f t="shared" si="72"/>
        <v>3.0105657043999999E-2</v>
      </c>
      <c r="BU49" s="422" cm="1">
        <f t="array" ref="BU49">INDEX($AS49:$BD49,,$D$4)</f>
        <v>2.9799893569321535E-2</v>
      </c>
      <c r="BV49" s="441" cm="1">
        <f t="array" ref="BV49">INDEX($BF49:$BQ49,,$D$4)-BU49</f>
        <v>-5.3872484850168746E-3</v>
      </c>
      <c r="BW49" s="442">
        <f t="shared" si="62"/>
        <v>8.8199079464299488E-4</v>
      </c>
      <c r="BX49" s="612">
        <f t="shared" si="73"/>
        <v>8.3550364063772291E-4</v>
      </c>
      <c r="BY49" s="443">
        <f t="shared" si="63"/>
        <v>1.1727461606735883E-3</v>
      </c>
      <c r="BZ49" s="444">
        <f t="shared" si="64"/>
        <v>8.8836155373655645E-4</v>
      </c>
      <c r="CA49" s="445">
        <f t="shared" si="74"/>
        <v>5.2857913098833535E-5</v>
      </c>
      <c r="CB49" s="445">
        <f t="shared" si="65"/>
        <v>-2.8438460693703182E-4</v>
      </c>
      <c r="CC49" s="446"/>
    </row>
    <row r="50" spans="1:82" x14ac:dyDescent="0.3">
      <c r="A50" s="170">
        <v>13</v>
      </c>
      <c r="B50" s="187">
        <f t="shared" si="82"/>
        <v>10</v>
      </c>
      <c r="C50" s="188" t="s">
        <v>96</v>
      </c>
      <c r="D50" s="188" t="s">
        <v>52</v>
      </c>
      <c r="E50" s="422">
        <f t="shared" ref="E50:P50" si="129">E19/E$31</f>
        <v>0.1760555517281519</v>
      </c>
      <c r="F50" s="422">
        <f t="shared" si="129"/>
        <v>0.10810488275811422</v>
      </c>
      <c r="G50" s="422">
        <f t="shared" si="129"/>
        <v>8.0215501495383174E-2</v>
      </c>
      <c r="H50" s="422">
        <f t="shared" si="129"/>
        <v>8.0337215626699682E-2</v>
      </c>
      <c r="I50" s="422">
        <f t="shared" si="129"/>
        <v>8.1967325301965904E-2</v>
      </c>
      <c r="J50" s="422">
        <f t="shared" si="129"/>
        <v>6.607995492449259E-2</v>
      </c>
      <c r="K50" s="422">
        <f t="shared" si="129"/>
        <v>5.0517455011047825E-2</v>
      </c>
      <c r="L50" s="422">
        <f t="shared" si="129"/>
        <v>5.5136656182133564E-2</v>
      </c>
      <c r="M50" s="422">
        <f t="shared" si="129"/>
        <v>6.4390838289973412E-2</v>
      </c>
      <c r="N50" s="422">
        <f t="shared" si="129"/>
        <v>4.8890250261522175E-2</v>
      </c>
      <c r="O50" s="422">
        <f t="shared" si="129"/>
        <v>6.5526330992819806E-2</v>
      </c>
      <c r="P50" s="422">
        <f t="shared" si="129"/>
        <v>3.4204029614716323E-2</v>
      </c>
      <c r="Q50" s="438">
        <f t="shared" si="89"/>
        <v>3.4821989353318636E-2</v>
      </c>
      <c r="R50" s="422">
        <f t="shared" ref="R50:AC50" si="130">R19/R$31</f>
        <v>2.2372063930916095E-2</v>
      </c>
      <c r="S50" s="422">
        <f t="shared" si="130"/>
        <v>3.2569665764793601E-2</v>
      </c>
      <c r="T50" s="422">
        <f t="shared" si="130"/>
        <v>2.4328736930805617E-2</v>
      </c>
      <c r="U50" s="422">
        <f t="shared" si="130"/>
        <v>2.6757256423415768E-2</v>
      </c>
      <c r="V50" s="422">
        <f t="shared" si="130"/>
        <v>2.4603265597147955E-2</v>
      </c>
      <c r="W50" s="422">
        <f t="shared" si="130"/>
        <v>3.2796522076997202E-2</v>
      </c>
      <c r="X50" s="422">
        <f t="shared" si="130"/>
        <v>4.9155870263134206E-2</v>
      </c>
      <c r="Y50" s="422">
        <f t="shared" si="130"/>
        <v>4.2466988585378208E-2</v>
      </c>
      <c r="Z50" s="422">
        <f t="shared" si="130"/>
        <v>3.0949955449377235E-2</v>
      </c>
      <c r="AA50" s="422">
        <f t="shared" si="130"/>
        <v>2.4729486593149309E-2</v>
      </c>
      <c r="AB50" s="422">
        <f t="shared" si="130"/>
        <v>2.530500563618061E-2</v>
      </c>
      <c r="AC50" s="422">
        <f t="shared" si="130"/>
        <v>3.1882066463268216E-2</v>
      </c>
      <c r="AD50" s="438">
        <f t="shared" si="91"/>
        <v>2.8683357659706858E-2</v>
      </c>
      <c r="AE50" s="439">
        <f t="shared" si="92"/>
        <v>4.3160853407373148E-2</v>
      </c>
      <c r="AF50" s="422">
        <f t="shared" ref="AF50:AP50" si="131">IFERROR(AF19/AF$31,0)</f>
        <v>4.0558191248267823E-2</v>
      </c>
      <c r="AG50" s="422">
        <f t="shared" si="131"/>
        <v>2.1599623386534823E-2</v>
      </c>
      <c r="AH50" s="422">
        <f t="shared" si="131"/>
        <v>2.5447244529381654E-2</v>
      </c>
      <c r="AI50" s="422">
        <f t="shared" si="131"/>
        <v>2.9203682523668086E-2</v>
      </c>
      <c r="AJ50" s="422">
        <f t="shared" si="131"/>
        <v>3.1709463991685199E-2</v>
      </c>
      <c r="AK50" s="422">
        <f t="shared" si="131"/>
        <v>2.9873637140669328E-2</v>
      </c>
      <c r="AL50" s="422">
        <f t="shared" si="131"/>
        <v>3.7570660691912346E-2</v>
      </c>
      <c r="AM50" s="422">
        <f t="shared" si="131"/>
        <v>3.196428411496588E-2</v>
      </c>
      <c r="AN50" s="422">
        <f t="shared" si="131"/>
        <v>4.7760623935463993E-2</v>
      </c>
      <c r="AO50" s="422">
        <f t="shared" si="131"/>
        <v>5.1109195988572963E-2</v>
      </c>
      <c r="AP50" s="440">
        <f t="shared" si="131"/>
        <v>3.0675606914966413E-2</v>
      </c>
      <c r="AQ50" s="438">
        <f t="shared" si="94"/>
        <v>3.3307105738787916E-2</v>
      </c>
      <c r="AR50" s="430">
        <f t="shared" si="78"/>
        <v>4.6237480790810581E-3</v>
      </c>
      <c r="AS50" s="439">
        <f t="shared" ref="AS50:BE50" si="132">AS19/AS$31</f>
        <v>4.6735946761061957E-2</v>
      </c>
      <c r="AT50" s="422">
        <f t="shared" si="132"/>
        <v>4.4071971697996926E-2</v>
      </c>
      <c r="AU50" s="422">
        <f t="shared" si="132"/>
        <v>4.4593647633293133E-2</v>
      </c>
      <c r="AV50" s="422">
        <f t="shared" si="132"/>
        <v>4.4565135595667868E-2</v>
      </c>
      <c r="AW50" s="422">
        <f t="shared" si="132"/>
        <v>4.4726630677925212E-2</v>
      </c>
      <c r="AX50" s="422">
        <f t="shared" si="132"/>
        <v>4.3774973617021276E-2</v>
      </c>
      <c r="AY50" s="422">
        <f t="shared" si="132"/>
        <v>4.3537051787528883E-2</v>
      </c>
      <c r="AZ50" s="422">
        <f t="shared" si="132"/>
        <v>4.313854330434784E-2</v>
      </c>
      <c r="BA50" s="422">
        <f t="shared" si="132"/>
        <v>4.3375929644087263E-2</v>
      </c>
      <c r="BB50" s="422">
        <f t="shared" si="132"/>
        <v>4.2830306630137004E-2</v>
      </c>
      <c r="BC50" s="422">
        <f t="shared" si="132"/>
        <v>4.3809675000000006E-2</v>
      </c>
      <c r="BD50" s="440">
        <f t="shared" si="132"/>
        <v>4.2928316485125871E-2</v>
      </c>
      <c r="BE50" s="438">
        <f t="shared" si="132"/>
        <v>4.3976147443200005E-2</v>
      </c>
      <c r="BF50" s="439">
        <f t="shared" ref="BF50" si="133">BF19/BF$31</f>
        <v>3.3884384698051127E-2</v>
      </c>
      <c r="BG50" s="422">
        <f t="shared" ref="BG50:BQ50" si="134">IFERROR(BG19/BG$31,0)</f>
        <v>3.8678866986914022E-2</v>
      </c>
      <c r="BH50" s="422">
        <f t="shared" si="134"/>
        <v>2.1106106827240356E-2</v>
      </c>
      <c r="BI50" s="422">
        <f t="shared" si="134"/>
        <v>2.4188075222730306E-2</v>
      </c>
      <c r="BJ50" s="422">
        <f t="shared" si="134"/>
        <v>2.9307785103162488E-2</v>
      </c>
      <c r="BK50" s="422">
        <f t="shared" si="134"/>
        <v>0</v>
      </c>
      <c r="BL50" s="422">
        <f t="shared" si="134"/>
        <v>0</v>
      </c>
      <c r="BM50" s="422">
        <f t="shared" si="134"/>
        <v>0</v>
      </c>
      <c r="BN50" s="422">
        <f t="shared" si="134"/>
        <v>0</v>
      </c>
      <c r="BO50" s="422">
        <f t="shared" si="134"/>
        <v>0</v>
      </c>
      <c r="BP50" s="422">
        <f t="shared" si="134"/>
        <v>0</v>
      </c>
      <c r="BQ50" s="440">
        <f t="shared" si="134"/>
        <v>0</v>
      </c>
      <c r="BR50" s="438">
        <f t="shared" si="98"/>
        <v>2.7690179454494233E-2</v>
      </c>
      <c r="BS50" s="430">
        <f t="shared" si="87"/>
        <v>-5.6169262842936836E-3</v>
      </c>
      <c r="BT50" s="422">
        <f t="shared" si="72"/>
        <v>4.3976147443200005E-2</v>
      </c>
      <c r="BU50" s="422" cm="1">
        <f t="array" ref="BU50">INDEX($AS50:$BD50,,$D$4)</f>
        <v>4.6735946761061957E-2</v>
      </c>
      <c r="BV50" s="441" cm="1">
        <f t="array" ref="BV50">INDEX($BF50:$BQ50,,$D$4)-BU50</f>
        <v>-1.285156206301083E-2</v>
      </c>
      <c r="BW50" s="442">
        <f t="shared" si="62"/>
        <v>1.1141666796895542E-3</v>
      </c>
      <c r="BX50" s="612">
        <f t="shared" si="73"/>
        <v>1.1821881894913304E-3</v>
      </c>
      <c r="BY50" s="443">
        <f t="shared" si="63"/>
        <v>1.7130620334860557E-3</v>
      </c>
      <c r="BZ50" s="444">
        <f t="shared" si="64"/>
        <v>1.0290208882494554E-3</v>
      </c>
      <c r="CA50" s="445">
        <f t="shared" si="74"/>
        <v>-1.5316730124187504E-4</v>
      </c>
      <c r="CB50" s="445">
        <f t="shared" si="65"/>
        <v>-6.8404114523660034E-4</v>
      </c>
      <c r="CC50" s="446"/>
    </row>
    <row r="51" spans="1:82" x14ac:dyDescent="0.3">
      <c r="A51" s="170">
        <v>14</v>
      </c>
      <c r="B51" s="187">
        <f t="shared" si="82"/>
        <v>11</v>
      </c>
      <c r="C51" s="193" t="s">
        <v>96</v>
      </c>
      <c r="D51" s="193" t="s">
        <v>55</v>
      </c>
      <c r="E51" s="422">
        <f t="shared" ref="E51:P51" si="135">E20/E$31</f>
        <v>0</v>
      </c>
      <c r="F51" s="422">
        <f t="shared" si="135"/>
        <v>0</v>
      </c>
      <c r="G51" s="422">
        <f t="shared" si="135"/>
        <v>0</v>
      </c>
      <c r="H51" s="422">
        <f t="shared" si="135"/>
        <v>5.4536978241473827E-2</v>
      </c>
      <c r="I51" s="422">
        <f t="shared" si="135"/>
        <v>2.8438145749051791E-2</v>
      </c>
      <c r="J51" s="422">
        <f t="shared" si="135"/>
        <v>4.0639944869593096E-2</v>
      </c>
      <c r="K51" s="422">
        <f t="shared" si="135"/>
        <v>1.5438949582165925E-2</v>
      </c>
      <c r="L51" s="447">
        <f t="shared" si="135"/>
        <v>2.8848791527363037E-2</v>
      </c>
      <c r="M51" s="422">
        <f t="shared" si="135"/>
        <v>2.2269299665608044E-2</v>
      </c>
      <c r="N51" s="422">
        <f t="shared" si="135"/>
        <v>0</v>
      </c>
      <c r="O51" s="422">
        <f t="shared" si="135"/>
        <v>1.2888237963802089E-2</v>
      </c>
      <c r="P51" s="422">
        <f t="shared" si="135"/>
        <v>3.4597011646860974E-5</v>
      </c>
      <c r="Q51" s="448">
        <f t="shared" si="89"/>
        <v>8.2847347141852372E-3</v>
      </c>
      <c r="R51" s="422">
        <f t="shared" ref="R51:AC51" si="136">R20/R$31</f>
        <v>4.8381960077189517E-3</v>
      </c>
      <c r="S51" s="422">
        <f t="shared" si="136"/>
        <v>0</v>
      </c>
      <c r="T51" s="422">
        <f t="shared" si="136"/>
        <v>4.7066745254407388E-3</v>
      </c>
      <c r="U51" s="422">
        <f t="shared" si="136"/>
        <v>0</v>
      </c>
      <c r="V51" s="422">
        <f t="shared" si="136"/>
        <v>0</v>
      </c>
      <c r="W51" s="422">
        <f t="shared" si="136"/>
        <v>3.007625159349249E-3</v>
      </c>
      <c r="X51" s="422">
        <f t="shared" si="136"/>
        <v>1.0846087491373878E-2</v>
      </c>
      <c r="Y51" s="447">
        <f t="shared" si="136"/>
        <v>1.3495985669866473E-2</v>
      </c>
      <c r="Z51" s="422">
        <f t="shared" si="136"/>
        <v>4.0342577731933028E-5</v>
      </c>
      <c r="AA51" s="422">
        <f t="shared" si="136"/>
        <v>9.3704260259338378E-3</v>
      </c>
      <c r="AB51" s="422">
        <f t="shared" si="136"/>
        <v>2.3558250759046833E-3</v>
      </c>
      <c r="AC51" s="422">
        <f t="shared" si="136"/>
        <v>2.2599604820296836E-3</v>
      </c>
      <c r="AD51" s="448">
        <f t="shared" si="91"/>
        <v>3.7386384479061699E-3</v>
      </c>
      <c r="AE51" s="449">
        <f t="shared" si="92"/>
        <v>3.7696000121756931E-2</v>
      </c>
      <c r="AF51" s="447">
        <f t="shared" ref="AF51:AP51" si="137">IFERROR(AF20/AF$31,0)</f>
        <v>8.3663830037609063E-3</v>
      </c>
      <c r="AG51" s="447">
        <f t="shared" si="137"/>
        <v>5.6120518382718919E-3</v>
      </c>
      <c r="AH51" s="447">
        <f t="shared" si="137"/>
        <v>1.4530577271589868E-2</v>
      </c>
      <c r="AI51" s="447">
        <f t="shared" si="137"/>
        <v>1.3424152888886678E-2</v>
      </c>
      <c r="AJ51" s="447">
        <f t="shared" si="137"/>
        <v>1.2051982857222513E-2</v>
      </c>
      <c r="AK51" s="447">
        <f t="shared" si="137"/>
        <v>2.9196072202963799E-5</v>
      </c>
      <c r="AL51" s="447">
        <f t="shared" si="137"/>
        <v>4.9070091889087215E-3</v>
      </c>
      <c r="AM51" s="447">
        <f t="shared" si="137"/>
        <v>2.271536632138501E-2</v>
      </c>
      <c r="AN51" s="447">
        <f t="shared" si="137"/>
        <v>4.6592755704463702E-2</v>
      </c>
      <c r="AO51" s="447">
        <f t="shared" si="137"/>
        <v>4.562627046528954E-2</v>
      </c>
      <c r="AP51" s="453">
        <f t="shared" si="137"/>
        <v>3.5162541644597603E-2</v>
      </c>
      <c r="AQ51" s="448">
        <f t="shared" si="94"/>
        <v>1.7607301929225636E-2</v>
      </c>
      <c r="AR51" s="454">
        <f t="shared" si="78"/>
        <v>1.3868663481319467E-2</v>
      </c>
      <c r="AS51" s="449">
        <f t="shared" ref="AS51:BE51" si="138">AS20/AS$31</f>
        <v>1.3924018535331541E-2</v>
      </c>
      <c r="AT51" s="450">
        <f t="shared" si="138"/>
        <v>1.4506817681715353E-2</v>
      </c>
      <c r="AU51" s="450">
        <f t="shared" si="138"/>
        <v>1.2028118872133269E-2</v>
      </c>
      <c r="AV51" s="450">
        <f t="shared" si="138"/>
        <v>1.39233267521209E-2</v>
      </c>
      <c r="AW51" s="450">
        <f t="shared" si="138"/>
        <v>1.2028118872133269E-2</v>
      </c>
      <c r="AX51" s="450">
        <f t="shared" si="138"/>
        <v>1.9059226200487764E-2</v>
      </c>
      <c r="AY51" s="450">
        <f t="shared" si="138"/>
        <v>1.3681844648724106E-2</v>
      </c>
      <c r="AZ51" s="450">
        <f t="shared" si="138"/>
        <v>1.236371779101408E-2</v>
      </c>
      <c r="BA51" s="450">
        <f t="shared" si="138"/>
        <v>1.8192781206463882E-2</v>
      </c>
      <c r="BB51" s="450">
        <f t="shared" si="138"/>
        <v>1.4160802894246909E-2</v>
      </c>
      <c r="BC51" s="450">
        <f t="shared" si="138"/>
        <v>1.186285124974663E-2</v>
      </c>
      <c r="BD51" s="451">
        <f t="shared" si="138"/>
        <v>1.236371779101408E-2</v>
      </c>
      <c r="BE51" s="452">
        <f t="shared" si="138"/>
        <v>1.400263697339617E-2</v>
      </c>
      <c r="BF51" s="449">
        <f t="shared" ref="BF51" si="139">BF20/BF$31</f>
        <v>4.1860589560457712E-2</v>
      </c>
      <c r="BG51" s="447">
        <f t="shared" ref="BG51:BQ51" si="140">IFERROR(BG20/BG$31,0)</f>
        <v>2.1903815360830435E-2</v>
      </c>
      <c r="BH51" s="447">
        <f t="shared" si="140"/>
        <v>4.6679318722398874E-2</v>
      </c>
      <c r="BI51" s="447">
        <f t="shared" si="140"/>
        <v>9.2575516921617976E-3</v>
      </c>
      <c r="BJ51" s="447">
        <f t="shared" si="140"/>
        <v>7.3900222730539466E-4</v>
      </c>
      <c r="BK51" s="447">
        <f t="shared" si="140"/>
        <v>0</v>
      </c>
      <c r="BL51" s="447">
        <f t="shared" si="140"/>
        <v>0</v>
      </c>
      <c r="BM51" s="447">
        <f t="shared" si="140"/>
        <v>0</v>
      </c>
      <c r="BN51" s="447">
        <f t="shared" si="140"/>
        <v>0</v>
      </c>
      <c r="BO51" s="447">
        <f t="shared" si="140"/>
        <v>0</v>
      </c>
      <c r="BP51" s="447">
        <f t="shared" si="140"/>
        <v>0</v>
      </c>
      <c r="BQ51" s="453">
        <f t="shared" si="140"/>
        <v>0</v>
      </c>
      <c r="BR51" s="448">
        <f t="shared" si="98"/>
        <v>2.3792919537859593E-2</v>
      </c>
      <c r="BS51" s="454">
        <f t="shared" si="87"/>
        <v>6.1856176086339566E-3</v>
      </c>
      <c r="BT51" s="422">
        <f t="shared" si="72"/>
        <v>1.400263697339617E-2</v>
      </c>
      <c r="BU51" s="422" cm="1">
        <f t="array" ref="BU51">INDEX($AS51:$BD51,,$D$4)</f>
        <v>1.3924018535331541E-2</v>
      </c>
      <c r="BV51" s="455" cm="1">
        <f t="array" ref="BV51">INDEX($BF51:$BQ51,,$D$4)-BU51</f>
        <v>2.7936571025126172E-2</v>
      </c>
      <c r="BW51" s="456">
        <f t="shared" si="62"/>
        <v>1.4522241208583445E-4</v>
      </c>
      <c r="BX51" s="613">
        <f t="shared" si="73"/>
        <v>6.2494605663974306E-4</v>
      </c>
      <c r="BY51" s="457">
        <f t="shared" si="63"/>
        <v>5.4546355609698188E-4</v>
      </c>
      <c r="BZ51" s="458">
        <f t="shared" si="64"/>
        <v>8.84191134879855E-4</v>
      </c>
      <c r="CA51" s="459">
        <f t="shared" si="74"/>
        <v>2.5924507824011194E-4</v>
      </c>
      <c r="CB51" s="459">
        <f t="shared" si="65"/>
        <v>3.3872757878287312E-4</v>
      </c>
      <c r="CC51" s="460"/>
      <c r="CD51" s="158" t="s">
        <v>147</v>
      </c>
    </row>
    <row r="52" spans="1:82" x14ac:dyDescent="0.3">
      <c r="A52" s="170">
        <v>15</v>
      </c>
      <c r="B52" s="175" t="s">
        <v>164</v>
      </c>
      <c r="C52" s="176"/>
      <c r="D52" s="177" t="s">
        <v>165</v>
      </c>
      <c r="E52" s="410">
        <f t="shared" ref="E52:M52" si="141">SUM(E53:E59)</f>
        <v>14.89654115778696</v>
      </c>
      <c r="F52" s="410">
        <f t="shared" si="141"/>
        <v>9.8405455128930885</v>
      </c>
      <c r="G52" s="410">
        <f t="shared" si="141"/>
        <v>8.0638896511168578</v>
      </c>
      <c r="H52" s="410">
        <f t="shared" si="141"/>
        <v>8.1779893812980102</v>
      </c>
      <c r="I52" s="410">
        <f t="shared" si="141"/>
        <v>6.7980356973839715</v>
      </c>
      <c r="J52" s="410">
        <f t="shared" si="141"/>
        <v>8.6069676870894174</v>
      </c>
      <c r="K52" s="410">
        <f t="shared" si="141"/>
        <v>6.1348622609728789</v>
      </c>
      <c r="L52" s="410">
        <f t="shared" si="141"/>
        <v>5.8945728412551288</v>
      </c>
      <c r="M52" s="410">
        <f t="shared" si="141"/>
        <v>6.1535007632940681</v>
      </c>
      <c r="N52" s="410">
        <f t="shared" ref="N52:P52" si="142">SUM(N53:N59)</f>
        <v>5.0826574719363533</v>
      </c>
      <c r="O52" s="410">
        <f t="shared" si="142"/>
        <v>7.6435060645542547</v>
      </c>
      <c r="P52" s="410">
        <f t="shared" si="142"/>
        <v>3.7299814366552648</v>
      </c>
      <c r="Q52" s="411">
        <f>SUM(Q53:Q59)</f>
        <v>3.5587910560271734</v>
      </c>
      <c r="R52" s="410">
        <f t="shared" ref="R52:Z52" si="143">SUM(R53:R59)</f>
        <v>3.3892682174349784</v>
      </c>
      <c r="S52" s="410">
        <f t="shared" si="143"/>
        <v>5.8310457075830922</v>
      </c>
      <c r="T52" s="410">
        <f t="shared" si="143"/>
        <v>3.5969649102742305</v>
      </c>
      <c r="U52" s="410">
        <f t="shared" si="143"/>
        <v>4.082459729052875</v>
      </c>
      <c r="V52" s="410">
        <f t="shared" si="143"/>
        <v>4.2791474173292228</v>
      </c>
      <c r="W52" s="410">
        <f t="shared" si="143"/>
        <v>5.3573669927016789</v>
      </c>
      <c r="X52" s="410">
        <f t="shared" si="143"/>
        <v>9.6974896032912845</v>
      </c>
      <c r="Y52" s="410">
        <f t="shared" si="143"/>
        <v>8.4698658296020035</v>
      </c>
      <c r="Z52" s="410">
        <f t="shared" si="143"/>
        <v>6.9149347127290657</v>
      </c>
      <c r="AA52" s="410">
        <f t="shared" ref="AA52:AC52" si="144">SUM(AA53:AA59)</f>
        <v>4.411083706523879</v>
      </c>
      <c r="AB52" s="410">
        <f t="shared" si="144"/>
        <v>4.040080000957686</v>
      </c>
      <c r="AC52" s="410">
        <f t="shared" si="144"/>
        <v>6.3210818766306049</v>
      </c>
      <c r="AD52" s="411">
        <f t="shared" ref="AD52:BE52" si="145">SUM(AD53:AD59)</f>
        <v>5.0188255542659226</v>
      </c>
      <c r="AE52" s="412">
        <f t="shared" si="145"/>
        <v>11.313401289645062</v>
      </c>
      <c r="AF52" s="410">
        <f t="shared" si="145"/>
        <v>6.9984194289590445</v>
      </c>
      <c r="AG52" s="410">
        <f t="shared" si="145"/>
        <v>4.3330121065882468</v>
      </c>
      <c r="AH52" s="410">
        <f t="shared" si="145"/>
        <v>5.2551579600459766</v>
      </c>
      <c r="AI52" s="410">
        <f t="shared" si="145"/>
        <v>4.5116164549341873</v>
      </c>
      <c r="AJ52" s="410">
        <f t="shared" si="145"/>
        <v>5.4700659161483891</v>
      </c>
      <c r="AK52" s="410">
        <f t="shared" si="145"/>
        <v>5.3519938824646651</v>
      </c>
      <c r="AL52" s="410">
        <f t="shared" si="145"/>
        <v>5.3202286404666204</v>
      </c>
      <c r="AM52" s="410">
        <f t="shared" si="145"/>
        <v>5.5333205741269671</v>
      </c>
      <c r="AN52" s="410">
        <f t="shared" si="145"/>
        <v>7.7042717713564119</v>
      </c>
      <c r="AO52" s="410">
        <f t="shared" si="145"/>
        <v>10.179155635844927</v>
      </c>
      <c r="AP52" s="413">
        <f t="shared" si="145"/>
        <v>6.6950505336289767</v>
      </c>
      <c r="AQ52" s="411">
        <f t="shared" si="145"/>
        <v>6.0354543923909789</v>
      </c>
      <c r="AR52" s="414">
        <f t="shared" si="145"/>
        <v>1.016628838125057</v>
      </c>
      <c r="AS52" s="412">
        <f t="shared" si="145"/>
        <v>5.8672198099663353</v>
      </c>
      <c r="AT52" s="410">
        <f t="shared" si="145"/>
        <v>6.9462297059116631</v>
      </c>
      <c r="AU52" s="410">
        <f t="shared" si="145"/>
        <v>5.6456663123840336</v>
      </c>
      <c r="AV52" s="410">
        <f t="shared" si="145"/>
        <v>5.7894315921670421</v>
      </c>
      <c r="AW52" s="410">
        <f t="shared" si="145"/>
        <v>5.65720666996451</v>
      </c>
      <c r="AX52" s="410">
        <f t="shared" si="145"/>
        <v>5.7651666697404744</v>
      </c>
      <c r="AY52" s="410">
        <f t="shared" si="145"/>
        <v>5.5319283383549651</v>
      </c>
      <c r="AZ52" s="410">
        <f t="shared" si="145"/>
        <v>5.4324455340792088</v>
      </c>
      <c r="BA52" s="410">
        <f t="shared" si="145"/>
        <v>5.5621798717985884</v>
      </c>
      <c r="BB52" s="410">
        <f t="shared" si="145"/>
        <v>5.4064035296076316</v>
      </c>
      <c r="BC52" s="410">
        <f t="shared" si="145"/>
        <v>5.5339695852596007</v>
      </c>
      <c r="BD52" s="413">
        <f t="shared" si="145"/>
        <v>5.4590021509072919</v>
      </c>
      <c r="BE52" s="411">
        <f t="shared" si="145"/>
        <v>5.6879297406508975</v>
      </c>
      <c r="BF52" s="412">
        <f t="shared" ref="BF52:BS52" si="146">SUM(BF53:BF59)</f>
        <v>7.5055713345599022</v>
      </c>
      <c r="BG52" s="410">
        <f t="shared" ref="BG52:BQ52" si="147">SUM(BG53:BG59)</f>
        <v>10.966111241786757</v>
      </c>
      <c r="BH52" s="410">
        <f t="shared" si="147"/>
        <v>4.1296343082082947</v>
      </c>
      <c r="BI52" s="410">
        <f t="shared" si="147"/>
        <v>5.049660859448676</v>
      </c>
      <c r="BJ52" s="410">
        <f t="shared" si="147"/>
        <v>6.1377127327161158</v>
      </c>
      <c r="BK52" s="410">
        <f t="shared" si="147"/>
        <v>0</v>
      </c>
      <c r="BL52" s="410">
        <f t="shared" si="147"/>
        <v>0</v>
      </c>
      <c r="BM52" s="410">
        <f t="shared" si="147"/>
        <v>0</v>
      </c>
      <c r="BN52" s="410">
        <f t="shared" si="147"/>
        <v>0</v>
      </c>
      <c r="BO52" s="410">
        <f t="shared" si="147"/>
        <v>0</v>
      </c>
      <c r="BP52" s="410">
        <f t="shared" si="147"/>
        <v>0</v>
      </c>
      <c r="BQ52" s="413">
        <f t="shared" si="147"/>
        <v>0</v>
      </c>
      <c r="BR52" s="411">
        <f t="shared" si="146"/>
        <v>6.0975205549900853</v>
      </c>
      <c r="BS52" s="414">
        <f t="shared" si="146"/>
        <v>6.2066162599106744E-2</v>
      </c>
      <c r="BT52" s="410">
        <f>SUM(BT53:BT59)</f>
        <v>5.6879297406508975</v>
      </c>
      <c r="BU52" s="410">
        <f>SUM(BU53:BU59)</f>
        <v>5.8672198099663353</v>
      </c>
      <c r="BV52" s="415" cm="1">
        <f t="array" ref="BV52">INDEX($BF52:$BQ52,,$D$4)-BU52</f>
        <v>1.6383515245935669</v>
      </c>
      <c r="BW52" s="416">
        <f t="shared" si="62"/>
        <v>0.19494956866896654</v>
      </c>
      <c r="BX52" s="610">
        <f t="shared" si="73"/>
        <v>0.21421984116107237</v>
      </c>
      <c r="BY52" s="417">
        <f t="shared" si="63"/>
        <v>0.22156957929137361</v>
      </c>
      <c r="BZ52" s="418">
        <f t="shared" si="64"/>
        <v>0.22659571520389105</v>
      </c>
      <c r="CA52" s="419">
        <f t="shared" si="74"/>
        <v>1.2375874042818674E-2</v>
      </c>
      <c r="CB52" s="420">
        <f t="shared" si="65"/>
        <v>5.0261359125174376E-3</v>
      </c>
      <c r="CC52" s="421"/>
    </row>
    <row r="53" spans="1:82" x14ac:dyDescent="0.3">
      <c r="A53" s="170">
        <v>16</v>
      </c>
      <c r="B53" s="181">
        <v>1</v>
      </c>
      <c r="C53" s="182" t="s">
        <v>97</v>
      </c>
      <c r="D53" s="182" t="s">
        <v>169</v>
      </c>
      <c r="E53" s="422">
        <f t="shared" ref="E53:P53" si="148">E22/E$31</f>
        <v>3.5980569652279057</v>
      </c>
      <c r="F53" s="422">
        <f t="shared" si="148"/>
        <v>2.3172518260236288</v>
      </c>
      <c r="G53" s="422">
        <f t="shared" si="148"/>
        <v>1.79929456761597</v>
      </c>
      <c r="H53" s="422">
        <f t="shared" si="148"/>
        <v>0.80378744644766142</v>
      </c>
      <c r="I53" s="422">
        <f t="shared" si="148"/>
        <v>0.72731675506084059</v>
      </c>
      <c r="J53" s="422">
        <f t="shared" si="148"/>
        <v>0.86945730725305281</v>
      </c>
      <c r="K53" s="422">
        <f t="shared" si="148"/>
        <v>0.60498746566635619</v>
      </c>
      <c r="L53" s="422">
        <f t="shared" si="148"/>
        <v>0.49667889829441392</v>
      </c>
      <c r="M53" s="422">
        <f t="shared" si="148"/>
        <v>0</v>
      </c>
      <c r="N53" s="422">
        <f t="shared" si="148"/>
        <v>3.1757821672270335E-2</v>
      </c>
      <c r="O53" s="422">
        <f t="shared" si="148"/>
        <v>4.5653771279257502E-2</v>
      </c>
      <c r="P53" s="422">
        <f t="shared" si="148"/>
        <v>2.0332194496152235E-2</v>
      </c>
      <c r="Q53" s="423">
        <f>Q22/$AD$31</f>
        <v>0.35525716778196231</v>
      </c>
      <c r="R53" s="422">
        <f t="shared" ref="R53:AC53" si="149">R22/R$31</f>
        <v>1.8230601441676932</v>
      </c>
      <c r="S53" s="422">
        <f t="shared" si="149"/>
        <v>3.5046824442058586</v>
      </c>
      <c r="T53" s="422">
        <f t="shared" si="149"/>
        <v>1.5479538559118551</v>
      </c>
      <c r="U53" s="422">
        <f t="shared" si="149"/>
        <v>1.6825057789882647</v>
      </c>
      <c r="V53" s="422">
        <f t="shared" si="149"/>
        <v>1.7070745551500062</v>
      </c>
      <c r="W53" s="422">
        <f t="shared" si="149"/>
        <v>2.1577914863712717</v>
      </c>
      <c r="X53" s="422">
        <f t="shared" si="149"/>
        <v>4.0406906471055519</v>
      </c>
      <c r="Y53" s="422">
        <f t="shared" si="149"/>
        <v>3.4396160693307247</v>
      </c>
      <c r="Z53" s="422">
        <f t="shared" si="149"/>
        <v>2.6940211504392648</v>
      </c>
      <c r="AA53" s="422">
        <f t="shared" si="149"/>
        <v>1.6168653671991939</v>
      </c>
      <c r="AB53" s="422">
        <f t="shared" si="149"/>
        <v>1.4222151583069076</v>
      </c>
      <c r="AC53" s="422">
        <f t="shared" si="149"/>
        <v>2.1442002855123579</v>
      </c>
      <c r="AD53" s="575">
        <f>AD22/$AD$31</f>
        <v>2.0938346469511768</v>
      </c>
      <c r="AE53" s="424">
        <f t="shared" ref="AE53:AE59" si="150">AE22/AE$31</f>
        <v>4.1217272905658495</v>
      </c>
      <c r="AF53" s="428">
        <f t="shared" ref="AF53:AP53" si="151">IFERROR(AF22/AF$31,0)</f>
        <v>2.5641485987395112</v>
      </c>
      <c r="AG53" s="428">
        <f t="shared" si="151"/>
        <v>1.5837818690480139</v>
      </c>
      <c r="AH53" s="428">
        <f t="shared" si="151"/>
        <v>1.8313144502695411</v>
      </c>
      <c r="AI53" s="428">
        <f t="shared" si="151"/>
        <v>1.555790968717766</v>
      </c>
      <c r="AJ53" s="428">
        <f t="shared" si="151"/>
        <v>1.9531804461856987</v>
      </c>
      <c r="AK53" s="428">
        <f t="shared" si="151"/>
        <v>1.8731545492071819</v>
      </c>
      <c r="AL53" s="428">
        <f t="shared" si="151"/>
        <v>1.9679535407497255</v>
      </c>
      <c r="AM53" s="428">
        <f t="shared" si="151"/>
        <v>1.9744578630967167</v>
      </c>
      <c r="AN53" s="428">
        <f t="shared" si="151"/>
        <v>2.8339291030833187</v>
      </c>
      <c r="AO53" s="428">
        <f t="shared" si="151"/>
        <v>3.871562793794761</v>
      </c>
      <c r="AP53" s="429">
        <f t="shared" si="151"/>
        <v>2.2797561647345814</v>
      </c>
      <c r="AQ53" s="423">
        <f>AQ22/AQ$31</f>
        <v>2.1687534016546608</v>
      </c>
      <c r="AR53" s="461">
        <f t="shared" ref="AR53:AR64" si="152">AQ53-AD53</f>
        <v>7.491875470348397E-2</v>
      </c>
      <c r="AS53" s="424">
        <f t="shared" ref="AS53:BE53" si="153">AS22/AS$31</f>
        <v>1.4538558786346396</v>
      </c>
      <c r="AT53" s="428">
        <f t="shared" si="153"/>
        <v>1.7719568567026194</v>
      </c>
      <c r="AU53" s="428">
        <f t="shared" si="153"/>
        <v>1.3872135102533172</v>
      </c>
      <c r="AV53" s="428">
        <f t="shared" si="153"/>
        <v>1.3838748495788207</v>
      </c>
      <c r="AW53" s="428">
        <f t="shared" si="153"/>
        <v>1.3872135102533172</v>
      </c>
      <c r="AX53" s="428">
        <f t="shared" si="153"/>
        <v>1.3593380614657211</v>
      </c>
      <c r="AY53" s="428">
        <f t="shared" si="153"/>
        <v>1.3279445727482679</v>
      </c>
      <c r="AZ53" s="428">
        <f t="shared" si="153"/>
        <v>1.3157894736842106</v>
      </c>
      <c r="BA53" s="428">
        <f t="shared" si="153"/>
        <v>1.320321469575201</v>
      </c>
      <c r="BB53" s="428">
        <f t="shared" si="153"/>
        <v>1.3127853881278539</v>
      </c>
      <c r="BC53" s="428">
        <f t="shared" si="153"/>
        <v>1.3310185185185186</v>
      </c>
      <c r="BD53" s="429">
        <f t="shared" si="153"/>
        <v>1.3157894736842106</v>
      </c>
      <c r="BE53" s="423">
        <f t="shared" si="153"/>
        <v>1.38</v>
      </c>
      <c r="BF53" s="424">
        <f t="shared" ref="BF53" si="154">BF22/BF$31</f>
        <v>3.2304141411262774</v>
      </c>
      <c r="BG53" s="428">
        <f t="shared" ref="BG53:BQ53" si="155">IFERROR(BG22/BG$31,0)</f>
        <v>5.1165958091767436</v>
      </c>
      <c r="BH53" s="428">
        <f t="shared" si="155"/>
        <v>2.1653675637441765</v>
      </c>
      <c r="BI53" s="428">
        <f t="shared" si="155"/>
        <v>2.120380209036234</v>
      </c>
      <c r="BJ53" s="428">
        <f t="shared" si="155"/>
        <v>2.5793172518469492</v>
      </c>
      <c r="BK53" s="428">
        <f t="shared" si="155"/>
        <v>0</v>
      </c>
      <c r="BL53" s="428">
        <f t="shared" si="155"/>
        <v>0</v>
      </c>
      <c r="BM53" s="428">
        <f t="shared" si="155"/>
        <v>0</v>
      </c>
      <c r="BN53" s="428">
        <f t="shared" si="155"/>
        <v>0</v>
      </c>
      <c r="BO53" s="428">
        <f t="shared" si="155"/>
        <v>0</v>
      </c>
      <c r="BP53" s="428">
        <f t="shared" si="155"/>
        <v>0</v>
      </c>
      <c r="BQ53" s="429">
        <f t="shared" si="155"/>
        <v>0</v>
      </c>
      <c r="BR53" s="423">
        <f>BR22/BR$31</f>
        <v>2.7380326976238942</v>
      </c>
      <c r="BS53" s="461">
        <f t="shared" si="87"/>
        <v>0.56927929596923343</v>
      </c>
      <c r="BT53" s="422">
        <f t="shared" ref="BT53:BT59" si="156">BE53</f>
        <v>1.38</v>
      </c>
      <c r="BU53" s="422" cm="1">
        <f t="array" ref="BU53">INDEX($AS53:$BD53,,$D$4)</f>
        <v>1.4538558786346396</v>
      </c>
      <c r="BV53" s="431" cm="1">
        <f t="array" ref="BV53">INDEX($BF53:$BQ53,,$D$4)-BU53</f>
        <v>1.7765582624916378</v>
      </c>
      <c r="BW53" s="432">
        <f t="shared" si="62"/>
        <v>8.1332207480356203E-2</v>
      </c>
      <c r="BX53" s="611">
        <f t="shared" si="73"/>
        <v>7.6976807215329957E-2</v>
      </c>
      <c r="BY53" s="433">
        <f t="shared" si="63"/>
        <v>5.3756996546006082E-2</v>
      </c>
      <c r="BZ53" s="434">
        <f t="shared" si="64"/>
        <v>0.10175061679160412</v>
      </c>
      <c r="CA53" s="435">
        <f t="shared" si="74"/>
        <v>2.4773809576274161E-2</v>
      </c>
      <c r="CB53" s="435">
        <f t="shared" si="65"/>
        <v>4.7993620245598036E-2</v>
      </c>
      <c r="CC53" s="462"/>
      <c r="CD53" s="158" t="s">
        <v>147</v>
      </c>
    </row>
    <row r="54" spans="1:82" x14ac:dyDescent="0.3">
      <c r="A54" s="170">
        <v>17</v>
      </c>
      <c r="B54" s="187">
        <f t="shared" ref="B54:B59" si="157">B53+1</f>
        <v>2</v>
      </c>
      <c r="C54" s="188" t="s">
        <v>97</v>
      </c>
      <c r="D54" s="188" t="s">
        <v>48</v>
      </c>
      <c r="E54" s="422">
        <f t="shared" ref="E54:P54" si="158">E23/E$31</f>
        <v>7.2760067052152202</v>
      </c>
      <c r="F54" s="422">
        <f t="shared" si="158"/>
        <v>4.6863791305465368</v>
      </c>
      <c r="G54" s="422">
        <f t="shared" si="158"/>
        <v>3.8057815944615876</v>
      </c>
      <c r="H54" s="422">
        <f t="shared" si="158"/>
        <v>4.7181569528953764</v>
      </c>
      <c r="I54" s="422">
        <f t="shared" si="158"/>
        <v>3.8808113642884026</v>
      </c>
      <c r="J54" s="422">
        <f t="shared" si="158"/>
        <v>4.9955123189012971</v>
      </c>
      <c r="K54" s="422">
        <f t="shared" si="158"/>
        <v>3.4412395456550806</v>
      </c>
      <c r="L54" s="422">
        <f t="shared" si="158"/>
        <v>3.498299672493451</v>
      </c>
      <c r="M54" s="422">
        <f t="shared" si="158"/>
        <v>3.9868155391255442</v>
      </c>
      <c r="N54" s="422">
        <f t="shared" si="158"/>
        <v>3.1726138501182053</v>
      </c>
      <c r="O54" s="422">
        <f t="shared" si="158"/>
        <v>4.7665471679728766</v>
      </c>
      <c r="P54" s="422">
        <f t="shared" si="158"/>
        <v>2.1806124976990713</v>
      </c>
      <c r="Q54" s="438">
        <f t="shared" ref="Q54:Q59" si="159">Q23/$AD$31</f>
        <v>2.0163215022259338</v>
      </c>
      <c r="R54" s="422">
        <f t="shared" ref="R54:AC54" si="160">R23/R$31</f>
        <v>1.2790843529059688</v>
      </c>
      <c r="S54" s="422">
        <f t="shared" si="160"/>
        <v>1.8204278059608368</v>
      </c>
      <c r="T54" s="422">
        <f t="shared" si="160"/>
        <v>1.1485679939172109</v>
      </c>
      <c r="U54" s="422">
        <f t="shared" si="160"/>
        <v>1.3983437640634249</v>
      </c>
      <c r="V54" s="422">
        <f t="shared" si="160"/>
        <v>1.4898691848456558</v>
      </c>
      <c r="W54" s="422">
        <f t="shared" si="160"/>
        <v>1.8601144668017799</v>
      </c>
      <c r="X54" s="422">
        <f t="shared" si="160"/>
        <v>3.3266953366437635</v>
      </c>
      <c r="Y54" s="422">
        <f t="shared" si="160"/>
        <v>2.8593650738341663</v>
      </c>
      <c r="Z54" s="422">
        <f t="shared" si="160"/>
        <v>2.3713265268978918</v>
      </c>
      <c r="AA54" s="422">
        <f t="shared" si="160"/>
        <v>1.6059665842237096</v>
      </c>
      <c r="AB54" s="422">
        <f t="shared" si="160"/>
        <v>1.4834977669919378</v>
      </c>
      <c r="AC54" s="422">
        <f t="shared" si="160"/>
        <v>2.3372018941120531</v>
      </c>
      <c r="AD54" s="438">
        <f t="shared" ref="AD54:AD59" si="161">AD23/$AD$31</f>
        <v>1.7464133190310942</v>
      </c>
      <c r="AE54" s="439">
        <f t="shared" si="150"/>
        <v>4.1475928633044727</v>
      </c>
      <c r="AF54" s="422">
        <f t="shared" ref="AF54:AP54" si="162">IFERROR(AF23/AF$31,0)</f>
        <v>2.508513865847712</v>
      </c>
      <c r="AG54" s="422">
        <f t="shared" si="162"/>
        <v>1.5114178516026811</v>
      </c>
      <c r="AH54" s="422">
        <f t="shared" si="162"/>
        <v>1.9522521402194437</v>
      </c>
      <c r="AI54" s="422">
        <f t="shared" si="162"/>
        <v>1.6994661738494596</v>
      </c>
      <c r="AJ54" s="422">
        <f t="shared" si="162"/>
        <v>1.9747586690271575</v>
      </c>
      <c r="AK54" s="422">
        <f t="shared" si="162"/>
        <v>2.0266651678639329</v>
      </c>
      <c r="AL54" s="422">
        <f t="shared" si="162"/>
        <v>1.9332521442373256</v>
      </c>
      <c r="AM54" s="422">
        <f t="shared" si="162"/>
        <v>2.1033392223216376</v>
      </c>
      <c r="AN54" s="422">
        <f t="shared" si="162"/>
        <v>2.7260220856367434</v>
      </c>
      <c r="AO54" s="422">
        <f t="shared" si="162"/>
        <v>3.4481881349636261</v>
      </c>
      <c r="AP54" s="440">
        <f t="shared" si="162"/>
        <v>2.6025920459388545</v>
      </c>
      <c r="AQ54" s="438">
        <f t="shared" ref="AQ54:AQ59" si="163">AQ23/AQ$31</f>
        <v>2.207502921762805</v>
      </c>
      <c r="AR54" s="430">
        <f t="shared" si="152"/>
        <v>0.46108960273171085</v>
      </c>
      <c r="AS54" s="439">
        <f t="shared" ref="AS54:BE54" si="164">AS23/AS$31</f>
        <v>2.4118920799912478</v>
      </c>
      <c r="AT54" s="422">
        <f t="shared" si="164"/>
        <v>2.8592375063174114</v>
      </c>
      <c r="AU54" s="422">
        <f t="shared" si="164"/>
        <v>2.1737387033497262</v>
      </c>
      <c r="AV54" s="422">
        <f t="shared" si="164"/>
        <v>2.3593590841803205</v>
      </c>
      <c r="AW54" s="422">
        <f t="shared" si="164"/>
        <v>2.2605291004361145</v>
      </c>
      <c r="AX54" s="422">
        <f t="shared" si="164"/>
        <v>2.3272332483360612</v>
      </c>
      <c r="AY54" s="422">
        <f t="shared" si="164"/>
        <v>2.2166158876532243</v>
      </c>
      <c r="AZ54" s="422">
        <f t="shared" si="164"/>
        <v>2.1974087487942264</v>
      </c>
      <c r="BA54" s="422">
        <f t="shared" si="164"/>
        <v>2.2654446934557981</v>
      </c>
      <c r="BB54" s="422">
        <f t="shared" si="164"/>
        <v>2.1458042263259571</v>
      </c>
      <c r="BC54" s="422">
        <f t="shared" si="164"/>
        <v>2.2890640014957264</v>
      </c>
      <c r="BD54" s="440">
        <f t="shared" si="164"/>
        <v>2.2073350645836998</v>
      </c>
      <c r="BE54" s="438">
        <f t="shared" si="164"/>
        <v>2.2968940092411536</v>
      </c>
      <c r="BF54" s="439">
        <f t="shared" ref="BF54" si="165">BF23/BF$31</f>
        <v>2.8545081430402979</v>
      </c>
      <c r="BG54" s="422">
        <f t="shared" ref="BG54:BQ54" si="166">IFERROR(BG23/BG$31,0)</f>
        <v>3.8750632819833251</v>
      </c>
      <c r="BH54" s="422">
        <f t="shared" si="166"/>
        <v>1.0707724261004061</v>
      </c>
      <c r="BI54" s="422">
        <f t="shared" si="166"/>
        <v>1.9465598757005664</v>
      </c>
      <c r="BJ54" s="422">
        <f t="shared" si="166"/>
        <v>2.2784439747241758</v>
      </c>
      <c r="BK54" s="422">
        <f t="shared" si="166"/>
        <v>0</v>
      </c>
      <c r="BL54" s="422">
        <f t="shared" si="166"/>
        <v>0</v>
      </c>
      <c r="BM54" s="422">
        <f t="shared" si="166"/>
        <v>0</v>
      </c>
      <c r="BN54" s="422">
        <f t="shared" si="166"/>
        <v>0</v>
      </c>
      <c r="BO54" s="422">
        <f t="shared" si="166"/>
        <v>0</v>
      </c>
      <c r="BP54" s="422">
        <f t="shared" si="166"/>
        <v>0</v>
      </c>
      <c r="BQ54" s="440">
        <f t="shared" si="166"/>
        <v>0</v>
      </c>
      <c r="BR54" s="438">
        <f t="shared" ref="BR54:BR59" si="167">BR23/BR$31</f>
        <v>2.1558513290556962</v>
      </c>
      <c r="BS54" s="430">
        <f t="shared" si="87"/>
        <v>-5.165159270710884E-2</v>
      </c>
      <c r="BT54" s="422">
        <f t="shared" si="156"/>
        <v>2.2968940092411536</v>
      </c>
      <c r="BU54" s="422" cm="1">
        <f t="array" ref="BU54">INDEX($AS54:$BD54,,$D$4)</f>
        <v>2.4118920799912478</v>
      </c>
      <c r="BV54" s="441" cm="1">
        <f t="array" ref="BV54">INDEX($BF54:$BQ54,,$D$4)-BU54</f>
        <v>0.4426160630490501</v>
      </c>
      <c r="BW54" s="442">
        <f t="shared" si="62"/>
        <v>6.7837090486929208E-2</v>
      </c>
      <c r="BX54" s="612">
        <f t="shared" si="73"/>
        <v>7.835216613662338E-2</v>
      </c>
      <c r="BY54" s="443">
        <f t="shared" si="63"/>
        <v>8.9474002406752726E-2</v>
      </c>
      <c r="BZ54" s="444">
        <f t="shared" si="64"/>
        <v>8.0115625585034017E-2</v>
      </c>
      <c r="CA54" s="445">
        <f t="shared" si="74"/>
        <v>1.763459448410637E-3</v>
      </c>
      <c r="CB54" s="445">
        <f t="shared" si="65"/>
        <v>-9.3583768217187085E-3</v>
      </c>
      <c r="CC54" s="446"/>
    </row>
    <row r="55" spans="1:82" x14ac:dyDescent="0.3">
      <c r="A55" s="170">
        <v>5</v>
      </c>
      <c r="B55" s="187">
        <f t="shared" si="157"/>
        <v>3</v>
      </c>
      <c r="C55" s="188" t="s">
        <v>96</v>
      </c>
      <c r="D55" s="188" t="s">
        <v>16</v>
      </c>
      <c r="E55" s="422">
        <f t="shared" ref="E55:P55" si="168">E24/E$31</f>
        <v>2.3753269840666507</v>
      </c>
      <c r="F55" s="422">
        <f t="shared" si="168"/>
        <v>1.6516728939146827</v>
      </c>
      <c r="G55" s="422">
        <f t="shared" si="168"/>
        <v>1.3991038125588426</v>
      </c>
      <c r="H55" s="422">
        <f t="shared" si="168"/>
        <v>1.6767953195456993</v>
      </c>
      <c r="I55" s="422">
        <f t="shared" si="168"/>
        <v>1.2916093323191036</v>
      </c>
      <c r="J55" s="422">
        <f t="shared" si="168"/>
        <v>1.6468401442521801</v>
      </c>
      <c r="K55" s="422">
        <f t="shared" si="168"/>
        <v>1.1962829124387067</v>
      </c>
      <c r="L55" s="422">
        <f t="shared" si="168"/>
        <v>1.1569816685610135</v>
      </c>
      <c r="M55" s="422">
        <f t="shared" si="168"/>
        <v>1.4124854079341438</v>
      </c>
      <c r="N55" s="422">
        <f t="shared" si="168"/>
        <v>1.1530784030672474</v>
      </c>
      <c r="O55" s="422">
        <f t="shared" si="168"/>
        <v>1.6602100759639351</v>
      </c>
      <c r="P55" s="422">
        <f t="shared" si="168"/>
        <v>0.77704741949052636</v>
      </c>
      <c r="Q55" s="438">
        <f t="shared" si="159"/>
        <v>0.69993570427820995</v>
      </c>
      <c r="R55" s="422">
        <f t="shared" ref="R55:AC55" si="169">R24/R$31</f>
        <v>2.7703332320341976E-2</v>
      </c>
      <c r="S55" s="422">
        <f t="shared" si="169"/>
        <v>4.6616522387478314E-2</v>
      </c>
      <c r="T55" s="422">
        <f t="shared" si="169"/>
        <v>0.58481189427906577</v>
      </c>
      <c r="U55" s="422">
        <f t="shared" si="169"/>
        <v>0.65967377361412649</v>
      </c>
      <c r="V55" s="422">
        <f t="shared" si="169"/>
        <v>0.68792363840081505</v>
      </c>
      <c r="W55" s="422">
        <f t="shared" si="169"/>
        <v>0.87046361043233822</v>
      </c>
      <c r="X55" s="422">
        <f t="shared" si="169"/>
        <v>1.6482812195942615</v>
      </c>
      <c r="Y55" s="422">
        <f t="shared" si="169"/>
        <v>1.4126378095237013</v>
      </c>
      <c r="Z55" s="422">
        <f t="shared" si="169"/>
        <v>1.1561788629183607</v>
      </c>
      <c r="AA55" s="422">
        <f t="shared" si="169"/>
        <v>0.7538977099398444</v>
      </c>
      <c r="AB55" s="422">
        <f t="shared" si="169"/>
        <v>0.68094822022127155</v>
      </c>
      <c r="AC55" s="422">
        <f t="shared" si="169"/>
        <v>1.0684554471842567</v>
      </c>
      <c r="AD55" s="574">
        <f t="shared" si="161"/>
        <v>0.715006087620773</v>
      </c>
      <c r="AE55" s="439">
        <f t="shared" si="150"/>
        <v>1.9420050442157035</v>
      </c>
      <c r="AF55" s="422">
        <f t="shared" ref="AF55:AP55" si="170">IFERROR(AF24/AF$31,0)</f>
        <v>1.2086539820902142</v>
      </c>
      <c r="AG55" s="422">
        <f t="shared" si="170"/>
        <v>0.7815023816239175</v>
      </c>
      <c r="AH55" s="422">
        <f t="shared" si="170"/>
        <v>0.89389092420740524</v>
      </c>
      <c r="AI55" s="422">
        <f t="shared" si="170"/>
        <v>0.79542986114433067</v>
      </c>
      <c r="AJ55" s="422">
        <f t="shared" si="170"/>
        <v>0.90663458968120847</v>
      </c>
      <c r="AK55" s="422">
        <f t="shared" si="170"/>
        <v>0.84280878350576016</v>
      </c>
      <c r="AL55" s="422">
        <f t="shared" si="170"/>
        <v>0.84111094964309108</v>
      </c>
      <c r="AM55" s="422">
        <f t="shared" si="170"/>
        <v>0.91400947248912723</v>
      </c>
      <c r="AN55" s="422">
        <f t="shared" si="170"/>
        <v>1.2511229278765237</v>
      </c>
      <c r="AO55" s="422">
        <f t="shared" si="170"/>
        <v>1.77855690380297</v>
      </c>
      <c r="AP55" s="440">
        <f t="shared" si="170"/>
        <v>1.1712778220081626</v>
      </c>
      <c r="AQ55" s="438">
        <f t="shared" si="163"/>
        <v>1.0188774602631634</v>
      </c>
      <c r="AR55" s="430">
        <f t="shared" si="152"/>
        <v>0.30387137264239039</v>
      </c>
      <c r="AS55" s="439">
        <f t="shared" ref="AS55:BE55" si="171">AS24/AS$31</f>
        <v>1.3202084469234228</v>
      </c>
      <c r="AT55" s="422">
        <f t="shared" si="171"/>
        <v>1.7275243018743103</v>
      </c>
      <c r="AU55" s="422">
        <f t="shared" si="171"/>
        <v>1.3729599306591402</v>
      </c>
      <c r="AV55" s="422">
        <f t="shared" si="171"/>
        <v>1.3778963154228969</v>
      </c>
      <c r="AW55" s="422">
        <f t="shared" si="171"/>
        <v>1.3850692995373068</v>
      </c>
      <c r="AX55" s="422">
        <f t="shared" si="171"/>
        <v>1.3908008001376211</v>
      </c>
      <c r="AY55" s="422">
        <f t="shared" si="171"/>
        <v>1.3586806892799392</v>
      </c>
      <c r="AZ55" s="422">
        <f t="shared" si="171"/>
        <v>1.3462442527647911</v>
      </c>
      <c r="BA55" s="422">
        <f t="shared" si="171"/>
        <v>1.3508811445653586</v>
      </c>
      <c r="BB55" s="422">
        <f t="shared" si="171"/>
        <v>1.3431706357493463</v>
      </c>
      <c r="BC55" s="422">
        <f t="shared" si="171"/>
        <v>1.3618257834680874</v>
      </c>
      <c r="BD55" s="440">
        <f t="shared" si="171"/>
        <v>1.3490531772499168</v>
      </c>
      <c r="BE55" s="438">
        <f t="shared" si="171"/>
        <v>1.3835663561797125</v>
      </c>
      <c r="BF55" s="439">
        <f t="shared" ref="BF55" si="172">BF24/BF$31</f>
        <v>0.71287779962083886</v>
      </c>
      <c r="BG55" s="422">
        <f t="shared" ref="BG55:BQ55" si="173">IFERROR(BG24/BG$31,0)</f>
        <v>1.112020514604384</v>
      </c>
      <c r="BH55" s="422">
        <f t="shared" si="173"/>
        <v>0.4759310398975205</v>
      </c>
      <c r="BI55" s="422">
        <f t="shared" si="173"/>
        <v>0.50255512900827937</v>
      </c>
      <c r="BJ55" s="422">
        <f t="shared" si="173"/>
        <v>0.62554889132965297</v>
      </c>
      <c r="BK55" s="422">
        <f t="shared" si="173"/>
        <v>0</v>
      </c>
      <c r="BL55" s="422">
        <f t="shared" si="173"/>
        <v>0</v>
      </c>
      <c r="BM55" s="422">
        <f t="shared" si="173"/>
        <v>0</v>
      </c>
      <c r="BN55" s="422">
        <f t="shared" si="173"/>
        <v>0</v>
      </c>
      <c r="BO55" s="422">
        <f t="shared" si="173"/>
        <v>0</v>
      </c>
      <c r="BP55" s="422">
        <f t="shared" si="173"/>
        <v>0</v>
      </c>
      <c r="BQ55" s="440">
        <f t="shared" si="173"/>
        <v>0</v>
      </c>
      <c r="BR55" s="438">
        <f t="shared" si="167"/>
        <v>0.62281590043624313</v>
      </c>
      <c r="BS55" s="430">
        <f t="shared" si="87"/>
        <v>-0.39606155982692026</v>
      </c>
      <c r="BT55" s="422">
        <f t="shared" si="156"/>
        <v>1.3835663561797125</v>
      </c>
      <c r="BU55" s="422" cm="1">
        <f t="array" ref="BU55">INDEX($AS55:$BD55,,$D$4)</f>
        <v>1.3202084469234228</v>
      </c>
      <c r="BV55" s="441" cm="1">
        <f t="array" ref="BV55">INDEX($BF55:$BQ55,,$D$4)-BU55</f>
        <v>-0.6073306473025839</v>
      </c>
      <c r="BW55" s="442">
        <f t="shared" si="62"/>
        <v>2.7773455536599708E-2</v>
      </c>
      <c r="BX55" s="612">
        <f t="shared" si="73"/>
        <v>3.616360153020811E-2</v>
      </c>
      <c r="BY55" s="443">
        <f t="shared" si="63"/>
        <v>5.389592161617611E-2</v>
      </c>
      <c r="BZ55" s="444">
        <f t="shared" si="64"/>
        <v>2.3145049389658907E-2</v>
      </c>
      <c r="CA55" s="445">
        <f t="shared" si="74"/>
        <v>-1.3018552140549203E-2</v>
      </c>
      <c r="CB55" s="445">
        <f t="shared" si="65"/>
        <v>-3.0750872226517203E-2</v>
      </c>
      <c r="CC55" s="446"/>
      <c r="CD55" s="158" t="s">
        <v>147</v>
      </c>
    </row>
    <row r="56" spans="1:82" x14ac:dyDescent="0.3">
      <c r="A56" s="170">
        <v>18</v>
      </c>
      <c r="B56" s="187">
        <f t="shared" si="157"/>
        <v>4</v>
      </c>
      <c r="C56" s="188" t="s">
        <v>97</v>
      </c>
      <c r="D56" s="188" t="s">
        <v>36</v>
      </c>
      <c r="E56" s="422">
        <f t="shared" ref="E56:P56" si="174">E25/E$31</f>
        <v>0.74905477727282421</v>
      </c>
      <c r="F56" s="422">
        <f t="shared" si="174"/>
        <v>0.65341938262500665</v>
      </c>
      <c r="G56" s="422">
        <f t="shared" si="174"/>
        <v>0.57403420937740368</v>
      </c>
      <c r="H56" s="422">
        <f t="shared" si="174"/>
        <v>0.50536370176270584</v>
      </c>
      <c r="I56" s="422">
        <f t="shared" si="174"/>
        <v>0.34678964590566086</v>
      </c>
      <c r="J56" s="422">
        <f t="shared" si="174"/>
        <v>0.50688632157600655</v>
      </c>
      <c r="K56" s="422">
        <f t="shared" si="174"/>
        <v>0.36855831061256766</v>
      </c>
      <c r="L56" s="422">
        <f t="shared" si="174"/>
        <v>0.27632944665837617</v>
      </c>
      <c r="M56" s="422">
        <f t="shared" si="174"/>
        <v>0.29314519144565343</v>
      </c>
      <c r="N56" s="422">
        <f t="shared" si="174"/>
        <v>0.25122340071594701</v>
      </c>
      <c r="O56" s="422">
        <f t="shared" si="174"/>
        <v>0.3674876048783165</v>
      </c>
      <c r="P56" s="422">
        <f t="shared" si="174"/>
        <v>0.27917276104567529</v>
      </c>
      <c r="Q56" s="438">
        <f t="shared" si="159"/>
        <v>0.20428741164902431</v>
      </c>
      <c r="R56" s="422">
        <f t="shared" ref="R56:AC56" si="175">R25/R$31</f>
        <v>2.7633133915139965E-2</v>
      </c>
      <c r="S56" s="422">
        <f t="shared" si="175"/>
        <v>6.1760626850759032E-2</v>
      </c>
      <c r="T56" s="422">
        <f t="shared" si="175"/>
        <v>4.2073951717554674E-2</v>
      </c>
      <c r="U56" s="422">
        <f t="shared" si="175"/>
        <v>5.092955435140175E-2</v>
      </c>
      <c r="V56" s="422">
        <f t="shared" si="175"/>
        <v>5.1652100840336133E-2</v>
      </c>
      <c r="W56" s="422">
        <f t="shared" si="175"/>
        <v>6.2808828252444965E-2</v>
      </c>
      <c r="X56" s="422">
        <f t="shared" si="175"/>
        <v>0.11274321643956574</v>
      </c>
      <c r="Y56" s="422">
        <f t="shared" si="175"/>
        <v>0.10716687650293663</v>
      </c>
      <c r="Z56" s="422">
        <f t="shared" si="175"/>
        <v>6.6830919857568033E-2</v>
      </c>
      <c r="AA56" s="422">
        <f t="shared" si="175"/>
        <v>5.4660151122518125E-2</v>
      </c>
      <c r="AB56" s="422">
        <f t="shared" si="175"/>
        <v>5.6850322810857383E-2</v>
      </c>
      <c r="AC56" s="422">
        <f t="shared" si="175"/>
        <v>0.1186572375490566</v>
      </c>
      <c r="AD56" s="438">
        <f t="shared" si="161"/>
        <v>6.1655098898115226E-2</v>
      </c>
      <c r="AE56" s="439">
        <f t="shared" si="150"/>
        <v>0.2216966034708335</v>
      </c>
      <c r="AF56" s="422">
        <f t="shared" ref="AF56:AP56" si="176">IFERROR(AF25/AF$31,0)</f>
        <v>0.12291722692513964</v>
      </c>
      <c r="AG56" s="422">
        <f t="shared" si="176"/>
        <v>8.4818826732919655E-2</v>
      </c>
      <c r="AH56" s="422">
        <f t="shared" si="176"/>
        <v>8.4477027451116612E-2</v>
      </c>
      <c r="AI56" s="422">
        <f t="shared" si="176"/>
        <v>7.210268336670482E-2</v>
      </c>
      <c r="AJ56" s="422">
        <f t="shared" si="176"/>
        <v>0.1600854480841252</v>
      </c>
      <c r="AK56" s="422">
        <f t="shared" si="176"/>
        <v>0.15393572598106689</v>
      </c>
      <c r="AL56" s="422">
        <f t="shared" si="176"/>
        <v>0.14513996465863241</v>
      </c>
      <c r="AM56" s="422">
        <f t="shared" si="176"/>
        <v>0.14153102486045463</v>
      </c>
      <c r="AN56" s="422">
        <f t="shared" si="176"/>
        <v>0.29204239964611561</v>
      </c>
      <c r="AO56" s="422">
        <f t="shared" si="176"/>
        <v>0.26624060857509457</v>
      </c>
      <c r="AP56" s="440">
        <f t="shared" si="176"/>
        <v>0.15655550998352932</v>
      </c>
      <c r="AQ56" s="438">
        <f t="shared" si="163"/>
        <v>0.14642907404763456</v>
      </c>
      <c r="AR56" s="430">
        <f t="shared" si="152"/>
        <v>8.4773975149519329E-2</v>
      </c>
      <c r="AS56" s="439">
        <f t="shared" ref="AS56:BE56" si="177">AS25/AS$31</f>
        <v>0.18710499146200413</v>
      </c>
      <c r="AT56" s="422">
        <f t="shared" si="177"/>
        <v>0.17233245910997042</v>
      </c>
      <c r="AU56" s="422">
        <f t="shared" si="177"/>
        <v>0.22070900824969428</v>
      </c>
      <c r="AV56" s="422">
        <f t="shared" si="177"/>
        <v>0.18674248218132253</v>
      </c>
      <c r="AW56" s="422">
        <f t="shared" si="177"/>
        <v>0.18578058707356676</v>
      </c>
      <c r="AX56" s="422">
        <f t="shared" si="177"/>
        <v>0.17994173074329589</v>
      </c>
      <c r="AY56" s="422">
        <f t="shared" si="177"/>
        <v>0.15834485593066611</v>
      </c>
      <c r="AZ56" s="422">
        <f t="shared" si="177"/>
        <v>0.14888737695744578</v>
      </c>
      <c r="BA56" s="422">
        <f t="shared" si="177"/>
        <v>0.16077151707311935</v>
      </c>
      <c r="BB56" s="422">
        <f t="shared" si="177"/>
        <v>0.16863847072491284</v>
      </c>
      <c r="BC56" s="422">
        <f t="shared" si="177"/>
        <v>0.14479392523520176</v>
      </c>
      <c r="BD56" s="440">
        <f t="shared" si="177"/>
        <v>0.14943623183085933</v>
      </c>
      <c r="BE56" s="438">
        <f t="shared" si="177"/>
        <v>0.17149601180791671</v>
      </c>
      <c r="BF56" s="439">
        <f t="shared" ref="BF56" si="178">BF25/BF$31</f>
        <v>0.23036236723237549</v>
      </c>
      <c r="BG56" s="422">
        <f t="shared" ref="BG56:BQ56" si="179">IFERROR(BG25/BG$31,0)</f>
        <v>0.27343383413395173</v>
      </c>
      <c r="BH56" s="422">
        <f t="shared" si="179"/>
        <v>0.11449633098718094</v>
      </c>
      <c r="BI56" s="422">
        <f t="shared" si="179"/>
        <v>0.14510722068631948</v>
      </c>
      <c r="BJ56" s="422">
        <f t="shared" si="179"/>
        <v>0.18350094581151352</v>
      </c>
      <c r="BK56" s="422">
        <f t="shared" si="179"/>
        <v>0</v>
      </c>
      <c r="BL56" s="422">
        <f t="shared" si="179"/>
        <v>0</v>
      </c>
      <c r="BM56" s="422">
        <f t="shared" si="179"/>
        <v>0</v>
      </c>
      <c r="BN56" s="422">
        <f t="shared" si="179"/>
        <v>0</v>
      </c>
      <c r="BO56" s="422">
        <f t="shared" si="179"/>
        <v>0</v>
      </c>
      <c r="BP56" s="422">
        <f t="shared" si="179"/>
        <v>0</v>
      </c>
      <c r="BQ56" s="440">
        <f t="shared" si="179"/>
        <v>0</v>
      </c>
      <c r="BR56" s="438">
        <f t="shared" si="167"/>
        <v>0.17370351590552099</v>
      </c>
      <c r="BS56" s="430">
        <f t="shared" si="87"/>
        <v>2.7274441857886439E-2</v>
      </c>
      <c r="BT56" s="422">
        <f t="shared" si="156"/>
        <v>0.17149601180791671</v>
      </c>
      <c r="BU56" s="422" cm="1">
        <f t="array" ref="BU56">INDEX($AS56:$BD56,,$D$4)</f>
        <v>0.18710499146200413</v>
      </c>
      <c r="BV56" s="441" cm="1">
        <f t="array" ref="BV56">INDEX($BF56:$BQ56,,$D$4)-BU56</f>
        <v>4.3257375770371365E-2</v>
      </c>
      <c r="BW56" s="442">
        <f t="shared" si="62"/>
        <v>2.394909886081523E-3</v>
      </c>
      <c r="BX56" s="612">
        <f t="shared" si="73"/>
        <v>5.1972910313751149E-3</v>
      </c>
      <c r="BY56" s="443">
        <f t="shared" si="63"/>
        <v>6.6805148655159404E-3</v>
      </c>
      <c r="BZ56" s="444">
        <f t="shared" si="64"/>
        <v>6.455160268025696E-3</v>
      </c>
      <c r="CA56" s="445">
        <f t="shared" si="74"/>
        <v>1.2578692366505811E-3</v>
      </c>
      <c r="CB56" s="445">
        <f t="shared" si="65"/>
        <v>-2.2535459749024444E-4</v>
      </c>
      <c r="CC56" s="446"/>
    </row>
    <row r="57" spans="1:82" x14ac:dyDescent="0.3">
      <c r="A57" s="170">
        <v>19</v>
      </c>
      <c r="B57" s="187">
        <f t="shared" si="157"/>
        <v>5</v>
      </c>
      <c r="C57" s="188"/>
      <c r="D57" s="188" t="s">
        <v>12</v>
      </c>
      <c r="E57" s="422">
        <f t="shared" ref="E57:P57" si="180">E26/E$31</f>
        <v>0.55266565860773831</v>
      </c>
      <c r="F57" s="422">
        <f t="shared" si="180"/>
        <v>0.3816440110708898</v>
      </c>
      <c r="G57" s="422">
        <f t="shared" si="180"/>
        <v>0.28823221711716257</v>
      </c>
      <c r="H57" s="422">
        <f t="shared" si="180"/>
        <v>0.2893428274027216</v>
      </c>
      <c r="I57" s="422">
        <f t="shared" si="180"/>
        <v>0.30460954130661944</v>
      </c>
      <c r="J57" s="422">
        <f t="shared" si="180"/>
        <v>0.31739081296237526</v>
      </c>
      <c r="K57" s="422">
        <f t="shared" si="180"/>
        <v>0.23087348508463418</v>
      </c>
      <c r="L57" s="422">
        <f t="shared" si="180"/>
        <v>0.23341556609951367</v>
      </c>
      <c r="M57" s="422">
        <f t="shared" si="180"/>
        <v>0.23274453034549372</v>
      </c>
      <c r="N57" s="422">
        <f t="shared" si="180"/>
        <v>0.21901193924688017</v>
      </c>
      <c r="O57" s="422">
        <f t="shared" si="180"/>
        <v>0.35407915781752508</v>
      </c>
      <c r="P57" s="422">
        <f t="shared" si="180"/>
        <v>0.1743591535755861</v>
      </c>
      <c r="Q57" s="438">
        <f t="shared" si="159"/>
        <v>0.14263415361924967</v>
      </c>
      <c r="R57" s="422">
        <f t="shared" ref="R57:AC57" si="181">R26/R$31</f>
        <v>0.12516525384910387</v>
      </c>
      <c r="S57" s="422">
        <f t="shared" si="181"/>
        <v>0.1949010333838829</v>
      </c>
      <c r="T57" s="422">
        <f t="shared" si="181"/>
        <v>0.13784024876859463</v>
      </c>
      <c r="U57" s="422">
        <f t="shared" si="181"/>
        <v>0.15979972931946115</v>
      </c>
      <c r="V57" s="422">
        <f t="shared" si="181"/>
        <v>0.17986808906997145</v>
      </c>
      <c r="W57" s="422">
        <f t="shared" si="181"/>
        <v>0.1792544047344341</v>
      </c>
      <c r="X57" s="422">
        <f t="shared" si="181"/>
        <v>0.28197583132235765</v>
      </c>
      <c r="Y57" s="422">
        <f t="shared" si="181"/>
        <v>0.30851632766383941</v>
      </c>
      <c r="Z57" s="422">
        <f t="shared" si="181"/>
        <v>0.31704610527749932</v>
      </c>
      <c r="AA57" s="422">
        <f t="shared" si="181"/>
        <v>0.16185091765102677</v>
      </c>
      <c r="AB57" s="422">
        <f t="shared" si="181"/>
        <v>0.17646897734366376</v>
      </c>
      <c r="AC57" s="422">
        <f t="shared" si="181"/>
        <v>0.27846680725227951</v>
      </c>
      <c r="AD57" s="438">
        <f t="shared" si="161"/>
        <v>0.19287805550109813</v>
      </c>
      <c r="AE57" s="439">
        <f t="shared" si="150"/>
        <v>0.38542601499893198</v>
      </c>
      <c r="AF57" s="422">
        <f t="shared" ref="AF57:AP57" si="182">IFERROR(AF26/AF$31,0)</f>
        <v>0.29245840076611301</v>
      </c>
      <c r="AG57" s="422">
        <f t="shared" si="182"/>
        <v>0.17606795301456682</v>
      </c>
      <c r="AH57" s="422">
        <f t="shared" si="182"/>
        <v>0.24245386129856578</v>
      </c>
      <c r="AI57" s="422">
        <f t="shared" si="182"/>
        <v>0.1900437424453367</v>
      </c>
      <c r="AJ57" s="422">
        <f t="shared" si="182"/>
        <v>0.19395421567587401</v>
      </c>
      <c r="AK57" s="422">
        <f t="shared" si="182"/>
        <v>0.18374935335770612</v>
      </c>
      <c r="AL57" s="422">
        <f t="shared" si="182"/>
        <v>0.17796771033424863</v>
      </c>
      <c r="AM57" s="422">
        <f t="shared" si="182"/>
        <v>0.18587336955615044</v>
      </c>
      <c r="AN57" s="422">
        <f t="shared" si="182"/>
        <v>0.25761692394069413</v>
      </c>
      <c r="AO57" s="422">
        <f t="shared" si="182"/>
        <v>0.38538556504364763</v>
      </c>
      <c r="AP57" s="440">
        <f t="shared" si="182"/>
        <v>0.21978289839475321</v>
      </c>
      <c r="AQ57" s="438">
        <f t="shared" si="163"/>
        <v>0.22293587259498354</v>
      </c>
      <c r="AR57" s="430">
        <f t="shared" si="152"/>
        <v>3.0057817093885414E-2</v>
      </c>
      <c r="AS57" s="439">
        <f t="shared" ref="AS57:BE57" si="183">AS26/AS$31</f>
        <v>0.25388459502465616</v>
      </c>
      <c r="AT57" s="422">
        <f t="shared" si="183"/>
        <v>0.19120986147236255</v>
      </c>
      <c r="AU57" s="422">
        <f t="shared" si="183"/>
        <v>0.20425820058944025</v>
      </c>
      <c r="AV57" s="422">
        <f t="shared" si="183"/>
        <v>0.21323218885131182</v>
      </c>
      <c r="AW57" s="422">
        <f t="shared" si="183"/>
        <v>0.16982403909520083</v>
      </c>
      <c r="AX57" s="422">
        <f t="shared" si="183"/>
        <v>0.17759525044183375</v>
      </c>
      <c r="AY57" s="422">
        <f t="shared" si="183"/>
        <v>0.17505047770421761</v>
      </c>
      <c r="AZ57" s="422">
        <f t="shared" si="183"/>
        <v>0.16278952141308314</v>
      </c>
      <c r="BA57" s="422">
        <f t="shared" si="183"/>
        <v>0.17088482952927558</v>
      </c>
      <c r="BB57" s="422">
        <f t="shared" si="183"/>
        <v>0.16625673303632882</v>
      </c>
      <c r="BC57" s="422">
        <f t="shared" si="183"/>
        <v>0.1436606463131421</v>
      </c>
      <c r="BD57" s="440">
        <f t="shared" si="183"/>
        <v>0.16522983343449751</v>
      </c>
      <c r="BE57" s="438">
        <f t="shared" si="183"/>
        <v>0.1819360635170881</v>
      </c>
      <c r="BF57" s="439">
        <f t="shared" ref="BF57" si="184">BF26/BF$31</f>
        <v>0.18733937275525073</v>
      </c>
      <c r="BG57" s="422">
        <f t="shared" ref="BG57:BQ57" si="185">IFERROR(BG26/BG$31,0)</f>
        <v>0.2524444646899674</v>
      </c>
      <c r="BH57" s="422">
        <f t="shared" si="185"/>
        <v>0.12705455814934913</v>
      </c>
      <c r="BI57" s="422">
        <f t="shared" si="185"/>
        <v>0.11702452704805047</v>
      </c>
      <c r="BJ57" s="422">
        <f t="shared" si="185"/>
        <v>0.14796371930496494</v>
      </c>
      <c r="BK57" s="422">
        <f t="shared" si="185"/>
        <v>0</v>
      </c>
      <c r="BL57" s="422">
        <f t="shared" si="185"/>
        <v>0</v>
      </c>
      <c r="BM57" s="422">
        <f t="shared" si="185"/>
        <v>0</v>
      </c>
      <c r="BN57" s="422">
        <f t="shared" si="185"/>
        <v>0</v>
      </c>
      <c r="BO57" s="422">
        <f t="shared" si="185"/>
        <v>0</v>
      </c>
      <c r="BP57" s="422">
        <f t="shared" si="185"/>
        <v>0</v>
      </c>
      <c r="BQ57" s="440">
        <f t="shared" si="185"/>
        <v>0</v>
      </c>
      <c r="BR57" s="438">
        <f t="shared" si="167"/>
        <v>0.15254253185385133</v>
      </c>
      <c r="BS57" s="430">
        <f t="shared" si="87"/>
        <v>-7.039334074113221E-2</v>
      </c>
      <c r="BT57" s="422">
        <f t="shared" si="156"/>
        <v>0.1819360635170881</v>
      </c>
      <c r="BU57" s="422" cm="1">
        <f t="array" ref="BU57">INDEX($AS57:$BD57,,$D$4)</f>
        <v>0.25388459502465616</v>
      </c>
      <c r="BV57" s="441" cm="1">
        <f t="array" ref="BV57">INDEX($BF57:$BQ57,,$D$4)-BU57</f>
        <v>-6.654522226940543E-2</v>
      </c>
      <c r="BW57" s="442">
        <f t="shared" si="62"/>
        <v>7.4920901950232942E-3</v>
      </c>
      <c r="BX57" s="612">
        <f t="shared" si="73"/>
        <v>7.9127906718359162E-3</v>
      </c>
      <c r="BY57" s="443">
        <f t="shared" si="63"/>
        <v>7.0872002449869917E-3</v>
      </c>
      <c r="BZ57" s="444">
        <f t="shared" si="64"/>
        <v>5.6687769713458522E-3</v>
      </c>
      <c r="CA57" s="445">
        <f t="shared" si="74"/>
        <v>-2.244013700490064E-3</v>
      </c>
      <c r="CB57" s="445">
        <f t="shared" si="65"/>
        <v>-1.4184232736411395E-3</v>
      </c>
      <c r="CC57" s="446"/>
    </row>
    <row r="58" spans="1:82" x14ac:dyDescent="0.3">
      <c r="A58" s="170">
        <v>20</v>
      </c>
      <c r="B58" s="187">
        <f t="shared" si="157"/>
        <v>6</v>
      </c>
      <c r="C58" s="188"/>
      <c r="D58" s="188" t="s">
        <v>51</v>
      </c>
      <c r="E58" s="422">
        <f t="shared" ref="E58:P58" si="186">E27/E$31</f>
        <v>0.29278446148034992</v>
      </c>
      <c r="F58" s="422">
        <f t="shared" si="186"/>
        <v>0.15017826871234352</v>
      </c>
      <c r="G58" s="422">
        <f t="shared" si="186"/>
        <v>0.16850238043617072</v>
      </c>
      <c r="H58" s="422">
        <f t="shared" si="186"/>
        <v>0.13351100585961048</v>
      </c>
      <c r="I58" s="422">
        <f t="shared" si="186"/>
        <v>0.21068079446841101</v>
      </c>
      <c r="J58" s="422">
        <f t="shared" si="186"/>
        <v>0.25224251770988448</v>
      </c>
      <c r="K58" s="422">
        <f t="shared" si="186"/>
        <v>0.25096202192854195</v>
      </c>
      <c r="L58" s="422">
        <f t="shared" si="186"/>
        <v>0.19334724032461764</v>
      </c>
      <c r="M58" s="422">
        <f t="shared" si="186"/>
        <v>0.17407766092690347</v>
      </c>
      <c r="N58" s="422">
        <f t="shared" si="186"/>
        <v>0.20298891329940214</v>
      </c>
      <c r="O58" s="422">
        <f t="shared" si="186"/>
        <v>0.35893033329108165</v>
      </c>
      <c r="P58" s="422">
        <f t="shared" si="186"/>
        <v>0.21733056061255021</v>
      </c>
      <c r="Q58" s="438">
        <f t="shared" si="159"/>
        <v>0.11402198351550413</v>
      </c>
      <c r="R58" s="422">
        <f t="shared" ref="R58:AC58" si="187">R27/R$31</f>
        <v>0.10662200027672986</v>
      </c>
      <c r="S58" s="422">
        <f t="shared" si="187"/>
        <v>0.20265727479427662</v>
      </c>
      <c r="T58" s="422">
        <f t="shared" si="187"/>
        <v>0.1357169656799494</v>
      </c>
      <c r="U58" s="422">
        <f t="shared" si="187"/>
        <v>0.13120712871619616</v>
      </c>
      <c r="V58" s="422">
        <f t="shared" si="187"/>
        <v>0.16275984902243731</v>
      </c>
      <c r="W58" s="422">
        <f t="shared" si="187"/>
        <v>0.22693419610941049</v>
      </c>
      <c r="X58" s="422">
        <f t="shared" si="187"/>
        <v>0.28710335218578414</v>
      </c>
      <c r="Y58" s="422">
        <f t="shared" si="187"/>
        <v>0.34256367274663557</v>
      </c>
      <c r="Z58" s="422">
        <f t="shared" si="187"/>
        <v>0.30953114733848119</v>
      </c>
      <c r="AA58" s="422">
        <f t="shared" si="187"/>
        <v>0.21784297638758701</v>
      </c>
      <c r="AB58" s="422">
        <f t="shared" si="187"/>
        <v>0.22009955528304764</v>
      </c>
      <c r="AC58" s="422">
        <f t="shared" si="187"/>
        <v>0.37410020502060171</v>
      </c>
      <c r="AD58" s="438">
        <f t="shared" si="161"/>
        <v>0.20903834626366533</v>
      </c>
      <c r="AE58" s="439">
        <f t="shared" si="150"/>
        <v>0.49495347308927234</v>
      </c>
      <c r="AF58" s="422">
        <f t="shared" ref="AF58:AP58" si="188">IFERROR(AF27/AF$31,0)</f>
        <v>0.30172735459035471</v>
      </c>
      <c r="AG58" s="422">
        <f t="shared" si="188"/>
        <v>0.19542322456614791</v>
      </c>
      <c r="AH58" s="422">
        <f t="shared" si="188"/>
        <v>0.25076955659990385</v>
      </c>
      <c r="AI58" s="422">
        <f t="shared" si="188"/>
        <v>0.19878302541058954</v>
      </c>
      <c r="AJ58" s="422">
        <f t="shared" si="188"/>
        <v>0.28145254749432541</v>
      </c>
      <c r="AK58" s="422">
        <f t="shared" si="188"/>
        <v>0.27168030254901682</v>
      </c>
      <c r="AL58" s="422">
        <f t="shared" si="188"/>
        <v>0.25480433084359705</v>
      </c>
      <c r="AM58" s="422">
        <f t="shared" si="188"/>
        <v>0.21410962180288123</v>
      </c>
      <c r="AN58" s="422">
        <f t="shared" si="188"/>
        <v>0.34353833117301713</v>
      </c>
      <c r="AO58" s="422">
        <f t="shared" si="188"/>
        <v>0.42922162966482913</v>
      </c>
      <c r="AP58" s="440">
        <f t="shared" si="188"/>
        <v>0.2650860925690946</v>
      </c>
      <c r="AQ58" s="438">
        <f t="shared" si="163"/>
        <v>0.27095566206773231</v>
      </c>
      <c r="AR58" s="430">
        <f t="shared" si="152"/>
        <v>6.191731580406698E-2</v>
      </c>
      <c r="AS58" s="439">
        <f t="shared" ref="AS58:BE58" si="189">AS27/AS$31</f>
        <v>0.24027381793036456</v>
      </c>
      <c r="AT58" s="422">
        <f t="shared" si="189"/>
        <v>0.22396872043498928</v>
      </c>
      <c r="AU58" s="422">
        <f t="shared" si="189"/>
        <v>0.28678695928271503</v>
      </c>
      <c r="AV58" s="422">
        <f t="shared" si="189"/>
        <v>0.26832667195237031</v>
      </c>
      <c r="AW58" s="422">
        <f t="shared" si="189"/>
        <v>0.26879013356900378</v>
      </c>
      <c r="AX58" s="422">
        <f t="shared" si="189"/>
        <v>0.33025757861594141</v>
      </c>
      <c r="AY58" s="422">
        <f t="shared" si="189"/>
        <v>0.2952918550386503</v>
      </c>
      <c r="AZ58" s="422">
        <f t="shared" si="189"/>
        <v>0.26132616046545137</v>
      </c>
      <c r="BA58" s="422">
        <f t="shared" si="189"/>
        <v>0.29387621759983557</v>
      </c>
      <c r="BB58" s="422">
        <f t="shared" si="189"/>
        <v>0.26974807564323189</v>
      </c>
      <c r="BC58" s="422">
        <f t="shared" si="189"/>
        <v>0.26360671022892379</v>
      </c>
      <c r="BD58" s="440">
        <f t="shared" si="189"/>
        <v>0.27215837012410876</v>
      </c>
      <c r="BE58" s="438">
        <f t="shared" si="189"/>
        <v>0.27403729990502723</v>
      </c>
      <c r="BF58" s="439">
        <f t="shared" ref="BF58" si="190">BF27/BF$31</f>
        <v>0.29006951078486254</v>
      </c>
      <c r="BG58" s="422">
        <f t="shared" ref="BG58:BQ58" si="191">IFERROR(BG27/BG$31,0)</f>
        <v>0.3365533371983877</v>
      </c>
      <c r="BH58" s="422">
        <f t="shared" si="191"/>
        <v>0.17601238932966065</v>
      </c>
      <c r="BI58" s="422">
        <f t="shared" si="191"/>
        <v>0.21803389796922645</v>
      </c>
      <c r="BJ58" s="422">
        <f t="shared" si="191"/>
        <v>0.32293794969886003</v>
      </c>
      <c r="BK58" s="422">
        <f t="shared" si="191"/>
        <v>0</v>
      </c>
      <c r="BL58" s="422">
        <f t="shared" si="191"/>
        <v>0</v>
      </c>
      <c r="BM58" s="422">
        <f t="shared" si="191"/>
        <v>0</v>
      </c>
      <c r="BN58" s="422">
        <f t="shared" si="191"/>
        <v>0</v>
      </c>
      <c r="BO58" s="422">
        <f t="shared" si="191"/>
        <v>0</v>
      </c>
      <c r="BP58" s="422">
        <f t="shared" si="191"/>
        <v>0</v>
      </c>
      <c r="BQ58" s="440">
        <f t="shared" si="191"/>
        <v>0</v>
      </c>
      <c r="BR58" s="438">
        <f t="shared" si="167"/>
        <v>0.25457458011488049</v>
      </c>
      <c r="BS58" s="430">
        <f t="shared" si="87"/>
        <v>-1.6381081952851817E-2</v>
      </c>
      <c r="BT58" s="422">
        <f t="shared" si="156"/>
        <v>0.27403729990502723</v>
      </c>
      <c r="BU58" s="422" cm="1">
        <f t="array" ref="BU58">INDEX($AS58:$BD58,,$D$4)</f>
        <v>0.24027381793036456</v>
      </c>
      <c r="BV58" s="441" cm="1">
        <f t="array" ref="BV58">INDEX($BF58:$BQ58,,$D$4)-BU58</f>
        <v>4.9795692854497975E-2</v>
      </c>
      <c r="BW58" s="442">
        <f t="shared" si="62"/>
        <v>8.1198150839765938E-3</v>
      </c>
      <c r="BX58" s="612">
        <f t="shared" si="73"/>
        <v>9.6171845756999139E-3</v>
      </c>
      <c r="BY58" s="443">
        <f t="shared" si="63"/>
        <v>1.0674943611935784E-2</v>
      </c>
      <c r="BZ58" s="444">
        <f t="shared" si="64"/>
        <v>9.4604861982224842E-3</v>
      </c>
      <c r="CA58" s="445">
        <f t="shared" si="74"/>
        <v>-1.5669837747742978E-4</v>
      </c>
      <c r="CB58" s="445">
        <f t="shared" si="65"/>
        <v>-1.2144574137133001E-3</v>
      </c>
      <c r="CC58" s="446"/>
    </row>
    <row r="59" spans="1:82" x14ac:dyDescent="0.3">
      <c r="A59" s="170">
        <v>21</v>
      </c>
      <c r="B59" s="187">
        <f t="shared" si="157"/>
        <v>7</v>
      </c>
      <c r="C59" s="193" t="s">
        <v>97</v>
      </c>
      <c r="D59" s="193" t="s">
        <v>40</v>
      </c>
      <c r="E59" s="422">
        <f t="shared" ref="E59:P59" si="192">E28/E$31</f>
        <v>5.2645605916268545E-2</v>
      </c>
      <c r="F59" s="422">
        <f t="shared" si="192"/>
        <v>0</v>
      </c>
      <c r="G59" s="422">
        <f t="shared" si="192"/>
        <v>2.8940869549721863E-2</v>
      </c>
      <c r="H59" s="422">
        <f t="shared" si="192"/>
        <v>5.1032127384234509E-2</v>
      </c>
      <c r="I59" s="422">
        <f t="shared" si="192"/>
        <v>3.6218264034933022E-2</v>
      </c>
      <c r="J59" s="422">
        <f t="shared" si="192"/>
        <v>1.8638264434619731E-2</v>
      </c>
      <c r="K59" s="422">
        <f t="shared" si="192"/>
        <v>4.1958519586990879E-2</v>
      </c>
      <c r="L59" s="447">
        <f t="shared" si="192"/>
        <v>3.9520348823743195E-2</v>
      </c>
      <c r="M59" s="422">
        <f t="shared" si="192"/>
        <v>5.4232433516330579E-2</v>
      </c>
      <c r="N59" s="422">
        <f t="shared" si="192"/>
        <v>5.1983143816400242E-2</v>
      </c>
      <c r="O59" s="422">
        <f t="shared" si="192"/>
        <v>9.0597953351263E-2</v>
      </c>
      <c r="P59" s="422">
        <f t="shared" si="192"/>
        <v>8.1126849735703582E-2</v>
      </c>
      <c r="Q59" s="448">
        <f t="shared" si="159"/>
        <v>2.6333132957288691E-2</v>
      </c>
      <c r="R59" s="422">
        <f t="shared" ref="R59:AC59" si="193">R28/R$31</f>
        <v>0</v>
      </c>
      <c r="S59" s="422">
        <f t="shared" si="193"/>
        <v>0</v>
      </c>
      <c r="T59" s="422">
        <f t="shared" si="193"/>
        <v>0</v>
      </c>
      <c r="U59" s="422">
        <f t="shared" si="193"/>
        <v>0</v>
      </c>
      <c r="V59" s="422">
        <f t="shared" si="193"/>
        <v>0</v>
      </c>
      <c r="W59" s="422">
        <f t="shared" si="193"/>
        <v>0</v>
      </c>
      <c r="X59" s="422">
        <f t="shared" si="193"/>
        <v>0</v>
      </c>
      <c r="Y59" s="447">
        <f t="shared" si="193"/>
        <v>0</v>
      </c>
      <c r="Z59" s="422">
        <f t="shared" si="193"/>
        <v>0</v>
      </c>
      <c r="AA59" s="422">
        <f t="shared" si="193"/>
        <v>0</v>
      </c>
      <c r="AB59" s="422">
        <f t="shared" si="193"/>
        <v>0</v>
      </c>
      <c r="AC59" s="422">
        <f t="shared" si="193"/>
        <v>0</v>
      </c>
      <c r="AD59" s="448">
        <f t="shared" si="161"/>
        <v>0</v>
      </c>
      <c r="AE59" s="449">
        <f t="shared" si="150"/>
        <v>0</v>
      </c>
      <c r="AF59" s="447">
        <f t="shared" ref="AF59:AP59" si="194">IFERROR(AF28/AF$31,0)</f>
        <v>0</v>
      </c>
      <c r="AG59" s="447">
        <f t="shared" si="194"/>
        <v>0</v>
      </c>
      <c r="AH59" s="447">
        <f t="shared" si="194"/>
        <v>0</v>
      </c>
      <c r="AI59" s="447">
        <f t="shared" si="194"/>
        <v>0</v>
      </c>
      <c r="AJ59" s="447">
        <f t="shared" si="194"/>
        <v>0</v>
      </c>
      <c r="AK59" s="447">
        <f t="shared" si="194"/>
        <v>0</v>
      </c>
      <c r="AL59" s="447">
        <f t="shared" si="194"/>
        <v>0</v>
      </c>
      <c r="AM59" s="447">
        <f t="shared" si="194"/>
        <v>0</v>
      </c>
      <c r="AN59" s="447">
        <f t="shared" si="194"/>
        <v>0</v>
      </c>
      <c r="AO59" s="447">
        <f t="shared" si="194"/>
        <v>0</v>
      </c>
      <c r="AP59" s="453">
        <f t="shared" si="194"/>
        <v>0</v>
      </c>
      <c r="AQ59" s="448">
        <f t="shared" si="163"/>
        <v>0</v>
      </c>
      <c r="AR59" s="463">
        <f t="shared" si="152"/>
        <v>0</v>
      </c>
      <c r="AS59" s="449">
        <f t="shared" ref="AS59:BE59" si="195">AS28/AS$31</f>
        <v>0</v>
      </c>
      <c r="AT59" s="447">
        <f t="shared" si="195"/>
        <v>0</v>
      </c>
      <c r="AU59" s="447">
        <f t="shared" si="195"/>
        <v>0</v>
      </c>
      <c r="AV59" s="447">
        <f t="shared" si="195"/>
        <v>0</v>
      </c>
      <c r="AW59" s="447">
        <f t="shared" si="195"/>
        <v>0</v>
      </c>
      <c r="AX59" s="447">
        <f t="shared" si="195"/>
        <v>0</v>
      </c>
      <c r="AY59" s="447">
        <f t="shared" si="195"/>
        <v>0</v>
      </c>
      <c r="AZ59" s="447">
        <f t="shared" si="195"/>
        <v>0</v>
      </c>
      <c r="BA59" s="447">
        <f t="shared" si="195"/>
        <v>0</v>
      </c>
      <c r="BB59" s="447">
        <f t="shared" si="195"/>
        <v>0</v>
      </c>
      <c r="BC59" s="447">
        <f t="shared" si="195"/>
        <v>0</v>
      </c>
      <c r="BD59" s="453">
        <f t="shared" si="195"/>
        <v>0</v>
      </c>
      <c r="BE59" s="448">
        <f t="shared" si="195"/>
        <v>0</v>
      </c>
      <c r="BF59" s="449">
        <f t="shared" ref="BF59" si="196">BF28/BF$31</f>
        <v>0</v>
      </c>
      <c r="BG59" s="447">
        <f t="shared" ref="BG59:BQ59" si="197">IFERROR(BG28/BG$31,0)</f>
        <v>0</v>
      </c>
      <c r="BH59" s="447">
        <f t="shared" si="197"/>
        <v>0</v>
      </c>
      <c r="BI59" s="447">
        <f t="shared" si="197"/>
        <v>0</v>
      </c>
      <c r="BJ59" s="447">
        <f t="shared" si="197"/>
        <v>0</v>
      </c>
      <c r="BK59" s="447">
        <f t="shared" si="197"/>
        <v>0</v>
      </c>
      <c r="BL59" s="447">
        <f t="shared" si="197"/>
        <v>0</v>
      </c>
      <c r="BM59" s="447">
        <f t="shared" si="197"/>
        <v>0</v>
      </c>
      <c r="BN59" s="447">
        <f t="shared" si="197"/>
        <v>0</v>
      </c>
      <c r="BO59" s="447">
        <f t="shared" si="197"/>
        <v>0</v>
      </c>
      <c r="BP59" s="447">
        <f t="shared" si="197"/>
        <v>0</v>
      </c>
      <c r="BQ59" s="453">
        <f t="shared" si="197"/>
        <v>0</v>
      </c>
      <c r="BR59" s="448">
        <f t="shared" si="167"/>
        <v>0</v>
      </c>
      <c r="BS59" s="463">
        <f t="shared" si="87"/>
        <v>0</v>
      </c>
      <c r="BT59" s="422">
        <f t="shared" si="156"/>
        <v>0</v>
      </c>
      <c r="BU59" s="422" cm="1">
        <f t="array" ref="BU59">INDEX($AS59:$BD59,,$D$4)</f>
        <v>0</v>
      </c>
      <c r="BV59" s="455" cm="1">
        <f t="array" ref="BV59">INDEX($BF59:$BQ59,,$D$4)-BU59</f>
        <v>0</v>
      </c>
      <c r="BW59" s="456">
        <f t="shared" si="62"/>
        <v>0</v>
      </c>
      <c r="BX59" s="613">
        <f t="shared" si="73"/>
        <v>0</v>
      </c>
      <c r="BY59" s="457">
        <f t="shared" si="63"/>
        <v>0</v>
      </c>
      <c r="BZ59" s="458">
        <f t="shared" si="64"/>
        <v>0</v>
      </c>
      <c r="CA59" s="459">
        <f t="shared" si="74"/>
        <v>0</v>
      </c>
      <c r="CB59" s="459">
        <f t="shared" si="65"/>
        <v>0</v>
      </c>
      <c r="CC59" s="460"/>
      <c r="CD59" s="158" t="s">
        <v>147</v>
      </c>
    </row>
    <row r="60" spans="1:82" x14ac:dyDescent="0.3">
      <c r="A60" s="170">
        <v>22</v>
      </c>
      <c r="B60" s="464" t="s">
        <v>189</v>
      </c>
      <c r="C60" s="465"/>
      <c r="D60" s="464"/>
      <c r="E60" s="466">
        <f t="shared" ref="E60:P60" si="198">E40+E52</f>
        <v>40.909428769220973</v>
      </c>
      <c r="F60" s="466">
        <f t="shared" si="198"/>
        <v>35.431965454947083</v>
      </c>
      <c r="G60" s="466">
        <f t="shared" si="198"/>
        <v>33.231234868722062</v>
      </c>
      <c r="H60" s="466">
        <f t="shared" si="198"/>
        <v>32.743118962738038</v>
      </c>
      <c r="I60" s="466">
        <f t="shared" si="198"/>
        <v>30.879871305394474</v>
      </c>
      <c r="J60" s="466">
        <f t="shared" si="198"/>
        <v>34.339154188240066</v>
      </c>
      <c r="K60" s="466">
        <f t="shared" si="198"/>
        <v>27.639301735640217</v>
      </c>
      <c r="L60" s="466">
        <f t="shared" si="198"/>
        <v>26.278608598424114</v>
      </c>
      <c r="M60" s="466">
        <f t="shared" si="198"/>
        <v>27.395699938348091</v>
      </c>
      <c r="N60" s="466">
        <f t="shared" si="198"/>
        <v>25.003350594181398</v>
      </c>
      <c r="O60" s="466">
        <f t="shared" si="198"/>
        <v>29.286979231199087</v>
      </c>
      <c r="P60" s="466">
        <f t="shared" si="198"/>
        <v>24.696778059574278</v>
      </c>
      <c r="Q60" s="467">
        <f>Q40+Q52</f>
        <v>24.662195166363766</v>
      </c>
      <c r="R60" s="466">
        <f t="shared" ref="R60:W60" si="199">R40+R52</f>
        <v>22.82621150720809</v>
      </c>
      <c r="S60" s="466">
        <f t="shared" si="199"/>
        <v>26.947778128624698</v>
      </c>
      <c r="T60" s="466">
        <f t="shared" si="199"/>
        <v>24.30598869186289</v>
      </c>
      <c r="U60" s="466">
        <f t="shared" si="199"/>
        <v>25.75310019431911</v>
      </c>
      <c r="V60" s="466">
        <f t="shared" si="199"/>
        <v>25.004906031686154</v>
      </c>
      <c r="W60" s="466">
        <f t="shared" si="199"/>
        <v>25.762653369912837</v>
      </c>
      <c r="X60" s="466">
        <f t="shared" ref="X60:AC60" si="200">X40+X52</f>
        <v>30.923582153158595</v>
      </c>
      <c r="Y60" s="466">
        <f t="shared" si="200"/>
        <v>29.19757117618974</v>
      </c>
      <c r="Z60" s="466">
        <f t="shared" si="200"/>
        <v>28.535605335479111</v>
      </c>
      <c r="AA60" s="466">
        <f t="shared" si="200"/>
        <v>25.31593797121656</v>
      </c>
      <c r="AB60" s="466">
        <f t="shared" si="200"/>
        <v>24.480731298589479</v>
      </c>
      <c r="AC60" s="466">
        <f t="shared" si="200"/>
        <v>26.767215008214666</v>
      </c>
      <c r="AD60" s="573">
        <f t="shared" ref="AD60:BE60" si="201">AD40+AD52</f>
        <v>25.744224973321806</v>
      </c>
      <c r="AE60" s="468">
        <f t="shared" si="201"/>
        <v>32.311332243534487</v>
      </c>
      <c r="AF60" s="466">
        <f>AF40+AF52</f>
        <v>27.878844957379648</v>
      </c>
      <c r="AG60" s="466">
        <f t="shared" ref="AG60:AQ60" si="202">AG40+AG52</f>
        <v>25.843629326772302</v>
      </c>
      <c r="AH60" s="466">
        <f t="shared" si="202"/>
        <v>27.722352400872069</v>
      </c>
      <c r="AI60" s="466">
        <f t="shared" si="202"/>
        <v>26.923390232391093</v>
      </c>
      <c r="AJ60" s="466">
        <f t="shared" si="202"/>
        <v>27.989026594033934</v>
      </c>
      <c r="AK60" s="466">
        <f t="shared" si="202"/>
        <v>28.537496014031692</v>
      </c>
      <c r="AL60" s="466">
        <f t="shared" si="202"/>
        <v>28.450371464704148</v>
      </c>
      <c r="AM60" s="466">
        <f t="shared" si="202"/>
        <v>28.351465288066709</v>
      </c>
      <c r="AN60" s="466">
        <f t="shared" si="202"/>
        <v>29.648355474868261</v>
      </c>
      <c r="AO60" s="466">
        <f t="shared" si="202"/>
        <v>31.003535737677559</v>
      </c>
      <c r="AP60" s="469">
        <f t="shared" si="202"/>
        <v>27.66423051979751</v>
      </c>
      <c r="AQ60" s="467">
        <f t="shared" si="202"/>
        <v>28.174114777038358</v>
      </c>
      <c r="AR60" s="470">
        <f>AR40+AR52</f>
        <v>2.4298898037165486</v>
      </c>
      <c r="AS60" s="468">
        <f t="shared" si="201"/>
        <v>25.809156542640807</v>
      </c>
      <c r="AT60" s="466">
        <f t="shared" si="201"/>
        <v>26.978854987069106</v>
      </c>
      <c r="AU60" s="466">
        <f t="shared" si="201"/>
        <v>25.576094006060199</v>
      </c>
      <c r="AV60" s="466">
        <f t="shared" si="201"/>
        <v>25.724288931205141</v>
      </c>
      <c r="AW60" s="466">
        <f t="shared" si="201"/>
        <v>25.584449739332058</v>
      </c>
      <c r="AX60" s="466">
        <f t="shared" si="201"/>
        <v>25.716272551525051</v>
      </c>
      <c r="AY60" s="466">
        <f t="shared" si="201"/>
        <v>25.521603336526891</v>
      </c>
      <c r="AZ60" s="466">
        <f t="shared" si="201"/>
        <v>25.429659249531753</v>
      </c>
      <c r="BA60" s="466">
        <f t="shared" si="201"/>
        <v>25.557697088889824</v>
      </c>
      <c r="BB60" s="466">
        <f t="shared" si="201"/>
        <v>25.44652280176031</v>
      </c>
      <c r="BC60" s="466">
        <f t="shared" si="201"/>
        <v>25.566370561440152</v>
      </c>
      <c r="BD60" s="469">
        <f t="shared" si="201"/>
        <v>25.484011793979899</v>
      </c>
      <c r="BE60" s="467">
        <f t="shared" si="201"/>
        <v>25.671077044249937</v>
      </c>
      <c r="BF60" s="468">
        <f t="shared" ref="BF60:BR60" si="203">BF40+BF52</f>
        <v>28.85080656579882</v>
      </c>
      <c r="BG60" s="466">
        <f>BG40+BG52</f>
        <v>31.194826016247745</v>
      </c>
      <c r="BH60" s="466">
        <f t="shared" ref="BH60:BQ60" si="204">BH40+BH52</f>
        <v>24.995450899928478</v>
      </c>
      <c r="BI60" s="466">
        <f t="shared" si="204"/>
        <v>25.104403145719154</v>
      </c>
      <c r="BJ60" s="466">
        <f t="shared" si="204"/>
        <v>27.673767247523799</v>
      </c>
      <c r="BK60" s="466">
        <f t="shared" si="204"/>
        <v>0</v>
      </c>
      <c r="BL60" s="466">
        <f t="shared" si="204"/>
        <v>0</v>
      </c>
      <c r="BM60" s="466">
        <f t="shared" si="204"/>
        <v>0</v>
      </c>
      <c r="BN60" s="466">
        <f t="shared" si="204"/>
        <v>0</v>
      </c>
      <c r="BO60" s="466">
        <f t="shared" si="204"/>
        <v>0</v>
      </c>
      <c r="BP60" s="466">
        <f t="shared" si="204"/>
        <v>0</v>
      </c>
      <c r="BQ60" s="469">
        <f t="shared" si="204"/>
        <v>0</v>
      </c>
      <c r="BR60" s="467">
        <f t="shared" si="203"/>
        <v>26.909249142259952</v>
      </c>
      <c r="BS60" s="470">
        <f>BS40+BS52</f>
        <v>-1.2648656347784057</v>
      </c>
      <c r="BT60" s="466">
        <f>BT40+BT52</f>
        <v>25.671077044249937</v>
      </c>
      <c r="BU60" s="466">
        <f>BU40+BU52</f>
        <v>25.809156542640807</v>
      </c>
      <c r="BV60" s="415" cm="1">
        <f t="array" ref="BV60">INDEX($BF60:$BQ60,,$D$4)-BU60</f>
        <v>3.041650023158013</v>
      </c>
      <c r="BW60" s="471">
        <f t="shared" si="62"/>
        <v>1</v>
      </c>
      <c r="BX60" s="614">
        <f t="shared" si="73"/>
        <v>1</v>
      </c>
      <c r="BY60" s="472">
        <f t="shared" si="63"/>
        <v>1</v>
      </c>
      <c r="BZ60" s="473">
        <f t="shared" si="64"/>
        <v>1</v>
      </c>
      <c r="CA60" s="419">
        <f t="shared" si="74"/>
        <v>0</v>
      </c>
      <c r="CB60" s="420">
        <f t="shared" si="65"/>
        <v>0</v>
      </c>
      <c r="CC60" s="474"/>
    </row>
    <row r="61" spans="1:82" x14ac:dyDescent="0.3">
      <c r="A61" s="509">
        <v>27</v>
      </c>
      <c r="B61" s="464" t="s">
        <v>255</v>
      </c>
      <c r="C61" s="499"/>
      <c r="D61" s="464"/>
      <c r="E61" s="487">
        <f>E60-E53-E55</f>
        <v>34.936044819926416</v>
      </c>
      <c r="F61" s="487">
        <f t="shared" ref="F61:Q61" si="205">F60-F53-F55</f>
        <v>31.463040735008772</v>
      </c>
      <c r="G61" s="487">
        <f t="shared" si="205"/>
        <v>30.03283648854725</v>
      </c>
      <c r="H61" s="487">
        <f t="shared" si="205"/>
        <v>30.262536196744676</v>
      </c>
      <c r="I61" s="487">
        <f t="shared" si="205"/>
        <v>28.860945218014528</v>
      </c>
      <c r="J61" s="487">
        <f t="shared" si="205"/>
        <v>31.822856736734835</v>
      </c>
      <c r="K61" s="487">
        <f t="shared" si="205"/>
        <v>25.838031357535154</v>
      </c>
      <c r="L61" s="487">
        <f t="shared" si="205"/>
        <v>24.624948031568689</v>
      </c>
      <c r="M61" s="487">
        <f t="shared" si="205"/>
        <v>25.983214530413946</v>
      </c>
      <c r="N61" s="487">
        <f t="shared" si="205"/>
        <v>23.818514369441882</v>
      </c>
      <c r="O61" s="487">
        <f t="shared" si="205"/>
        <v>27.581115383955893</v>
      </c>
      <c r="P61" s="487">
        <f t="shared" si="205"/>
        <v>23.8993984455876</v>
      </c>
      <c r="Q61" s="467">
        <f t="shared" si="205"/>
        <v>23.607002294303594</v>
      </c>
      <c r="R61" s="487">
        <f>R60-R53-R55</f>
        <v>20.975448030720052</v>
      </c>
      <c r="S61" s="487">
        <f t="shared" ref="S61:BR61" si="206">S60-S53-S55</f>
        <v>23.396479162031362</v>
      </c>
      <c r="T61" s="487">
        <f t="shared" si="206"/>
        <v>22.173222941671966</v>
      </c>
      <c r="U61" s="487">
        <f t="shared" si="206"/>
        <v>23.410920641716718</v>
      </c>
      <c r="V61" s="487">
        <f t="shared" si="206"/>
        <v>22.609907838135335</v>
      </c>
      <c r="W61" s="487">
        <f t="shared" si="206"/>
        <v>22.734398273109228</v>
      </c>
      <c r="X61" s="487">
        <f t="shared" si="206"/>
        <v>25.234610286458782</v>
      </c>
      <c r="Y61" s="487">
        <f t="shared" si="206"/>
        <v>24.345317297335313</v>
      </c>
      <c r="Z61" s="487">
        <f t="shared" si="206"/>
        <v>24.685405322121486</v>
      </c>
      <c r="AA61" s="487">
        <f t="shared" si="206"/>
        <v>22.945174894077521</v>
      </c>
      <c r="AB61" s="487">
        <f t="shared" si="206"/>
        <v>22.377567920061299</v>
      </c>
      <c r="AC61" s="487">
        <f t="shared" si="206"/>
        <v>23.554559275518052</v>
      </c>
      <c r="AD61" s="467">
        <f t="shared" si="206"/>
        <v>22.935384238749858</v>
      </c>
      <c r="AE61" s="468">
        <f t="shared" ref="AE61:AF61" si="207">AE60-AE53-AE55</f>
        <v>26.247599908752932</v>
      </c>
      <c r="AF61" s="466">
        <f t="shared" si="207"/>
        <v>24.106042376549922</v>
      </c>
      <c r="AG61" s="466">
        <f>AG60-AG53-AG55</f>
        <v>23.478345076100371</v>
      </c>
      <c r="AH61" s="466">
        <f t="shared" ref="AH61:AQ61" si="208">AH60-AH53-AH55</f>
        <v>24.997147026395123</v>
      </c>
      <c r="AI61" s="466">
        <f t="shared" si="208"/>
        <v>24.572169402528996</v>
      </c>
      <c r="AJ61" s="466">
        <f t="shared" si="208"/>
        <v>25.129211558167029</v>
      </c>
      <c r="AK61" s="466">
        <f t="shared" si="208"/>
        <v>25.82153268131875</v>
      </c>
      <c r="AL61" s="466">
        <f t="shared" si="208"/>
        <v>25.64130697431133</v>
      </c>
      <c r="AM61" s="466">
        <f t="shared" si="208"/>
        <v>25.462997952480865</v>
      </c>
      <c r="AN61" s="466">
        <f t="shared" si="208"/>
        <v>25.563303443908421</v>
      </c>
      <c r="AO61" s="466">
        <f t="shared" si="208"/>
        <v>25.353416040079829</v>
      </c>
      <c r="AP61" s="469">
        <f t="shared" si="208"/>
        <v>24.213196533054766</v>
      </c>
      <c r="AQ61" s="467">
        <f t="shared" si="208"/>
        <v>24.986483915120534</v>
      </c>
      <c r="AR61" s="470">
        <f t="shared" si="152"/>
        <v>2.0510996763706757</v>
      </c>
      <c r="AS61" s="468">
        <f t="shared" ref="AS61:BE61" si="209">AS60-AS53-AS55</f>
        <v>23.035092217082742</v>
      </c>
      <c r="AT61" s="466">
        <f t="shared" si="209"/>
        <v>23.479373828492175</v>
      </c>
      <c r="AU61" s="466">
        <f t="shared" si="209"/>
        <v>22.815920565147742</v>
      </c>
      <c r="AV61" s="466">
        <f t="shared" si="209"/>
        <v>22.962517766203423</v>
      </c>
      <c r="AW61" s="466">
        <f t="shared" si="209"/>
        <v>22.812166929541434</v>
      </c>
      <c r="AX61" s="466">
        <f t="shared" si="209"/>
        <v>22.966133689921708</v>
      </c>
      <c r="AY61" s="466">
        <f t="shared" si="209"/>
        <v>22.834978074498682</v>
      </c>
      <c r="AZ61" s="466">
        <f t="shared" si="209"/>
        <v>22.767625523082749</v>
      </c>
      <c r="BA61" s="466">
        <f t="shared" si="209"/>
        <v>22.886494474749263</v>
      </c>
      <c r="BB61" s="466">
        <f t="shared" si="209"/>
        <v>22.790566777883111</v>
      </c>
      <c r="BC61" s="466">
        <f t="shared" si="209"/>
        <v>22.873526259453545</v>
      </c>
      <c r="BD61" s="469">
        <f t="shared" si="209"/>
        <v>22.819169143045773</v>
      </c>
      <c r="BE61" s="467">
        <f t="shared" si="209"/>
        <v>22.907510688070225</v>
      </c>
      <c r="BF61" s="468">
        <f t="shared" si="206"/>
        <v>24.907514625051704</v>
      </c>
      <c r="BG61" s="466">
        <f t="shared" si="206"/>
        <v>24.966209692466617</v>
      </c>
      <c r="BH61" s="466">
        <f>BH60-BH53-BH55</f>
        <v>22.354152296286781</v>
      </c>
      <c r="BI61" s="466">
        <f t="shared" si="206"/>
        <v>22.48146780767464</v>
      </c>
      <c r="BJ61" s="466">
        <f t="shared" si="206"/>
        <v>24.468901104347196</v>
      </c>
      <c r="BK61" s="466">
        <f t="shared" si="206"/>
        <v>0</v>
      </c>
      <c r="BL61" s="466">
        <f t="shared" si="206"/>
        <v>0</v>
      </c>
      <c r="BM61" s="466">
        <f t="shared" si="206"/>
        <v>0</v>
      </c>
      <c r="BN61" s="466">
        <f t="shared" si="206"/>
        <v>0</v>
      </c>
      <c r="BO61" s="466">
        <f t="shared" si="206"/>
        <v>0</v>
      </c>
      <c r="BP61" s="466">
        <f t="shared" si="206"/>
        <v>0</v>
      </c>
      <c r="BQ61" s="469">
        <f t="shared" si="206"/>
        <v>0</v>
      </c>
      <c r="BR61" s="467">
        <f t="shared" si="206"/>
        <v>23.548400544199815</v>
      </c>
      <c r="BS61" s="470">
        <f>BR61-AD61</f>
        <v>0.61301630544995689</v>
      </c>
      <c r="BT61" s="466">
        <f>BE61</f>
        <v>22.907510688070225</v>
      </c>
      <c r="BU61" s="466">
        <f t="shared" ref="BU61" si="210">BU60-BU53-BU55</f>
        <v>23.035092217082742</v>
      </c>
      <c r="BV61" s="500" cm="1">
        <f t="array" ref="BV61">INDEX($BF61:$BQ61,,$D$4)-BU61</f>
        <v>1.872422407968962</v>
      </c>
      <c r="BW61" s="501"/>
      <c r="BX61" s="615"/>
      <c r="BY61" s="502"/>
      <c r="BZ61" s="473"/>
      <c r="CA61" s="503"/>
      <c r="CB61" s="503"/>
      <c r="CC61" s="474"/>
    </row>
    <row r="62" spans="1:82" x14ac:dyDescent="0.3">
      <c r="A62" s="278">
        <v>24</v>
      </c>
      <c r="B62" s="323" t="s">
        <v>172</v>
      </c>
      <c r="C62" s="323"/>
      <c r="D62" s="323"/>
      <c r="E62" s="329">
        <f>E31</f>
        <v>841.88200000000006</v>
      </c>
      <c r="F62" s="329">
        <f t="shared" ref="F62:BQ62" si="211">F31</f>
        <v>1307.212</v>
      </c>
      <c r="G62" s="329">
        <f t="shared" si="211"/>
        <v>1683.5150000000001</v>
      </c>
      <c r="H62" s="329">
        <f t="shared" si="211"/>
        <v>1492.932</v>
      </c>
      <c r="I62" s="329">
        <f t="shared" si="211"/>
        <v>1899.635</v>
      </c>
      <c r="J62" s="329">
        <f t="shared" si="211"/>
        <v>1515.6790000000001</v>
      </c>
      <c r="K62" s="329">
        <f t="shared" si="211"/>
        <v>2178.2570000000001</v>
      </c>
      <c r="L62" s="329">
        <f t="shared" si="211"/>
        <v>2374.6089999999999</v>
      </c>
      <c r="M62" s="329">
        <f t="shared" si="211"/>
        <v>2017.2435</v>
      </c>
      <c r="N62" s="329">
        <f t="shared" si="211"/>
        <v>2500.7439999999997</v>
      </c>
      <c r="O62" s="329">
        <f t="shared" si="211"/>
        <v>1739.5754999999999</v>
      </c>
      <c r="P62" s="329">
        <f t="shared" si="211"/>
        <v>3906.0309999999995</v>
      </c>
      <c r="Q62" s="488">
        <f>SUM(E62:P62)/(12-COUNTIF(E10:P10,0))</f>
        <v>1954.7762499999999</v>
      </c>
      <c r="R62" s="329">
        <f t="shared" si="211"/>
        <v>4748.3130000000001</v>
      </c>
      <c r="S62" s="329">
        <f t="shared" si="211"/>
        <v>2926.5019999999995</v>
      </c>
      <c r="T62" s="329">
        <f t="shared" si="211"/>
        <v>4896.4380000000001</v>
      </c>
      <c r="U62" s="329">
        <f t="shared" si="211"/>
        <v>4526.3689999999997</v>
      </c>
      <c r="V62" s="329">
        <f t="shared" si="211"/>
        <v>4417.8749999999991</v>
      </c>
      <c r="W62" s="329">
        <f t="shared" si="211"/>
        <v>3495.0745000000011</v>
      </c>
      <c r="X62" s="329">
        <f t="shared" si="211"/>
        <v>1866.424</v>
      </c>
      <c r="Y62" s="329">
        <f t="shared" si="211"/>
        <v>2192.5824999999995</v>
      </c>
      <c r="Z62" s="329">
        <f t="shared" si="211"/>
        <v>2799.3996999999999</v>
      </c>
      <c r="AA62" s="329">
        <f t="shared" si="211"/>
        <v>4293.2714999999989</v>
      </c>
      <c r="AB62" s="329">
        <f t="shared" si="211"/>
        <v>4775.3970000000008</v>
      </c>
      <c r="AC62" s="329">
        <f t="shared" si="211"/>
        <v>3318.6420999999996</v>
      </c>
      <c r="AD62" s="488">
        <f>SUM(R62:AC62)/(12-COUNTIF(R10:AC10,0))</f>
        <v>3688.0240250000002</v>
      </c>
      <c r="AE62" s="491">
        <f t="shared" ref="AE62" si="212">AE31</f>
        <v>1839.7309999999998</v>
      </c>
      <c r="AF62" s="492">
        <f>AF31</f>
        <v>2957.2660000000001</v>
      </c>
      <c r="AG62" s="492">
        <f t="shared" ref="AG62:AP62" si="213">AG31</f>
        <v>4821.92</v>
      </c>
      <c r="AH62" s="492">
        <f t="shared" si="213"/>
        <v>4088.2489999999993</v>
      </c>
      <c r="AI62" s="492">
        <f t="shared" si="213"/>
        <v>4828.9710000000005</v>
      </c>
      <c r="AJ62" s="492">
        <f t="shared" si="213"/>
        <v>4232.4530000000004</v>
      </c>
      <c r="AK62" s="492">
        <f t="shared" si="213"/>
        <v>4561.6410000000005</v>
      </c>
      <c r="AL62" s="492">
        <f t="shared" si="213"/>
        <v>4570.5645000000004</v>
      </c>
      <c r="AM62" s="492">
        <f t="shared" si="213"/>
        <v>4555.5080000000007</v>
      </c>
      <c r="AN62" s="492">
        <f t="shared" si="213"/>
        <v>3173.9179999999997</v>
      </c>
      <c r="AO62" s="492">
        <f t="shared" si="213"/>
        <v>2323.2630000000004</v>
      </c>
      <c r="AP62" s="493">
        <f t="shared" si="213"/>
        <v>3552.8617999999997</v>
      </c>
      <c r="AQ62" s="488">
        <f>SUM(AE62:AP62)/(12-COUNTIF(AE10:AP10,0))</f>
        <v>3792.1955249999996</v>
      </c>
      <c r="AR62" s="494">
        <f t="shared" si="152"/>
        <v>104.17149999999947</v>
      </c>
      <c r="AS62" s="489">
        <f t="shared" ref="AS62:BD62" si="214">AS31</f>
        <v>3955</v>
      </c>
      <c r="AT62" s="329">
        <f t="shared" si="214"/>
        <v>3245</v>
      </c>
      <c r="AU62" s="329">
        <f t="shared" si="214"/>
        <v>4145</v>
      </c>
      <c r="AV62" s="329">
        <f t="shared" si="214"/>
        <v>4155</v>
      </c>
      <c r="AW62" s="329">
        <f t="shared" si="214"/>
        <v>4145</v>
      </c>
      <c r="AX62" s="329">
        <f t="shared" si="214"/>
        <v>4230</v>
      </c>
      <c r="AY62" s="329">
        <f t="shared" si="214"/>
        <v>4330</v>
      </c>
      <c r="AZ62" s="329">
        <f t="shared" si="214"/>
        <v>4370</v>
      </c>
      <c r="BA62" s="329">
        <f t="shared" si="214"/>
        <v>4355</v>
      </c>
      <c r="BB62" s="329">
        <f t="shared" si="214"/>
        <v>4380</v>
      </c>
      <c r="BC62" s="329">
        <f t="shared" si="214"/>
        <v>4320</v>
      </c>
      <c r="BD62" s="378">
        <f t="shared" si="214"/>
        <v>4370</v>
      </c>
      <c r="BE62" s="490">
        <f>SUM(AS62:BD62)/(12-COUNTIF(AS10:BD10,0))</f>
        <v>4166.666666666667</v>
      </c>
      <c r="BF62" s="491">
        <f t="shared" si="211"/>
        <v>2868.56925</v>
      </c>
      <c r="BG62" s="492">
        <f>BG31</f>
        <v>1811.1000000000001</v>
      </c>
      <c r="BH62" s="492">
        <f t="shared" si="211"/>
        <v>4279.4889999999996</v>
      </c>
      <c r="BI62" s="492">
        <f t="shared" si="211"/>
        <v>4370.2853999999998</v>
      </c>
      <c r="BJ62" s="492">
        <f t="shared" si="211"/>
        <v>3592.6819999999998</v>
      </c>
      <c r="BK62" s="492">
        <f t="shared" si="211"/>
        <v>0</v>
      </c>
      <c r="BL62" s="492">
        <f t="shared" si="211"/>
        <v>0</v>
      </c>
      <c r="BM62" s="492">
        <f t="shared" si="211"/>
        <v>0</v>
      </c>
      <c r="BN62" s="492">
        <f t="shared" si="211"/>
        <v>0</v>
      </c>
      <c r="BO62" s="492">
        <f t="shared" si="211"/>
        <v>0</v>
      </c>
      <c r="BP62" s="492">
        <f t="shared" si="211"/>
        <v>0</v>
      </c>
      <c r="BQ62" s="493">
        <f t="shared" si="211"/>
        <v>0</v>
      </c>
      <c r="BR62" s="488">
        <f>SUM(BF62:BQ62)/(12-COUNTIF(BF10:BQ10,0))</f>
        <v>3384.4251300000005</v>
      </c>
      <c r="BS62" s="494">
        <f>BR62-AQ62</f>
        <v>-407.7703949999991</v>
      </c>
      <c r="BT62" s="492">
        <f>BE62</f>
        <v>4166.666666666667</v>
      </c>
      <c r="BU62" s="492" cm="1">
        <f t="array" ref="BU62">INDEX($AS62:$BD62,,$D$4)</f>
        <v>3955</v>
      </c>
      <c r="BV62" s="495" cm="1">
        <f t="array" ref="BV62">INDEX($BF62:$BQ62,,$D$4)-BU62</f>
        <v>-1086.43075</v>
      </c>
      <c r="BW62" s="475"/>
      <c r="BX62" s="616"/>
      <c r="BY62" s="476"/>
      <c r="BZ62" s="496"/>
      <c r="CA62" s="497"/>
      <c r="CB62" s="498"/>
      <c r="CC62" s="492"/>
    </row>
    <row r="63" spans="1:82" x14ac:dyDescent="0.3">
      <c r="A63" s="170">
        <v>25</v>
      </c>
      <c r="B63" s="640" t="s">
        <v>182</v>
      </c>
      <c r="C63" s="640"/>
      <c r="D63" s="640"/>
      <c r="E63" s="289">
        <f t="shared" ref="E63:G63" si="215">SUM(E41,E44,E46,E48,E51)</f>
        <v>23.272827611678363</v>
      </c>
      <c r="F63" s="289">
        <f t="shared" si="215"/>
        <v>22.988958065392605</v>
      </c>
      <c r="G63" s="289">
        <f t="shared" si="215"/>
        <v>22.681416894019357</v>
      </c>
      <c r="H63" s="289">
        <f>SUM(H41,H44,H46,H48,H51)</f>
        <v>22.022091720989302</v>
      </c>
      <c r="I63" s="289">
        <f t="shared" ref="I63:Q63" si="216">SUM(I41,I44,I46,I48,I51)</f>
        <v>21.697313536752585</v>
      </c>
      <c r="J63" s="289">
        <f t="shared" si="216"/>
        <v>22.551223679948059</v>
      </c>
      <c r="K63" s="289">
        <f t="shared" si="216"/>
        <v>19.165582575655666</v>
      </c>
      <c r="L63" s="289">
        <f t="shared" si="216"/>
        <v>18.316712544044094</v>
      </c>
      <c r="M63" s="289">
        <f t="shared" si="216"/>
        <v>19.152547569770331</v>
      </c>
      <c r="N63" s="289">
        <f t="shared" si="216"/>
        <v>17.787451636792891</v>
      </c>
      <c r="O63" s="289">
        <f t="shared" si="216"/>
        <v>19.180631646628733</v>
      </c>
      <c r="P63" s="289">
        <f t="shared" si="216"/>
        <v>19.131844695783933</v>
      </c>
      <c r="Q63" s="374">
        <f t="shared" si="216"/>
        <v>19.760467905924752</v>
      </c>
      <c r="R63" s="289">
        <f t="shared" ref="R63:W63" si="217">SUM(R41,R44,R46,R48,R51)</f>
        <v>17.948177509556348</v>
      </c>
      <c r="S63" s="289">
        <f t="shared" si="217"/>
        <v>19.396253595809295</v>
      </c>
      <c r="T63" s="289">
        <f t="shared" si="217"/>
        <v>19.383062338985635</v>
      </c>
      <c r="U63" s="289">
        <f>SUM(U41,U44,U46,U48,U51)</f>
        <v>19.937223798176124</v>
      </c>
      <c r="V63" s="289">
        <f t="shared" si="217"/>
        <v>19.122937523781076</v>
      </c>
      <c r="W63" s="289">
        <f t="shared" si="217"/>
        <v>18.628787451937896</v>
      </c>
      <c r="X63" s="289">
        <f t="shared" ref="X63:AQ63" si="218">SUM(X41,X44,X46,X48,X51)</f>
        <v>19.143955212370578</v>
      </c>
      <c r="Y63" s="289">
        <f t="shared" si="218"/>
        <v>18.69607359042805</v>
      </c>
      <c r="Z63" s="289">
        <f t="shared" si="218"/>
        <v>19.616423624724003</v>
      </c>
      <c r="AA63" s="289">
        <f t="shared" si="218"/>
        <v>19.368928154266165</v>
      </c>
      <c r="AB63" s="289">
        <f t="shared" si="218"/>
        <v>18.911342412100201</v>
      </c>
      <c r="AC63" s="289">
        <f t="shared" si="218"/>
        <v>18.660515558360363</v>
      </c>
      <c r="AD63" s="374">
        <f t="shared" si="218"/>
        <v>19.06531599293432</v>
      </c>
      <c r="AE63" s="372">
        <f t="shared" si="218"/>
        <v>18.809168361423463</v>
      </c>
      <c r="AF63" s="289">
        <f t="shared" si="218"/>
        <v>19.134725949147043</v>
      </c>
      <c r="AG63" s="289">
        <f t="shared" si="218"/>
        <v>19.943095257355971</v>
      </c>
      <c r="AH63" s="289">
        <f t="shared" si="218"/>
        <v>20.632131751151366</v>
      </c>
      <c r="AI63" s="289">
        <f t="shared" si="218"/>
        <v>20.818085604552159</v>
      </c>
      <c r="AJ63" s="289">
        <f t="shared" si="218"/>
        <v>20.751640374033379</v>
      </c>
      <c r="AK63" s="289">
        <f t="shared" si="218"/>
        <v>21.370348103005817</v>
      </c>
      <c r="AL63" s="289">
        <f t="shared" si="218"/>
        <v>21.271780421519004</v>
      </c>
      <c r="AM63" s="289">
        <f t="shared" si="218"/>
        <v>20.991409533362731</v>
      </c>
      <c r="AN63" s="289">
        <f t="shared" si="218"/>
        <v>19.679565105362808</v>
      </c>
      <c r="AO63" s="289">
        <f t="shared" si="218"/>
        <v>18.586108130902094</v>
      </c>
      <c r="AP63" s="384">
        <f t="shared" si="218"/>
        <v>19.327182839530295</v>
      </c>
      <c r="AQ63" s="374">
        <f t="shared" si="218"/>
        <v>20.320393161312861</v>
      </c>
      <c r="AR63" s="477">
        <f t="shared" si="152"/>
        <v>1.2550771683785413</v>
      </c>
      <c r="AS63" s="372">
        <f t="shared" ref="AS63:BE63" si="219">SUM(AS41,AS44,AS46,AS48,AS51)</f>
        <v>18.431726470342596</v>
      </c>
      <c r="AT63" s="332">
        <f t="shared" si="219"/>
        <v>18.451474250159915</v>
      </c>
      <c r="AU63" s="332">
        <f t="shared" si="219"/>
        <v>18.438634792425869</v>
      </c>
      <c r="AV63" s="332">
        <f t="shared" si="219"/>
        <v>18.437790087302357</v>
      </c>
      <c r="AW63" s="332">
        <f t="shared" si="219"/>
        <v>18.438634792425869</v>
      </c>
      <c r="AX63" s="332">
        <f t="shared" si="219"/>
        <v>18.444677171187934</v>
      </c>
      <c r="AY63" s="332">
        <f t="shared" si="219"/>
        <v>18.442961478007483</v>
      </c>
      <c r="AZ63" s="332">
        <f t="shared" si="219"/>
        <v>18.452384834709342</v>
      </c>
      <c r="BA63" s="332">
        <f t="shared" si="219"/>
        <v>18.44092185880886</v>
      </c>
      <c r="BB63" s="332">
        <f t="shared" si="219"/>
        <v>18.45155212918171</v>
      </c>
      <c r="BC63" s="332">
        <f t="shared" si="219"/>
        <v>18.443783935563964</v>
      </c>
      <c r="BD63" s="381">
        <f t="shared" si="219"/>
        <v>18.452384834709342</v>
      </c>
      <c r="BE63" s="383">
        <f t="shared" si="219"/>
        <v>18.443916461714945</v>
      </c>
      <c r="BF63" s="372">
        <f t="shared" ref="BF63:BR63" si="220">SUM(BF41,BF44,BF46,BF48,BF51)</f>
        <v>19.575337209777519</v>
      </c>
      <c r="BG63" s="289">
        <f t="shared" ref="BG63:BQ63" si="221">SUM(BG41,BG44,BG46,BG48,BG51)</f>
        <v>18.521581012658768</v>
      </c>
      <c r="BH63" s="289">
        <f t="shared" si="221"/>
        <v>19.19105057386151</v>
      </c>
      <c r="BI63" s="289">
        <f t="shared" si="221"/>
        <v>18.446340251474307</v>
      </c>
      <c r="BJ63" s="289">
        <f t="shared" si="221"/>
        <v>19.589332330935022</v>
      </c>
      <c r="BK63" s="289">
        <f t="shared" si="221"/>
        <v>0</v>
      </c>
      <c r="BL63" s="289">
        <f t="shared" si="221"/>
        <v>0</v>
      </c>
      <c r="BM63" s="289">
        <f t="shared" si="221"/>
        <v>0</v>
      </c>
      <c r="BN63" s="289">
        <f t="shared" si="221"/>
        <v>0</v>
      </c>
      <c r="BO63" s="289">
        <f t="shared" si="221"/>
        <v>0</v>
      </c>
      <c r="BP63" s="289">
        <f t="shared" si="221"/>
        <v>0</v>
      </c>
      <c r="BQ63" s="384">
        <f t="shared" si="221"/>
        <v>0</v>
      </c>
      <c r="BR63" s="374">
        <f t="shared" si="220"/>
        <v>19.076772942025617</v>
      </c>
      <c r="BS63" s="477">
        <f t="shared" ref="BS63:BS64" si="222">BR63-AQ63</f>
        <v>-1.2436202192872443</v>
      </c>
      <c r="BT63" s="289">
        <f t="shared" ref="BT63:BU63" si="223">SUM(BT41,BT44,BT46,BT48,BT51)</f>
        <v>18.443916461714945</v>
      </c>
      <c r="BU63" s="289">
        <f t="shared" si="223"/>
        <v>18.431726470342596</v>
      </c>
      <c r="BV63" s="431" cm="1">
        <f t="array" ref="BV63">INDEX($BF63:$BQ63,,$D$4)-BU63</f>
        <v>1.1436107394349229</v>
      </c>
      <c r="BW63" s="478">
        <f>AD63/$AD$60</f>
        <v>0.74056671011426067</v>
      </c>
      <c r="BX63" s="617">
        <f>AQ63/$AQ$60</f>
        <v>0.72124335838490272</v>
      </c>
      <c r="BY63" s="479">
        <f>BE63/$BE$60</f>
        <v>0.71847069096176452</v>
      </c>
      <c r="BZ63" s="480">
        <f>BR63/$BR$60</f>
        <v>0.708929960890892</v>
      </c>
      <c r="CA63" s="435">
        <f t="shared" ref="CA63:CA64" si="224">BZ63-BX63</f>
        <v>-1.2313397494010725E-2</v>
      </c>
      <c r="CB63" s="435">
        <f>BZ63-BY63</f>
        <v>-9.5407300708725273E-3</v>
      </c>
      <c r="CC63" s="462"/>
    </row>
    <row r="64" spans="1:82" ht="16.2" thickBot="1" x14ac:dyDescent="0.35">
      <c r="A64" s="170">
        <v>26</v>
      </c>
      <c r="B64" s="641" t="s">
        <v>183</v>
      </c>
      <c r="C64" s="641"/>
      <c r="D64" s="641"/>
      <c r="E64" s="293">
        <f t="shared" ref="E64:K64" si="225">E60-E63</f>
        <v>17.636601157542611</v>
      </c>
      <c r="F64" s="293">
        <f t="shared" si="225"/>
        <v>12.443007389554477</v>
      </c>
      <c r="G64" s="293">
        <f t="shared" si="225"/>
        <v>10.549817974702705</v>
      </c>
      <c r="H64" s="293">
        <f t="shared" si="225"/>
        <v>10.721027241748736</v>
      </c>
      <c r="I64" s="293">
        <f t="shared" si="225"/>
        <v>9.1825577686418889</v>
      </c>
      <c r="J64" s="293">
        <f t="shared" si="225"/>
        <v>11.787930508292007</v>
      </c>
      <c r="K64" s="293">
        <f t="shared" si="225"/>
        <v>8.4737191599845509</v>
      </c>
      <c r="L64" s="293">
        <f>L60-L63</f>
        <v>7.9618960543800199</v>
      </c>
      <c r="M64" s="293">
        <f t="shared" ref="M64:P64" si="226">M60-M63</f>
        <v>8.2431523685777606</v>
      </c>
      <c r="N64" s="293">
        <f t="shared" si="226"/>
        <v>7.2158989573885073</v>
      </c>
      <c r="O64" s="293">
        <f t="shared" si="226"/>
        <v>10.106347584570354</v>
      </c>
      <c r="P64" s="293">
        <f t="shared" si="226"/>
        <v>5.5649333637903453</v>
      </c>
      <c r="Q64" s="375">
        <f>Q60-Q63</f>
        <v>4.9017272604390136</v>
      </c>
      <c r="R64" s="293">
        <f t="shared" ref="R64:X64" si="227">R60-R63</f>
        <v>4.8780339976517411</v>
      </c>
      <c r="S64" s="293">
        <f t="shared" si="227"/>
        <v>7.551524532815403</v>
      </c>
      <c r="T64" s="293">
        <f t="shared" si="227"/>
        <v>4.9229263528772549</v>
      </c>
      <c r="U64" s="293">
        <f t="shared" si="227"/>
        <v>5.8158763961429862</v>
      </c>
      <c r="V64" s="293">
        <f t="shared" si="227"/>
        <v>5.8819685079050785</v>
      </c>
      <c r="W64" s="293">
        <f t="shared" si="227"/>
        <v>7.1338659179749406</v>
      </c>
      <c r="X64" s="293">
        <f t="shared" si="227"/>
        <v>11.779626940788017</v>
      </c>
      <c r="Y64" s="293">
        <f>Y60-Y63</f>
        <v>10.50149758576169</v>
      </c>
      <c r="Z64" s="293">
        <f t="shared" ref="Z64:AA64" si="228">Z60-Z63</f>
        <v>8.9191817107551081</v>
      </c>
      <c r="AA64" s="293">
        <f t="shared" si="228"/>
        <v>5.9470098169503949</v>
      </c>
      <c r="AB64" s="293">
        <f t="shared" ref="AB64:AC64" si="229">AB60-AB63</f>
        <v>5.5693888864892784</v>
      </c>
      <c r="AC64" s="293">
        <f t="shared" si="229"/>
        <v>8.1066994498543039</v>
      </c>
      <c r="AD64" s="375">
        <f>AD60-AD63</f>
        <v>6.6789089803874866</v>
      </c>
      <c r="AE64" s="373">
        <f t="shared" ref="AE64:AQ64" si="230">AE60-AE63</f>
        <v>13.502163882111024</v>
      </c>
      <c r="AF64" s="293">
        <f t="shared" si="230"/>
        <v>8.7441190082326052</v>
      </c>
      <c r="AG64" s="293">
        <f t="shared" si="230"/>
        <v>5.9005340694163309</v>
      </c>
      <c r="AH64" s="293">
        <f t="shared" si="230"/>
        <v>7.0902206497207025</v>
      </c>
      <c r="AI64" s="293">
        <f t="shared" si="230"/>
        <v>6.1053046278389331</v>
      </c>
      <c r="AJ64" s="293">
        <f t="shared" si="230"/>
        <v>7.2373862200005554</v>
      </c>
      <c r="AK64" s="293">
        <f t="shared" si="230"/>
        <v>7.1671479110258751</v>
      </c>
      <c r="AL64" s="293">
        <f t="shared" si="230"/>
        <v>7.1785910431851434</v>
      </c>
      <c r="AM64" s="293">
        <f t="shared" si="230"/>
        <v>7.3600557547039784</v>
      </c>
      <c r="AN64" s="293">
        <f t="shared" si="230"/>
        <v>9.9687903695054523</v>
      </c>
      <c r="AO64" s="293">
        <f t="shared" si="230"/>
        <v>12.417427606775465</v>
      </c>
      <c r="AP64" s="382">
        <f t="shared" si="230"/>
        <v>8.3370476802672151</v>
      </c>
      <c r="AQ64" s="375">
        <f t="shared" si="230"/>
        <v>7.8537216157254974</v>
      </c>
      <c r="AR64" s="481">
        <f t="shared" si="152"/>
        <v>1.1748126353380108</v>
      </c>
      <c r="AS64" s="373">
        <f>AS60-AS63</f>
        <v>7.3774300722982105</v>
      </c>
      <c r="AT64" s="293">
        <f t="shared" ref="AT64:BE64" si="231">AT60-AT63</f>
        <v>8.5273807369091905</v>
      </c>
      <c r="AU64" s="293">
        <f t="shared" si="231"/>
        <v>7.1374592136343296</v>
      </c>
      <c r="AV64" s="293">
        <f t="shared" si="231"/>
        <v>7.286498843902784</v>
      </c>
      <c r="AW64" s="293">
        <f t="shared" si="231"/>
        <v>7.1458149469061887</v>
      </c>
      <c r="AX64" s="293">
        <f t="shared" si="231"/>
        <v>7.2715953803371178</v>
      </c>
      <c r="AY64" s="293">
        <f t="shared" si="231"/>
        <v>7.0786418585194077</v>
      </c>
      <c r="AZ64" s="293">
        <f t="shared" si="231"/>
        <v>6.9772744148224106</v>
      </c>
      <c r="BA64" s="293">
        <f t="shared" si="231"/>
        <v>7.1167752300809646</v>
      </c>
      <c r="BB64" s="293">
        <f t="shared" si="231"/>
        <v>6.9949706725785994</v>
      </c>
      <c r="BC64" s="293">
        <f t="shared" si="231"/>
        <v>7.1225866258761883</v>
      </c>
      <c r="BD64" s="382">
        <f t="shared" si="231"/>
        <v>7.0316269592705574</v>
      </c>
      <c r="BE64" s="375">
        <f t="shared" si="231"/>
        <v>7.2271605825349923</v>
      </c>
      <c r="BF64" s="373">
        <f t="shared" ref="BF64:BR64" si="232">BF60-BF63</f>
        <v>9.2754693560213006</v>
      </c>
      <c r="BG64" s="293">
        <f t="shared" ref="BG64:BQ64" si="233">BG60-BG63</f>
        <v>12.673245003588978</v>
      </c>
      <c r="BH64" s="293">
        <f t="shared" si="233"/>
        <v>5.8044003260669683</v>
      </c>
      <c r="BI64" s="293">
        <f t="shared" si="233"/>
        <v>6.6580628942448463</v>
      </c>
      <c r="BJ64" s="293">
        <f t="shared" si="233"/>
        <v>8.0844349165887763</v>
      </c>
      <c r="BK64" s="293">
        <f t="shared" si="233"/>
        <v>0</v>
      </c>
      <c r="BL64" s="293">
        <f t="shared" si="233"/>
        <v>0</v>
      </c>
      <c r="BM64" s="293">
        <f t="shared" si="233"/>
        <v>0</v>
      </c>
      <c r="BN64" s="293">
        <f t="shared" si="233"/>
        <v>0</v>
      </c>
      <c r="BO64" s="293">
        <f t="shared" si="233"/>
        <v>0</v>
      </c>
      <c r="BP64" s="293">
        <f t="shared" si="233"/>
        <v>0</v>
      </c>
      <c r="BQ64" s="382">
        <f t="shared" si="233"/>
        <v>0</v>
      </c>
      <c r="BR64" s="375">
        <f t="shared" si="232"/>
        <v>7.8324762002343356</v>
      </c>
      <c r="BS64" s="481">
        <f t="shared" si="222"/>
        <v>-2.1245415491161879E-2</v>
      </c>
      <c r="BT64" s="293">
        <f>BT60-BT63</f>
        <v>7.2271605825349923</v>
      </c>
      <c r="BU64" s="293">
        <f>BU60-BU63</f>
        <v>7.3774300722982105</v>
      </c>
      <c r="BV64" s="455" cm="1">
        <f t="array" ref="BV64">INDEX($BF64:$BQ64,,$D$4)-BU64</f>
        <v>1.8980392837230902</v>
      </c>
      <c r="BW64" s="482">
        <f>AD64/$AD$60</f>
        <v>0.25943328988573933</v>
      </c>
      <c r="BX64" s="618">
        <f>AQ64/$AQ$60</f>
        <v>0.27875664161509728</v>
      </c>
      <c r="BY64" s="483">
        <f>BE64/$BE$60</f>
        <v>0.28152930903823542</v>
      </c>
      <c r="BZ64" s="484">
        <f>BR64/$BR$60</f>
        <v>0.291070039109108</v>
      </c>
      <c r="CA64" s="485">
        <f t="shared" si="224"/>
        <v>1.2313397494010725E-2</v>
      </c>
      <c r="CB64" s="486">
        <f>BZ64-BY64</f>
        <v>9.5407300708725828E-3</v>
      </c>
      <c r="CC64" s="460"/>
    </row>
    <row r="65" spans="1:81" ht="16.2" thickTop="1" x14ac:dyDescent="0.3">
      <c r="A65" s="170"/>
      <c r="B65" s="213"/>
      <c r="C65" s="213"/>
      <c r="D65" s="213"/>
      <c r="E65" s="213"/>
      <c r="F65" s="213"/>
      <c r="G65" s="213"/>
      <c r="H65" s="213"/>
      <c r="I65" s="297"/>
      <c r="J65" s="297"/>
      <c r="K65" s="297"/>
      <c r="L65" s="297"/>
      <c r="M65" s="297"/>
      <c r="N65" s="297"/>
      <c r="O65" s="297"/>
      <c r="P65" s="297"/>
      <c r="Q65" s="297"/>
      <c r="R65" s="540"/>
      <c r="S65" s="213"/>
      <c r="T65" s="213"/>
      <c r="U65" s="213"/>
      <c r="V65" s="297"/>
      <c r="W65" s="297"/>
      <c r="X65" s="297"/>
      <c r="Y65" s="297"/>
      <c r="Z65" s="297"/>
      <c r="AA65" s="297"/>
      <c r="AB65" s="297"/>
      <c r="AC65" s="297"/>
      <c r="AD65" s="297"/>
      <c r="AE65" s="558"/>
      <c r="AF65" s="297"/>
      <c r="AG65" s="297"/>
      <c r="AH65" s="297"/>
      <c r="AI65" s="297"/>
      <c r="AJ65" s="297"/>
      <c r="AK65" s="297"/>
      <c r="AL65" s="297"/>
      <c r="AM65" s="297"/>
      <c r="AN65" s="297"/>
      <c r="AO65" s="297"/>
      <c r="AP65" s="297"/>
      <c r="AQ65" s="297"/>
      <c r="AR65" s="298"/>
      <c r="AS65" s="298"/>
      <c r="AT65" s="298"/>
      <c r="AU65" s="298"/>
      <c r="AV65" s="298"/>
      <c r="AW65" s="298"/>
      <c r="AX65" s="298"/>
      <c r="AY65" s="298"/>
      <c r="AZ65" s="298"/>
      <c r="BA65" s="298"/>
      <c r="BB65" s="298"/>
      <c r="BC65" s="298"/>
      <c r="BD65" s="298"/>
      <c r="BE65" s="298"/>
      <c r="BF65" s="558"/>
      <c r="BG65" s="297"/>
      <c r="BH65" s="297"/>
      <c r="BI65" s="297"/>
      <c r="BJ65" s="297"/>
      <c r="BK65" s="297"/>
      <c r="BL65" s="297"/>
      <c r="BM65" s="297"/>
      <c r="BN65" s="297"/>
      <c r="BO65" s="297"/>
      <c r="BP65" s="297"/>
      <c r="BQ65" s="297"/>
      <c r="BR65" s="297"/>
      <c r="BS65" s="298"/>
      <c r="BT65" s="298"/>
      <c r="BU65" s="213"/>
      <c r="BV65" s="216"/>
      <c r="BW65" s="216"/>
      <c r="BX65" s="216"/>
      <c r="BY65" s="213"/>
      <c r="BZ65" s="213"/>
      <c r="CA65" s="213"/>
      <c r="CB65" s="213"/>
      <c r="CC65" s="213"/>
    </row>
    <row r="66" spans="1:81" x14ac:dyDescent="0.3">
      <c r="A66" s="170"/>
      <c r="B66" s="213"/>
      <c r="C66" s="213"/>
      <c r="D66" s="213"/>
      <c r="E66" s="213"/>
      <c r="F66" s="213"/>
      <c r="G66" s="213"/>
      <c r="H66" s="213"/>
      <c r="I66" s="297"/>
      <c r="J66" s="297"/>
      <c r="K66" s="297"/>
      <c r="L66" s="297"/>
      <c r="M66" s="297"/>
      <c r="N66" s="297"/>
      <c r="O66" s="297"/>
      <c r="P66" s="297"/>
      <c r="Q66" s="297"/>
      <c r="R66" s="213"/>
      <c r="S66" s="213"/>
      <c r="T66" s="213"/>
      <c r="U66" s="213"/>
      <c r="V66" s="297"/>
      <c r="W66" s="297"/>
      <c r="X66" s="297"/>
      <c r="Y66" s="297"/>
      <c r="Z66" s="297"/>
      <c r="AA66" s="297"/>
      <c r="AB66" s="297"/>
      <c r="AC66" s="297"/>
      <c r="AD66" s="297"/>
      <c r="AE66" s="558"/>
      <c r="AF66" s="297"/>
      <c r="AG66" s="297"/>
      <c r="AH66" s="297"/>
      <c r="AI66" s="297"/>
      <c r="AJ66" s="297"/>
      <c r="AK66" s="297"/>
      <c r="AL66" s="297"/>
      <c r="AM66" s="297"/>
      <c r="AN66" s="297"/>
      <c r="AO66" s="297"/>
      <c r="AP66" s="297"/>
      <c r="AQ66" s="297"/>
      <c r="AR66" s="299"/>
      <c r="AS66" s="298"/>
      <c r="AT66" s="298"/>
      <c r="AU66" s="298"/>
      <c r="AV66" s="298"/>
      <c r="AW66" s="298"/>
      <c r="AX66" s="298"/>
      <c r="AY66" s="298"/>
      <c r="AZ66" s="298"/>
      <c r="BA66" s="298"/>
      <c r="BB66" s="298"/>
      <c r="BC66" s="298"/>
      <c r="BD66" s="298"/>
      <c r="BE66" s="298"/>
      <c r="BF66" s="558"/>
      <c r="BG66" s="297"/>
      <c r="BH66" s="297"/>
      <c r="BI66" s="297"/>
      <c r="BJ66" s="297"/>
      <c r="BK66" s="297"/>
      <c r="BL66" s="297"/>
      <c r="BM66" s="297"/>
      <c r="BN66" s="297"/>
      <c r="BO66" s="297"/>
      <c r="BP66" s="297"/>
      <c r="BQ66" s="297"/>
      <c r="BR66" s="297"/>
      <c r="BS66" s="299"/>
      <c r="BT66" s="298"/>
      <c r="BU66" s="213"/>
      <c r="BV66" s="216"/>
      <c r="BW66" s="216"/>
      <c r="BX66" s="216"/>
      <c r="BY66" s="213"/>
      <c r="BZ66" s="213"/>
      <c r="CA66" s="213"/>
      <c r="CB66" s="213"/>
      <c r="CC66" s="213"/>
    </row>
    <row r="67" spans="1:81" ht="21" x14ac:dyDescent="0.4">
      <c r="B67" s="162" t="s">
        <v>313</v>
      </c>
      <c r="AQ67" s="166"/>
      <c r="BR67" s="166"/>
    </row>
    <row r="68" spans="1:81" ht="16.2" thickBot="1" x14ac:dyDescent="0.35">
      <c r="D68" s="164" t="s">
        <v>184</v>
      </c>
    </row>
    <row r="69" spans="1:81" ht="31.8" thickTop="1" x14ac:dyDescent="0.3">
      <c r="B69" s="228" t="s">
        <v>57</v>
      </c>
      <c r="C69" s="171" t="s">
        <v>58</v>
      </c>
      <c r="D69" s="228" t="s">
        <v>59</v>
      </c>
      <c r="E69" s="621" t="s">
        <v>116</v>
      </c>
      <c r="F69" s="621" t="s">
        <v>119</v>
      </c>
      <c r="G69" s="621" t="s">
        <v>120</v>
      </c>
      <c r="H69" s="621" t="s">
        <v>121</v>
      </c>
      <c r="I69" s="621" t="s">
        <v>122</v>
      </c>
      <c r="J69" s="621" t="s">
        <v>123</v>
      </c>
      <c r="K69" s="621" t="s">
        <v>124</v>
      </c>
      <c r="L69" s="621" t="s">
        <v>259</v>
      </c>
      <c r="M69" s="621" t="s">
        <v>125</v>
      </c>
      <c r="N69" s="621" t="s">
        <v>69</v>
      </c>
      <c r="O69" s="621" t="s">
        <v>70</v>
      </c>
      <c r="P69" s="622" t="s">
        <v>71</v>
      </c>
      <c r="Q69" s="620" t="s">
        <v>258</v>
      </c>
      <c r="R69" s="623" t="s">
        <v>72</v>
      </c>
      <c r="S69" s="623" t="s">
        <v>73</v>
      </c>
      <c r="T69" s="623" t="s">
        <v>74</v>
      </c>
      <c r="U69" s="623" t="s">
        <v>75</v>
      </c>
      <c r="V69" s="623" t="s">
        <v>76</v>
      </c>
      <c r="W69" s="623" t="s">
        <v>77</v>
      </c>
      <c r="X69" s="623" t="s">
        <v>78</v>
      </c>
      <c r="Y69" s="623" t="s">
        <v>79</v>
      </c>
      <c r="Z69" s="623" t="s">
        <v>80</v>
      </c>
      <c r="AA69" s="623" t="s">
        <v>81</v>
      </c>
      <c r="AB69" s="623" t="s">
        <v>82</v>
      </c>
      <c r="AC69" s="624" t="s">
        <v>83</v>
      </c>
      <c r="AD69" s="619" t="s">
        <v>175</v>
      </c>
      <c r="AE69" s="538" t="s">
        <v>229</v>
      </c>
      <c r="AF69" s="538" t="s">
        <v>230</v>
      </c>
      <c r="AG69" s="538" t="s">
        <v>231</v>
      </c>
      <c r="AH69" s="538" t="s">
        <v>232</v>
      </c>
      <c r="AI69" s="538" t="s">
        <v>233</v>
      </c>
      <c r="AJ69" s="538" t="s">
        <v>234</v>
      </c>
      <c r="AK69" s="538" t="s">
        <v>235</v>
      </c>
      <c r="AL69" s="538" t="s">
        <v>236</v>
      </c>
      <c r="AM69" s="538" t="s">
        <v>237</v>
      </c>
      <c r="AN69" s="538" t="s">
        <v>238</v>
      </c>
      <c r="AO69" s="538" t="s">
        <v>239</v>
      </c>
      <c r="AP69" s="537" t="s">
        <v>240</v>
      </c>
      <c r="AQ69" s="370" t="s">
        <v>241</v>
      </c>
      <c r="AR69" s="370"/>
      <c r="AS69" s="350" t="s">
        <v>278</v>
      </c>
      <c r="AT69" s="339" t="s">
        <v>279</v>
      </c>
      <c r="AU69" s="339" t="s">
        <v>280</v>
      </c>
      <c r="AV69" s="339" t="s">
        <v>281</v>
      </c>
      <c r="AW69" s="339" t="s">
        <v>282</v>
      </c>
      <c r="AX69" s="339" t="s">
        <v>283</v>
      </c>
      <c r="AY69" s="339" t="s">
        <v>284</v>
      </c>
      <c r="AZ69" s="339" t="s">
        <v>285</v>
      </c>
      <c r="BA69" s="339" t="s">
        <v>286</v>
      </c>
      <c r="BB69" s="339" t="s">
        <v>287</v>
      </c>
      <c r="BC69" s="339" t="s">
        <v>288</v>
      </c>
      <c r="BD69" s="376" t="s">
        <v>289</v>
      </c>
      <c r="BE69" s="379" t="s">
        <v>290</v>
      </c>
      <c r="BF69" s="231" t="str">
        <f>BF8</f>
        <v>T1.26</v>
      </c>
      <c r="BG69" s="231" t="str">
        <f t="shared" ref="BG69:BR69" si="234">BG8</f>
        <v>T2.26</v>
      </c>
      <c r="BH69" s="231" t="str">
        <f t="shared" si="234"/>
        <v>T3.26</v>
      </c>
      <c r="BI69" s="231" t="str">
        <f t="shared" si="234"/>
        <v>T4.26</v>
      </c>
      <c r="BJ69" s="231" t="str">
        <f t="shared" si="234"/>
        <v>T5.26</v>
      </c>
      <c r="BK69" s="231" t="str">
        <f t="shared" si="234"/>
        <v>T6.26</v>
      </c>
      <c r="BL69" s="231" t="str">
        <f t="shared" si="234"/>
        <v>T7.26</v>
      </c>
      <c r="BM69" s="231" t="str">
        <f t="shared" si="234"/>
        <v>T8.26</v>
      </c>
      <c r="BN69" s="231" t="str">
        <f t="shared" si="234"/>
        <v>T9.26</v>
      </c>
      <c r="BO69" s="231" t="str">
        <f t="shared" si="234"/>
        <v>T10.26</v>
      </c>
      <c r="BP69" s="231" t="str">
        <f t="shared" si="234"/>
        <v>T11.26</v>
      </c>
      <c r="BQ69" s="340" t="str">
        <f t="shared" si="234"/>
        <v>T12.26</v>
      </c>
      <c r="BR69" s="358" t="str">
        <f t="shared" si="234"/>
        <v>BQ TT 2026</v>
      </c>
      <c r="BS69" s="379" t="s">
        <v>290</v>
      </c>
      <c r="BU69" s="160"/>
      <c r="BV69" s="158"/>
      <c r="BW69" s="158"/>
      <c r="BX69" s="158"/>
    </row>
    <row r="70" spans="1:81" x14ac:dyDescent="0.3">
      <c r="B70" s="236" t="s">
        <v>162</v>
      </c>
      <c r="C70" s="213"/>
      <c r="D70" s="237" t="s">
        <v>163</v>
      </c>
      <c r="E70" s="392">
        <f t="shared" ref="E70:Q70" si="235">SUM(E71:E81)</f>
        <v>0.6358653345706291</v>
      </c>
      <c r="F70" s="392">
        <f t="shared" si="235"/>
        <v>0.72226927333721669</v>
      </c>
      <c r="G70" s="392">
        <f t="shared" si="235"/>
        <v>0.7573400542299209</v>
      </c>
      <c r="H70" s="392">
        <f t="shared" si="235"/>
        <v>0.75023792355869834</v>
      </c>
      <c r="I70" s="392">
        <f t="shared" si="235"/>
        <v>0.77985543948182168</v>
      </c>
      <c r="J70" s="392">
        <f t="shared" si="235"/>
        <v>0.74935411513318539</v>
      </c>
      <c r="K70" s="392">
        <f t="shared" si="235"/>
        <v>0.77803844975352188</v>
      </c>
      <c r="L70" s="392">
        <f t="shared" si="235"/>
        <v>0.77568930945572889</v>
      </c>
      <c r="M70" s="392">
        <f t="shared" si="235"/>
        <v>0.77538442977759081</v>
      </c>
      <c r="N70" s="392">
        <f t="shared" si="235"/>
        <v>0.79672094534725479</v>
      </c>
      <c r="O70" s="392">
        <f t="shared" si="235"/>
        <v>0.7390135047997124</v>
      </c>
      <c r="P70" s="393">
        <f t="shared" si="235"/>
        <v>0.84896890486452536</v>
      </c>
      <c r="Q70" s="394">
        <f t="shared" si="235"/>
        <v>0.85569852837427351</v>
      </c>
      <c r="R70" s="392">
        <f t="shared" ref="R70:Z70" si="236">SUM(R71:R81)</f>
        <v>0.85151858352119825</v>
      </c>
      <c r="S70" s="392">
        <f t="shared" si="236"/>
        <v>0.78361682808315858</v>
      </c>
      <c r="T70" s="392">
        <f t="shared" si="236"/>
        <v>0.85201322374191635</v>
      </c>
      <c r="U70" s="392">
        <f t="shared" si="236"/>
        <v>0.84147696012329309</v>
      </c>
      <c r="V70" s="392">
        <f t="shared" si="236"/>
        <v>0.82886768652892773</v>
      </c>
      <c r="W70" s="392">
        <f t="shared" si="236"/>
        <v>0.79204909852343397</v>
      </c>
      <c r="X70" s="392">
        <f t="shared" si="236"/>
        <v>0.68640471355286481</v>
      </c>
      <c r="Y70" s="392">
        <f t="shared" si="236"/>
        <v>0.70991197252362315</v>
      </c>
      <c r="Z70" s="392">
        <f t="shared" si="236"/>
        <v>0.75767345281680298</v>
      </c>
      <c r="AA70" s="392">
        <f t="shared" ref="AA70:AB70" si="237">SUM(AA71:AA81)</f>
        <v>0.82575863033243557</v>
      </c>
      <c r="AB70" s="392">
        <f t="shared" si="237"/>
        <v>0.83496898227094773</v>
      </c>
      <c r="AC70" s="393">
        <f t="shared" ref="AC70" si="238">SUM(AC71:AC81)</f>
        <v>0.76384984860432037</v>
      </c>
      <c r="AD70" s="394">
        <f>SUM(AD71:AD81)</f>
        <v>0.80505043133103349</v>
      </c>
      <c r="AE70" s="392">
        <f t="shared" ref="AE70:AQ70" si="239">SUM(AE71:AE81)</f>
        <v>0.64986274151822121</v>
      </c>
      <c r="AF70" s="392">
        <f t="shared" si="239"/>
        <v>0.74897025182865284</v>
      </c>
      <c r="AG70" s="392">
        <f t="shared" si="239"/>
        <v>0.83233732182888365</v>
      </c>
      <c r="AH70" s="392">
        <f t="shared" si="239"/>
        <v>0.81043607396460826</v>
      </c>
      <c r="AI70" s="392">
        <f t="shared" si="239"/>
        <v>0.83242762460478192</v>
      </c>
      <c r="AJ70" s="392">
        <f t="shared" si="239"/>
        <v>0.80456391015347517</v>
      </c>
      <c r="AK70" s="392">
        <f t="shared" si="239"/>
        <v>0.81245748120882344</v>
      </c>
      <c r="AL70" s="392">
        <f t="shared" si="239"/>
        <v>0.81299967745352808</v>
      </c>
      <c r="AM70" s="392">
        <f t="shared" si="239"/>
        <v>0.80483123119368449</v>
      </c>
      <c r="AN70" s="392">
        <f t="shared" si="239"/>
        <v>0.74014505533411379</v>
      </c>
      <c r="AO70" s="392">
        <f t="shared" si="239"/>
        <v>0.67167758793799326</v>
      </c>
      <c r="AP70" s="393">
        <f t="shared" si="239"/>
        <v>0.75798891175238869</v>
      </c>
      <c r="AQ70" s="394">
        <f t="shared" si="239"/>
        <v>0.78578015883892749</v>
      </c>
      <c r="AR70" s="394"/>
      <c r="AS70" s="392">
        <f t="shared" ref="AS70:BE70" si="240">SUM(AS71:AS81)</f>
        <v>0.77266906028979454</v>
      </c>
      <c r="AT70" s="392">
        <f t="shared" si="240"/>
        <v>0.74253059630436602</v>
      </c>
      <c r="AU70" s="392">
        <f t="shared" si="240"/>
        <v>0.779260026529215</v>
      </c>
      <c r="AV70" s="392">
        <f t="shared" si="240"/>
        <v>0.7749429884087442</v>
      </c>
      <c r="AW70" s="392">
        <f t="shared" si="240"/>
        <v>0.77888104971562278</v>
      </c>
      <c r="AX70" s="392">
        <f t="shared" si="240"/>
        <v>0.77581639570083871</v>
      </c>
      <c r="AY70" s="392">
        <f t="shared" si="240"/>
        <v>0.78324526616093959</v>
      </c>
      <c r="AZ70" s="392">
        <f t="shared" si="240"/>
        <v>0.786373640292516</v>
      </c>
      <c r="BA70" s="392">
        <f t="shared" si="240"/>
        <v>0.78236772067321703</v>
      </c>
      <c r="BB70" s="392">
        <f t="shared" si="240"/>
        <v>0.78753861296783412</v>
      </c>
      <c r="BC70" s="392">
        <f t="shared" si="240"/>
        <v>0.78354496693378661</v>
      </c>
      <c r="BD70" s="393">
        <f t="shared" si="240"/>
        <v>0.78578717530664144</v>
      </c>
      <c r="BE70" s="394">
        <f t="shared" si="240"/>
        <v>0.77843042070862667</v>
      </c>
      <c r="BF70" s="392">
        <f t="shared" ref="BF70:BJ70" si="241">SUM(BF71:BF81)</f>
        <v>0.73984882129925</v>
      </c>
      <c r="BG70" s="392">
        <f t="shared" si="241"/>
        <v>0.64846377934356536</v>
      </c>
      <c r="BH70" s="392">
        <f t="shared" si="241"/>
        <v>0.83478456440967364</v>
      </c>
      <c r="BI70" s="392">
        <f t="shared" si="241"/>
        <v>0.79885357838870785</v>
      </c>
      <c r="BJ70" s="392">
        <f t="shared" si="241"/>
        <v>0.77821188283408338</v>
      </c>
      <c r="BK70" s="392">
        <f t="shared" ref="BK70:BQ70" si="242">SUM(BK71:BK81)</f>
        <v>0</v>
      </c>
      <c r="BL70" s="392">
        <f t="shared" si="242"/>
        <v>0</v>
      </c>
      <c r="BM70" s="392">
        <f t="shared" si="242"/>
        <v>0</v>
      </c>
      <c r="BN70" s="392">
        <f t="shared" si="242"/>
        <v>0</v>
      </c>
      <c r="BO70" s="392">
        <f t="shared" si="242"/>
        <v>0</v>
      </c>
      <c r="BP70" s="392">
        <f t="shared" si="242"/>
        <v>0</v>
      </c>
      <c r="BQ70" s="393">
        <f t="shared" si="242"/>
        <v>0</v>
      </c>
      <c r="BR70" s="394">
        <f t="shared" ref="BR70:BS70" si="243">SUM(BR71:BR81)</f>
        <v>0.77340428479610857</v>
      </c>
      <c r="BS70" s="394">
        <f t="shared" si="243"/>
        <v>0.77843042070862667</v>
      </c>
      <c r="BU70" s="160"/>
      <c r="BV70" s="158"/>
      <c r="BW70" s="158"/>
      <c r="BX70" s="158"/>
    </row>
    <row r="71" spans="1:81" x14ac:dyDescent="0.3">
      <c r="B71" s="245">
        <v>1</v>
      </c>
      <c r="C71" s="246" t="s">
        <v>96</v>
      </c>
      <c r="D71" s="246" t="s">
        <v>261</v>
      </c>
      <c r="E71" s="395">
        <f t="shared" ref="E71:Q71" si="244">E41/E$60</f>
        <v>0.55703483178111923</v>
      </c>
      <c r="F71" s="395">
        <f t="shared" si="244"/>
        <v>0.63503585233586812</v>
      </c>
      <c r="G71" s="395">
        <f t="shared" si="244"/>
        <v>0.65967575257273703</v>
      </c>
      <c r="H71" s="395">
        <f t="shared" si="244"/>
        <v>0.6437162184831654</v>
      </c>
      <c r="I71" s="395">
        <f t="shared" si="244"/>
        <v>0.67373681947334074</v>
      </c>
      <c r="J71" s="395">
        <f t="shared" si="244"/>
        <v>0.63447681563222358</v>
      </c>
      <c r="K71" s="395">
        <f t="shared" si="244"/>
        <v>0.66550586213107965</v>
      </c>
      <c r="L71" s="395">
        <f t="shared" si="244"/>
        <v>0.66842847675765726</v>
      </c>
      <c r="M71" s="395">
        <f t="shared" si="244"/>
        <v>0.6667474580592756</v>
      </c>
      <c r="N71" s="395">
        <f t="shared" si="244"/>
        <v>0.67337658925781885</v>
      </c>
      <c r="O71" s="395">
        <f t="shared" si="244"/>
        <v>0.61495539690656342</v>
      </c>
      <c r="P71" s="396">
        <f t="shared" si="244"/>
        <v>0.74396002384063964</v>
      </c>
      <c r="Q71" s="397">
        <f t="shared" si="244"/>
        <v>0.78363762793459935</v>
      </c>
      <c r="R71" s="395">
        <f t="shared" ref="R71:Z71" si="245">R41/R$60</f>
        <v>0.76013521961616537</v>
      </c>
      <c r="S71" s="395">
        <f t="shared" si="245"/>
        <v>0.69334832401402491</v>
      </c>
      <c r="T71" s="395">
        <f t="shared" si="245"/>
        <v>0.77491696879616112</v>
      </c>
      <c r="U71" s="395">
        <f t="shared" si="245"/>
        <v>0.75754134239936888</v>
      </c>
      <c r="V71" s="395">
        <f t="shared" si="245"/>
        <v>0.74693486847140744</v>
      </c>
      <c r="W71" s="395">
        <f t="shared" si="245"/>
        <v>0.70443637817365046</v>
      </c>
      <c r="X71" s="395">
        <f t="shared" si="245"/>
        <v>0.59125083283202562</v>
      </c>
      <c r="Y71" s="395">
        <f t="shared" si="245"/>
        <v>0.62201245766764413</v>
      </c>
      <c r="Z71" s="395">
        <f t="shared" si="245"/>
        <v>0.66573661512789317</v>
      </c>
      <c r="AA71" s="395">
        <f t="shared" ref="AA71:AB71" si="246">AA41/AA$60</f>
        <v>0.73828483213305041</v>
      </c>
      <c r="AB71" s="395">
        <f t="shared" si="246"/>
        <v>0.74830303339139259</v>
      </c>
      <c r="AC71" s="396">
        <f t="shared" ref="AC71:BR71" si="247">AC41/AC$60</f>
        <v>0.6830888946347865</v>
      </c>
      <c r="AD71" s="397">
        <f t="shared" si="247"/>
        <v>0.71889435612884234</v>
      </c>
      <c r="AE71" s="395">
        <f>IFERROR(AE41/AE$60,0)</f>
        <v>0.56675296479787496</v>
      </c>
      <c r="AF71" s="395">
        <f t="shared" ref="AF71:AP71" si="248">IFERROR(AF41/AF$60,0)</f>
        <v>0.66692529626759733</v>
      </c>
      <c r="AG71" s="395">
        <f t="shared" si="248"/>
        <v>0.75025382612095581</v>
      </c>
      <c r="AH71" s="395">
        <f t="shared" si="248"/>
        <v>0.72169706571674552</v>
      </c>
      <c r="AI71" s="395">
        <f t="shared" si="248"/>
        <v>0.74803570058240976</v>
      </c>
      <c r="AJ71" s="395">
        <f t="shared" si="248"/>
        <v>0.71538782408672541</v>
      </c>
      <c r="AK71" s="395">
        <f t="shared" si="248"/>
        <v>0.71906835234908584</v>
      </c>
      <c r="AL71" s="395">
        <f t="shared" si="248"/>
        <v>0.71982719111543281</v>
      </c>
      <c r="AM71" s="395">
        <f t="shared" si="248"/>
        <v>0.71406764830858693</v>
      </c>
      <c r="AN71" s="395">
        <f t="shared" si="248"/>
        <v>0.64387776763049853</v>
      </c>
      <c r="AO71" s="395">
        <f t="shared" si="248"/>
        <v>0.58011945532336151</v>
      </c>
      <c r="AP71" s="396">
        <f t="shared" si="248"/>
        <v>0.67539796017079023</v>
      </c>
      <c r="AQ71" s="397">
        <f t="shared" ref="AQ71:AQ81" si="249">AQ41/AQ$60</f>
        <v>0.69741456837357907</v>
      </c>
      <c r="AR71" s="397"/>
      <c r="AS71" s="395">
        <f t="shared" ref="AS71:BE71" si="250">AS41/AS$60</f>
        <v>0.69017532749386157</v>
      </c>
      <c r="AT71" s="395">
        <f t="shared" si="250"/>
        <v>0.66069977463783758</v>
      </c>
      <c r="AU71" s="395">
        <f t="shared" si="250"/>
        <v>0.69669624654565998</v>
      </c>
      <c r="AV71" s="395">
        <f t="shared" si="250"/>
        <v>0.69260214839713896</v>
      </c>
      <c r="AW71" s="395">
        <f t="shared" si="250"/>
        <v>0.6964687095821156</v>
      </c>
      <c r="AX71" s="395">
        <f t="shared" si="250"/>
        <v>0.6928266234906878</v>
      </c>
      <c r="AY71" s="395">
        <f t="shared" si="250"/>
        <v>0.69837519505667345</v>
      </c>
      <c r="AZ71" s="395">
        <f t="shared" si="250"/>
        <v>0.70117650041537394</v>
      </c>
      <c r="BA71" s="395">
        <f t="shared" si="250"/>
        <v>0.69719455051333856</v>
      </c>
      <c r="BB71" s="395">
        <f t="shared" si="250"/>
        <v>0.70063355578027864</v>
      </c>
      <c r="BC71" s="395">
        <f t="shared" si="250"/>
        <v>0.69723067628206814</v>
      </c>
      <c r="BD71" s="396">
        <f t="shared" si="250"/>
        <v>0.69968102445919722</v>
      </c>
      <c r="BE71" s="397">
        <f t="shared" si="250"/>
        <v>0.69425731189287743</v>
      </c>
      <c r="BF71" s="395">
        <f t="shared" ref="BF71:BJ71" si="251">BF41/BF$60</f>
        <v>0.65590386577560367</v>
      </c>
      <c r="BG71" s="395">
        <f t="shared" si="251"/>
        <v>0.58035924927606375</v>
      </c>
      <c r="BH71" s="395">
        <f t="shared" si="251"/>
        <v>0.73855994075006814</v>
      </c>
      <c r="BI71" s="395">
        <f t="shared" si="251"/>
        <v>0.70826357702853837</v>
      </c>
      <c r="BJ71" s="395">
        <f t="shared" si="251"/>
        <v>0.67780558921699174</v>
      </c>
      <c r="BK71" s="395">
        <f t="shared" ref="BK71:BQ71" si="252">IFERROR(BK41/BK$60,0)</f>
        <v>0</v>
      </c>
      <c r="BL71" s="395">
        <f t="shared" si="252"/>
        <v>0</v>
      </c>
      <c r="BM71" s="395">
        <f t="shared" si="252"/>
        <v>0</v>
      </c>
      <c r="BN71" s="395">
        <f t="shared" si="252"/>
        <v>0</v>
      </c>
      <c r="BO71" s="395">
        <f t="shared" si="252"/>
        <v>0</v>
      </c>
      <c r="BP71" s="395">
        <f t="shared" si="252"/>
        <v>0</v>
      </c>
      <c r="BQ71" s="396">
        <f t="shared" si="252"/>
        <v>0</v>
      </c>
      <c r="BR71" s="397">
        <f t="shared" si="247"/>
        <v>0.68334489352897743</v>
      </c>
      <c r="BS71" s="397">
        <f t="shared" ref="BS71:BS81" si="253">BE71</f>
        <v>0.69425731189287743</v>
      </c>
      <c r="BU71" s="160"/>
      <c r="BV71" s="158"/>
      <c r="BW71" s="158"/>
      <c r="BX71" s="158"/>
    </row>
    <row r="72" spans="1:81" x14ac:dyDescent="0.3">
      <c r="B72" s="256">
        <f>B71+1</f>
        <v>2</v>
      </c>
      <c r="C72" s="257" t="s">
        <v>96</v>
      </c>
      <c r="D72" s="257" t="s">
        <v>25</v>
      </c>
      <c r="E72" s="398">
        <f t="shared" ref="E72:Q72" si="254">E42/E$60</f>
        <v>3.9980277280425393E-2</v>
      </c>
      <c r="F72" s="398">
        <f t="shared" si="254"/>
        <v>4.7895743872994057E-2</v>
      </c>
      <c r="G72" s="398">
        <f t="shared" si="254"/>
        <v>4.6025916590600888E-2</v>
      </c>
      <c r="H72" s="398">
        <f t="shared" si="254"/>
        <v>4.8865076363090704E-2</v>
      </c>
      <c r="I72" s="398">
        <f t="shared" si="254"/>
        <v>4.7519622996129475E-2</v>
      </c>
      <c r="J72" s="398">
        <f t="shared" si="254"/>
        <v>5.1027329478913724E-2</v>
      </c>
      <c r="K72" s="398">
        <f t="shared" si="254"/>
        <v>5.207598906763377E-2</v>
      </c>
      <c r="L72" s="398">
        <f t="shared" si="254"/>
        <v>4.7737054490641917E-2</v>
      </c>
      <c r="M72" s="398">
        <f t="shared" si="254"/>
        <v>5.2756193929967367E-2</v>
      </c>
      <c r="N72" s="398">
        <f t="shared" si="254"/>
        <v>5.3371329536941084E-2</v>
      </c>
      <c r="O72" s="398">
        <f t="shared" si="254"/>
        <v>5.5209922014871002E-2</v>
      </c>
      <c r="P72" s="399">
        <f t="shared" si="254"/>
        <v>5.4145925886859403E-2</v>
      </c>
      <c r="Q72" s="400">
        <f t="shared" si="254"/>
        <v>3.152219654025417E-2</v>
      </c>
      <c r="R72" s="398">
        <f t="shared" ref="R72:Z72" si="255">R42/R$60</f>
        <v>5.0466366610560691E-2</v>
      </c>
      <c r="S72" s="398">
        <f t="shared" si="255"/>
        <v>5.2293995837781077E-2</v>
      </c>
      <c r="T72" s="398">
        <f t="shared" si="255"/>
        <v>4.2706602053780032E-2</v>
      </c>
      <c r="U72" s="398">
        <f t="shared" si="255"/>
        <v>5.0482582842108971E-2</v>
      </c>
      <c r="V72" s="398">
        <f t="shared" si="255"/>
        <v>5.0353117140882683E-2</v>
      </c>
      <c r="W72" s="398">
        <f t="shared" si="255"/>
        <v>5.3141986355352604E-2</v>
      </c>
      <c r="X72" s="398">
        <f t="shared" si="255"/>
        <v>5.2043820634979636E-2</v>
      </c>
      <c r="Y72" s="398">
        <f t="shared" si="255"/>
        <v>5.4408756306695033E-2</v>
      </c>
      <c r="Z72" s="398">
        <f t="shared" si="255"/>
        <v>5.7957552278198078E-2</v>
      </c>
      <c r="AA72" s="398">
        <f t="shared" ref="AA72:AB72" si="256">AA42/AA$60</f>
        <v>5.0662788131025926E-2</v>
      </c>
      <c r="AB72" s="398">
        <f t="shared" si="256"/>
        <v>5.4489774000224367E-2</v>
      </c>
      <c r="AC72" s="399">
        <f t="shared" ref="AC72:AD72" si="257">AC42/AC$60</f>
        <v>5.4809579794744732E-2</v>
      </c>
      <c r="AD72" s="400">
        <f t="shared" si="257"/>
        <v>5.1582973488587695E-2</v>
      </c>
      <c r="AE72" s="398">
        <f t="shared" ref="AE72:AP81" si="258">IFERROR(AE42/AE$60,0)</f>
        <v>5.2653317922712904E-2</v>
      </c>
      <c r="AF72" s="398">
        <f t="shared" si="258"/>
        <v>5.0325752552508103E-2</v>
      </c>
      <c r="AG72" s="398">
        <f t="shared" si="258"/>
        <v>5.2100020745933694E-2</v>
      </c>
      <c r="AH72" s="398">
        <f t="shared" si="258"/>
        <v>5.4039146412174541E-2</v>
      </c>
      <c r="AI72" s="398">
        <f t="shared" si="258"/>
        <v>5.041490922382709E-2</v>
      </c>
      <c r="AJ72" s="398">
        <f t="shared" si="258"/>
        <v>5.3624757693173715E-2</v>
      </c>
      <c r="AK72" s="398">
        <f t="shared" si="258"/>
        <v>5.4195709694839833E-2</v>
      </c>
      <c r="AL72" s="398">
        <f t="shared" si="258"/>
        <v>5.5587551778388984E-2</v>
      </c>
      <c r="AM72" s="398">
        <f t="shared" si="258"/>
        <v>5.4248519178116981E-2</v>
      </c>
      <c r="AN72" s="398">
        <f t="shared" si="258"/>
        <v>6.6010751658046443E-2</v>
      </c>
      <c r="AO72" s="398">
        <f t="shared" si="258"/>
        <v>5.9386856771399502E-2</v>
      </c>
      <c r="AP72" s="399">
        <f t="shared" si="258"/>
        <v>4.9440738155022652E-2</v>
      </c>
      <c r="AQ72" s="400">
        <f t="shared" si="249"/>
        <v>5.4162444026009997E-2</v>
      </c>
      <c r="AR72" s="400"/>
      <c r="AS72" s="398">
        <f t="shared" ref="AS72:BE72" si="259">AS42/AS$60</f>
        <v>4.5314535926697277E-2</v>
      </c>
      <c r="AT72" s="398">
        <f t="shared" si="259"/>
        <v>4.3658554028380696E-2</v>
      </c>
      <c r="AU72" s="398">
        <f t="shared" si="259"/>
        <v>4.4999528814593868E-2</v>
      </c>
      <c r="AV72" s="398">
        <f t="shared" si="259"/>
        <v>4.5043159908614114E-2</v>
      </c>
      <c r="AW72" s="398">
        <f t="shared" si="259"/>
        <v>4.5062009202933469E-2</v>
      </c>
      <c r="AX72" s="398">
        <f t="shared" si="259"/>
        <v>4.5448160410383347E-2</v>
      </c>
      <c r="AY72" s="398">
        <f t="shared" si="259"/>
        <v>4.7817930471444878E-2</v>
      </c>
      <c r="AZ72" s="398">
        <f t="shared" si="259"/>
        <v>4.8153946457730884E-2</v>
      </c>
      <c r="BA72" s="398">
        <f t="shared" si="259"/>
        <v>4.8153986874078673E-2</v>
      </c>
      <c r="BB72" s="398">
        <f t="shared" si="259"/>
        <v>4.9433938347352463E-2</v>
      </c>
      <c r="BC72" s="398">
        <f t="shared" si="259"/>
        <v>4.9395647520502933E-2</v>
      </c>
      <c r="BD72" s="399">
        <f t="shared" si="259"/>
        <v>4.9297915805344192E-2</v>
      </c>
      <c r="BE72" s="400">
        <f t="shared" si="259"/>
        <v>4.6905502338847896E-2</v>
      </c>
      <c r="BF72" s="398">
        <f t="shared" ref="BF72:BJ72" si="260">BF42/BF$60</f>
        <v>4.8850381273721578E-2</v>
      </c>
      <c r="BG72" s="398">
        <f t="shared" si="260"/>
        <v>4.3582016272298373E-2</v>
      </c>
      <c r="BH72" s="398">
        <f t="shared" si="260"/>
        <v>5.2768453345224071E-2</v>
      </c>
      <c r="BI72" s="398">
        <f t="shared" si="260"/>
        <v>5.1674475231563606E-2</v>
      </c>
      <c r="BJ72" s="398">
        <f t="shared" si="260"/>
        <v>5.8246161753231572E-2</v>
      </c>
      <c r="BK72" s="398">
        <f t="shared" ref="BK72:BQ72" si="261">IFERROR(BK42/BK$60,0)</f>
        <v>0</v>
      </c>
      <c r="BL72" s="398">
        <f t="shared" si="261"/>
        <v>0</v>
      </c>
      <c r="BM72" s="398">
        <f t="shared" si="261"/>
        <v>0</v>
      </c>
      <c r="BN72" s="398">
        <f t="shared" si="261"/>
        <v>0</v>
      </c>
      <c r="BO72" s="398">
        <f t="shared" si="261"/>
        <v>0</v>
      </c>
      <c r="BP72" s="398">
        <f t="shared" si="261"/>
        <v>0</v>
      </c>
      <c r="BQ72" s="399">
        <f t="shared" si="261"/>
        <v>0</v>
      </c>
      <c r="BR72" s="400">
        <f t="shared" ref="BR72" si="262">BR42/BR$60</f>
        <v>5.184900615571357E-2</v>
      </c>
      <c r="BS72" s="400">
        <f t="shared" si="253"/>
        <v>4.6905502338847896E-2</v>
      </c>
      <c r="BU72" s="160"/>
      <c r="BV72" s="158"/>
      <c r="BW72" s="158"/>
      <c r="BX72" s="158"/>
    </row>
    <row r="73" spans="1:81" x14ac:dyDescent="0.3">
      <c r="B73" s="256">
        <f t="shared" ref="B73:B81" si="263">B72+1</f>
        <v>3</v>
      </c>
      <c r="C73" s="257" t="s">
        <v>96</v>
      </c>
      <c r="D73" s="257" t="s">
        <v>166</v>
      </c>
      <c r="E73" s="398">
        <f t="shared" ref="E73:Q73" si="264">E43/E$60</f>
        <v>0</v>
      </c>
      <c r="F73" s="398">
        <f>F43/F$60</f>
        <v>0</v>
      </c>
      <c r="G73" s="398">
        <f t="shared" si="264"/>
        <v>8.1088268348875094E-3</v>
      </c>
      <c r="H73" s="398">
        <f t="shared" si="264"/>
        <v>6.5468863024677887E-3</v>
      </c>
      <c r="I73" s="398">
        <f t="shared" si="264"/>
        <v>7.4092663929480416E-3</v>
      </c>
      <c r="J73" s="398">
        <f t="shared" si="264"/>
        <v>1.196814665377669E-2</v>
      </c>
      <c r="K73" s="398">
        <f t="shared" si="264"/>
        <v>1.0498730406877307E-2</v>
      </c>
      <c r="L73" s="398">
        <f t="shared" si="264"/>
        <v>1.1093490715622621E-2</v>
      </c>
      <c r="M73" s="398">
        <f t="shared" si="264"/>
        <v>7.3658844214597096E-3</v>
      </c>
      <c r="N73" s="398">
        <f t="shared" si="264"/>
        <v>1.2809124435286963E-2</v>
      </c>
      <c r="O73" s="398">
        <f t="shared" si="264"/>
        <v>1.0141395012750463E-2</v>
      </c>
      <c r="P73" s="399">
        <f t="shared" si="264"/>
        <v>6.6165310884724613E-3</v>
      </c>
      <c r="Q73" s="400">
        <f t="shared" si="264"/>
        <v>9.9911712517858752E-3</v>
      </c>
      <c r="R73" s="398">
        <f t="shared" ref="R73:Z73" si="265">R43/R$60</f>
        <v>2.03480189335287E-4</v>
      </c>
      <c r="S73" s="398">
        <f t="shared" si="265"/>
        <v>0</v>
      </c>
      <c r="T73" s="398">
        <f t="shared" si="265"/>
        <v>-7.073955290761348E-5</v>
      </c>
      <c r="U73" s="398">
        <f t="shared" si="265"/>
        <v>0</v>
      </c>
      <c r="V73" s="398">
        <f t="shared" si="265"/>
        <v>3.9967172406671147E-4</v>
      </c>
      <c r="W73" s="398">
        <f t="shared" si="265"/>
        <v>0</v>
      </c>
      <c r="X73" s="398">
        <f t="shared" si="265"/>
        <v>0</v>
      </c>
      <c r="Y73" s="398">
        <f t="shared" si="265"/>
        <v>0</v>
      </c>
      <c r="Z73" s="398">
        <f t="shared" si="265"/>
        <v>0</v>
      </c>
      <c r="AA73" s="398">
        <f t="shared" ref="AA73:AB73" si="266">AA43/AA$60</f>
        <v>0</v>
      </c>
      <c r="AB73" s="398">
        <f t="shared" si="266"/>
        <v>4.8446400851418945E-4</v>
      </c>
      <c r="AC73" s="399">
        <f t="shared" ref="AC73:AD73" si="267">AC43/AC$60</f>
        <v>0</v>
      </c>
      <c r="AD73" s="400">
        <f t="shared" si="267"/>
        <v>6.7075469790960573E-5</v>
      </c>
      <c r="AE73" s="398">
        <f t="shared" si="258"/>
        <v>0</v>
      </c>
      <c r="AF73" s="398">
        <f t="shared" si="258"/>
        <v>0</v>
      </c>
      <c r="AG73" s="398">
        <f t="shared" si="258"/>
        <v>0</v>
      </c>
      <c r="AH73" s="398">
        <f t="shared" si="258"/>
        <v>0</v>
      </c>
      <c r="AI73" s="398">
        <f t="shared" si="258"/>
        <v>0</v>
      </c>
      <c r="AJ73" s="398">
        <f t="shared" si="258"/>
        <v>0</v>
      </c>
      <c r="AK73" s="398">
        <f t="shared" si="258"/>
        <v>0</v>
      </c>
      <c r="AL73" s="398">
        <f t="shared" si="258"/>
        <v>0</v>
      </c>
      <c r="AM73" s="398">
        <f t="shared" si="258"/>
        <v>0</v>
      </c>
      <c r="AN73" s="398">
        <f t="shared" si="258"/>
        <v>0</v>
      </c>
      <c r="AO73" s="398">
        <f t="shared" si="258"/>
        <v>0</v>
      </c>
      <c r="AP73" s="399">
        <f t="shared" si="258"/>
        <v>0</v>
      </c>
      <c r="AQ73" s="400">
        <f t="shared" si="249"/>
        <v>0</v>
      </c>
      <c r="AR73" s="400"/>
      <c r="AS73" s="398">
        <f t="shared" ref="AS73:BE73" si="268">AS43/AS$60</f>
        <v>0</v>
      </c>
      <c r="AT73" s="398">
        <f t="shared" si="268"/>
        <v>0</v>
      </c>
      <c r="AU73" s="398">
        <f t="shared" si="268"/>
        <v>0</v>
      </c>
      <c r="AV73" s="398">
        <f t="shared" si="268"/>
        <v>0</v>
      </c>
      <c r="AW73" s="398">
        <f t="shared" si="268"/>
        <v>0</v>
      </c>
      <c r="AX73" s="398">
        <f t="shared" si="268"/>
        <v>0</v>
      </c>
      <c r="AY73" s="398">
        <f t="shared" si="268"/>
        <v>0</v>
      </c>
      <c r="AZ73" s="398">
        <f t="shared" si="268"/>
        <v>0</v>
      </c>
      <c r="BA73" s="398">
        <f t="shared" si="268"/>
        <v>0</v>
      </c>
      <c r="BB73" s="398">
        <f t="shared" si="268"/>
        <v>0</v>
      </c>
      <c r="BC73" s="398">
        <f t="shared" si="268"/>
        <v>0</v>
      </c>
      <c r="BD73" s="399">
        <f t="shared" si="268"/>
        <v>0</v>
      </c>
      <c r="BE73" s="400">
        <f t="shared" si="268"/>
        <v>0</v>
      </c>
      <c r="BF73" s="398">
        <f t="shared" ref="BF73:BJ73" si="269">BF43/BF$60</f>
        <v>0</v>
      </c>
      <c r="BG73" s="398">
        <f t="shared" si="269"/>
        <v>0</v>
      </c>
      <c r="BH73" s="398">
        <f t="shared" si="269"/>
        <v>0</v>
      </c>
      <c r="BI73" s="398">
        <f t="shared" si="269"/>
        <v>0</v>
      </c>
      <c r="BJ73" s="398">
        <f t="shared" si="269"/>
        <v>0</v>
      </c>
      <c r="BK73" s="398">
        <f t="shared" ref="BK73:BQ73" si="270">IFERROR(BK43/BK$60,0)</f>
        <v>0</v>
      </c>
      <c r="BL73" s="398">
        <f t="shared" si="270"/>
        <v>0</v>
      </c>
      <c r="BM73" s="398">
        <f t="shared" si="270"/>
        <v>0</v>
      </c>
      <c r="BN73" s="398">
        <f t="shared" si="270"/>
        <v>0</v>
      </c>
      <c r="BO73" s="398">
        <f t="shared" si="270"/>
        <v>0</v>
      </c>
      <c r="BP73" s="398">
        <f t="shared" si="270"/>
        <v>0</v>
      </c>
      <c r="BQ73" s="399">
        <f t="shared" si="270"/>
        <v>0</v>
      </c>
      <c r="BR73" s="400">
        <f t="shared" ref="BR73" si="271">BR43/BR$60</f>
        <v>0</v>
      </c>
      <c r="BS73" s="400">
        <f t="shared" si="253"/>
        <v>0</v>
      </c>
      <c r="BU73" s="160"/>
      <c r="BV73" s="158"/>
      <c r="BW73" s="158"/>
      <c r="BX73" s="158"/>
    </row>
    <row r="74" spans="1:81" x14ac:dyDescent="0.3">
      <c r="B74" s="256">
        <f t="shared" si="263"/>
        <v>4</v>
      </c>
      <c r="C74" s="257" t="s">
        <v>96</v>
      </c>
      <c r="D74" s="257" t="s">
        <v>54</v>
      </c>
      <c r="E74" s="398">
        <f t="shared" ref="E74:Q74" si="272">E44/E$60</f>
        <v>1.9601561818778234E-3</v>
      </c>
      <c r="F74" s="398">
        <f t="shared" si="272"/>
        <v>3.1645898015389092E-3</v>
      </c>
      <c r="G74" s="398">
        <f t="shared" si="272"/>
        <v>9.1623187923119201E-3</v>
      </c>
      <c r="H74" s="398">
        <f t="shared" si="272"/>
        <v>1.3690560895902664E-2</v>
      </c>
      <c r="I74" s="398">
        <f t="shared" si="272"/>
        <v>1.6810833805924751E-2</v>
      </c>
      <c r="J74" s="398">
        <f t="shared" si="272"/>
        <v>8.7794818878279002E-3</v>
      </c>
      <c r="K74" s="398">
        <f t="shared" si="272"/>
        <v>1.751798436258983E-2</v>
      </c>
      <c r="L74" s="398">
        <f t="shared" si="272"/>
        <v>1.890387957238852E-2</v>
      </c>
      <c r="M74" s="398">
        <f t="shared" si="272"/>
        <v>2.0855080874932444E-2</v>
      </c>
      <c r="N74" s="398">
        <f t="shared" si="272"/>
        <v>2.8454924371407713E-2</v>
      </c>
      <c r="O74" s="398">
        <f t="shared" si="272"/>
        <v>3.0494238768376449E-2</v>
      </c>
      <c r="P74" s="399">
        <f t="shared" si="272"/>
        <v>2.1179654529117076E-2</v>
      </c>
      <c r="Q74" s="400">
        <f t="shared" si="272"/>
        <v>1.0629588979552355E-2</v>
      </c>
      <c r="R74" s="398">
        <f t="shared" ref="R74:Z74" si="273">R44/R$60</f>
        <v>1.595794244404539E-2</v>
      </c>
      <c r="S74" s="398">
        <f t="shared" si="273"/>
        <v>1.9241671580907678E-2</v>
      </c>
      <c r="T74" s="398">
        <f t="shared" si="273"/>
        <v>1.4853808138701166E-2</v>
      </c>
      <c r="U74" s="398">
        <f t="shared" si="273"/>
        <v>8.9720394842491905E-3</v>
      </c>
      <c r="V74" s="398">
        <f t="shared" si="273"/>
        <v>8.7991037425008498E-3</v>
      </c>
      <c r="W74" s="398">
        <f t="shared" si="273"/>
        <v>6.5657464702683658E-3</v>
      </c>
      <c r="X74" s="398">
        <f t="shared" si="273"/>
        <v>1.86652271453727E-2</v>
      </c>
      <c r="Y74" s="398">
        <f t="shared" si="273"/>
        <v>8.5803961292058566E-3</v>
      </c>
      <c r="Z74" s="398">
        <f t="shared" si="273"/>
        <v>1.3418387401463261E-2</v>
      </c>
      <c r="AA74" s="398">
        <f t="shared" ref="AA74:AB74" si="274">AA44/AA$60</f>
        <v>1.7421438576803745E-2</v>
      </c>
      <c r="AB74" s="398">
        <f t="shared" si="274"/>
        <v>1.4718550492395606E-2</v>
      </c>
      <c r="AC74" s="399">
        <f t="shared" ref="AC74:AD74" si="275">AC44/AC$60</f>
        <v>3.6209541961516761E-3</v>
      </c>
      <c r="AD74" s="400">
        <f t="shared" si="275"/>
        <v>1.2514443008961911E-2</v>
      </c>
      <c r="AE74" s="398">
        <f t="shared" si="258"/>
        <v>5.6019229534797106E-3</v>
      </c>
      <c r="AF74" s="398">
        <f t="shared" si="258"/>
        <v>1.0685247086294513E-2</v>
      </c>
      <c r="AG74" s="398">
        <f t="shared" si="258"/>
        <v>1.2602259780783474E-2</v>
      </c>
      <c r="AH74" s="398">
        <f t="shared" si="258"/>
        <v>1.444928477642048E-2</v>
      </c>
      <c r="AI74" s="398">
        <f t="shared" si="258"/>
        <v>1.5082977976903587E-2</v>
      </c>
      <c r="AJ74" s="398">
        <f t="shared" si="258"/>
        <v>1.6594939476519022E-2</v>
      </c>
      <c r="AK74" s="398">
        <f t="shared" si="258"/>
        <v>1.9566407191098228E-2</v>
      </c>
      <c r="AL74" s="398">
        <f t="shared" si="258"/>
        <v>1.7599311536966065E-2</v>
      </c>
      <c r="AM74" s="398">
        <f t="shared" si="258"/>
        <v>1.5194598710130435E-2</v>
      </c>
      <c r="AN74" s="398">
        <f t="shared" si="258"/>
        <v>6.6031651144914678E-3</v>
      </c>
      <c r="AO74" s="398">
        <f t="shared" si="258"/>
        <v>8.033467271714289E-3</v>
      </c>
      <c r="AP74" s="399">
        <f t="shared" si="258"/>
        <v>1.1631964410854741E-2</v>
      </c>
      <c r="AQ74" s="400">
        <f t="shared" si="249"/>
        <v>1.3641853099829411E-2</v>
      </c>
      <c r="AR74" s="400"/>
      <c r="AS74" s="398">
        <f t="shared" ref="AS74:BE74" si="276">AS44/AS$60</f>
        <v>1.2354771257937358E-2</v>
      </c>
      <c r="AT74" s="398">
        <f t="shared" si="276"/>
        <v>1.2128263456000302E-2</v>
      </c>
      <c r="AU74" s="398">
        <f t="shared" si="276"/>
        <v>1.2599340424266709E-2</v>
      </c>
      <c r="AV74" s="398">
        <f t="shared" si="276"/>
        <v>1.2496608315310517E-2</v>
      </c>
      <c r="AW74" s="398">
        <f t="shared" si="276"/>
        <v>1.2595225552574758E-2</v>
      </c>
      <c r="AX74" s="398">
        <f t="shared" si="276"/>
        <v>1.2571778068509305E-2</v>
      </c>
      <c r="AY74" s="398">
        <f t="shared" si="276"/>
        <v>1.248862807626587E-2</v>
      </c>
      <c r="AZ74" s="398">
        <f t="shared" si="276"/>
        <v>1.2705782600071934E-2</v>
      </c>
      <c r="BA74" s="398">
        <f t="shared" si="276"/>
        <v>1.2399400987757226E-2</v>
      </c>
      <c r="BB74" s="398">
        <f t="shared" si="276"/>
        <v>1.2668372995367477E-2</v>
      </c>
      <c r="BC74" s="398">
        <f t="shared" si="276"/>
        <v>1.2495618480645575E-2</v>
      </c>
      <c r="BD74" s="399">
        <f t="shared" si="276"/>
        <v>1.2678683585242484E-2</v>
      </c>
      <c r="BE74" s="400">
        <f t="shared" si="276"/>
        <v>1.2522829247893899E-2</v>
      </c>
      <c r="BF74" s="398">
        <f t="shared" ref="BF74:BJ74" si="277">BF44/BF$60</f>
        <v>1.0768143563645251E-2</v>
      </c>
      <c r="BG74" s="398">
        <f t="shared" si="277"/>
        <v>5.1075553472287264E-3</v>
      </c>
      <c r="BH74" s="398">
        <f t="shared" si="277"/>
        <v>1.6484739435024369E-2</v>
      </c>
      <c r="BI74" s="398">
        <f t="shared" si="277"/>
        <v>1.2638349283693579E-2</v>
      </c>
      <c r="BJ74" s="398">
        <f t="shared" si="277"/>
        <v>1.8255741861045637E-2</v>
      </c>
      <c r="BK74" s="398">
        <f t="shared" ref="BK74:BQ74" si="278">IFERROR(BK44/BK$60,0)</f>
        <v>0</v>
      </c>
      <c r="BL74" s="398">
        <f t="shared" si="278"/>
        <v>0</v>
      </c>
      <c r="BM74" s="398">
        <f>IFERROR(BM44/BM$60,0)</f>
        <v>0</v>
      </c>
      <c r="BN74" s="398">
        <f t="shared" si="278"/>
        <v>0</v>
      </c>
      <c r="BO74" s="398">
        <f t="shared" si="278"/>
        <v>0</v>
      </c>
      <c r="BP74" s="398">
        <f t="shared" si="278"/>
        <v>0</v>
      </c>
      <c r="BQ74" s="399">
        <f t="shared" si="278"/>
        <v>0</v>
      </c>
      <c r="BR74" s="400">
        <f t="shared" ref="BR74" si="279">BR44/BR$60</f>
        <v>1.3494134688277475E-2</v>
      </c>
      <c r="BS74" s="400">
        <f t="shared" si="253"/>
        <v>1.2522829247893899E-2</v>
      </c>
      <c r="BU74" s="160"/>
      <c r="BV74" s="158"/>
      <c r="BW74" s="158"/>
      <c r="BX74" s="158"/>
    </row>
    <row r="75" spans="1:81" x14ac:dyDescent="0.3">
      <c r="B75" s="256">
        <f t="shared" si="263"/>
        <v>5</v>
      </c>
      <c r="C75" s="257" t="s">
        <v>96</v>
      </c>
      <c r="D75" s="257" t="s">
        <v>49</v>
      </c>
      <c r="E75" s="398">
        <f t="shared" ref="E75:Q75" si="280">E45/E$60</f>
        <v>1.4697345295632883E-2</v>
      </c>
      <c r="F75" s="398">
        <f t="shared" si="280"/>
        <v>1.4526559279128406E-2</v>
      </c>
      <c r="G75" s="398">
        <f t="shared" si="280"/>
        <v>1.0011439231102398E-2</v>
      </c>
      <c r="H75" s="398">
        <f t="shared" si="280"/>
        <v>1.1464993015099427E-2</v>
      </c>
      <c r="I75" s="398">
        <f t="shared" si="280"/>
        <v>1.3623153966074948E-2</v>
      </c>
      <c r="J75" s="398">
        <f t="shared" si="280"/>
        <v>1.6778735423438971E-2</v>
      </c>
      <c r="K75" s="398">
        <f t="shared" si="280"/>
        <v>1.2653869336239057E-2</v>
      </c>
      <c r="L75" s="398">
        <f t="shared" si="280"/>
        <v>1.0343936595996316E-2</v>
      </c>
      <c r="M75" s="398">
        <f t="shared" si="280"/>
        <v>6.3364564873638817E-3</v>
      </c>
      <c r="N75" s="398">
        <f t="shared" si="280"/>
        <v>1.0078613636823087E-2</v>
      </c>
      <c r="O75" s="398">
        <f t="shared" si="280"/>
        <v>6.7502907164975028E-3</v>
      </c>
      <c r="P75" s="399">
        <f t="shared" si="280"/>
        <v>6.8389698380631045E-3</v>
      </c>
      <c r="Q75" s="400">
        <f t="shared" si="280"/>
        <v>6.7462934636062866E-3</v>
      </c>
      <c r="R75" s="398">
        <f t="shared" ref="R75:Z75" si="281">R45/R$60</f>
        <v>9.4491297109887493E-3</v>
      </c>
      <c r="S75" s="398">
        <f t="shared" si="281"/>
        <v>6.2726305619408658E-3</v>
      </c>
      <c r="T75" s="398">
        <f t="shared" si="281"/>
        <v>6.9950553152793825E-3</v>
      </c>
      <c r="U75" s="398">
        <f t="shared" si="281"/>
        <v>1.1276546070843585E-2</v>
      </c>
      <c r="V75" s="398">
        <f t="shared" si="281"/>
        <v>7.9979805575484692E-3</v>
      </c>
      <c r="W75" s="398">
        <f t="shared" si="281"/>
        <v>1.0006841105898221E-2</v>
      </c>
      <c r="X75" s="398">
        <f t="shared" si="281"/>
        <v>7.2810571544662459E-3</v>
      </c>
      <c r="Y75" s="398">
        <f t="shared" si="281"/>
        <v>8.5336225367863387E-3</v>
      </c>
      <c r="Z75" s="398">
        <f t="shared" si="281"/>
        <v>7.290737946225128E-3</v>
      </c>
      <c r="AA75" s="398">
        <f t="shared" ref="AA75:AB75" si="282">AA45/AA$60</f>
        <v>5.5230573667041849E-3</v>
      </c>
      <c r="AB75" s="398">
        <f t="shared" si="282"/>
        <v>3.2372675042169324E-3</v>
      </c>
      <c r="AC75" s="399">
        <f t="shared" ref="AC75:AD75" si="283">AC45/AC$60</f>
        <v>6.8252040708415198E-3</v>
      </c>
      <c r="AD75" s="400">
        <f t="shared" si="283"/>
        <v>7.5344772262244336E-3</v>
      </c>
      <c r="AE75" s="398">
        <f t="shared" si="258"/>
        <v>1.0191436690890336E-2</v>
      </c>
      <c r="AF75" s="398">
        <f t="shared" si="258"/>
        <v>7.6677329464790341E-3</v>
      </c>
      <c r="AG75" s="398">
        <f t="shared" si="258"/>
        <v>5.0659703899542351E-3</v>
      </c>
      <c r="AH75" s="398">
        <f t="shared" si="258"/>
        <v>8.4042266700173687E-3</v>
      </c>
      <c r="AI75" s="398">
        <f t="shared" si="258"/>
        <v>5.2966322219936092E-3</v>
      </c>
      <c r="AJ75" s="398">
        <f t="shared" si="258"/>
        <v>5.9768133165484056E-3</v>
      </c>
      <c r="AK75" s="398">
        <f t="shared" si="258"/>
        <v>5.4673276717315785E-3</v>
      </c>
      <c r="AL75" s="398">
        <f t="shared" si="258"/>
        <v>6.3471627306800789E-3</v>
      </c>
      <c r="AM75" s="398">
        <f t="shared" si="258"/>
        <v>5.9519718873666692E-3</v>
      </c>
      <c r="AN75" s="398">
        <f t="shared" si="258"/>
        <v>5.1613178392343837E-3</v>
      </c>
      <c r="AO75" s="398">
        <f t="shared" si="258"/>
        <v>7.9241852346947986E-3</v>
      </c>
      <c r="AP75" s="399">
        <f t="shared" si="258"/>
        <v>6.1592227461462253E-3</v>
      </c>
      <c r="AQ75" s="400">
        <f t="shared" si="249"/>
        <v>6.3848947730510523E-3</v>
      </c>
      <c r="AR75" s="400"/>
      <c r="AS75" s="398">
        <f t="shared" ref="AS75:BE75" si="284">AS45/AS$60</f>
        <v>8.1368566148193461E-3</v>
      </c>
      <c r="AT75" s="398">
        <f t="shared" si="284"/>
        <v>9.3829621739476374E-3</v>
      </c>
      <c r="AU75" s="398">
        <f t="shared" si="284"/>
        <v>8.3769925862839482E-3</v>
      </c>
      <c r="AV75" s="398">
        <f t="shared" si="284"/>
        <v>8.2831873751512582E-3</v>
      </c>
      <c r="AW75" s="398">
        <f t="shared" si="284"/>
        <v>8.2009955081123222E-3</v>
      </c>
      <c r="AX75" s="398">
        <f t="shared" si="284"/>
        <v>8.2344808187479138E-3</v>
      </c>
      <c r="AY75" s="398">
        <f t="shared" si="284"/>
        <v>8.0045734381959041E-3</v>
      </c>
      <c r="AZ75" s="398">
        <f t="shared" si="284"/>
        <v>7.770464747236909E-3</v>
      </c>
      <c r="BA75" s="398">
        <f t="shared" si="284"/>
        <v>7.951318332816492E-3</v>
      </c>
      <c r="BB75" s="398">
        <f t="shared" si="284"/>
        <v>8.191492667111118E-3</v>
      </c>
      <c r="BC75" s="398">
        <f t="shared" si="284"/>
        <v>7.9910925006471054E-3</v>
      </c>
      <c r="BD75" s="399">
        <f t="shared" si="284"/>
        <v>7.7468252424996095E-3</v>
      </c>
      <c r="BE75" s="400">
        <f t="shared" si="284"/>
        <v>8.1666021529097268E-3</v>
      </c>
      <c r="BF75" s="398">
        <f t="shared" ref="BF75:BJ75" si="285">BF45/BF$60</f>
        <v>8.6607649111436237E-3</v>
      </c>
      <c r="BG75" s="398">
        <f t="shared" si="285"/>
        <v>7.363319248782892E-3</v>
      </c>
      <c r="BH75" s="398">
        <f t="shared" si="285"/>
        <v>9.3084359650457242E-3</v>
      </c>
      <c r="BI75" s="398">
        <f t="shared" si="285"/>
        <v>6.8931447015136609E-3</v>
      </c>
      <c r="BJ75" s="398">
        <f t="shared" si="285"/>
        <v>6.6449234976418007E-3</v>
      </c>
      <c r="BK75" s="398">
        <f t="shared" ref="BK75:BQ75" si="286">IFERROR(BK45/BK$60,0)</f>
        <v>0</v>
      </c>
      <c r="BL75" s="398">
        <f t="shared" si="286"/>
        <v>0</v>
      </c>
      <c r="BM75" s="398">
        <f t="shared" si="286"/>
        <v>0</v>
      </c>
      <c r="BN75" s="398">
        <f t="shared" si="286"/>
        <v>0</v>
      </c>
      <c r="BO75" s="398">
        <f t="shared" si="286"/>
        <v>0</v>
      </c>
      <c r="BP75" s="398">
        <f t="shared" si="286"/>
        <v>0</v>
      </c>
      <c r="BQ75" s="399">
        <f t="shared" si="286"/>
        <v>0</v>
      </c>
      <c r="BR75" s="400">
        <f t="shared" ref="BR75" si="287">BR45/BR$60</f>
        <v>7.7859119462574478E-3</v>
      </c>
      <c r="BS75" s="400">
        <f t="shared" si="253"/>
        <v>8.1666021529097268E-3</v>
      </c>
      <c r="BU75" s="160"/>
      <c r="BV75" s="158"/>
      <c r="BW75" s="158"/>
      <c r="BX75" s="158"/>
    </row>
    <row r="76" spans="1:81" x14ac:dyDescent="0.3">
      <c r="B76" s="256">
        <f t="shared" si="263"/>
        <v>6</v>
      </c>
      <c r="C76" s="257" t="s">
        <v>96</v>
      </c>
      <c r="D76" s="257" t="s">
        <v>56</v>
      </c>
      <c r="E76" s="398">
        <f t="shared" ref="E76:Q76" si="288">E46/E$60</f>
        <v>4.4148700323470872E-3</v>
      </c>
      <c r="F76" s="398">
        <f t="shared" si="288"/>
        <v>6.3813397879634512E-3</v>
      </c>
      <c r="G76" s="398">
        <f t="shared" si="288"/>
        <v>5.4649794772303898E-3</v>
      </c>
      <c r="H76" s="398">
        <f t="shared" si="288"/>
        <v>5.6869503878966207E-3</v>
      </c>
      <c r="I76" s="398">
        <f t="shared" si="288"/>
        <v>6.4032283624648615E-3</v>
      </c>
      <c r="J76" s="398">
        <f t="shared" si="288"/>
        <v>7.1067527318568842E-3</v>
      </c>
      <c r="K76" s="398">
        <f t="shared" si="288"/>
        <v>6.4308310876345885E-3</v>
      </c>
      <c r="L76" s="398">
        <f t="shared" si="288"/>
        <v>6.2725170830403697E-3</v>
      </c>
      <c r="M76" s="398">
        <f t="shared" si="288"/>
        <v>6.8937100841393586E-3</v>
      </c>
      <c r="N76" s="398">
        <f t="shared" si="288"/>
        <v>6.7066901816184819E-3</v>
      </c>
      <c r="O76" s="398">
        <f t="shared" si="288"/>
        <v>6.2949598573939494E-3</v>
      </c>
      <c r="P76" s="399">
        <f t="shared" si="288"/>
        <v>7.1006273172452396E-3</v>
      </c>
      <c r="Q76" s="400">
        <f t="shared" si="288"/>
        <v>3.9959824769162438E-3</v>
      </c>
      <c r="R76" s="398">
        <f t="shared" ref="R76:Z76" si="289">R46/R$60</f>
        <v>8.4331021685919976E-3</v>
      </c>
      <c r="S76" s="398">
        <f t="shared" si="289"/>
        <v>5.4186015686114065E-3</v>
      </c>
      <c r="T76" s="398">
        <f t="shared" si="289"/>
        <v>6.3953572744393427E-3</v>
      </c>
      <c r="U76" s="398">
        <f t="shared" si="289"/>
        <v>5.8003044542538846E-3</v>
      </c>
      <c r="V76" s="398">
        <f t="shared" si="289"/>
        <v>6.2735995973601851E-3</v>
      </c>
      <c r="W76" s="398">
        <f t="shared" si="289"/>
        <v>8.6955852044412144E-3</v>
      </c>
      <c r="X76" s="398">
        <f t="shared" si="289"/>
        <v>5.5694757558778169E-3</v>
      </c>
      <c r="Y76" s="398">
        <f t="shared" si="289"/>
        <v>5.6465653554912086E-3</v>
      </c>
      <c r="Z76" s="398">
        <f t="shared" si="289"/>
        <v>6.4643293427053879E-3</v>
      </c>
      <c r="AA76" s="398">
        <f t="shared" ref="AA76:AB76" si="290">AA46/AA$60</f>
        <v>6.50685338992646E-3</v>
      </c>
      <c r="AB76" s="398">
        <f t="shared" si="290"/>
        <v>7.0528999550147518E-3</v>
      </c>
      <c r="AC76" s="399">
        <f t="shared" ref="AC76:AD76" si="291">AC46/AC$60</f>
        <v>6.8921454195228979E-3</v>
      </c>
      <c r="AD76" s="400">
        <f t="shared" si="291"/>
        <v>6.6686768065255453E-3</v>
      </c>
      <c r="AE76" s="398">
        <f t="shared" si="258"/>
        <v>5.0558544712352611E-3</v>
      </c>
      <c r="AF76" s="398">
        <f t="shared" si="258"/>
        <v>6.157076850607757E-3</v>
      </c>
      <c r="AG76" s="398">
        <f t="shared" si="258"/>
        <v>6.3398449058266002E-3</v>
      </c>
      <c r="AH76" s="398">
        <f t="shared" si="258"/>
        <v>5.8447674649570978E-3</v>
      </c>
      <c r="AI76" s="398">
        <f t="shared" si="258"/>
        <v>7.3515807638217714E-3</v>
      </c>
      <c r="AJ76" s="398">
        <f t="shared" si="258"/>
        <v>6.3819216799574693E-3</v>
      </c>
      <c r="AK76" s="398">
        <f t="shared" si="258"/>
        <v>6.5759099634727161E-3</v>
      </c>
      <c r="AL76" s="398">
        <f t="shared" si="258"/>
        <v>6.6960420087844022E-3</v>
      </c>
      <c r="AM76" s="398">
        <f t="shared" si="258"/>
        <v>6.8630753454718167E-3</v>
      </c>
      <c r="AN76" s="398">
        <f t="shared" si="258"/>
        <v>6.7560620372887235E-3</v>
      </c>
      <c r="AO76" s="398">
        <f t="shared" si="258"/>
        <v>7.4132072641287915E-3</v>
      </c>
      <c r="AP76" s="399">
        <f t="shared" si="258"/>
        <v>7.4817565051887953E-3</v>
      </c>
      <c r="AQ76" s="400">
        <f t="shared" si="249"/>
        <v>6.6224749413528331E-3</v>
      </c>
      <c r="AR76" s="400"/>
      <c r="AS76" s="398">
        <f t="shared" ref="AS76:BE76" si="292">AS46/AS$60</f>
        <v>6.6520377079994832E-3</v>
      </c>
      <c r="AT76" s="398">
        <f t="shared" si="292"/>
        <v>6.4229383209915957E-3</v>
      </c>
      <c r="AU76" s="398">
        <f t="shared" si="292"/>
        <v>6.7153423181596106E-3</v>
      </c>
      <c r="AV76" s="398">
        <f t="shared" si="292"/>
        <v>6.6914492360775017E-3</v>
      </c>
      <c r="AW76" s="398">
        <f t="shared" si="292"/>
        <v>6.7131491262085834E-3</v>
      </c>
      <c r="AX76" s="398">
        <f t="shared" si="292"/>
        <v>6.7600853944335031E-3</v>
      </c>
      <c r="AY76" s="398">
        <f t="shared" si="292"/>
        <v>6.7448503679238634E-3</v>
      </c>
      <c r="AZ76" s="398">
        <f t="shared" si="292"/>
        <v>6.7846993948692935E-3</v>
      </c>
      <c r="BA76" s="398">
        <f t="shared" si="292"/>
        <v>6.770752835532504E-3</v>
      </c>
      <c r="BB76" s="398">
        <f t="shared" si="292"/>
        <v>6.7943196742819767E-3</v>
      </c>
      <c r="BC76" s="398">
        <f t="shared" si="292"/>
        <v>6.7187588925350364E-3</v>
      </c>
      <c r="BD76" s="399">
        <f t="shared" si="292"/>
        <v>6.7702289230139141E-3</v>
      </c>
      <c r="BE76" s="400">
        <f t="shared" si="292"/>
        <v>6.7172495867066839E-3</v>
      </c>
      <c r="BF76" s="398">
        <f t="shared" ref="BF76:BJ76" si="293">BF46/BF$60</f>
        <v>7.3301552076849652E-3</v>
      </c>
      <c r="BG76" s="398">
        <f t="shared" si="293"/>
        <v>6.1535177864337088E-3</v>
      </c>
      <c r="BH76" s="398">
        <f t="shared" si="293"/>
        <v>7.6088741082855193E-3</v>
      </c>
      <c r="BI76" s="398">
        <f t="shared" si="293"/>
        <v>9.3370289399801066E-3</v>
      </c>
      <c r="BJ76" s="398">
        <f t="shared" si="293"/>
        <v>7.8993125019215446E-3</v>
      </c>
      <c r="BK76" s="398">
        <f t="shared" ref="BK76:BQ76" si="294">IFERROR(BK46/BK$60,0)</f>
        <v>0</v>
      </c>
      <c r="BL76" s="398">
        <f t="shared" si="294"/>
        <v>0</v>
      </c>
      <c r="BM76" s="398">
        <f t="shared" si="294"/>
        <v>0</v>
      </c>
      <c r="BN76" s="398">
        <f t="shared" si="294"/>
        <v>0</v>
      </c>
      <c r="BO76" s="398">
        <f t="shared" si="294"/>
        <v>0</v>
      </c>
      <c r="BP76" s="398">
        <f t="shared" si="294"/>
        <v>0</v>
      </c>
      <c r="BQ76" s="399">
        <f t="shared" si="294"/>
        <v>0</v>
      </c>
      <c r="BR76" s="400">
        <f t="shared" ref="BR76" si="295">BR46/BR$60</f>
        <v>7.8574411401887111E-3</v>
      </c>
      <c r="BS76" s="400">
        <f t="shared" si="253"/>
        <v>6.7172495867066839E-3</v>
      </c>
      <c r="BU76" s="160"/>
      <c r="BV76" s="158"/>
      <c r="BW76" s="158"/>
      <c r="BX76" s="158"/>
    </row>
    <row r="77" spans="1:81" x14ac:dyDescent="0.3">
      <c r="B77" s="256">
        <f t="shared" si="263"/>
        <v>7</v>
      </c>
      <c r="C77" s="257" t="s">
        <v>96</v>
      </c>
      <c r="D77" s="257" t="s">
        <v>28</v>
      </c>
      <c r="E77" s="398">
        <f t="shared" ref="E77:Q77" si="296">E47/E$60</f>
        <v>5.3015473728359394E-3</v>
      </c>
      <c r="F77" s="398">
        <f t="shared" si="296"/>
        <v>5.5316806742799944E-3</v>
      </c>
      <c r="G77" s="398">
        <f t="shared" si="296"/>
        <v>5.392660260513586E-3</v>
      </c>
      <c r="H77" s="398">
        <f t="shared" si="296"/>
        <v>6.1201444771942243E-3</v>
      </c>
      <c r="I77" s="398">
        <f t="shared" si="296"/>
        <v>3.2382020056361234E-3</v>
      </c>
      <c r="J77" s="398">
        <f t="shared" si="296"/>
        <v>7.2200472679249299E-3</v>
      </c>
      <c r="K77" s="398">
        <f t="shared" si="296"/>
        <v>5.320207685374027E-3</v>
      </c>
      <c r="L77" s="398">
        <f t="shared" si="296"/>
        <v>5.8910553660653656E-3</v>
      </c>
      <c r="M77" s="398">
        <f t="shared" si="296"/>
        <v>6.3971193289320853E-3</v>
      </c>
      <c r="N77" s="398">
        <f t="shared" si="296"/>
        <v>6.2097522596570543E-3</v>
      </c>
      <c r="O77" s="398">
        <f t="shared" si="296"/>
        <v>8.768223009018989E-3</v>
      </c>
      <c r="P77" s="399">
        <f t="shared" si="296"/>
        <v>4.0830418757139535E-3</v>
      </c>
      <c r="Q77" s="400">
        <f t="shared" si="296"/>
        <v>3.5509568741079862E-3</v>
      </c>
      <c r="R77" s="398">
        <f t="shared" ref="R77:Z77" si="297">R47/R$60</f>
        <v>3.4828937317039222E-3</v>
      </c>
      <c r="S77" s="398">
        <f t="shared" si="297"/>
        <v>3.2366206576945711E-3</v>
      </c>
      <c r="T77" s="398">
        <f t="shared" si="297"/>
        <v>3.3162284272644292E-3</v>
      </c>
      <c r="U77" s="398">
        <f t="shared" si="297"/>
        <v>3.1854826582247207E-3</v>
      </c>
      <c r="V77" s="398">
        <f t="shared" si="297"/>
        <v>3.3276682326919883E-3</v>
      </c>
      <c r="W77" s="398">
        <f t="shared" si="297"/>
        <v>3.6255266401023583E-3</v>
      </c>
      <c r="X77" s="398">
        <f t="shared" si="297"/>
        <v>5.1517688027557735E-3</v>
      </c>
      <c r="Y77" s="398">
        <f t="shared" si="297"/>
        <v>3.9431315464513884E-3</v>
      </c>
      <c r="Z77" s="398">
        <f t="shared" si="297"/>
        <v>3.1482259358012947E-3</v>
      </c>
      <c r="AA77" s="398">
        <f t="shared" ref="AA77:AB77" si="298">AA47/AA$60</f>
        <v>2.7035088772386505E-3</v>
      </c>
      <c r="AB77" s="398">
        <f t="shared" si="298"/>
        <v>2.5851714985931258E-3</v>
      </c>
      <c r="AC77" s="399">
        <f t="shared" ref="AC77:AD77" si="299">AC47/AC$60</f>
        <v>3.0752322688017098E-3</v>
      </c>
      <c r="AD77" s="400">
        <f t="shared" si="299"/>
        <v>3.3030375578372217E-3</v>
      </c>
      <c r="AE77" s="398">
        <f t="shared" si="258"/>
        <v>2.7899970354119267E-3</v>
      </c>
      <c r="AF77" s="398">
        <f t="shared" si="258"/>
        <v>2.5256982000236689E-3</v>
      </c>
      <c r="AG77" s="398">
        <f t="shared" si="258"/>
        <v>2.1029846223619697E-3</v>
      </c>
      <c r="AH77" s="398">
        <f t="shared" si="258"/>
        <v>1.9565640732344424E-3</v>
      </c>
      <c r="AI77" s="398">
        <f t="shared" si="258"/>
        <v>1.7436156361230366E-3</v>
      </c>
      <c r="AJ77" s="398">
        <f t="shared" si="258"/>
        <v>1.7951137490134041E-3</v>
      </c>
      <c r="AK77" s="398">
        <f t="shared" si="258"/>
        <v>1.8294361965875685E-3</v>
      </c>
      <c r="AL77" s="398">
        <f t="shared" si="258"/>
        <v>1.3274019007190835E-3</v>
      </c>
      <c r="AM77" s="398">
        <f t="shared" si="258"/>
        <v>2.0081110795959279E-3</v>
      </c>
      <c r="AN77" s="398">
        <f t="shared" si="258"/>
        <v>2.1431084207831292E-3</v>
      </c>
      <c r="AO77" s="398">
        <f t="shared" si="258"/>
        <v>2.4841223148026766E-3</v>
      </c>
      <c r="AP77" s="399">
        <f t="shared" si="258"/>
        <v>1.8318895774367626E-3</v>
      </c>
      <c r="AQ77" s="400">
        <f t="shared" si="249"/>
        <v>1.9717698248347603E-3</v>
      </c>
      <c r="AR77" s="400"/>
      <c r="AS77" s="398">
        <f t="shared" ref="AS77:BE77" si="300">AS47/AS$60</f>
        <v>2.0976688791011582E-3</v>
      </c>
      <c r="AT77" s="398">
        <f t="shared" si="300"/>
        <v>2.4457891823479231E-3</v>
      </c>
      <c r="AU77" s="398">
        <f t="shared" si="300"/>
        <v>2.0197540157757556E-3</v>
      </c>
      <c r="AV77" s="398">
        <f t="shared" si="300"/>
        <v>2.0032854084815403E-3</v>
      </c>
      <c r="AW77" s="398">
        <f t="shared" si="300"/>
        <v>2.0190943757990298E-3</v>
      </c>
      <c r="AX77" s="398">
        <f t="shared" si="300"/>
        <v>1.9683795636155567E-3</v>
      </c>
      <c r="AY77" s="398">
        <f t="shared" si="300"/>
        <v>1.9375877670486817E-3</v>
      </c>
      <c r="AZ77" s="398">
        <f t="shared" si="300"/>
        <v>1.9267938744158661E-3</v>
      </c>
      <c r="BA77" s="398">
        <f t="shared" si="300"/>
        <v>1.9237443477292868E-3</v>
      </c>
      <c r="BB77" s="398">
        <f t="shared" si="300"/>
        <v>1.921120819913229E-3</v>
      </c>
      <c r="BC77" s="398">
        <f t="shared" si="300"/>
        <v>1.9386723154818748E-3</v>
      </c>
      <c r="BD77" s="399">
        <f t="shared" si="300"/>
        <v>1.9226843899850692E-3</v>
      </c>
      <c r="BE77" s="400">
        <f t="shared" si="300"/>
        <v>2.0018170609444903E-3</v>
      </c>
      <c r="BF77" s="398">
        <f t="shared" ref="BF77:BJ77" si="301">BF47/BF$60</f>
        <v>1.8147859264421094E-3</v>
      </c>
      <c r="BG77" s="398">
        <f t="shared" si="301"/>
        <v>1.8059083912867751E-3</v>
      </c>
      <c r="BH77" s="398">
        <f t="shared" si="301"/>
        <v>3.1531288296916776E-3</v>
      </c>
      <c r="BI77" s="398">
        <f t="shared" si="301"/>
        <v>3.5384720266274081E-3</v>
      </c>
      <c r="BJ77" s="398">
        <f t="shared" si="301"/>
        <v>3.5490323029136756E-3</v>
      </c>
      <c r="BK77" s="398">
        <f t="shared" ref="BK77:BQ77" si="302">IFERROR(BK47/BK$60,0)</f>
        <v>0</v>
      </c>
      <c r="BL77" s="398">
        <f t="shared" si="302"/>
        <v>0</v>
      </c>
      <c r="BM77" s="398">
        <f t="shared" si="302"/>
        <v>0</v>
      </c>
      <c r="BN77" s="398">
        <f t="shared" si="302"/>
        <v>0</v>
      </c>
      <c r="BO77" s="398">
        <f t="shared" si="302"/>
        <v>0</v>
      </c>
      <c r="BP77" s="398">
        <f t="shared" si="302"/>
        <v>0</v>
      </c>
      <c r="BQ77" s="399">
        <f t="shared" si="302"/>
        <v>0</v>
      </c>
      <c r="BR77" s="400">
        <f t="shared" ref="BR77" si="303">BR47/BR$60</f>
        <v>2.9220233612598815E-3</v>
      </c>
      <c r="BS77" s="400">
        <f t="shared" si="253"/>
        <v>2.0018170609444903E-3</v>
      </c>
      <c r="BU77" s="160"/>
      <c r="BV77" s="158"/>
      <c r="BW77" s="158"/>
      <c r="BX77" s="158"/>
    </row>
    <row r="78" spans="1:81" x14ac:dyDescent="0.3">
      <c r="B78" s="256">
        <f t="shared" si="263"/>
        <v>8</v>
      </c>
      <c r="C78" s="257" t="s">
        <v>96</v>
      </c>
      <c r="D78" s="257" t="s">
        <v>53</v>
      </c>
      <c r="E78" s="398">
        <f t="shared" ref="E78:Q78" si="304">E48/E$60</f>
        <v>5.4767853006419199E-3</v>
      </c>
      <c r="F78" s="398">
        <f t="shared" si="304"/>
        <v>4.2379425864923241E-3</v>
      </c>
      <c r="G78" s="398">
        <f t="shared" si="304"/>
        <v>8.2300233459320932E-3</v>
      </c>
      <c r="H78" s="398">
        <f t="shared" si="304"/>
        <v>7.8122632676971369E-3</v>
      </c>
      <c r="I78" s="398">
        <f t="shared" si="304"/>
        <v>4.76432878462104E-3</v>
      </c>
      <c r="J78" s="398">
        <f t="shared" si="304"/>
        <v>5.1738803224485944E-3</v>
      </c>
      <c r="K78" s="398">
        <f t="shared" si="304"/>
        <v>3.4044911935660173E-3</v>
      </c>
      <c r="L78" s="398">
        <f t="shared" si="304"/>
        <v>2.3171988694403798E-3</v>
      </c>
      <c r="M78" s="398">
        <f t="shared" si="304"/>
        <v>3.7986773078986166E-3</v>
      </c>
      <c r="N78" s="398">
        <f t="shared" si="304"/>
        <v>2.864516788219894E-3</v>
      </c>
      <c r="O78" s="398">
        <f t="shared" si="304"/>
        <v>2.7354468561194088E-3</v>
      </c>
      <c r="P78" s="399">
        <f t="shared" si="304"/>
        <v>2.4279547889995258E-3</v>
      </c>
      <c r="Q78" s="400">
        <f t="shared" si="304"/>
        <v>2.6461697047594811E-3</v>
      </c>
      <c r="R78" s="398">
        <f t="shared" ref="R78:Z78" si="305">R48/R$60</f>
        <v>1.5585973735030732E-3</v>
      </c>
      <c r="S78" s="398">
        <f t="shared" si="305"/>
        <v>1.7633077122068204E-3</v>
      </c>
      <c r="T78" s="398">
        <f t="shared" si="305"/>
        <v>1.1005768933676546E-3</v>
      </c>
      <c r="U78" s="398">
        <f t="shared" si="305"/>
        <v>1.854225398598736E-3</v>
      </c>
      <c r="V78" s="398">
        <f t="shared" si="305"/>
        <v>2.7598502117753471E-3</v>
      </c>
      <c r="W78" s="398">
        <f t="shared" si="305"/>
        <v>3.278280215258428E-3</v>
      </c>
      <c r="X78" s="398">
        <f t="shared" si="305"/>
        <v>3.2367400404867113E-3</v>
      </c>
      <c r="Y78" s="398">
        <f t="shared" si="305"/>
        <v>3.6281058558210112E-3</v>
      </c>
      <c r="Z78" s="398">
        <f t="shared" si="305"/>
        <v>1.8159985344978241E-3</v>
      </c>
      <c r="AA78" s="398">
        <f t="shared" ref="AA78:AB78" si="306">AA48/AA$60</f>
        <v>2.5050447569865616E-3</v>
      </c>
      <c r="AB78" s="398">
        <f t="shared" si="306"/>
        <v>2.3283646052624143E-3</v>
      </c>
      <c r="AC78" s="399">
        <f t="shared" ref="AC78:AD78" si="307">AC48/AC$60</f>
        <v>3.4542961462892233E-3</v>
      </c>
      <c r="AD78" s="400">
        <f t="shared" si="307"/>
        <v>2.3440117578450081E-3</v>
      </c>
      <c r="AE78" s="398">
        <f t="shared" si="258"/>
        <v>3.5455680842339456E-3</v>
      </c>
      <c r="AF78" s="398">
        <f t="shared" si="258"/>
        <v>2.2851770108474668E-3</v>
      </c>
      <c r="AG78" s="398">
        <f t="shared" si="258"/>
        <v>2.2701412918266568E-3</v>
      </c>
      <c r="AH78" s="398">
        <f t="shared" si="258"/>
        <v>1.7264741042014335E-3</v>
      </c>
      <c r="AI78" s="398">
        <f t="shared" si="258"/>
        <v>2.2653164006651827E-3</v>
      </c>
      <c r="AJ78" s="398">
        <f t="shared" si="258"/>
        <v>2.6252995816705448E-3</v>
      </c>
      <c r="AK78" s="398">
        <f t="shared" si="258"/>
        <v>3.6398567102048441E-3</v>
      </c>
      <c r="AL78" s="398">
        <f t="shared" si="258"/>
        <v>3.3852141993299745E-3</v>
      </c>
      <c r="AM78" s="398">
        <f t="shared" si="258"/>
        <v>3.4729295775609795E-3</v>
      </c>
      <c r="AN78" s="398">
        <f t="shared" si="258"/>
        <v>4.9573170169182994E-3</v>
      </c>
      <c r="AO78" s="398">
        <f t="shared" si="258"/>
        <v>2.4457232826026981E-3</v>
      </c>
      <c r="AP78" s="399">
        <f t="shared" si="258"/>
        <v>2.8516626750553185E-3</v>
      </c>
      <c r="AQ78" s="400">
        <f t="shared" si="249"/>
        <v>2.9395159135016035E-3</v>
      </c>
      <c r="AR78" s="400"/>
      <c r="AS78" s="398">
        <f t="shared" ref="AS78:BE78" si="308">AS48/AS$60</f>
        <v>4.4329102534929254E-3</v>
      </c>
      <c r="AT78" s="398">
        <f t="shared" si="308"/>
        <v>4.1348619135572707E-3</v>
      </c>
      <c r="AU78" s="398">
        <f t="shared" si="308"/>
        <v>4.4511815091131824E-3</v>
      </c>
      <c r="AV78" s="398">
        <f t="shared" si="308"/>
        <v>4.4148876041642171E-3</v>
      </c>
      <c r="AW78" s="398">
        <f t="shared" si="308"/>
        <v>4.449727778983603E-3</v>
      </c>
      <c r="AX78" s="398">
        <f t="shared" si="308"/>
        <v>4.3379612804565438E-3</v>
      </c>
      <c r="AY78" s="398">
        <f t="shared" si="308"/>
        <v>4.4964148962480487E-3</v>
      </c>
      <c r="AZ78" s="398">
        <f t="shared" si="308"/>
        <v>4.4713663175730183E-3</v>
      </c>
      <c r="BA78" s="398">
        <f t="shared" si="308"/>
        <v>4.4642895092584572E-3</v>
      </c>
      <c r="BB78" s="398">
        <f t="shared" si="308"/>
        <v>4.4582012846353164E-3</v>
      </c>
      <c r="BC78" s="398">
        <f t="shared" si="308"/>
        <v>4.4989317266149837E-3</v>
      </c>
      <c r="BD78" s="399">
        <f t="shared" si="308"/>
        <v>4.4618297446627339E-3</v>
      </c>
      <c r="BE78" s="400">
        <f t="shared" si="308"/>
        <v>4.427836678189692E-3</v>
      </c>
      <c r="BF78" s="398">
        <f t="shared" ref="BF78:BJ78" si="309">BF48/BF$60</f>
        <v>3.0491537816502807E-3</v>
      </c>
      <c r="BG78" s="398">
        <f t="shared" si="309"/>
        <v>1.4163942452226552E-3</v>
      </c>
      <c r="BH78" s="398">
        <f t="shared" si="309"/>
        <v>3.2606647293277071E-3</v>
      </c>
      <c r="BI78" s="398">
        <f t="shared" si="309"/>
        <v>4.1773378882232837E-3</v>
      </c>
      <c r="BJ78" s="398">
        <f t="shared" si="309"/>
        <v>3.8791367253578905E-3</v>
      </c>
      <c r="BK78" s="398">
        <f t="shared" ref="BK78:BQ78" si="310">IFERROR(BK48/BK$60,0)</f>
        <v>0</v>
      </c>
      <c r="BL78" s="398">
        <f t="shared" si="310"/>
        <v>0</v>
      </c>
      <c r="BM78" s="398">
        <f t="shared" si="310"/>
        <v>0</v>
      </c>
      <c r="BN78" s="398">
        <f t="shared" si="310"/>
        <v>0</v>
      </c>
      <c r="BO78" s="398">
        <f t="shared" si="310"/>
        <v>0</v>
      </c>
      <c r="BP78" s="398">
        <f t="shared" si="310"/>
        <v>0</v>
      </c>
      <c r="BQ78" s="399">
        <f t="shared" si="310"/>
        <v>0</v>
      </c>
      <c r="BR78" s="400">
        <f t="shared" ref="BR78" si="311">BR48/BR$60</f>
        <v>3.3493003985684221E-3</v>
      </c>
      <c r="BS78" s="400">
        <f t="shared" si="253"/>
        <v>4.427836678189692E-3</v>
      </c>
      <c r="BU78" s="160"/>
      <c r="BV78" s="158"/>
      <c r="BW78" s="158"/>
      <c r="BX78" s="158"/>
    </row>
    <row r="79" spans="1:81" x14ac:dyDescent="0.3">
      <c r="B79" s="256">
        <f t="shared" si="263"/>
        <v>9</v>
      </c>
      <c r="C79" s="257" t="s">
        <v>96</v>
      </c>
      <c r="D79" s="257" t="s">
        <v>42</v>
      </c>
      <c r="E79" s="398">
        <f t="shared" ref="E79:Q79" si="312">E49/E$60</f>
        <v>2.6959767145218606E-3</v>
      </c>
      <c r="F79" s="398">
        <f t="shared" si="312"/>
        <v>2.4445097901859623E-3</v>
      </c>
      <c r="G79" s="398">
        <f t="shared" si="312"/>
        <v>2.8542785420917079E-3</v>
      </c>
      <c r="H79" s="398">
        <f t="shared" si="312"/>
        <v>2.2156689013996668E-3</v>
      </c>
      <c r="I79" s="398">
        <f t="shared" si="312"/>
        <v>2.7746620892535878E-3</v>
      </c>
      <c r="J79" s="398">
        <f t="shared" si="312"/>
        <v>3.7151060369135136E-3</v>
      </c>
      <c r="K79" s="398">
        <f t="shared" si="312"/>
        <v>2.244157750251385E-3</v>
      </c>
      <c r="L79" s="398">
        <f t="shared" si="312"/>
        <v>1.5057375019554475E-3</v>
      </c>
      <c r="M79" s="398">
        <f t="shared" si="312"/>
        <v>1.0705740926027075E-3</v>
      </c>
      <c r="N79" s="398">
        <f t="shared" si="312"/>
        <v>8.9405693211893386E-4</v>
      </c>
      <c r="O79" s="398">
        <f t="shared" si="312"/>
        <v>9.8617665883327728E-4</v>
      </c>
      <c r="P79" s="399">
        <f t="shared" si="312"/>
        <v>1.2298156429019554E-3</v>
      </c>
      <c r="Q79" s="400">
        <f t="shared" si="312"/>
        <v>1.2306544023286956E-3</v>
      </c>
      <c r="R79" s="398">
        <f t="shared" ref="R79:Z79" si="313">R49/R$60</f>
        <v>6.3978965015281395E-4</v>
      </c>
      <c r="S79" s="398">
        <f t="shared" si="313"/>
        <v>8.3305458537345637E-4</v>
      </c>
      <c r="T79" s="398">
        <f t="shared" si="313"/>
        <v>6.0478789814701864E-4</v>
      </c>
      <c r="U79" s="398">
        <f t="shared" si="313"/>
        <v>1.3254451516699619E-3</v>
      </c>
      <c r="V79" s="398">
        <f t="shared" si="313"/>
        <v>1.0378893159569841E-3</v>
      </c>
      <c r="W79" s="398">
        <f t="shared" si="313"/>
        <v>9.0898496156603345E-4</v>
      </c>
      <c r="X79" s="398">
        <f t="shared" si="313"/>
        <v>1.2654610706372966E-3</v>
      </c>
      <c r="Y79" s="398">
        <f t="shared" si="313"/>
        <v>1.2422374823440356E-3</v>
      </c>
      <c r="Z79" s="398">
        <f t="shared" si="313"/>
        <v>7.5558415016242536E-4</v>
      </c>
      <c r="AA79" s="398">
        <f t="shared" ref="AA79:AB79" si="314">AA49/AA$60</f>
        <v>8.0413300644083577E-4</v>
      </c>
      <c r="AB79" s="398">
        <f t="shared" si="314"/>
        <v>6.3955467414719106E-4</v>
      </c>
      <c r="AC79" s="399">
        <f t="shared" ref="AC79:AD79" si="315">AC49/AC$60</f>
        <v>8.0802547816762494E-4</v>
      </c>
      <c r="AD79" s="400">
        <f t="shared" si="315"/>
        <v>8.8199079464299488E-4</v>
      </c>
      <c r="AE79" s="398">
        <f t="shared" si="258"/>
        <v>7.6924936483739495E-4</v>
      </c>
      <c r="AF79" s="398">
        <f t="shared" si="258"/>
        <v>6.4337130038248061E-4</v>
      </c>
      <c r="AG79" s="398">
        <f t="shared" si="258"/>
        <v>5.4933845352671089E-4</v>
      </c>
      <c r="AH79" s="398">
        <f t="shared" si="258"/>
        <v>8.7646576225739576E-4</v>
      </c>
      <c r="AI79" s="398">
        <f t="shared" si="258"/>
        <v>6.5359062319746575E-4</v>
      </c>
      <c r="AJ79" s="398">
        <f t="shared" si="258"/>
        <v>6.1371899822957395E-4</v>
      </c>
      <c r="AK79" s="398">
        <f t="shared" si="258"/>
        <v>1.0666378088665578E-3</v>
      </c>
      <c r="AL79" s="398">
        <f t="shared" si="258"/>
        <v>7.3675770985239246E-4</v>
      </c>
      <c r="AM79" s="398">
        <f t="shared" si="258"/>
        <v>1.095741324514219E-3</v>
      </c>
      <c r="AN79" s="398">
        <f t="shared" si="258"/>
        <v>1.4531503317991063E-3</v>
      </c>
      <c r="AO79" s="398">
        <f t="shared" si="258"/>
        <v>7.5042742862665025E-4</v>
      </c>
      <c r="AP79" s="399">
        <f t="shared" si="258"/>
        <v>8.1381583660793957E-4</v>
      </c>
      <c r="AQ79" s="400">
        <f t="shared" si="249"/>
        <v>8.3550364063772291E-4</v>
      </c>
      <c r="AR79" s="400"/>
      <c r="AS79" s="398">
        <f t="shared" ref="AS79:BE79" si="316">AS49/AS$60</f>
        <v>1.1546248526210997E-3</v>
      </c>
      <c r="AT79" s="398">
        <f t="shared" si="316"/>
        <v>1.4861673604143132E-3</v>
      </c>
      <c r="AU79" s="398">
        <f t="shared" si="316"/>
        <v>1.1877852015977168E-3</v>
      </c>
      <c r="AV79" s="398">
        <f t="shared" si="316"/>
        <v>1.1345953384878649E-3</v>
      </c>
      <c r="AW79" s="398">
        <f t="shared" si="316"/>
        <v>1.1538086999078442E-3</v>
      </c>
      <c r="AX79" s="398">
        <f t="shared" si="316"/>
        <v>1.2255632475356168E-3</v>
      </c>
      <c r="AY79" s="398">
        <f t="shared" si="316"/>
        <v>1.1381071768890865E-3</v>
      </c>
      <c r="AZ79" s="398">
        <f t="shared" si="316"/>
        <v>1.2015066657218253E-3</v>
      </c>
      <c r="BA79" s="398">
        <f t="shared" si="316"/>
        <v>1.1006687209408111E-3</v>
      </c>
      <c r="BB79" s="398">
        <f t="shared" si="316"/>
        <v>1.1979690725778841E-3</v>
      </c>
      <c r="BC79" s="398">
        <f t="shared" si="316"/>
        <v>1.098000595765573E-3</v>
      </c>
      <c r="BD79" s="399">
        <f t="shared" si="316"/>
        <v>1.0583077255618394E-3</v>
      </c>
      <c r="BE79" s="400">
        <f t="shared" si="316"/>
        <v>1.1727461606735883E-3</v>
      </c>
      <c r="BF79" s="398">
        <f t="shared" ref="BF79:BJ79" si="317">BF49/BF$60</f>
        <v>8.4616854744174201E-4</v>
      </c>
      <c r="BG79" s="398">
        <f t="shared" si="317"/>
        <v>7.3374407718814275E-4</v>
      </c>
      <c r="BH79" s="398">
        <f t="shared" si="317"/>
        <v>9.2841675493237621E-4</v>
      </c>
      <c r="BI79" s="398">
        <f t="shared" si="317"/>
        <v>9.9893190315438721E-4</v>
      </c>
      <c r="BJ79" s="398">
        <f t="shared" si="317"/>
        <v>8.4623517222518873E-4</v>
      </c>
      <c r="BK79" s="398">
        <f t="shared" ref="BK79:BQ79" si="318">IFERROR(BK49/BK$60,0)</f>
        <v>0</v>
      </c>
      <c r="BL79" s="398">
        <f t="shared" si="318"/>
        <v>0</v>
      </c>
      <c r="BM79" s="398">
        <f t="shared" si="318"/>
        <v>0</v>
      </c>
      <c r="BN79" s="398">
        <f t="shared" si="318"/>
        <v>0</v>
      </c>
      <c r="BO79" s="398">
        <f t="shared" si="318"/>
        <v>0</v>
      </c>
      <c r="BP79" s="398">
        <f t="shared" si="318"/>
        <v>0</v>
      </c>
      <c r="BQ79" s="399">
        <f t="shared" si="318"/>
        <v>0</v>
      </c>
      <c r="BR79" s="400">
        <f t="shared" ref="BR79" si="319">BR49/BR$60</f>
        <v>8.8836155373655645E-4</v>
      </c>
      <c r="BS79" s="400">
        <f t="shared" si="253"/>
        <v>1.1727461606735883E-3</v>
      </c>
      <c r="BU79" s="160"/>
      <c r="BV79" s="158"/>
      <c r="BW79" s="158"/>
      <c r="BX79" s="158"/>
    </row>
    <row r="80" spans="1:81" x14ac:dyDescent="0.3">
      <c r="B80" s="256">
        <f t="shared" si="263"/>
        <v>10</v>
      </c>
      <c r="C80" s="257" t="s">
        <v>96</v>
      </c>
      <c r="D80" s="257" t="s">
        <v>52</v>
      </c>
      <c r="E80" s="398">
        <f t="shared" ref="E80:Q80" si="320">E50/E$60</f>
        <v>4.3035446112269071E-3</v>
      </c>
      <c r="F80" s="398">
        <f t="shared" si="320"/>
        <v>3.0510552087654624E-3</v>
      </c>
      <c r="G80" s="398">
        <f t="shared" si="320"/>
        <v>2.4138585825133961E-3</v>
      </c>
      <c r="H80" s="398">
        <f t="shared" si="320"/>
        <v>2.45356026462E-3</v>
      </c>
      <c r="I80" s="398">
        <f t="shared" si="320"/>
        <v>2.6543933584220231E-3</v>
      </c>
      <c r="J80" s="398">
        <f t="shared" si="320"/>
        <v>1.9243326309744291E-3</v>
      </c>
      <c r="K80" s="398">
        <f t="shared" si="320"/>
        <v>1.8277399152203176E-3</v>
      </c>
      <c r="L80" s="398">
        <f t="shared" si="320"/>
        <v>2.0981573653576172E-3</v>
      </c>
      <c r="M80" s="398">
        <f t="shared" si="320"/>
        <v>2.350399458122261E-3</v>
      </c>
      <c r="N80" s="398">
        <f t="shared" si="320"/>
        <v>1.9553479473626853E-3</v>
      </c>
      <c r="O80" s="398">
        <f t="shared" si="320"/>
        <v>2.2373878328501478E-3</v>
      </c>
      <c r="P80" s="399">
        <f t="shared" si="320"/>
        <v>1.3849591850486885E-3</v>
      </c>
      <c r="Q80" s="400">
        <f t="shared" si="320"/>
        <v>1.411958226687444E-3</v>
      </c>
      <c r="R80" s="398">
        <f t="shared" ref="R80:Z80" si="321">R50/R$60</f>
        <v>9.8010411950539482E-4</v>
      </c>
      <c r="S80" s="398">
        <f t="shared" si="321"/>
        <v>1.20862156461787E-3</v>
      </c>
      <c r="T80" s="398">
        <f t="shared" si="321"/>
        <v>1.0009359108667051E-3</v>
      </c>
      <c r="U80" s="398">
        <f t="shared" si="321"/>
        <v>1.0389916639752042E-3</v>
      </c>
      <c r="V80" s="398">
        <f t="shared" si="321"/>
        <v>9.8393753473701362E-4</v>
      </c>
      <c r="W80" s="398">
        <f t="shared" si="321"/>
        <v>1.2730257868274911E-3</v>
      </c>
      <c r="X80" s="398">
        <f t="shared" si="321"/>
        <v>1.5895917238719166E-3</v>
      </c>
      <c r="Y80" s="398">
        <f t="shared" si="321"/>
        <v>1.4544699053601251E-3</v>
      </c>
      <c r="Z80" s="398">
        <f t="shared" si="321"/>
        <v>1.0846083370411733E-3</v>
      </c>
      <c r="AA80" s="398">
        <f t="shared" ref="AA80:AB80" si="322">AA50/AA$60</f>
        <v>9.7683469683272151E-4</v>
      </c>
      <c r="AB80" s="398">
        <f t="shared" si="322"/>
        <v>1.0336703314757032E-3</v>
      </c>
      <c r="AC80" s="399">
        <f t="shared" ref="AC80:AD80" si="323">AC50/AC$60</f>
        <v>1.1910864261927825E-3</v>
      </c>
      <c r="AD80" s="400">
        <f t="shared" si="323"/>
        <v>1.1141666796895542E-3</v>
      </c>
      <c r="AE80" s="398">
        <f t="shared" si="258"/>
        <v>1.3357806815907337E-3</v>
      </c>
      <c r="AF80" s="398">
        <f t="shared" si="258"/>
        <v>1.45480170754104E-3</v>
      </c>
      <c r="AG80" s="398">
        <f t="shared" si="258"/>
        <v>8.3578134918376313E-4</v>
      </c>
      <c r="AH80" s="398">
        <f t="shared" si="258"/>
        <v>9.1793236596260689E-4</v>
      </c>
      <c r="AI80" s="398">
        <f t="shared" si="258"/>
        <v>1.0846955851991334E-3</v>
      </c>
      <c r="AJ80" s="398">
        <f t="shared" si="258"/>
        <v>1.1329248584316363E-3</v>
      </c>
      <c r="AK80" s="398">
        <f t="shared" si="258"/>
        <v>1.0468205453618169E-3</v>
      </c>
      <c r="AL80" s="398">
        <f t="shared" si="258"/>
        <v>1.3205683707336803E-3</v>
      </c>
      <c r="AM80" s="398">
        <f t="shared" si="258"/>
        <v>1.1274297039038693E-3</v>
      </c>
      <c r="AN80" s="398">
        <f t="shared" si="258"/>
        <v>1.6109029715307072E-3</v>
      </c>
      <c r="AO80" s="398">
        <f t="shared" si="258"/>
        <v>1.6484957206497474E-3</v>
      </c>
      <c r="AP80" s="399">
        <f t="shared" si="258"/>
        <v>1.1088545149670385E-3</v>
      </c>
      <c r="AQ80" s="400">
        <f t="shared" si="249"/>
        <v>1.1821881894913304E-3</v>
      </c>
      <c r="AR80" s="400"/>
      <c r="AS80" s="398">
        <f t="shared" ref="AS80:BE80" si="324">AS50/AS$60</f>
        <v>1.8108281331800512E-3</v>
      </c>
      <c r="AT80" s="398">
        <f t="shared" si="324"/>
        <v>1.6335745797633186E-3</v>
      </c>
      <c r="AU80" s="398">
        <f t="shared" si="324"/>
        <v>1.7435675526812956E-3</v>
      </c>
      <c r="AV80" s="398">
        <f t="shared" si="324"/>
        <v>1.7324146729516641E-3</v>
      </c>
      <c r="AW80" s="398">
        <f t="shared" si="324"/>
        <v>1.7481959211014442E-3</v>
      </c>
      <c r="AX80" s="398">
        <f t="shared" si="324"/>
        <v>1.7022285608971465E-3</v>
      </c>
      <c r="AY80" s="398">
        <f t="shared" si="324"/>
        <v>1.7058901517060263E-3</v>
      </c>
      <c r="AZ80" s="398">
        <f t="shared" si="324"/>
        <v>1.6963869976017146E-3</v>
      </c>
      <c r="BA80" s="398">
        <f t="shared" si="324"/>
        <v>1.697176764135889E-3</v>
      </c>
      <c r="BB80" s="398">
        <f t="shared" si="324"/>
        <v>1.6831496768263418E-3</v>
      </c>
      <c r="BC80" s="398">
        <f t="shared" si="324"/>
        <v>1.7135664561662447E-3</v>
      </c>
      <c r="BD80" s="399">
        <f t="shared" si="324"/>
        <v>1.6845195659212042E-3</v>
      </c>
      <c r="BE80" s="400">
        <f t="shared" si="324"/>
        <v>1.7130620334860557E-3</v>
      </c>
      <c r="BF80" s="398">
        <f t="shared" ref="BF80:BJ80" si="325">BF50/BF$60</f>
        <v>1.1744692343616959E-3</v>
      </c>
      <c r="BG80" s="398">
        <f t="shared" si="325"/>
        <v>1.2399128934640711E-3</v>
      </c>
      <c r="BH80" s="398">
        <f t="shared" si="325"/>
        <v>8.4439792311571179E-4</v>
      </c>
      <c r="BI80" s="398">
        <f t="shared" si="325"/>
        <v>9.6349931453578092E-4</v>
      </c>
      <c r="BJ80" s="398">
        <f t="shared" si="325"/>
        <v>1.0590457324087272E-3</v>
      </c>
      <c r="BK80" s="398">
        <f t="shared" ref="BK80:BQ80" si="326">IFERROR(BK50/BK$60,0)</f>
        <v>0</v>
      </c>
      <c r="BL80" s="398">
        <f t="shared" si="326"/>
        <v>0</v>
      </c>
      <c r="BM80" s="398">
        <f t="shared" si="326"/>
        <v>0</v>
      </c>
      <c r="BN80" s="398">
        <f t="shared" si="326"/>
        <v>0</v>
      </c>
      <c r="BO80" s="398">
        <f t="shared" si="326"/>
        <v>0</v>
      </c>
      <c r="BP80" s="398">
        <f t="shared" si="326"/>
        <v>0</v>
      </c>
      <c r="BQ80" s="399">
        <f t="shared" si="326"/>
        <v>0</v>
      </c>
      <c r="BR80" s="400">
        <f t="shared" ref="BR80" si="327">BR50/BR$60</f>
        <v>1.0290208882494554E-3</v>
      </c>
      <c r="BS80" s="400">
        <f t="shared" si="253"/>
        <v>1.7130620334860557E-3</v>
      </c>
      <c r="BU80" s="160"/>
      <c r="BV80" s="158"/>
      <c r="BW80" s="158"/>
      <c r="BX80" s="158"/>
    </row>
    <row r="81" spans="2:76" x14ac:dyDescent="0.3">
      <c r="B81" s="256">
        <f t="shared" si="263"/>
        <v>11</v>
      </c>
      <c r="C81" s="262" t="s">
        <v>96</v>
      </c>
      <c r="D81" s="262" t="s">
        <v>55</v>
      </c>
      <c r="E81" s="401">
        <f t="shared" ref="E81:Q81" si="328">E51/E$60</f>
        <v>0</v>
      </c>
      <c r="F81" s="401">
        <f t="shared" si="328"/>
        <v>0</v>
      </c>
      <c r="G81" s="401">
        <f t="shared" si="328"/>
        <v>0</v>
      </c>
      <c r="H81" s="401">
        <f t="shared" si="328"/>
        <v>1.6656012001647551E-3</v>
      </c>
      <c r="I81" s="401">
        <f t="shared" si="328"/>
        <v>9.2092824700612877E-4</v>
      </c>
      <c r="J81" s="401">
        <f t="shared" si="328"/>
        <v>1.1834870668861969E-3</v>
      </c>
      <c r="K81" s="401">
        <f t="shared" si="328"/>
        <v>5.5858681705615485E-4</v>
      </c>
      <c r="L81" s="401">
        <f t="shared" si="328"/>
        <v>1.0978051375632213E-3</v>
      </c>
      <c r="M81" s="401">
        <f t="shared" si="328"/>
        <v>8.1287573289689195E-4</v>
      </c>
      <c r="N81" s="401">
        <f t="shared" si="328"/>
        <v>0</v>
      </c>
      <c r="O81" s="401">
        <f t="shared" si="328"/>
        <v>4.4006716643799147E-4</v>
      </c>
      <c r="P81" s="402">
        <f t="shared" si="328"/>
        <v>1.4008714644236211E-6</v>
      </c>
      <c r="Q81" s="403">
        <f t="shared" si="328"/>
        <v>3.3592851967551566E-4</v>
      </c>
      <c r="R81" s="401">
        <f t="shared" ref="R81:Z81" si="329">R51/R$60</f>
        <v>2.1195790664566217E-4</v>
      </c>
      <c r="S81" s="401">
        <f t="shared" si="329"/>
        <v>0</v>
      </c>
      <c r="T81" s="401">
        <f t="shared" si="329"/>
        <v>1.9364258681715054E-4</v>
      </c>
      <c r="U81" s="401">
        <f t="shared" si="329"/>
        <v>0</v>
      </c>
      <c r="V81" s="401">
        <f t="shared" si="329"/>
        <v>0</v>
      </c>
      <c r="W81" s="401">
        <f t="shared" si="329"/>
        <v>1.1674361006858607E-4</v>
      </c>
      <c r="X81" s="401">
        <f t="shared" si="329"/>
        <v>3.507383923911298E-4</v>
      </c>
      <c r="Y81" s="401">
        <f t="shared" si="329"/>
        <v>4.6222973782395583E-4</v>
      </c>
      <c r="Z81" s="401">
        <f t="shared" si="329"/>
        <v>1.413762815179322E-6</v>
      </c>
      <c r="AA81" s="401">
        <f t="shared" ref="AA81:AB81" si="330">AA51/AA$60</f>
        <v>3.7013939742575302E-4</v>
      </c>
      <c r="AB81" s="401">
        <f t="shared" si="330"/>
        <v>9.6231809710701748E-5</v>
      </c>
      <c r="AC81" s="402">
        <f t="shared" ref="AC81:AD81" si="331">AC51/AC$60</f>
        <v>8.4430168821676734E-5</v>
      </c>
      <c r="AD81" s="403">
        <f t="shared" si="331"/>
        <v>1.4522241208583445E-4</v>
      </c>
      <c r="AE81" s="401">
        <f t="shared" si="258"/>
        <v>1.1666495159542646E-3</v>
      </c>
      <c r="AF81" s="401">
        <f t="shared" si="258"/>
        <v>3.0009790637134303E-4</v>
      </c>
      <c r="AG81" s="401">
        <f t="shared" si="258"/>
        <v>2.1715416853074017E-4</v>
      </c>
      <c r="AH81" s="401">
        <f t="shared" si="258"/>
        <v>5.2414661863734108E-4</v>
      </c>
      <c r="AI81" s="401">
        <f t="shared" si="258"/>
        <v>4.9860559064126696E-4</v>
      </c>
      <c r="AJ81" s="401">
        <f t="shared" si="258"/>
        <v>4.3059671320586339E-4</v>
      </c>
      <c r="AK81" s="401">
        <f t="shared" si="258"/>
        <v>1.023077574451812E-6</v>
      </c>
      <c r="AL81" s="401">
        <f t="shared" si="258"/>
        <v>1.7247610264057228E-4</v>
      </c>
      <c r="AM81" s="401">
        <f t="shared" si="258"/>
        <v>8.0120607843665967E-4</v>
      </c>
      <c r="AN81" s="401">
        <f t="shared" si="258"/>
        <v>1.5715123135230397E-3</v>
      </c>
      <c r="AO81" s="401">
        <f t="shared" si="258"/>
        <v>1.471647326012609E-3</v>
      </c>
      <c r="AP81" s="402">
        <f t="shared" si="258"/>
        <v>1.2710471603189554E-3</v>
      </c>
      <c r="AQ81" s="403">
        <f t="shared" si="249"/>
        <v>6.2494605663974306E-4</v>
      </c>
      <c r="AR81" s="403"/>
      <c r="AS81" s="401">
        <f t="shared" ref="AS81:BE81" si="332">AS51/AS$60</f>
        <v>5.3949917008434042E-4</v>
      </c>
      <c r="AT81" s="401">
        <f t="shared" si="332"/>
        <v>5.3771065112542512E-4</v>
      </c>
      <c r="AU81" s="401">
        <f t="shared" si="332"/>
        <v>4.7028756108275302E-4</v>
      </c>
      <c r="AV81" s="401">
        <f t="shared" si="332"/>
        <v>5.4125215236682596E-4</v>
      </c>
      <c r="AW81" s="401">
        <f t="shared" si="332"/>
        <v>4.7013396788604499E-4</v>
      </c>
      <c r="AX81" s="401">
        <f t="shared" si="332"/>
        <v>7.4113486557201289E-4</v>
      </c>
      <c r="AY81" s="401">
        <f t="shared" si="332"/>
        <v>5.3608875854372566E-4</v>
      </c>
      <c r="AZ81" s="401">
        <f t="shared" si="332"/>
        <v>4.8619282192079465E-4</v>
      </c>
      <c r="BA81" s="401">
        <f t="shared" si="332"/>
        <v>7.1183178762895892E-4</v>
      </c>
      <c r="BB81" s="401">
        <f t="shared" si="332"/>
        <v>5.564926494895134E-4</v>
      </c>
      <c r="BC81" s="401">
        <f t="shared" si="332"/>
        <v>4.6400216335902144E-4</v>
      </c>
      <c r="BD81" s="402">
        <f t="shared" si="332"/>
        <v>4.8515586521329296E-4</v>
      </c>
      <c r="BE81" s="403">
        <f t="shared" si="332"/>
        <v>5.4546355609698188E-4</v>
      </c>
      <c r="BF81" s="401">
        <f t="shared" ref="BF81:BJ81" si="333">BF51/BF$60</f>
        <v>1.4509330775549732E-3</v>
      </c>
      <c r="BG81" s="401">
        <f t="shared" si="333"/>
        <v>7.0216180559628345E-4</v>
      </c>
      <c r="BH81" s="401">
        <f t="shared" si="333"/>
        <v>1.8675125689583956E-3</v>
      </c>
      <c r="BI81" s="401">
        <f t="shared" si="333"/>
        <v>3.687620708776106E-4</v>
      </c>
      <c r="BJ81" s="401">
        <f t="shared" si="333"/>
        <v>2.670407034559125E-5</v>
      </c>
      <c r="BK81" s="401">
        <f t="shared" ref="BK81:BQ81" si="334">IFERROR(BK51/BK$60,0)</f>
        <v>0</v>
      </c>
      <c r="BL81" s="401">
        <f t="shared" si="334"/>
        <v>0</v>
      </c>
      <c r="BM81" s="401">
        <f t="shared" si="334"/>
        <v>0</v>
      </c>
      <c r="BN81" s="401">
        <f t="shared" si="334"/>
        <v>0</v>
      </c>
      <c r="BO81" s="401">
        <f t="shared" si="334"/>
        <v>0</v>
      </c>
      <c r="BP81" s="401">
        <f t="shared" si="334"/>
        <v>0</v>
      </c>
      <c r="BQ81" s="402">
        <f t="shared" si="334"/>
        <v>0</v>
      </c>
      <c r="BR81" s="403">
        <f t="shared" ref="BR81" si="335">BR51/BR$60</f>
        <v>8.84191134879855E-4</v>
      </c>
      <c r="BS81" s="403">
        <f t="shared" si="253"/>
        <v>5.4546355609698188E-4</v>
      </c>
      <c r="BU81" s="160"/>
      <c r="BV81" s="158"/>
      <c r="BW81" s="158"/>
      <c r="BX81" s="158"/>
    </row>
    <row r="82" spans="2:76" x14ac:dyDescent="0.3">
      <c r="B82" s="236" t="s">
        <v>164</v>
      </c>
      <c r="C82" s="213"/>
      <c r="D82" s="237" t="s">
        <v>165</v>
      </c>
      <c r="E82" s="392">
        <f t="shared" ref="E82:Q82" si="336">SUM(E83:E89)</f>
        <v>0.36413466542937084</v>
      </c>
      <c r="F82" s="392">
        <f t="shared" si="336"/>
        <v>0.27773072666278337</v>
      </c>
      <c r="G82" s="392">
        <f t="shared" si="336"/>
        <v>0.24265994577007918</v>
      </c>
      <c r="H82" s="392">
        <f t="shared" si="336"/>
        <v>0.24976207644130161</v>
      </c>
      <c r="I82" s="392">
        <f t="shared" si="336"/>
        <v>0.22014456051817829</v>
      </c>
      <c r="J82" s="392">
        <f t="shared" si="336"/>
        <v>0.25064588486681466</v>
      </c>
      <c r="K82" s="392">
        <f t="shared" si="336"/>
        <v>0.22196155024647821</v>
      </c>
      <c r="L82" s="392">
        <f t="shared" si="336"/>
        <v>0.22431069054427089</v>
      </c>
      <c r="M82" s="392">
        <f t="shared" si="336"/>
        <v>0.22461557022240891</v>
      </c>
      <c r="N82" s="392">
        <f t="shared" si="336"/>
        <v>0.20327905465274532</v>
      </c>
      <c r="O82" s="392">
        <f t="shared" si="336"/>
        <v>0.26098649520028738</v>
      </c>
      <c r="P82" s="393">
        <f t="shared" si="336"/>
        <v>0.15103109513547464</v>
      </c>
      <c r="Q82" s="394">
        <f t="shared" si="336"/>
        <v>0.1443014716257266</v>
      </c>
      <c r="R82" s="392">
        <f t="shared" ref="R82:X82" si="337">SUM(R83:R89)</f>
        <v>0.14848141647880159</v>
      </c>
      <c r="S82" s="392">
        <f t="shared" si="337"/>
        <v>0.2163831719168412</v>
      </c>
      <c r="T82" s="392">
        <f t="shared" si="337"/>
        <v>0.1479867762580839</v>
      </c>
      <c r="U82" s="392">
        <f t="shared" si="337"/>
        <v>0.15852303987670685</v>
      </c>
      <c r="V82" s="392">
        <f t="shared" si="337"/>
        <v>0.17113231347107233</v>
      </c>
      <c r="W82" s="392">
        <f t="shared" si="337"/>
        <v>0.20795090147656656</v>
      </c>
      <c r="X82" s="392">
        <f t="shared" si="337"/>
        <v>0.31359528644713508</v>
      </c>
      <c r="Y82" s="392">
        <f t="shared" ref="Y82:BS82" si="338">SUM(Y83:Y89)</f>
        <v>0.29008802747637707</v>
      </c>
      <c r="Z82" s="392">
        <f t="shared" si="338"/>
        <v>0.24232654718319696</v>
      </c>
      <c r="AA82" s="392">
        <f t="shared" si="338"/>
        <v>0.17424136966756459</v>
      </c>
      <c r="AB82" s="392">
        <f t="shared" si="338"/>
        <v>0.16503101772905232</v>
      </c>
      <c r="AC82" s="393">
        <f t="shared" si="338"/>
        <v>0.2361501513956798</v>
      </c>
      <c r="AD82" s="394">
        <f t="shared" si="338"/>
        <v>0.19494956866896651</v>
      </c>
      <c r="AE82" s="392">
        <f t="shared" ref="AE82:AQ82" si="339">SUM(AE83:AE89)</f>
        <v>0.35013725848177868</v>
      </c>
      <c r="AF82" s="392">
        <f t="shared" si="339"/>
        <v>0.25102974817134716</v>
      </c>
      <c r="AG82" s="392">
        <f t="shared" si="339"/>
        <v>0.16766267817111624</v>
      </c>
      <c r="AH82" s="392">
        <f t="shared" si="339"/>
        <v>0.18956392603539166</v>
      </c>
      <c r="AI82" s="392">
        <f t="shared" si="339"/>
        <v>0.16757237539521808</v>
      </c>
      <c r="AJ82" s="392">
        <f t="shared" si="339"/>
        <v>0.19543608984652486</v>
      </c>
      <c r="AK82" s="392">
        <f t="shared" si="339"/>
        <v>0.18754251879117653</v>
      </c>
      <c r="AL82" s="392">
        <f t="shared" si="339"/>
        <v>0.18700032254647203</v>
      </c>
      <c r="AM82" s="392">
        <f t="shared" si="339"/>
        <v>0.19516876880631542</v>
      </c>
      <c r="AN82" s="392">
        <f t="shared" si="339"/>
        <v>0.25985494466588605</v>
      </c>
      <c r="AO82" s="392">
        <f t="shared" si="339"/>
        <v>0.32832241206200685</v>
      </c>
      <c r="AP82" s="393">
        <f t="shared" si="339"/>
        <v>0.24201108824761128</v>
      </c>
      <c r="AQ82" s="394">
        <f t="shared" si="339"/>
        <v>0.2142198411610724</v>
      </c>
      <c r="AR82" s="394"/>
      <c r="AS82" s="392">
        <f t="shared" ref="AS82:BE82" si="340">SUM(AS83:AS89)</f>
        <v>0.22733093971020557</v>
      </c>
      <c r="AT82" s="392">
        <f t="shared" si="340"/>
        <v>0.25746940369563398</v>
      </c>
      <c r="AU82" s="392">
        <f t="shared" si="340"/>
        <v>0.22073997347078506</v>
      </c>
      <c r="AV82" s="392">
        <f t="shared" si="340"/>
        <v>0.22505701159125555</v>
      </c>
      <c r="AW82" s="392">
        <f t="shared" si="340"/>
        <v>0.22111895028437711</v>
      </c>
      <c r="AX82" s="392">
        <f t="shared" si="340"/>
        <v>0.22418360429916123</v>
      </c>
      <c r="AY82" s="392">
        <f t="shared" si="340"/>
        <v>0.21675473383906052</v>
      </c>
      <c r="AZ82" s="392">
        <f t="shared" si="340"/>
        <v>0.21362635970748362</v>
      </c>
      <c r="BA82" s="392">
        <f t="shared" si="340"/>
        <v>0.21763227932678339</v>
      </c>
      <c r="BB82" s="392">
        <f t="shared" si="340"/>
        <v>0.21246138703216585</v>
      </c>
      <c r="BC82" s="392">
        <f t="shared" si="340"/>
        <v>0.21645503306621366</v>
      </c>
      <c r="BD82" s="393">
        <f t="shared" si="340"/>
        <v>0.21421282469335837</v>
      </c>
      <c r="BE82" s="394">
        <f t="shared" si="340"/>
        <v>0.22156957929137364</v>
      </c>
      <c r="BF82" s="392">
        <f t="shared" ref="BF82:BJ82" si="341">SUM(BF83:BF89)</f>
        <v>0.26015117870075011</v>
      </c>
      <c r="BG82" s="392">
        <f t="shared" si="341"/>
        <v>0.35153622065643481</v>
      </c>
      <c r="BH82" s="392">
        <f t="shared" si="341"/>
        <v>0.16521543559032614</v>
      </c>
      <c r="BI82" s="392">
        <f t="shared" si="341"/>
        <v>0.20114642161129223</v>
      </c>
      <c r="BJ82" s="392">
        <f t="shared" si="341"/>
        <v>0.2217881171659167</v>
      </c>
      <c r="BK82" s="392">
        <f t="shared" ref="BK82:BQ82" si="342">SUM(BK83:BK89)</f>
        <v>0</v>
      </c>
      <c r="BL82" s="392">
        <f t="shared" si="342"/>
        <v>0</v>
      </c>
      <c r="BM82" s="392">
        <f t="shared" si="342"/>
        <v>0</v>
      </c>
      <c r="BN82" s="392">
        <f t="shared" si="342"/>
        <v>0</v>
      </c>
      <c r="BO82" s="392">
        <f t="shared" si="342"/>
        <v>0</v>
      </c>
      <c r="BP82" s="392">
        <f t="shared" si="342"/>
        <v>0</v>
      </c>
      <c r="BQ82" s="393">
        <f t="shared" si="342"/>
        <v>0</v>
      </c>
      <c r="BR82" s="394">
        <f t="shared" si="338"/>
        <v>0.22659571520389107</v>
      </c>
      <c r="BS82" s="394">
        <f t="shared" si="338"/>
        <v>0.22156957929137364</v>
      </c>
      <c r="BU82" s="160"/>
      <c r="BV82" s="158"/>
      <c r="BW82" s="158"/>
      <c r="BX82" s="158"/>
    </row>
    <row r="83" spans="2:76" x14ac:dyDescent="0.3">
      <c r="B83" s="245">
        <v>1</v>
      </c>
      <c r="C83" s="246" t="s">
        <v>97</v>
      </c>
      <c r="D83" s="246" t="s">
        <v>169</v>
      </c>
      <c r="E83" s="395">
        <f t="shared" ref="E83:Q83" si="343">E53/E$60</f>
        <v>8.7951777218042607E-2</v>
      </c>
      <c r="F83" s="395">
        <f t="shared" si="343"/>
        <v>6.5400036274309736E-2</v>
      </c>
      <c r="G83" s="395">
        <f t="shared" si="343"/>
        <v>5.4144679688370653E-2</v>
      </c>
      <c r="H83" s="395">
        <f t="shared" si="343"/>
        <v>2.4548285927262419E-2</v>
      </c>
      <c r="I83" s="395">
        <f t="shared" si="343"/>
        <v>2.3553101885297818E-2</v>
      </c>
      <c r="J83" s="395">
        <f t="shared" si="343"/>
        <v>2.531970655092055E-2</v>
      </c>
      <c r="K83" s="395">
        <f t="shared" si="343"/>
        <v>2.1888666777939596E-2</v>
      </c>
      <c r="L83" s="395">
        <f t="shared" si="343"/>
        <v>1.8900502149272809E-2</v>
      </c>
      <c r="M83" s="395">
        <f t="shared" si="343"/>
        <v>0</v>
      </c>
      <c r="N83" s="395">
        <f t="shared" si="343"/>
        <v>1.2701426375895713E-3</v>
      </c>
      <c r="O83" s="395">
        <f t="shared" si="343"/>
        <v>1.5588419317285908E-3</v>
      </c>
      <c r="P83" s="396">
        <f t="shared" si="343"/>
        <v>8.2327315923989483E-4</v>
      </c>
      <c r="Q83" s="397">
        <f t="shared" si="343"/>
        <v>1.4404928895643883E-2</v>
      </c>
      <c r="R83" s="395">
        <f t="shared" ref="R83:Z83" si="344">R53/R$60</f>
        <v>7.9866960997535888E-2</v>
      </c>
      <c r="S83" s="395">
        <f t="shared" si="344"/>
        <v>0.13005459772889719</v>
      </c>
      <c r="T83" s="395">
        <f t="shared" si="344"/>
        <v>6.3686109441418282E-2</v>
      </c>
      <c r="U83" s="395">
        <f t="shared" si="344"/>
        <v>6.5332164527492867E-2</v>
      </c>
      <c r="V83" s="395">
        <f t="shared" si="344"/>
        <v>6.8269584896132204E-2</v>
      </c>
      <c r="W83" s="395">
        <f t="shared" si="344"/>
        <v>8.3756570233222541E-2</v>
      </c>
      <c r="X83" s="395">
        <f t="shared" si="344"/>
        <v>0.13066696565400421</v>
      </c>
      <c r="Y83" s="395">
        <f t="shared" si="344"/>
        <v>0.11780486974668938</v>
      </c>
      <c r="Z83" s="395">
        <f t="shared" si="344"/>
        <v>9.4409111661272999E-2</v>
      </c>
      <c r="AA83" s="395">
        <f t="shared" ref="AA83:AB83" si="345">AA53/AA$60</f>
        <v>6.3867488103246259E-2</v>
      </c>
      <c r="AB83" s="395">
        <f t="shared" si="345"/>
        <v>5.809528894215886E-2</v>
      </c>
      <c r="AC83" s="396">
        <f t="shared" ref="AC83:AD83" si="346">AC53/AC$60</f>
        <v>8.0105468008319816E-2</v>
      </c>
      <c r="AD83" s="397">
        <f t="shared" si="346"/>
        <v>8.1332207480356203E-2</v>
      </c>
      <c r="AE83" s="395">
        <f t="shared" ref="AE83:AP83" si="347">IFERROR(AE53/AE$60,0)</f>
        <v>0.12756290144584209</v>
      </c>
      <c r="AF83" s="395">
        <f t="shared" si="347"/>
        <v>9.1974707082000909E-2</v>
      </c>
      <c r="AG83" s="395">
        <f t="shared" si="347"/>
        <v>6.1283260529020202E-2</v>
      </c>
      <c r="AH83" s="395">
        <f t="shared" si="347"/>
        <v>6.6059128885899779E-2</v>
      </c>
      <c r="AI83" s="395">
        <f t="shared" si="347"/>
        <v>5.778584922956765E-2</v>
      </c>
      <c r="AJ83" s="395">
        <f t="shared" si="347"/>
        <v>6.9783793288546642E-2</v>
      </c>
      <c r="AK83" s="395">
        <f t="shared" si="347"/>
        <v>6.5638363936561375E-2</v>
      </c>
      <c r="AL83" s="395">
        <f t="shared" si="347"/>
        <v>6.9171453286337253E-2</v>
      </c>
      <c r="AM83" s="395">
        <f t="shared" si="347"/>
        <v>6.9642180502317005E-2</v>
      </c>
      <c r="AN83" s="395">
        <f t="shared" si="347"/>
        <v>9.5584697960247017E-2</v>
      </c>
      <c r="AO83" s="395">
        <f t="shared" si="347"/>
        <v>0.12487487964444585</v>
      </c>
      <c r="AP83" s="396">
        <f t="shared" si="347"/>
        <v>8.2408081551486018E-2</v>
      </c>
      <c r="AQ83" s="397">
        <f t="shared" ref="AQ83:AQ89" si="348">AQ53/AQ$60</f>
        <v>7.6976807215329957E-2</v>
      </c>
      <c r="AR83" s="397"/>
      <c r="AS83" s="395">
        <f t="shared" ref="AS83:BE83" si="349">AS53/AS$60</f>
        <v>5.6331010904313743E-2</v>
      </c>
      <c r="AT83" s="395">
        <f t="shared" si="349"/>
        <v>6.567946851532111E-2</v>
      </c>
      <c r="AU83" s="395">
        <f t="shared" si="349"/>
        <v>5.4238677333787559E-2</v>
      </c>
      <c r="AV83" s="395">
        <f t="shared" si="349"/>
        <v>5.3796427698341372E-2</v>
      </c>
      <c r="AW83" s="395">
        <f t="shared" si="349"/>
        <v>5.4220963295555862E-2</v>
      </c>
      <c r="AX83" s="395">
        <f t="shared" si="349"/>
        <v>5.2859062632119612E-2</v>
      </c>
      <c r="AY83" s="395">
        <f t="shared" si="349"/>
        <v>5.2032176632402019E-2</v>
      </c>
      <c r="AZ83" s="395">
        <f t="shared" si="349"/>
        <v>5.1742316354806792E-2</v>
      </c>
      <c r="BA83" s="395">
        <f t="shared" si="349"/>
        <v>5.1660424058674576E-2</v>
      </c>
      <c r="BB83" s="395">
        <f t="shared" si="349"/>
        <v>5.1589971579026096E-2</v>
      </c>
      <c r="BC83" s="395">
        <f t="shared" si="349"/>
        <v>5.2061301205028859E-2</v>
      </c>
      <c r="BD83" s="396">
        <f t="shared" si="349"/>
        <v>5.1631959846880945E-2</v>
      </c>
      <c r="BE83" s="397">
        <f t="shared" si="349"/>
        <v>5.3756996546006082E-2</v>
      </c>
      <c r="BF83" s="395">
        <f t="shared" ref="BF83:BJ83" si="350">BF53/BF$60</f>
        <v>0.11196963016471681</v>
      </c>
      <c r="BG83" s="395">
        <f t="shared" si="350"/>
        <v>0.16402065542894126</v>
      </c>
      <c r="BH83" s="395">
        <f t="shared" si="350"/>
        <v>8.6630466176162171E-2</v>
      </c>
      <c r="BI83" s="395">
        <f t="shared" si="350"/>
        <v>8.4462482407107339E-2</v>
      </c>
      <c r="BJ83" s="395">
        <f t="shared" si="350"/>
        <v>9.3204413724255128E-2</v>
      </c>
      <c r="BK83" s="395">
        <f t="shared" ref="BK83:BQ83" si="351">IFERROR(BK53/BK$60,0)</f>
        <v>0</v>
      </c>
      <c r="BL83" s="395">
        <f t="shared" si="351"/>
        <v>0</v>
      </c>
      <c r="BM83" s="395">
        <f t="shared" si="351"/>
        <v>0</v>
      </c>
      <c r="BN83" s="395">
        <f t="shared" si="351"/>
        <v>0</v>
      </c>
      <c r="BO83" s="395">
        <f t="shared" si="351"/>
        <v>0</v>
      </c>
      <c r="BP83" s="395">
        <f t="shared" si="351"/>
        <v>0</v>
      </c>
      <c r="BQ83" s="396">
        <f t="shared" si="351"/>
        <v>0</v>
      </c>
      <c r="BR83" s="397">
        <f t="shared" ref="BR83" si="352">BR53/BR$60</f>
        <v>0.10175061679160412</v>
      </c>
      <c r="BS83" s="397">
        <f t="shared" ref="BS83:BS89" si="353">BE83</f>
        <v>5.3756996546006082E-2</v>
      </c>
      <c r="BU83" s="160"/>
      <c r="BV83" s="158"/>
      <c r="BW83" s="158"/>
      <c r="BX83" s="158"/>
    </row>
    <row r="84" spans="2:76" x14ac:dyDescent="0.3">
      <c r="B84" s="256">
        <f t="shared" ref="B84:B89" si="354">B83+1</f>
        <v>2</v>
      </c>
      <c r="C84" s="257" t="s">
        <v>97</v>
      </c>
      <c r="D84" s="257" t="s">
        <v>48</v>
      </c>
      <c r="E84" s="398">
        <f t="shared" ref="E84:Q84" si="355">E54/E$60</f>
        <v>0.17785647280143568</v>
      </c>
      <c r="F84" s="398">
        <f t="shared" si="355"/>
        <v>0.13226415950606588</v>
      </c>
      <c r="G84" s="398">
        <f t="shared" si="355"/>
        <v>0.11452423027600667</v>
      </c>
      <c r="H84" s="398">
        <f t="shared" si="355"/>
        <v>0.1440961369093971</v>
      </c>
      <c r="I84" s="398">
        <f t="shared" si="355"/>
        <v>0.12567446690137127</v>
      </c>
      <c r="J84" s="398">
        <f t="shared" si="355"/>
        <v>0.14547569493170806</v>
      </c>
      <c r="K84" s="398">
        <f t="shared" si="355"/>
        <v>0.12450529968409747</v>
      </c>
      <c r="L84" s="398">
        <f t="shared" si="355"/>
        <v>0.1331234741516428</v>
      </c>
      <c r="M84" s="398">
        <f t="shared" si="355"/>
        <v>0.14552705527135881</v>
      </c>
      <c r="N84" s="398">
        <f t="shared" si="355"/>
        <v>0.12688754805751967</v>
      </c>
      <c r="O84" s="398">
        <f t="shared" si="355"/>
        <v>0.16275311736128553</v>
      </c>
      <c r="P84" s="399">
        <f t="shared" si="355"/>
        <v>8.8295424303483444E-2</v>
      </c>
      <c r="Q84" s="400">
        <f t="shared" si="355"/>
        <v>8.1757584376590739E-2</v>
      </c>
      <c r="R84" s="398">
        <f t="shared" ref="R84:Z84" si="356">R54/R$60</f>
        <v>5.6035770653490087E-2</v>
      </c>
      <c r="S84" s="398">
        <f t="shared" si="356"/>
        <v>6.7553911022709745E-2</v>
      </c>
      <c r="T84" s="398">
        <f t="shared" si="356"/>
        <v>4.7254526794942769E-2</v>
      </c>
      <c r="U84" s="398">
        <f t="shared" si="356"/>
        <v>5.4298074931261528E-2</v>
      </c>
      <c r="V84" s="398">
        <f t="shared" si="356"/>
        <v>5.9583074735721754E-2</v>
      </c>
      <c r="W84" s="398">
        <f t="shared" si="356"/>
        <v>7.2201975475636865E-2</v>
      </c>
      <c r="X84" s="398">
        <f t="shared" si="356"/>
        <v>0.1075779423020036</v>
      </c>
      <c r="Y84" s="398">
        <f t="shared" si="356"/>
        <v>9.7931607275811461E-2</v>
      </c>
      <c r="Z84" s="398">
        <f t="shared" si="356"/>
        <v>8.3100621101931046E-2</v>
      </c>
      <c r="AA84" s="398">
        <f t="shared" ref="AA84:AB84" si="357">AA54/AA$60</f>
        <v>6.3436977371711223E-2</v>
      </c>
      <c r="AB84" s="398">
        <f t="shared" si="357"/>
        <v>6.0598588698100427E-2</v>
      </c>
      <c r="AC84" s="399">
        <f t="shared" ref="AC84:AD84" si="358">AC54/AC$60</f>
        <v>8.7315841165948066E-2</v>
      </c>
      <c r="AD84" s="400">
        <f t="shared" si="358"/>
        <v>6.7837090486929208E-2</v>
      </c>
      <c r="AE84" s="398">
        <f t="shared" ref="AE84:AP84" si="359">IFERROR(AE54/AE$60,0)</f>
        <v>0.12836341231749762</v>
      </c>
      <c r="AF84" s="398">
        <f t="shared" si="359"/>
        <v>8.9979117487925114E-2</v>
      </c>
      <c r="AG84" s="398">
        <f t="shared" si="359"/>
        <v>5.848318873839254E-2</v>
      </c>
      <c r="AH84" s="398">
        <f t="shared" si="359"/>
        <v>7.0421590202353501E-2</v>
      </c>
      <c r="AI84" s="398">
        <f t="shared" si="359"/>
        <v>6.3122294747444532E-2</v>
      </c>
      <c r="AJ84" s="398">
        <f t="shared" si="359"/>
        <v>7.0554746246448308E-2</v>
      </c>
      <c r="AK84" s="398">
        <f t="shared" si="359"/>
        <v>7.1017624211578881E-2</v>
      </c>
      <c r="AL84" s="398">
        <f t="shared" si="359"/>
        <v>6.7951736469794077E-2</v>
      </c>
      <c r="AM84" s="398">
        <f t="shared" si="359"/>
        <v>7.4188025237868216E-2</v>
      </c>
      <c r="AN84" s="398">
        <f t="shared" si="359"/>
        <v>9.1945136314473985E-2</v>
      </c>
      <c r="AO84" s="398">
        <f t="shared" si="359"/>
        <v>0.1112191900994427</v>
      </c>
      <c r="AP84" s="399">
        <f t="shared" si="359"/>
        <v>9.4077875908254407E-2</v>
      </c>
      <c r="AQ84" s="400">
        <f t="shared" si="348"/>
        <v>7.835216613662338E-2</v>
      </c>
      <c r="AR84" s="400"/>
      <c r="AS84" s="398">
        <f t="shared" ref="AS84:BE84" si="360">AS54/AS$60</f>
        <v>9.3451022934686795E-2</v>
      </c>
      <c r="AT84" s="398">
        <f t="shared" si="360"/>
        <v>0.10598068404637026</v>
      </c>
      <c r="AU84" s="398">
        <f t="shared" si="360"/>
        <v>8.4991035098426815E-2</v>
      </c>
      <c r="AV84" s="398">
        <f t="shared" si="360"/>
        <v>9.1717174009745828E-2</v>
      </c>
      <c r="AW84" s="398">
        <f t="shared" si="360"/>
        <v>8.8355588002383634E-2</v>
      </c>
      <c r="AX84" s="398">
        <f t="shared" si="360"/>
        <v>9.0496522918444858E-2</v>
      </c>
      <c r="AY84" s="398">
        <f t="shared" si="360"/>
        <v>8.6852532673006924E-2</v>
      </c>
      <c r="AZ84" s="398">
        <f t="shared" si="360"/>
        <v>8.6411254167107585E-2</v>
      </c>
      <c r="BA84" s="398">
        <f t="shared" si="360"/>
        <v>8.8640407841777291E-2</v>
      </c>
      <c r="BB84" s="398">
        <f t="shared" si="360"/>
        <v>8.4326029259192817E-2</v>
      </c>
      <c r="BC84" s="398">
        <f t="shared" si="360"/>
        <v>8.9534179127801219E-2</v>
      </c>
      <c r="BD84" s="399">
        <f t="shared" si="360"/>
        <v>8.6616466921630428E-2</v>
      </c>
      <c r="BE84" s="400">
        <f t="shared" si="360"/>
        <v>8.9474002406752726E-2</v>
      </c>
      <c r="BF84" s="398">
        <f t="shared" ref="BF84:BJ84" si="361">BF54/BF$60</f>
        <v>9.8940323783674511E-2</v>
      </c>
      <c r="BG84" s="398">
        <f t="shared" si="361"/>
        <v>0.1242213461926349</v>
      </c>
      <c r="BH84" s="398">
        <f t="shared" si="361"/>
        <v>4.2838692143916078E-2</v>
      </c>
      <c r="BI84" s="398">
        <f t="shared" si="361"/>
        <v>7.7538584144052722E-2</v>
      </c>
      <c r="BJ84" s="398">
        <f t="shared" si="361"/>
        <v>8.2332266306389748E-2</v>
      </c>
      <c r="BK84" s="398">
        <f t="shared" ref="BK84:BQ84" si="362">IFERROR(BK54/BK$60,0)</f>
        <v>0</v>
      </c>
      <c r="BL84" s="398">
        <f t="shared" si="362"/>
        <v>0</v>
      </c>
      <c r="BM84" s="398">
        <f t="shared" si="362"/>
        <v>0</v>
      </c>
      <c r="BN84" s="398">
        <f t="shared" si="362"/>
        <v>0</v>
      </c>
      <c r="BO84" s="398">
        <f t="shared" si="362"/>
        <v>0</v>
      </c>
      <c r="BP84" s="398">
        <f t="shared" si="362"/>
        <v>0</v>
      </c>
      <c r="BQ84" s="399">
        <f t="shared" si="362"/>
        <v>0</v>
      </c>
      <c r="BR84" s="400">
        <f t="shared" ref="BR84" si="363">BR54/BR$60</f>
        <v>8.0115625585034017E-2</v>
      </c>
      <c r="BS84" s="400">
        <f t="shared" si="353"/>
        <v>8.9474002406752726E-2</v>
      </c>
      <c r="BU84" s="160"/>
      <c r="BV84" s="158"/>
      <c r="BW84" s="158"/>
      <c r="BX84" s="158"/>
    </row>
    <row r="85" spans="2:76" x14ac:dyDescent="0.3">
      <c r="B85" s="256">
        <f t="shared" si="354"/>
        <v>3</v>
      </c>
      <c r="C85" s="257" t="s">
        <v>96</v>
      </c>
      <c r="D85" s="257" t="s">
        <v>16</v>
      </c>
      <c r="E85" s="398">
        <f t="shared" ref="E85:Q85" si="364">E55/E$60</f>
        <v>5.8063068967948418E-2</v>
      </c>
      <c r="F85" s="398">
        <f t="shared" si="364"/>
        <v>4.661533371652328E-2</v>
      </c>
      <c r="G85" s="398">
        <f t="shared" si="364"/>
        <v>4.2102071081195618E-2</v>
      </c>
      <c r="H85" s="398">
        <f t="shared" si="364"/>
        <v>5.1210616846058779E-2</v>
      </c>
      <c r="I85" s="398">
        <f t="shared" si="364"/>
        <v>4.182690139947149E-2</v>
      </c>
      <c r="J85" s="398">
        <f t="shared" si="364"/>
        <v>4.7958087005420882E-2</v>
      </c>
      <c r="K85" s="398">
        <f t="shared" si="364"/>
        <v>4.3281951327161373E-2</v>
      </c>
      <c r="L85" s="398">
        <f t="shared" si="364"/>
        <v>4.402750869505305E-2</v>
      </c>
      <c r="M85" s="398">
        <f t="shared" si="364"/>
        <v>5.1558653770950667E-2</v>
      </c>
      <c r="N85" s="398">
        <f t="shared" si="364"/>
        <v>4.61169553545989E-2</v>
      </c>
      <c r="O85" s="398">
        <f t="shared" si="364"/>
        <v>5.668765163036453E-2</v>
      </c>
      <c r="P85" s="399">
        <f t="shared" si="364"/>
        <v>3.1463513888982206E-2</v>
      </c>
      <c r="Q85" s="400">
        <f t="shared" si="364"/>
        <v>2.8380916603597279E-2</v>
      </c>
      <c r="R85" s="398">
        <f t="shared" ref="R85:Z85" si="365">R55/R$60</f>
        <v>1.2136631745304639E-3</v>
      </c>
      <c r="S85" s="398">
        <f t="shared" si="365"/>
        <v>1.7298837093348677E-3</v>
      </c>
      <c r="T85" s="398">
        <f t="shared" si="365"/>
        <v>2.4060403454184438E-2</v>
      </c>
      <c r="U85" s="398">
        <f t="shared" si="365"/>
        <v>2.5615314996508431E-2</v>
      </c>
      <c r="V85" s="398">
        <f t="shared" si="365"/>
        <v>2.7511546635251495E-2</v>
      </c>
      <c r="W85" s="398">
        <f t="shared" si="365"/>
        <v>3.3787808962601557E-2</v>
      </c>
      <c r="X85" s="398">
        <f t="shared" si="365"/>
        <v>5.3301755644952112E-2</v>
      </c>
      <c r="Y85" s="398">
        <f t="shared" si="365"/>
        <v>4.8382031539516895E-2</v>
      </c>
      <c r="Z85" s="398">
        <f t="shared" si="365"/>
        <v>4.0517061030447159E-2</v>
      </c>
      <c r="AA85" s="398">
        <f t="shared" ref="AA85:AB85" si="366">AA55/AA$60</f>
        <v>2.9779568538878663E-2</v>
      </c>
      <c r="AB85" s="398">
        <f t="shared" si="366"/>
        <v>2.7815681317514652E-2</v>
      </c>
      <c r="AC85" s="399">
        <f t="shared" ref="AC85:AD85" si="367">AC55/AC$60</f>
        <v>3.9916571330127375E-2</v>
      </c>
      <c r="AD85" s="400">
        <f t="shared" si="367"/>
        <v>2.7773455536599708E-2</v>
      </c>
      <c r="AE85" s="398">
        <f t="shared" ref="AE85:AP85" si="368">IFERROR(AE55/AE$60,0)</f>
        <v>6.0102908465010742E-2</v>
      </c>
      <c r="AF85" s="398">
        <f t="shared" si="368"/>
        <v>4.3353804073948135E-2</v>
      </c>
      <c r="AG85" s="398">
        <f t="shared" si="368"/>
        <v>3.0239652942798262E-2</v>
      </c>
      <c r="AH85" s="398">
        <f t="shared" si="368"/>
        <v>3.2244410982211084E-2</v>
      </c>
      <c r="AI85" s="398">
        <f t="shared" si="368"/>
        <v>2.9544193887861937E-2</v>
      </c>
      <c r="AJ85" s="398">
        <f t="shared" si="368"/>
        <v>3.2392501633996242E-2</v>
      </c>
      <c r="AK85" s="398">
        <f t="shared" si="368"/>
        <v>2.9533382434512014E-2</v>
      </c>
      <c r="AL85" s="398">
        <f t="shared" si="368"/>
        <v>2.9564146488793047E-2</v>
      </c>
      <c r="AM85" s="398">
        <f t="shared" si="368"/>
        <v>3.2238526764041327E-2</v>
      </c>
      <c r="AN85" s="398">
        <f t="shared" si="368"/>
        <v>4.2198729333809123E-2</v>
      </c>
      <c r="AO85" s="398">
        <f t="shared" si="368"/>
        <v>5.7366260379184734E-2</v>
      </c>
      <c r="AP85" s="399">
        <f t="shared" si="368"/>
        <v>4.2339071067599529E-2</v>
      </c>
      <c r="AQ85" s="400">
        <f t="shared" si="348"/>
        <v>3.616360153020811E-2</v>
      </c>
      <c r="AR85" s="400"/>
      <c r="AS85" s="398">
        <f t="shared" ref="AS85:BE85" si="369">AS55/AS$60</f>
        <v>5.1152715693836399E-2</v>
      </c>
      <c r="AT85" s="398">
        <f t="shared" si="369"/>
        <v>6.4032528537712519E-2</v>
      </c>
      <c r="AU85" s="398">
        <f t="shared" si="369"/>
        <v>5.3681376457789858E-2</v>
      </c>
      <c r="AV85" s="398">
        <f t="shared" si="369"/>
        <v>5.3564019557851575E-2</v>
      </c>
      <c r="AW85" s="398">
        <f t="shared" si="369"/>
        <v>5.4137154156103706E-2</v>
      </c>
      <c r="AX85" s="398">
        <f t="shared" si="369"/>
        <v>5.4082519049019118E-2</v>
      </c>
      <c r="AY85" s="398">
        <f t="shared" si="369"/>
        <v>5.3236494250162393E-2</v>
      </c>
      <c r="AZ85" s="398">
        <f t="shared" si="369"/>
        <v>5.2939924973221184E-2</v>
      </c>
      <c r="BA85" s="398">
        <f t="shared" si="369"/>
        <v>5.2856137228130762E-2</v>
      </c>
      <c r="BB85" s="398">
        <f t="shared" si="369"/>
        <v>5.2784054081307721E-2</v>
      </c>
      <c r="BC85" s="398">
        <f t="shared" si="369"/>
        <v>5.3266292929432364E-2</v>
      </c>
      <c r="BD85" s="399">
        <f t="shared" si="369"/>
        <v>5.2937237204096897E-2</v>
      </c>
      <c r="BE85" s="400">
        <f t="shared" si="369"/>
        <v>5.389592161617611E-2</v>
      </c>
      <c r="BF85" s="398">
        <f t="shared" ref="BF85:BJ85" si="370">BF55/BF$60</f>
        <v>2.4709111615129665E-2</v>
      </c>
      <c r="BG85" s="398">
        <f t="shared" si="370"/>
        <v>3.5647594701287671E-2</v>
      </c>
      <c r="BH85" s="398">
        <f t="shared" si="370"/>
        <v>1.9040706319039931E-2</v>
      </c>
      <c r="BI85" s="398">
        <f t="shared" si="370"/>
        <v>2.0018604947155492E-2</v>
      </c>
      <c r="BJ85" s="398">
        <f t="shared" si="370"/>
        <v>2.2604399528785731E-2</v>
      </c>
      <c r="BK85" s="398">
        <f t="shared" ref="BK85:BQ85" si="371">IFERROR(BK55/BK$60,0)</f>
        <v>0</v>
      </c>
      <c r="BL85" s="398">
        <f t="shared" si="371"/>
        <v>0</v>
      </c>
      <c r="BM85" s="398">
        <f t="shared" si="371"/>
        <v>0</v>
      </c>
      <c r="BN85" s="398">
        <f t="shared" si="371"/>
        <v>0</v>
      </c>
      <c r="BO85" s="398">
        <f t="shared" si="371"/>
        <v>0</v>
      </c>
      <c r="BP85" s="398">
        <f t="shared" si="371"/>
        <v>0</v>
      </c>
      <c r="BQ85" s="399">
        <f t="shared" si="371"/>
        <v>0</v>
      </c>
      <c r="BR85" s="400">
        <f t="shared" ref="BR85" si="372">BR55/BR$60</f>
        <v>2.3145049389658907E-2</v>
      </c>
      <c r="BS85" s="400">
        <f t="shared" si="353"/>
        <v>5.389592161617611E-2</v>
      </c>
      <c r="BU85" s="160"/>
      <c r="BV85" s="158"/>
      <c r="BW85" s="158"/>
      <c r="BX85" s="158"/>
    </row>
    <row r="86" spans="2:76" x14ac:dyDescent="0.3">
      <c r="B86" s="256">
        <f t="shared" si="354"/>
        <v>4</v>
      </c>
      <c r="C86" s="257" t="s">
        <v>97</v>
      </c>
      <c r="D86" s="257" t="s">
        <v>36</v>
      </c>
      <c r="E86" s="398">
        <f t="shared" ref="E86:Q86" si="373">E56/E$60</f>
        <v>1.8310076669571847E-2</v>
      </c>
      <c r="F86" s="398">
        <f t="shared" si="373"/>
        <v>1.8441522343880443E-2</v>
      </c>
      <c r="G86" s="398">
        <f t="shared" si="373"/>
        <v>1.7273935550246335E-2</v>
      </c>
      <c r="H86" s="398">
        <f t="shared" si="373"/>
        <v>1.5434195573665852E-2</v>
      </c>
      <c r="I86" s="398">
        <f t="shared" si="373"/>
        <v>1.1230281450204082E-2</v>
      </c>
      <c r="J86" s="398">
        <f t="shared" si="373"/>
        <v>1.4761176667234192E-2</v>
      </c>
      <c r="K86" s="398">
        <f t="shared" si="373"/>
        <v>1.3334573866506929E-2</v>
      </c>
      <c r="L86" s="398">
        <f t="shared" si="373"/>
        <v>1.0515375866397553E-2</v>
      </c>
      <c r="M86" s="398">
        <f t="shared" si="373"/>
        <v>1.0700408900132286E-2</v>
      </c>
      <c r="N86" s="398">
        <f t="shared" si="373"/>
        <v>1.004758941285293E-2</v>
      </c>
      <c r="O86" s="398">
        <f t="shared" si="373"/>
        <v>1.2547815258694762E-2</v>
      </c>
      <c r="P86" s="399">
        <f t="shared" si="373"/>
        <v>1.1304015461945956E-2</v>
      </c>
      <c r="Q86" s="400">
        <f t="shared" si="373"/>
        <v>8.2834236884009212E-3</v>
      </c>
      <c r="R86" s="398">
        <f t="shared" ref="R86:Z86" si="374">R56/R$60</f>
        <v>1.2105878326069983E-3</v>
      </c>
      <c r="S86" s="398">
        <f t="shared" si="374"/>
        <v>2.2918634165669909E-3</v>
      </c>
      <c r="T86" s="398">
        <f t="shared" si="374"/>
        <v>1.7310117375163639E-3</v>
      </c>
      <c r="U86" s="398">
        <f t="shared" si="374"/>
        <v>1.9776086749600861E-3</v>
      </c>
      <c r="V86" s="398">
        <f t="shared" si="374"/>
        <v>2.065678662214636E-3</v>
      </c>
      <c r="W86" s="398">
        <f t="shared" si="374"/>
        <v>2.4379797899930938E-3</v>
      </c>
      <c r="X86" s="398">
        <f t="shared" si="374"/>
        <v>3.6458653425457026E-3</v>
      </c>
      <c r="Y86" s="398">
        <f t="shared" si="374"/>
        <v>3.6704038105172905E-3</v>
      </c>
      <c r="Z86" s="398">
        <f t="shared" si="374"/>
        <v>2.3420186490480822E-3</v>
      </c>
      <c r="AA86" s="398">
        <f t="shared" ref="AA86:AB86" si="375">AA56/AA$60</f>
        <v>2.1591201236416772E-3</v>
      </c>
      <c r="AB86" s="398">
        <f t="shared" si="375"/>
        <v>2.3222477350639016E-3</v>
      </c>
      <c r="AC86" s="399">
        <f t="shared" ref="AC86:AD86" si="376">AC56/AC$60</f>
        <v>4.4329317604629975E-3</v>
      </c>
      <c r="AD86" s="400">
        <f t="shared" si="376"/>
        <v>2.394909886081523E-3</v>
      </c>
      <c r="AE86" s="398">
        <f t="shared" ref="AE86:AP86" si="377">IFERROR(AE56/AE$60,0)</f>
        <v>6.861264704280186E-3</v>
      </c>
      <c r="AF86" s="398">
        <f t="shared" si="377"/>
        <v>4.4089784606590353E-3</v>
      </c>
      <c r="AG86" s="398">
        <f t="shared" si="377"/>
        <v>3.2820013652282549E-3</v>
      </c>
      <c r="AH86" s="398">
        <f t="shared" si="377"/>
        <v>3.0472532139249192E-3</v>
      </c>
      <c r="AI86" s="398">
        <f t="shared" si="377"/>
        <v>2.6780685026791037E-3</v>
      </c>
      <c r="AJ86" s="398">
        <f t="shared" si="377"/>
        <v>5.7195789766496773E-3</v>
      </c>
      <c r="AK86" s="398">
        <f t="shared" si="377"/>
        <v>5.3941567229786993E-3</v>
      </c>
      <c r="AL86" s="398">
        <f t="shared" si="377"/>
        <v>5.1015138708714117E-3</v>
      </c>
      <c r="AM86" s="398">
        <f t="shared" si="377"/>
        <v>4.9920179935118141E-3</v>
      </c>
      <c r="AN86" s="398">
        <f t="shared" si="377"/>
        <v>9.8502056848875953E-3</v>
      </c>
      <c r="AO86" s="398">
        <f t="shared" si="377"/>
        <v>8.5874272801582836E-3</v>
      </c>
      <c r="AP86" s="399">
        <f t="shared" si="377"/>
        <v>5.6591311972871471E-3</v>
      </c>
      <c r="AQ86" s="400">
        <f t="shared" si="348"/>
        <v>5.1972910313751149E-3</v>
      </c>
      <c r="AR86" s="400"/>
      <c r="AS86" s="398">
        <f t="shared" ref="AS86:BE86" si="378">AS56/AS$60</f>
        <v>7.2495585492256247E-3</v>
      </c>
      <c r="AT86" s="398">
        <f t="shared" si="378"/>
        <v>6.3876861784004143E-3</v>
      </c>
      <c r="AU86" s="398">
        <f t="shared" si="378"/>
        <v>8.6295041063501627E-3</v>
      </c>
      <c r="AV86" s="398">
        <f t="shared" si="378"/>
        <v>7.2593836385810625E-3</v>
      </c>
      <c r="AW86" s="398">
        <f t="shared" si="378"/>
        <v>7.261465029203204E-3</v>
      </c>
      <c r="AX86" s="398">
        <f t="shared" si="378"/>
        <v>6.9971933289618531E-3</v>
      </c>
      <c r="AY86" s="398">
        <f t="shared" si="378"/>
        <v>6.2043459355878572E-3</v>
      </c>
      <c r="AZ86" s="398">
        <f t="shared" si="378"/>
        <v>5.8548710974248427E-3</v>
      </c>
      <c r="BA86" s="398">
        <f t="shared" si="378"/>
        <v>6.2905322226003008E-3</v>
      </c>
      <c r="BB86" s="398">
        <f t="shared" si="378"/>
        <v>6.6271715015321061E-3</v>
      </c>
      <c r="BC86" s="398">
        <f t="shared" si="378"/>
        <v>5.6634524985561948E-3</v>
      </c>
      <c r="BD86" s="399">
        <f t="shared" si="378"/>
        <v>5.8639209963856917E-3</v>
      </c>
      <c r="BE86" s="400">
        <f t="shared" si="378"/>
        <v>6.6805148655159404E-3</v>
      </c>
      <c r="BF86" s="398">
        <f t="shared" ref="BF86:BJ86" si="379">BF56/BF$60</f>
        <v>7.9846075258588611E-3</v>
      </c>
      <c r="BG86" s="398">
        <f t="shared" si="379"/>
        <v>8.7653585242480399E-3</v>
      </c>
      <c r="BH86" s="398">
        <f t="shared" si="379"/>
        <v>4.5806867595858634E-3</v>
      </c>
      <c r="BI86" s="398">
        <f t="shared" si="379"/>
        <v>5.7801501929379039E-3</v>
      </c>
      <c r="BJ86" s="398">
        <f t="shared" si="379"/>
        <v>6.6308625121479572E-3</v>
      </c>
      <c r="BK86" s="398">
        <f t="shared" ref="BK86:BQ86" si="380">IFERROR(BK56/BK$60,0)</f>
        <v>0</v>
      </c>
      <c r="BL86" s="398">
        <f t="shared" si="380"/>
        <v>0</v>
      </c>
      <c r="BM86" s="398">
        <f t="shared" si="380"/>
        <v>0</v>
      </c>
      <c r="BN86" s="398">
        <f t="shared" si="380"/>
        <v>0</v>
      </c>
      <c r="BO86" s="398">
        <f t="shared" si="380"/>
        <v>0</v>
      </c>
      <c r="BP86" s="398">
        <f t="shared" si="380"/>
        <v>0</v>
      </c>
      <c r="BQ86" s="399">
        <f t="shared" si="380"/>
        <v>0</v>
      </c>
      <c r="BR86" s="400">
        <f t="shared" ref="BR86" si="381">BR56/BR$60</f>
        <v>6.455160268025696E-3</v>
      </c>
      <c r="BS86" s="400">
        <f t="shared" si="353"/>
        <v>6.6805148655159404E-3</v>
      </c>
      <c r="BU86" s="160"/>
      <c r="BV86" s="158"/>
      <c r="BW86" s="158"/>
      <c r="BX86" s="158"/>
    </row>
    <row r="87" spans="2:76" x14ac:dyDescent="0.3">
      <c r="B87" s="256">
        <f t="shared" si="354"/>
        <v>5</v>
      </c>
      <c r="C87" s="257" t="s">
        <v>97</v>
      </c>
      <c r="D87" s="257" t="s">
        <v>12</v>
      </c>
      <c r="E87" s="398">
        <f t="shared" ref="E87:Q87" si="382">E57/E$60</f>
        <v>1.3509493415941983E-2</v>
      </c>
      <c r="F87" s="398">
        <f t="shared" si="382"/>
        <v>1.0771178120394218E-2</v>
      </c>
      <c r="G87" s="398">
        <f t="shared" si="382"/>
        <v>8.6735331460237979E-3</v>
      </c>
      <c r="H87" s="398">
        <f t="shared" si="382"/>
        <v>8.8367521656075691E-3</v>
      </c>
      <c r="I87" s="398">
        <f t="shared" si="382"/>
        <v>9.8643397277826898E-3</v>
      </c>
      <c r="J87" s="398">
        <f t="shared" si="382"/>
        <v>9.2428255868652193E-3</v>
      </c>
      <c r="K87" s="398">
        <f t="shared" si="382"/>
        <v>8.3530867491825363E-3</v>
      </c>
      <c r="L87" s="398">
        <f t="shared" si="382"/>
        <v>8.8823411340549895E-3</v>
      </c>
      <c r="M87" s="398">
        <f t="shared" si="382"/>
        <v>8.4956592045199557E-3</v>
      </c>
      <c r="N87" s="398">
        <f t="shared" si="382"/>
        <v>8.7593036150061844E-3</v>
      </c>
      <c r="O87" s="398">
        <f t="shared" si="382"/>
        <v>1.2089985622017602E-2</v>
      </c>
      <c r="P87" s="399">
        <f t="shared" si="382"/>
        <v>7.059995970121768E-3</v>
      </c>
      <c r="Q87" s="400">
        <f t="shared" si="382"/>
        <v>5.7835141055807273E-3</v>
      </c>
      <c r="R87" s="398">
        <f t="shared" ref="R87:Z87" si="383">R57/R$60</f>
        <v>5.4834002484196306E-3</v>
      </c>
      <c r="S87" s="398">
        <f t="shared" si="383"/>
        <v>7.2325455721655016E-3</v>
      </c>
      <c r="T87" s="398">
        <f t="shared" si="383"/>
        <v>5.6710406030403742E-3</v>
      </c>
      <c r="U87" s="398">
        <f t="shared" si="383"/>
        <v>6.2050676661721477E-3</v>
      </c>
      <c r="V87" s="398">
        <f t="shared" si="383"/>
        <v>7.1933119381469802E-3</v>
      </c>
      <c r="W87" s="398">
        <f t="shared" si="383"/>
        <v>6.9579170344223193E-3</v>
      </c>
      <c r="X87" s="398">
        <f t="shared" si="383"/>
        <v>9.1184724307095226E-3</v>
      </c>
      <c r="Y87" s="398">
        <f t="shared" si="383"/>
        <v>1.0566506570088634E-2</v>
      </c>
      <c r="Z87" s="398">
        <f t="shared" si="383"/>
        <v>1.1110544232377194E-2</v>
      </c>
      <c r="AA87" s="398">
        <f t="shared" ref="AA87:AB87" si="384">AA57/AA$60</f>
        <v>6.3932419898897787E-3</v>
      </c>
      <c r="AB87" s="398">
        <f t="shared" si="384"/>
        <v>7.208484713601325E-3</v>
      </c>
      <c r="AC87" s="399">
        <f t="shared" ref="AC87:AD87" si="385">AC57/AC$60</f>
        <v>1.0403279054874407E-2</v>
      </c>
      <c r="AD87" s="400">
        <f t="shared" si="385"/>
        <v>7.4920901950232942E-3</v>
      </c>
      <c r="AE87" s="398">
        <f t="shared" ref="AE87:AP87" si="386">IFERROR(AE57/AE$60,0)</f>
        <v>1.1928508923554395E-2</v>
      </c>
      <c r="AF87" s="398">
        <f t="shared" si="386"/>
        <v>1.0490334201908822E-2</v>
      </c>
      <c r="AG87" s="398">
        <f t="shared" si="386"/>
        <v>6.8128183850776711E-3</v>
      </c>
      <c r="AH87" s="398">
        <f t="shared" si="386"/>
        <v>8.745789599404228E-3</v>
      </c>
      <c r="AI87" s="398">
        <f t="shared" si="386"/>
        <v>7.0586854331850888E-3</v>
      </c>
      <c r="AJ87" s="398">
        <f t="shared" si="386"/>
        <v>6.9296520557530486E-3</v>
      </c>
      <c r="AK87" s="398">
        <f t="shared" si="386"/>
        <v>6.4388744291846E-3</v>
      </c>
      <c r="AL87" s="398">
        <f t="shared" si="386"/>
        <v>6.255373872887297E-3</v>
      </c>
      <c r="AM87" s="398">
        <f t="shared" si="386"/>
        <v>6.5560410253076261E-3</v>
      </c>
      <c r="AN87" s="398">
        <f t="shared" si="386"/>
        <v>8.6890797082848602E-3</v>
      </c>
      <c r="AO87" s="398">
        <f t="shared" si="386"/>
        <v>1.2430374661277792E-2</v>
      </c>
      <c r="AP87" s="399">
        <f t="shared" si="386"/>
        <v>7.9446597380494182E-3</v>
      </c>
      <c r="AQ87" s="400">
        <f t="shared" si="348"/>
        <v>7.9127906718359162E-3</v>
      </c>
      <c r="AR87" s="400"/>
      <c r="AS87" s="398">
        <f t="shared" ref="AS87:BE87" si="387">AS57/AS$60</f>
        <v>9.8369969822608757E-3</v>
      </c>
      <c r="AT87" s="398">
        <f t="shared" si="387"/>
        <v>7.0873972065904553E-3</v>
      </c>
      <c r="AU87" s="398">
        <f t="shared" si="387"/>
        <v>7.9862937843848125E-3</v>
      </c>
      <c r="AV87" s="398">
        <f t="shared" si="387"/>
        <v>8.2891383089951261E-3</v>
      </c>
      <c r="AW87" s="398">
        <f t="shared" si="387"/>
        <v>6.637783529661892E-3</v>
      </c>
      <c r="AX87" s="398">
        <f t="shared" si="387"/>
        <v>6.9059483673617316E-3</v>
      </c>
      <c r="AY87" s="398">
        <f t="shared" si="387"/>
        <v>6.8589138149358674E-3</v>
      </c>
      <c r="AZ87" s="398">
        <f t="shared" si="387"/>
        <v>6.40156125631454E-3</v>
      </c>
      <c r="BA87" s="398">
        <f t="shared" si="387"/>
        <v>6.6862373763542588E-3</v>
      </c>
      <c r="BB87" s="398">
        <f t="shared" si="387"/>
        <v>6.5335737354585716E-3</v>
      </c>
      <c r="BC87" s="398">
        <f t="shared" si="387"/>
        <v>5.6191255605836645E-3</v>
      </c>
      <c r="BD87" s="399">
        <f t="shared" si="387"/>
        <v>6.4836664953015696E-3</v>
      </c>
      <c r="BE87" s="400">
        <f t="shared" si="387"/>
        <v>7.0872002449869917E-3</v>
      </c>
      <c r="BF87" s="398">
        <f t="shared" ref="BF87:BJ87" si="388">BF57/BF$60</f>
        <v>6.4933842431057764E-3</v>
      </c>
      <c r="BG87" s="398">
        <f t="shared" si="388"/>
        <v>8.0925107438804874E-3</v>
      </c>
      <c r="BH87" s="398">
        <f t="shared" si="388"/>
        <v>5.0831072685195164E-3</v>
      </c>
      <c r="BI87" s="398">
        <f t="shared" si="388"/>
        <v>4.6615140128517928E-3</v>
      </c>
      <c r="BJ87" s="398">
        <f t="shared" si="388"/>
        <v>5.3467140191476633E-3</v>
      </c>
      <c r="BK87" s="398">
        <f t="shared" ref="BK87:BQ87" si="389">IFERROR(BK57/BK$60,0)</f>
        <v>0</v>
      </c>
      <c r="BL87" s="398">
        <f t="shared" si="389"/>
        <v>0</v>
      </c>
      <c r="BM87" s="398">
        <f t="shared" si="389"/>
        <v>0</v>
      </c>
      <c r="BN87" s="398">
        <f t="shared" si="389"/>
        <v>0</v>
      </c>
      <c r="BO87" s="398">
        <f t="shared" si="389"/>
        <v>0</v>
      </c>
      <c r="BP87" s="398">
        <f t="shared" si="389"/>
        <v>0</v>
      </c>
      <c r="BQ87" s="399">
        <f t="shared" si="389"/>
        <v>0</v>
      </c>
      <c r="BR87" s="400">
        <f t="shared" ref="BR87" si="390">BR57/BR$60</f>
        <v>5.6687769713458522E-3</v>
      </c>
      <c r="BS87" s="400">
        <f t="shared" si="353"/>
        <v>7.0872002449869917E-3</v>
      </c>
      <c r="BU87" s="160"/>
      <c r="BV87" s="158"/>
      <c r="BW87" s="158"/>
      <c r="BX87" s="158"/>
    </row>
    <row r="88" spans="2:76" x14ac:dyDescent="0.3">
      <c r="B88" s="256">
        <f t="shared" si="354"/>
        <v>6</v>
      </c>
      <c r="C88" s="257" t="s">
        <v>97</v>
      </c>
      <c r="D88" s="257" t="s">
        <v>51</v>
      </c>
      <c r="E88" s="398">
        <f t="shared" ref="E88:Q88" si="391">E58/E$60</f>
        <v>7.1568943954708102E-3</v>
      </c>
      <c r="F88" s="398">
        <f t="shared" si="391"/>
        <v>4.2384967016097421E-3</v>
      </c>
      <c r="G88" s="398">
        <f t="shared" si="391"/>
        <v>5.0706024347824856E-3</v>
      </c>
      <c r="H88" s="398">
        <f t="shared" si="391"/>
        <v>4.0775286560680796E-3</v>
      </c>
      <c r="I88" s="398">
        <f t="shared" si="391"/>
        <v>6.8225930213513131E-3</v>
      </c>
      <c r="J88" s="398">
        <f t="shared" si="391"/>
        <v>7.3456240746974637E-3</v>
      </c>
      <c r="K88" s="398">
        <f t="shared" si="391"/>
        <v>9.079897326238616E-3</v>
      </c>
      <c r="L88" s="398">
        <f t="shared" si="391"/>
        <v>7.3575904751750198E-3</v>
      </c>
      <c r="M88" s="398">
        <f t="shared" si="391"/>
        <v>6.3541965096220142E-3</v>
      </c>
      <c r="N88" s="398">
        <f t="shared" si="391"/>
        <v>8.1184684642481575E-3</v>
      </c>
      <c r="O88" s="398">
        <f t="shared" si="391"/>
        <v>1.2255628361586614E-2</v>
      </c>
      <c r="P88" s="399">
        <f t="shared" si="391"/>
        <v>8.7999560140314334E-3</v>
      </c>
      <c r="Q88" s="400">
        <f t="shared" si="391"/>
        <v>4.6233509525955034E-3</v>
      </c>
      <c r="R88" s="398">
        <f t="shared" ref="R88:Z88" si="392">R58/R$60</f>
        <v>4.6710335722185276E-3</v>
      </c>
      <c r="S88" s="398">
        <f t="shared" si="392"/>
        <v>7.5203704671669494E-3</v>
      </c>
      <c r="T88" s="398">
        <f t="shared" si="392"/>
        <v>5.5836842269816594E-3</v>
      </c>
      <c r="U88" s="398">
        <f t="shared" si="392"/>
        <v>5.0948090803117838E-3</v>
      </c>
      <c r="V88" s="398">
        <f t="shared" si="392"/>
        <v>6.5091166036052462E-3</v>
      </c>
      <c r="W88" s="398">
        <f t="shared" si="392"/>
        <v>8.8086499806901784E-3</v>
      </c>
      <c r="X88" s="398">
        <f t="shared" si="392"/>
        <v>9.2842850729199511E-3</v>
      </c>
      <c r="Y88" s="398">
        <f t="shared" si="392"/>
        <v>1.1732608533753384E-2</v>
      </c>
      <c r="Z88" s="398">
        <f t="shared" si="392"/>
        <v>1.0847190508120481E-2</v>
      </c>
      <c r="AA88" s="398">
        <f t="shared" ref="AA88:AB88" si="393">AA58/AA$60</f>
        <v>8.6049735401970001E-3</v>
      </c>
      <c r="AB88" s="398">
        <f t="shared" si="393"/>
        <v>8.9907263226131334E-3</v>
      </c>
      <c r="AC88" s="399">
        <f t="shared" ref="AC88:AD88" si="394">AC58/AC$60</f>
        <v>1.3976060075947126E-2</v>
      </c>
      <c r="AD88" s="400">
        <f t="shared" si="394"/>
        <v>8.1198150839765938E-3</v>
      </c>
      <c r="AE88" s="398">
        <f t="shared" ref="AE88:AP88" si="395">IFERROR(AE58/AE$60,0)</f>
        <v>1.5318262625593619E-2</v>
      </c>
      <c r="AF88" s="398">
        <f t="shared" si="395"/>
        <v>1.0822806864905148E-2</v>
      </c>
      <c r="AG88" s="398">
        <f t="shared" si="395"/>
        <v>7.5617562105993489E-3</v>
      </c>
      <c r="AH88" s="398">
        <f t="shared" si="395"/>
        <v>9.0457531515981786E-3</v>
      </c>
      <c r="AI88" s="398">
        <f t="shared" si="395"/>
        <v>7.383283594479751E-3</v>
      </c>
      <c r="AJ88" s="398">
        <f t="shared" si="395"/>
        <v>1.0055817645130935E-2</v>
      </c>
      <c r="AK88" s="398">
        <f t="shared" si="395"/>
        <v>9.5201170563609886E-3</v>
      </c>
      <c r="AL88" s="398">
        <f t="shared" si="395"/>
        <v>8.9560985577889617E-3</v>
      </c>
      <c r="AM88" s="398">
        <f t="shared" si="395"/>
        <v>7.551977283269418E-3</v>
      </c>
      <c r="AN88" s="398">
        <f t="shared" si="395"/>
        <v>1.1587095664183499E-2</v>
      </c>
      <c r="AO88" s="398">
        <f t="shared" si="395"/>
        <v>1.3844279997497527E-2</v>
      </c>
      <c r="AP88" s="399">
        <f t="shared" si="395"/>
        <v>9.5822687849347384E-3</v>
      </c>
      <c r="AQ88" s="400">
        <f t="shared" si="348"/>
        <v>9.6171845756999139E-3</v>
      </c>
      <c r="AR88" s="400"/>
      <c r="AS88" s="398">
        <f t="shared" ref="AS88:BE88" si="396">AS58/AS$60</f>
        <v>9.3096346458821401E-3</v>
      </c>
      <c r="AT88" s="398">
        <f t="shared" si="396"/>
        <v>8.3016392112392062E-3</v>
      </c>
      <c r="AU88" s="398">
        <f t="shared" si="396"/>
        <v>1.1213086690045849E-2</v>
      </c>
      <c r="AV88" s="398">
        <f t="shared" si="396"/>
        <v>1.0430868377740602E-2</v>
      </c>
      <c r="AW88" s="398">
        <f t="shared" si="396"/>
        <v>1.0505996271468811E-2</v>
      </c>
      <c r="AX88" s="398">
        <f t="shared" si="396"/>
        <v>1.2842358003254097E-2</v>
      </c>
      <c r="AY88" s="398">
        <f t="shared" si="396"/>
        <v>1.1570270532965469E-2</v>
      </c>
      <c r="AZ88" s="398">
        <f t="shared" si="396"/>
        <v>1.0276431858608695E-2</v>
      </c>
      <c r="BA88" s="398">
        <f t="shared" si="396"/>
        <v>1.149854059924618E-2</v>
      </c>
      <c r="BB88" s="398">
        <f t="shared" si="396"/>
        <v>1.0600586875648549E-2</v>
      </c>
      <c r="BC88" s="398">
        <f t="shared" si="396"/>
        <v>1.0310681744811369E-2</v>
      </c>
      <c r="BD88" s="399">
        <f t="shared" si="396"/>
        <v>1.0679573229062815E-2</v>
      </c>
      <c r="BE88" s="400">
        <f t="shared" si="396"/>
        <v>1.0674943611935784E-2</v>
      </c>
      <c r="BF88" s="398">
        <f t="shared" ref="BF88:BJ88" si="397">BF58/BF$60</f>
        <v>1.0054121368264462E-2</v>
      </c>
      <c r="BG88" s="398">
        <f t="shared" si="397"/>
        <v>1.0788755065442416E-2</v>
      </c>
      <c r="BH88" s="398">
        <f t="shared" si="397"/>
        <v>7.041776923102607E-3</v>
      </c>
      <c r="BI88" s="398">
        <f t="shared" si="397"/>
        <v>8.6850859071870012E-3</v>
      </c>
      <c r="BJ88" s="398">
        <f t="shared" si="397"/>
        <v>1.1669461075190476E-2</v>
      </c>
      <c r="BK88" s="398">
        <f t="shared" ref="BK88:BQ88" si="398">IFERROR(BK58/BK$60,0)</f>
        <v>0</v>
      </c>
      <c r="BL88" s="398">
        <f t="shared" si="398"/>
        <v>0</v>
      </c>
      <c r="BM88" s="398">
        <f t="shared" si="398"/>
        <v>0</v>
      </c>
      <c r="BN88" s="398">
        <f t="shared" si="398"/>
        <v>0</v>
      </c>
      <c r="BO88" s="398">
        <f t="shared" si="398"/>
        <v>0</v>
      </c>
      <c r="BP88" s="398">
        <f t="shared" si="398"/>
        <v>0</v>
      </c>
      <c r="BQ88" s="399">
        <f t="shared" si="398"/>
        <v>0</v>
      </c>
      <c r="BR88" s="400">
        <f t="shared" ref="BR88" si="399">BR58/BR$60</f>
        <v>9.4604861982224842E-3</v>
      </c>
      <c r="BS88" s="400">
        <f t="shared" si="353"/>
        <v>1.0674943611935784E-2</v>
      </c>
      <c r="BU88" s="160"/>
      <c r="BV88" s="158"/>
      <c r="BW88" s="158"/>
      <c r="BX88" s="158"/>
    </row>
    <row r="89" spans="2:76" x14ac:dyDescent="0.3">
      <c r="B89" s="256">
        <f t="shared" si="354"/>
        <v>7</v>
      </c>
      <c r="C89" s="262" t="s">
        <v>97</v>
      </c>
      <c r="D89" s="262" t="s">
        <v>40</v>
      </c>
      <c r="E89" s="401">
        <f t="shared" ref="E89:Q89" si="400">E59/E$60</f>
        <v>1.2868819609595115E-3</v>
      </c>
      <c r="F89" s="401">
        <f t="shared" si="400"/>
        <v>0</v>
      </c>
      <c r="G89" s="401">
        <f t="shared" si="400"/>
        <v>8.7089359345359808E-4</v>
      </c>
      <c r="H89" s="401">
        <f t="shared" si="400"/>
        <v>1.5585603632418013E-3</v>
      </c>
      <c r="I89" s="401">
        <f t="shared" si="400"/>
        <v>1.1728761326996195E-3</v>
      </c>
      <c r="J89" s="401">
        <f t="shared" si="400"/>
        <v>5.4277004996828584E-4</v>
      </c>
      <c r="K89" s="401">
        <f t="shared" si="400"/>
        <v>1.5180745153516803E-3</v>
      </c>
      <c r="L89" s="401">
        <f t="shared" si="400"/>
        <v>1.5038980726747142E-3</v>
      </c>
      <c r="M89" s="401">
        <f t="shared" si="400"/>
        <v>1.9795965658251655E-3</v>
      </c>
      <c r="N89" s="401">
        <f t="shared" si="400"/>
        <v>2.0790471109299003E-3</v>
      </c>
      <c r="O89" s="401">
        <f t="shared" si="400"/>
        <v>3.0934550346097159E-3</v>
      </c>
      <c r="P89" s="402">
        <f t="shared" si="400"/>
        <v>3.2849163376699204E-3</v>
      </c>
      <c r="Q89" s="403">
        <f t="shared" si="400"/>
        <v>1.0677530033175587E-3</v>
      </c>
      <c r="R89" s="401">
        <f t="shared" ref="R89:Z89" si="401">R59/R$60</f>
        <v>0</v>
      </c>
      <c r="S89" s="401">
        <f t="shared" si="401"/>
        <v>0</v>
      </c>
      <c r="T89" s="401">
        <f t="shared" si="401"/>
        <v>0</v>
      </c>
      <c r="U89" s="401">
        <f t="shared" si="401"/>
        <v>0</v>
      </c>
      <c r="V89" s="401">
        <f t="shared" si="401"/>
        <v>0</v>
      </c>
      <c r="W89" s="401">
        <f t="shared" si="401"/>
        <v>0</v>
      </c>
      <c r="X89" s="401">
        <f t="shared" si="401"/>
        <v>0</v>
      </c>
      <c r="Y89" s="401">
        <f t="shared" si="401"/>
        <v>0</v>
      </c>
      <c r="Z89" s="401">
        <f t="shared" si="401"/>
        <v>0</v>
      </c>
      <c r="AA89" s="401">
        <f t="shared" ref="AA89:AB89" si="402">AA59/AA$60</f>
        <v>0</v>
      </c>
      <c r="AB89" s="401">
        <f t="shared" si="402"/>
        <v>0</v>
      </c>
      <c r="AC89" s="402">
        <f t="shared" ref="AC89:AD89" si="403">AC59/AC$60</f>
        <v>0</v>
      </c>
      <c r="AD89" s="403">
        <f t="shared" si="403"/>
        <v>0</v>
      </c>
      <c r="AE89" s="401">
        <f t="shared" ref="AE89:AP89" si="404">IFERROR(AE59/AE$60,0)</f>
        <v>0</v>
      </c>
      <c r="AF89" s="401">
        <f t="shared" si="404"/>
        <v>0</v>
      </c>
      <c r="AG89" s="401">
        <f t="shared" si="404"/>
        <v>0</v>
      </c>
      <c r="AH89" s="401">
        <f t="shared" si="404"/>
        <v>0</v>
      </c>
      <c r="AI89" s="401">
        <f t="shared" si="404"/>
        <v>0</v>
      </c>
      <c r="AJ89" s="401">
        <f t="shared" si="404"/>
        <v>0</v>
      </c>
      <c r="AK89" s="401">
        <f t="shared" si="404"/>
        <v>0</v>
      </c>
      <c r="AL89" s="401">
        <f t="shared" si="404"/>
        <v>0</v>
      </c>
      <c r="AM89" s="401">
        <f t="shared" si="404"/>
        <v>0</v>
      </c>
      <c r="AN89" s="401">
        <f t="shared" si="404"/>
        <v>0</v>
      </c>
      <c r="AO89" s="401">
        <f t="shared" si="404"/>
        <v>0</v>
      </c>
      <c r="AP89" s="402">
        <f t="shared" si="404"/>
        <v>0</v>
      </c>
      <c r="AQ89" s="403">
        <f t="shared" si="348"/>
        <v>0</v>
      </c>
      <c r="AR89" s="403"/>
      <c r="AS89" s="401">
        <f t="shared" ref="AS89:BE89" si="405">AS59/AS$60</f>
        <v>0</v>
      </c>
      <c r="AT89" s="401">
        <f t="shared" si="405"/>
        <v>0</v>
      </c>
      <c r="AU89" s="401">
        <f t="shared" si="405"/>
        <v>0</v>
      </c>
      <c r="AV89" s="401">
        <f t="shared" si="405"/>
        <v>0</v>
      </c>
      <c r="AW89" s="401">
        <f t="shared" si="405"/>
        <v>0</v>
      </c>
      <c r="AX89" s="401">
        <f t="shared" si="405"/>
        <v>0</v>
      </c>
      <c r="AY89" s="401">
        <f t="shared" si="405"/>
        <v>0</v>
      </c>
      <c r="AZ89" s="401">
        <f t="shared" si="405"/>
        <v>0</v>
      </c>
      <c r="BA89" s="401">
        <f t="shared" si="405"/>
        <v>0</v>
      </c>
      <c r="BB89" s="401">
        <f t="shared" si="405"/>
        <v>0</v>
      </c>
      <c r="BC89" s="401">
        <f t="shared" si="405"/>
        <v>0</v>
      </c>
      <c r="BD89" s="402">
        <f t="shared" si="405"/>
        <v>0</v>
      </c>
      <c r="BE89" s="403">
        <f t="shared" si="405"/>
        <v>0</v>
      </c>
      <c r="BF89" s="401">
        <f t="shared" ref="BF89:BJ89" si="406">BF59/BF$60</f>
        <v>0</v>
      </c>
      <c r="BG89" s="401">
        <f t="shared" si="406"/>
        <v>0</v>
      </c>
      <c r="BH89" s="401">
        <f t="shared" si="406"/>
        <v>0</v>
      </c>
      <c r="BI89" s="401">
        <f t="shared" si="406"/>
        <v>0</v>
      </c>
      <c r="BJ89" s="401">
        <f t="shared" si="406"/>
        <v>0</v>
      </c>
      <c r="BK89" s="401">
        <f t="shared" ref="BK89:BQ89" si="407">IFERROR(BK59/BK$60,0)</f>
        <v>0</v>
      </c>
      <c r="BL89" s="401">
        <f t="shared" si="407"/>
        <v>0</v>
      </c>
      <c r="BM89" s="401">
        <f t="shared" si="407"/>
        <v>0</v>
      </c>
      <c r="BN89" s="401">
        <f t="shared" si="407"/>
        <v>0</v>
      </c>
      <c r="BO89" s="401">
        <f t="shared" si="407"/>
        <v>0</v>
      </c>
      <c r="BP89" s="401">
        <f t="shared" si="407"/>
        <v>0</v>
      </c>
      <c r="BQ89" s="402">
        <f t="shared" si="407"/>
        <v>0</v>
      </c>
      <c r="BR89" s="403">
        <f t="shared" ref="BR89" si="408">BR59/BR$60</f>
        <v>0</v>
      </c>
      <c r="BS89" s="403">
        <f t="shared" si="353"/>
        <v>0</v>
      </c>
      <c r="BU89" s="160"/>
      <c r="BV89" s="158"/>
      <c r="BW89" s="158"/>
      <c r="BX89" s="158"/>
    </row>
    <row r="90" spans="2:76" ht="16.2" thickBot="1" x14ac:dyDescent="0.35">
      <c r="B90" s="270" t="s">
        <v>173</v>
      </c>
      <c r="C90" s="271"/>
      <c r="D90" s="270"/>
      <c r="E90" s="404">
        <f t="shared" ref="E90:Q90" si="409">E70+E82</f>
        <v>1</v>
      </c>
      <c r="F90" s="404">
        <f t="shared" si="409"/>
        <v>1</v>
      </c>
      <c r="G90" s="404">
        <f t="shared" si="409"/>
        <v>1</v>
      </c>
      <c r="H90" s="404">
        <f t="shared" si="409"/>
        <v>1</v>
      </c>
      <c r="I90" s="404">
        <f t="shared" si="409"/>
        <v>1</v>
      </c>
      <c r="J90" s="404">
        <f t="shared" si="409"/>
        <v>1</v>
      </c>
      <c r="K90" s="404">
        <f t="shared" si="409"/>
        <v>1</v>
      </c>
      <c r="L90" s="404">
        <f t="shared" si="409"/>
        <v>0.99999999999999978</v>
      </c>
      <c r="M90" s="404">
        <f t="shared" si="409"/>
        <v>0.99999999999999978</v>
      </c>
      <c r="N90" s="404">
        <f t="shared" si="409"/>
        <v>1</v>
      </c>
      <c r="O90" s="404">
        <f t="shared" si="409"/>
        <v>0.99999999999999978</v>
      </c>
      <c r="P90" s="405">
        <f t="shared" si="409"/>
        <v>1</v>
      </c>
      <c r="Q90" s="406">
        <f t="shared" si="409"/>
        <v>1</v>
      </c>
      <c r="R90" s="404">
        <f t="shared" ref="R90:Y90" si="410">R70+R82</f>
        <v>0.99999999999999978</v>
      </c>
      <c r="S90" s="404">
        <f t="shared" si="410"/>
        <v>0.99999999999999978</v>
      </c>
      <c r="T90" s="404">
        <f t="shared" si="410"/>
        <v>1.0000000000000002</v>
      </c>
      <c r="U90" s="404">
        <f t="shared" si="410"/>
        <v>1</v>
      </c>
      <c r="V90" s="404">
        <f t="shared" si="410"/>
        <v>1</v>
      </c>
      <c r="W90" s="404">
        <f t="shared" si="410"/>
        <v>1.0000000000000004</v>
      </c>
      <c r="X90" s="404">
        <f t="shared" si="410"/>
        <v>0.99999999999999989</v>
      </c>
      <c r="Y90" s="404">
        <f t="shared" si="410"/>
        <v>1.0000000000000002</v>
      </c>
      <c r="Z90" s="404">
        <f t="shared" ref="Z90:AA90" si="411">Z60/Z$60</f>
        <v>1</v>
      </c>
      <c r="AA90" s="404">
        <f t="shared" si="411"/>
        <v>1</v>
      </c>
      <c r="AB90" s="404">
        <f t="shared" ref="AB90:AC90" si="412">AB60/AB$60</f>
        <v>1</v>
      </c>
      <c r="AC90" s="405">
        <f t="shared" si="412"/>
        <v>1</v>
      </c>
      <c r="AD90" s="406">
        <f>AD70+AD82</f>
        <v>1</v>
      </c>
      <c r="AE90" s="404">
        <f t="shared" ref="AE90:AQ90" si="413">AE70+AE82</f>
        <v>0.99999999999999989</v>
      </c>
      <c r="AF90" s="404">
        <f t="shared" si="413"/>
        <v>1</v>
      </c>
      <c r="AG90" s="404">
        <f t="shared" si="413"/>
        <v>0.99999999999999989</v>
      </c>
      <c r="AH90" s="404">
        <f t="shared" si="413"/>
        <v>0.99999999999999989</v>
      </c>
      <c r="AI90" s="404">
        <f t="shared" si="413"/>
        <v>1</v>
      </c>
      <c r="AJ90" s="404">
        <f t="shared" si="413"/>
        <v>1</v>
      </c>
      <c r="AK90" s="404">
        <f t="shared" si="413"/>
        <v>1</v>
      </c>
      <c r="AL90" s="404">
        <f t="shared" si="413"/>
        <v>1</v>
      </c>
      <c r="AM90" s="404">
        <f t="shared" si="413"/>
        <v>0.99999999999999989</v>
      </c>
      <c r="AN90" s="404">
        <f t="shared" si="413"/>
        <v>0.99999999999999978</v>
      </c>
      <c r="AO90" s="404">
        <f t="shared" si="413"/>
        <v>1</v>
      </c>
      <c r="AP90" s="405">
        <f t="shared" si="413"/>
        <v>1</v>
      </c>
      <c r="AQ90" s="406">
        <f t="shared" si="413"/>
        <v>0.99999999999999989</v>
      </c>
      <c r="AR90" s="406"/>
      <c r="AS90" s="404">
        <f t="shared" ref="AS90:BE90" si="414">AS70+AS82</f>
        <v>1</v>
      </c>
      <c r="AT90" s="404">
        <f t="shared" si="414"/>
        <v>1</v>
      </c>
      <c r="AU90" s="404">
        <f t="shared" si="414"/>
        <v>1</v>
      </c>
      <c r="AV90" s="404">
        <f t="shared" si="414"/>
        <v>0.99999999999999978</v>
      </c>
      <c r="AW90" s="404">
        <f t="shared" si="414"/>
        <v>0.99999999999999989</v>
      </c>
      <c r="AX90" s="404">
        <f t="shared" si="414"/>
        <v>1</v>
      </c>
      <c r="AY90" s="404">
        <f t="shared" si="414"/>
        <v>1</v>
      </c>
      <c r="AZ90" s="404">
        <f t="shared" si="414"/>
        <v>0.99999999999999956</v>
      </c>
      <c r="BA90" s="404">
        <f t="shared" si="414"/>
        <v>1.0000000000000004</v>
      </c>
      <c r="BB90" s="404">
        <f t="shared" si="414"/>
        <v>1</v>
      </c>
      <c r="BC90" s="404">
        <f t="shared" si="414"/>
        <v>1.0000000000000002</v>
      </c>
      <c r="BD90" s="405">
        <f t="shared" si="414"/>
        <v>0.99999999999999978</v>
      </c>
      <c r="BE90" s="406">
        <f t="shared" si="414"/>
        <v>1.0000000000000002</v>
      </c>
      <c r="BF90" s="404">
        <f t="shared" ref="BF90:BJ90" si="415">BF70+BF82</f>
        <v>1</v>
      </c>
      <c r="BG90" s="404">
        <f t="shared" si="415"/>
        <v>1.0000000000000002</v>
      </c>
      <c r="BH90" s="404">
        <f t="shared" si="415"/>
        <v>0.99999999999999978</v>
      </c>
      <c r="BI90" s="404">
        <f t="shared" si="415"/>
        <v>1</v>
      </c>
      <c r="BJ90" s="404">
        <f t="shared" si="415"/>
        <v>1</v>
      </c>
      <c r="BK90" s="404">
        <f t="shared" ref="BK90:BQ90" si="416">BK70+BK82</f>
        <v>0</v>
      </c>
      <c r="BL90" s="404">
        <f t="shared" si="416"/>
        <v>0</v>
      </c>
      <c r="BM90" s="404">
        <f t="shared" si="416"/>
        <v>0</v>
      </c>
      <c r="BN90" s="404">
        <f t="shared" si="416"/>
        <v>0</v>
      </c>
      <c r="BO90" s="404">
        <f t="shared" si="416"/>
        <v>0</v>
      </c>
      <c r="BP90" s="404">
        <f t="shared" si="416"/>
        <v>0</v>
      </c>
      <c r="BQ90" s="405">
        <f t="shared" si="416"/>
        <v>0</v>
      </c>
      <c r="BR90" s="406">
        <f t="shared" ref="BR90:BS90" si="417">BR70+BR82</f>
        <v>0.99999999999999967</v>
      </c>
      <c r="BS90" s="406">
        <f t="shared" si="417"/>
        <v>1.0000000000000002</v>
      </c>
      <c r="BU90" s="160"/>
      <c r="BV90" s="158"/>
      <c r="BW90" s="158"/>
      <c r="BX90" s="158"/>
    </row>
    <row r="91" spans="2:76" ht="16.2" thickTop="1" x14ac:dyDescent="0.3"/>
  </sheetData>
  <sheetProtection selectLockedCells="1" selectUnlockedCells="1"/>
  <autoFilter ref="A8:CN34" xr:uid="{ECAA4C4D-9AE7-4950-B5E5-659D85A25534}"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</autoFilter>
  <mergeCells count="30">
    <mergeCell ref="BV31:CB31"/>
    <mergeCell ref="BV32:CB32"/>
    <mergeCell ref="BV33:CB33"/>
    <mergeCell ref="BV34:CB34"/>
    <mergeCell ref="BV25:CB25"/>
    <mergeCell ref="BV26:CB26"/>
    <mergeCell ref="BV27:CB27"/>
    <mergeCell ref="BV28:CB28"/>
    <mergeCell ref="BV29:CB29"/>
    <mergeCell ref="BV20:CB20"/>
    <mergeCell ref="BV21:CB21"/>
    <mergeCell ref="BV22:CB22"/>
    <mergeCell ref="BV23:CB23"/>
    <mergeCell ref="BV24:CB24"/>
    <mergeCell ref="B32:D32"/>
    <mergeCell ref="B33:D33"/>
    <mergeCell ref="B63:D63"/>
    <mergeCell ref="B64:D64"/>
    <mergeCell ref="BV8:CB8"/>
    <mergeCell ref="BV9:CB9"/>
    <mergeCell ref="BV10:CB10"/>
    <mergeCell ref="BV11:CB11"/>
    <mergeCell ref="BV12:CB12"/>
    <mergeCell ref="BV13:CB13"/>
    <mergeCell ref="BV14:CB14"/>
    <mergeCell ref="BV15:CB15"/>
    <mergeCell ref="BV16:CB16"/>
    <mergeCell ref="BV17:CB17"/>
    <mergeCell ref="BV18:CB18"/>
    <mergeCell ref="BV19:CB19"/>
  </mergeCells>
  <phoneticPr fontId="25" type="noConversion"/>
  <pageMargins left="0.7" right="0.7" top="0.75" bottom="0.75" header="0.3" footer="0.3"/>
  <pageSetup orientation="portrait" r:id="rId1"/>
  <ignoredErrors>
    <ignoredError sqref="AS63:BF64 BT43 W43:AB43 R43:V52 AS44:BF52 AS43:BE43 AS54:BF60 BR52:BT52 BR60:BT60 BR62:BR64 AD62 BE62 BT53 R54:AD60 AD42:AD43 W44:AD52 R63:AD64 BR44:BR51 BT44:BT51 BR54:BR59 BT54:BT59 BT62:BT64" formula="1"/>
  </ignoredErrors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CCB47D2E-BEB4-4186-B623-DDB83EE8EFBC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AR40</xm:sqref>
        </x14:conditionalFormatting>
        <x14:conditionalFormatting xmlns:xm="http://schemas.microsoft.com/office/excel/2006/main">
          <x14:cfRule type="iconSet" priority="3" id="{88C5B196-C861-4452-A227-3DDB63487B81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AR41:AR51</xm:sqref>
        </x14:conditionalFormatting>
        <x14:conditionalFormatting xmlns:xm="http://schemas.microsoft.com/office/excel/2006/main">
          <x14:cfRule type="iconSet" priority="4" id="{A1FCDF80-B0E3-4A17-BACA-0DF53DD7C3CA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AR52:AR59</xm:sqref>
        </x14:conditionalFormatting>
        <x14:conditionalFormatting xmlns:xm="http://schemas.microsoft.com/office/excel/2006/main">
          <x14:cfRule type="iconSet" priority="5" id="{922BE55A-C69A-429E-A622-41F5C74899C3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NoIcons" iconId="0"/>
              <x14:cfIcon iconSet="3TrafficLights1" iconId="2"/>
            </x14:iconSet>
          </x14:cfRule>
          <xm:sqref>AR62</xm:sqref>
        </x14:conditionalFormatting>
        <x14:conditionalFormatting xmlns:xm="http://schemas.microsoft.com/office/excel/2006/main">
          <x14:cfRule type="iconSet" priority="2" id="{7517DFC9-4A54-49D9-8660-1C83277C1FF4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AR63:AR64</xm:sqref>
        </x14:conditionalFormatting>
        <x14:conditionalFormatting xmlns:xm="http://schemas.microsoft.com/office/excel/2006/main">
          <x14:cfRule type="iconSet" priority="7" id="{3F91FD5D-8A56-4D2E-A11E-843DFECEBE76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BS40</xm:sqref>
        </x14:conditionalFormatting>
        <x14:conditionalFormatting xmlns:xm="http://schemas.microsoft.com/office/excel/2006/main">
          <x14:cfRule type="iconSet" priority="9" id="{47E472E7-FC48-4345-A7D4-5BC1BFCD0E4C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BS41:BS51</xm:sqref>
        </x14:conditionalFormatting>
        <x14:conditionalFormatting xmlns:xm="http://schemas.microsoft.com/office/excel/2006/main">
          <x14:cfRule type="iconSet" priority="10" id="{8B4FA9D1-B0E1-4988-B910-92939F56CF51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BS52:BS59</xm:sqref>
        </x14:conditionalFormatting>
        <x14:conditionalFormatting xmlns:xm="http://schemas.microsoft.com/office/excel/2006/main">
          <x14:cfRule type="iconSet" priority="14" id="{1C7C23D2-8F9B-4D48-99C8-AD8F5DE067A5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NoIcons" iconId="0"/>
              <x14:cfIcon iconSet="3TrafficLights1" iconId="2"/>
            </x14:iconSet>
          </x14:cfRule>
          <xm:sqref>BS62</xm:sqref>
        </x14:conditionalFormatting>
        <x14:conditionalFormatting xmlns:xm="http://schemas.microsoft.com/office/excel/2006/main">
          <x14:cfRule type="iconSet" priority="8" id="{00D6C303-B296-4374-BD80-803847B0F620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BS63:BS64</xm:sqref>
        </x14:conditionalFormatting>
        <x14:conditionalFormatting xmlns:xm="http://schemas.microsoft.com/office/excel/2006/main">
          <x14:cfRule type="iconSet" priority="15" id="{4A6FFA62-8835-46EB-BC2B-5481B7A51D31}">
            <x14:iconSet iconSet="3Sign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BT9:BT30</xm:sqref>
        </x14:conditionalFormatting>
        <x14:conditionalFormatting xmlns:xm="http://schemas.microsoft.com/office/excel/2006/main">
          <x14:cfRule type="iconSet" priority="13" id="{E81747EA-ED6A-4B99-A2F4-67B756F8AC8A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BV40:BV61 BV63:BV64</xm:sqref>
        </x14:conditionalFormatting>
        <x14:conditionalFormatting xmlns:xm="http://schemas.microsoft.com/office/excel/2006/main">
          <x14:cfRule type="iconSet" priority="6" id="{E00CB4E1-4A05-473C-BFF8-278F83044DBB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NoIcons" iconId="0"/>
              <x14:cfIcon iconSet="3TrafficLights1" iconId="2"/>
            </x14:iconSet>
          </x14:cfRule>
          <xm:sqref>BV62</xm:sqref>
        </x14:conditionalFormatting>
        <x14:conditionalFormatting xmlns:xm="http://schemas.microsoft.com/office/excel/2006/main">
          <x14:cfRule type="iconSet" priority="11" id="{48FC8768-25CC-4456-AA38-8AACE2EE0114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CA40:CB64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4B8F4-03F0-4DD3-9E5E-3AC39E62E582}">
  <sheetPr>
    <tabColor rgb="FF00B050"/>
  </sheetPr>
  <dimension ref="A1:BO88"/>
  <sheetViews>
    <sheetView zoomScale="85" zoomScaleNormal="85" workbookViewId="0">
      <pane xSplit="4" ySplit="8" topLeftCell="AM9" activePane="bottomRight" state="frozen"/>
      <selection activeCell="V53" sqref="V53"/>
      <selection pane="topRight" activeCell="V53" sqref="V53"/>
      <selection pane="bottomLeft" activeCell="V53" sqref="V53"/>
      <selection pane="bottomRight" activeCell="AV8" sqref="AV8:AW8"/>
    </sheetView>
  </sheetViews>
  <sheetFormatPr defaultColWidth="8.5546875" defaultRowHeight="15.6" x14ac:dyDescent="0.3"/>
  <cols>
    <col min="1" max="2" width="4.44140625" style="158" customWidth="1"/>
    <col min="3" max="3" width="10.44140625" style="158" hidden="1" customWidth="1"/>
    <col min="4" max="4" width="24.5546875" style="158" customWidth="1"/>
    <col min="5" max="32" width="11.21875" style="158" customWidth="1"/>
    <col min="33" max="47" width="10.44140625" style="158" customWidth="1"/>
    <col min="48" max="48" width="13.5546875" style="158" bestFit="1" customWidth="1"/>
    <col min="49" max="49" width="10.44140625" style="158" customWidth="1"/>
    <col min="50" max="50" width="13.44140625" style="158" customWidth="1"/>
    <col min="51" max="51" width="10.5546875" style="158" customWidth="1"/>
    <col min="52" max="52" width="12.44140625" style="158" customWidth="1"/>
    <col min="53" max="53" width="10.5546875" style="160" customWidth="1"/>
    <col min="54" max="54" width="11" style="158" customWidth="1"/>
    <col min="55" max="55" width="13.5546875" style="158" customWidth="1"/>
    <col min="56" max="56" width="9.44140625" style="158" customWidth="1"/>
    <col min="57" max="57" width="19.5546875" style="158" customWidth="1"/>
    <col min="58" max="58" width="3.44140625" style="158" customWidth="1"/>
    <col min="59" max="65" width="7.5546875" style="158" customWidth="1"/>
    <col min="66" max="66" width="2.5546875" style="158" customWidth="1"/>
    <col min="67" max="67" width="11.44140625" style="158" customWidth="1"/>
    <col min="68" max="68" width="26.5546875" style="158" customWidth="1"/>
    <col min="69" max="16384" width="8.5546875" style="158"/>
  </cols>
  <sheetData>
    <row r="1" spans="1:57" x14ac:dyDescent="0.3">
      <c r="AG1" s="159" t="s">
        <v>178</v>
      </c>
      <c r="AH1" s="159"/>
      <c r="AI1" s="159"/>
      <c r="AJ1" s="159"/>
    </row>
    <row r="2" spans="1:57" ht="21" x14ac:dyDescent="0.4">
      <c r="D2" s="161" t="s">
        <v>174</v>
      </c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161"/>
      <c r="Y2" s="161"/>
      <c r="Z2" s="161"/>
      <c r="AA2" s="161"/>
      <c r="AB2" s="161"/>
      <c r="AC2" s="161"/>
      <c r="AD2" s="161"/>
      <c r="AE2" s="161"/>
      <c r="AF2" s="161"/>
      <c r="AG2" s="162">
        <v>12</v>
      </c>
      <c r="AH2" s="162"/>
      <c r="AI2" s="162"/>
      <c r="AJ2" s="162"/>
      <c r="AU2" s="159"/>
      <c r="AV2" s="159"/>
      <c r="AW2" s="159"/>
      <c r="AZ2" s="163"/>
    </row>
    <row r="3" spans="1:57" ht="21" x14ac:dyDescent="0.4">
      <c r="D3" s="162" t="s">
        <v>188</v>
      </c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  <c r="Y3" s="162"/>
      <c r="Z3" s="162"/>
      <c r="AA3" s="162"/>
      <c r="AB3" s="162"/>
      <c r="AC3" s="162"/>
      <c r="AD3" s="162"/>
      <c r="AE3" s="162"/>
      <c r="AF3" s="162"/>
      <c r="AX3" s="163"/>
      <c r="AZ3" s="163"/>
      <c r="BE3" s="163"/>
    </row>
    <row r="4" spans="1:57" x14ac:dyDescent="0.3">
      <c r="D4" s="164"/>
      <c r="E4" s="164"/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4"/>
      <c r="Q4" s="164"/>
      <c r="R4" s="164"/>
      <c r="S4" s="164"/>
      <c r="T4" s="164"/>
      <c r="U4" s="164"/>
      <c r="V4" s="164"/>
      <c r="W4" s="164"/>
      <c r="X4" s="164"/>
      <c r="Y4" s="164"/>
      <c r="Z4" s="164"/>
      <c r="AA4" s="164"/>
      <c r="AB4" s="164"/>
      <c r="AC4" s="164"/>
      <c r="AD4" s="164"/>
      <c r="AE4" s="164"/>
      <c r="AF4" s="164"/>
      <c r="AH4" s="165"/>
      <c r="AI4" s="165"/>
      <c r="AJ4" s="165"/>
      <c r="AK4" s="165"/>
      <c r="AL4" s="165"/>
      <c r="AM4" s="166"/>
      <c r="AU4" s="163"/>
      <c r="AV4" s="163"/>
      <c r="AW4" s="163"/>
      <c r="BA4" s="167"/>
    </row>
    <row r="5" spans="1:57" x14ac:dyDescent="0.3"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164"/>
      <c r="T5" s="164"/>
      <c r="U5" s="164"/>
      <c r="V5" s="164"/>
      <c r="W5" s="164"/>
      <c r="X5" s="164"/>
      <c r="Y5" s="164"/>
      <c r="Z5" s="164"/>
      <c r="AA5" s="164"/>
      <c r="AB5" s="164"/>
      <c r="AC5" s="164"/>
      <c r="AD5" s="164"/>
      <c r="AE5" s="164"/>
      <c r="AF5" s="164"/>
      <c r="AH5" s="165"/>
      <c r="AI5" s="165"/>
      <c r="AJ5" s="165"/>
      <c r="AK5" s="165"/>
      <c r="AL5" s="165"/>
      <c r="AM5" s="166"/>
      <c r="AU5" s="168"/>
      <c r="AV5" s="168"/>
      <c r="AW5" s="168"/>
      <c r="AZ5" s="163"/>
      <c r="BA5" s="167"/>
    </row>
    <row r="6" spans="1:57" x14ac:dyDescent="0.3">
      <c r="D6" s="164"/>
      <c r="E6" s="164"/>
      <c r="F6" s="164"/>
      <c r="G6" s="164"/>
      <c r="H6" s="164"/>
      <c r="I6" s="164"/>
      <c r="J6" s="164"/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164"/>
      <c r="Z6" s="164"/>
      <c r="AA6" s="164"/>
      <c r="AB6" s="164"/>
      <c r="AC6" s="164"/>
      <c r="AD6" s="164"/>
      <c r="AE6" s="164"/>
      <c r="AF6" s="164"/>
      <c r="AH6" s="165"/>
      <c r="AI6" s="165"/>
      <c r="AJ6" s="165"/>
      <c r="AK6" s="165"/>
      <c r="AL6" s="165"/>
      <c r="AM6" s="166"/>
      <c r="AS6" s="163"/>
      <c r="AT6" s="163" t="s">
        <v>246</v>
      </c>
      <c r="AU6" s="163" t="s">
        <v>246</v>
      </c>
      <c r="AV6" s="163"/>
      <c r="AW6" s="163"/>
      <c r="AX6" s="163"/>
      <c r="BA6" s="167"/>
    </row>
    <row r="7" spans="1:57" x14ac:dyDescent="0.3">
      <c r="D7" s="164"/>
      <c r="E7" s="164"/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64"/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9">
        <v>1</v>
      </c>
      <c r="AH7" s="169">
        <v>2</v>
      </c>
      <c r="AI7" s="169">
        <v>3</v>
      </c>
      <c r="AJ7" s="169">
        <v>4</v>
      </c>
      <c r="AK7" s="169">
        <v>5</v>
      </c>
      <c r="AL7" s="169">
        <v>6</v>
      </c>
      <c r="AM7" s="169">
        <v>7</v>
      </c>
      <c r="AN7" s="169">
        <v>8</v>
      </c>
      <c r="AO7" s="169">
        <v>9</v>
      </c>
      <c r="AP7" s="169">
        <v>10</v>
      </c>
      <c r="AQ7" s="169">
        <v>11</v>
      </c>
      <c r="AR7" s="169">
        <v>12</v>
      </c>
      <c r="AS7" s="163"/>
      <c r="AT7" s="163"/>
      <c r="BA7" s="167"/>
    </row>
    <row r="8" spans="1:57" s="173" customFormat="1" ht="46.8" x14ac:dyDescent="0.3">
      <c r="A8" s="170">
        <v>1</v>
      </c>
      <c r="B8" s="228" t="s">
        <v>57</v>
      </c>
      <c r="C8" s="228" t="s">
        <v>58</v>
      </c>
      <c r="D8" s="229" t="s">
        <v>206</v>
      </c>
      <c r="E8" s="328" t="s">
        <v>72</v>
      </c>
      <c r="F8" s="328" t="s">
        <v>73</v>
      </c>
      <c r="G8" s="328" t="s">
        <v>74</v>
      </c>
      <c r="H8" s="328" t="s">
        <v>75</v>
      </c>
      <c r="I8" s="328" t="s">
        <v>76</v>
      </c>
      <c r="J8" s="328" t="s">
        <v>77</v>
      </c>
      <c r="K8" s="328" t="s">
        <v>78</v>
      </c>
      <c r="L8" s="328" t="s">
        <v>79</v>
      </c>
      <c r="M8" s="328" t="s">
        <v>80</v>
      </c>
      <c r="N8" s="328" t="s">
        <v>81</v>
      </c>
      <c r="O8" s="328" t="s">
        <v>82</v>
      </c>
      <c r="P8" s="328" t="s">
        <v>83</v>
      </c>
      <c r="Q8" s="328" t="s">
        <v>215</v>
      </c>
      <c r="R8" s="328" t="s">
        <v>228</v>
      </c>
      <c r="S8" s="327" t="s">
        <v>216</v>
      </c>
      <c r="T8" s="327" t="s">
        <v>217</v>
      </c>
      <c r="U8" s="327" t="s">
        <v>218</v>
      </c>
      <c r="V8" s="327" t="s">
        <v>219</v>
      </c>
      <c r="W8" s="327" t="s">
        <v>220</v>
      </c>
      <c r="X8" s="327" t="s">
        <v>221</v>
      </c>
      <c r="Y8" s="327" t="s">
        <v>222</v>
      </c>
      <c r="Z8" s="327" t="s">
        <v>223</v>
      </c>
      <c r="AA8" s="327" t="s">
        <v>224</v>
      </c>
      <c r="AB8" s="327" t="s">
        <v>225</v>
      </c>
      <c r="AC8" s="327" t="s">
        <v>226</v>
      </c>
      <c r="AD8" s="327" t="s">
        <v>227</v>
      </c>
      <c r="AE8" s="327" t="s">
        <v>215</v>
      </c>
      <c r="AF8" s="327" t="s">
        <v>228</v>
      </c>
      <c r="AG8" s="230" t="s">
        <v>229</v>
      </c>
      <c r="AH8" s="230" t="s">
        <v>230</v>
      </c>
      <c r="AI8" s="230" t="s">
        <v>231</v>
      </c>
      <c r="AJ8" s="230" t="s">
        <v>232</v>
      </c>
      <c r="AK8" s="230" t="s">
        <v>233</v>
      </c>
      <c r="AL8" s="230" t="s">
        <v>234</v>
      </c>
      <c r="AM8" s="230" t="s">
        <v>235</v>
      </c>
      <c r="AN8" s="230" t="s">
        <v>236</v>
      </c>
      <c r="AO8" s="230" t="s">
        <v>237</v>
      </c>
      <c r="AP8" s="230" t="s">
        <v>238</v>
      </c>
      <c r="AQ8" s="230" t="s">
        <v>239</v>
      </c>
      <c r="AR8" s="230" t="s">
        <v>240</v>
      </c>
      <c r="AS8" s="231" t="s">
        <v>241</v>
      </c>
      <c r="AT8" s="231" t="s">
        <v>245</v>
      </c>
      <c r="AU8" s="230" t="s">
        <v>185</v>
      </c>
      <c r="AV8" s="230" t="s">
        <v>242</v>
      </c>
      <c r="AW8" s="230" t="s">
        <v>244</v>
      </c>
      <c r="AX8" s="231" t="s">
        <v>243</v>
      </c>
      <c r="AY8" s="231" t="str">
        <f>"% +/- "&amp;"T"&amp;$AG$2&amp;".24"&amp;" sv T"&amp;$AG$2-1&amp;".24"</f>
        <v>% +/- T12.24 sv T11.24</v>
      </c>
      <c r="AZ8" s="231" t="s">
        <v>176</v>
      </c>
      <c r="BA8" s="642" t="s">
        <v>177</v>
      </c>
      <c r="BB8" s="643"/>
      <c r="BC8" s="643"/>
      <c r="BD8" s="643"/>
      <c r="BE8" s="172"/>
    </row>
    <row r="9" spans="1:57" s="176" customFormat="1" x14ac:dyDescent="0.3">
      <c r="A9" s="174">
        <v>2</v>
      </c>
      <c r="B9" s="175" t="s">
        <v>162</v>
      </c>
      <c r="D9" s="177" t="s">
        <v>163</v>
      </c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177"/>
      <c r="R9" s="177"/>
      <c r="S9" s="177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8">
        <f t="shared" ref="AG9:AX9" si="0">SUM(AG10:AG20)</f>
        <v>92280.63609993401</v>
      </c>
      <c r="AH9" s="178">
        <f t="shared" si="0"/>
        <v>61798.159663643084</v>
      </c>
      <c r="AI9" s="178">
        <f t="shared" si="0"/>
        <v>101403.86989697815</v>
      </c>
      <c r="AJ9" s="178">
        <f t="shared" si="0"/>
        <v>98089.315212126647</v>
      </c>
      <c r="AK9" s="178">
        <f t="shared" si="0"/>
        <v>91551.659682874306</v>
      </c>
      <c r="AL9" s="178">
        <f t="shared" si="0"/>
        <v>71317.99608218814</v>
      </c>
      <c r="AM9" s="178">
        <f t="shared" si="0"/>
        <v>39616.888561293541</v>
      </c>
      <c r="AN9" s="178">
        <f t="shared" si="0"/>
        <v>45447.204008084707</v>
      </c>
      <c r="AO9" s="178">
        <f t="shared" si="0"/>
        <v>60524.898855125277</v>
      </c>
      <c r="AP9" s="178">
        <f t="shared" si="0"/>
        <v>89750.215026258506</v>
      </c>
      <c r="AQ9" s="178">
        <f t="shared" si="0"/>
        <v>97578.975613716102</v>
      </c>
      <c r="AR9" s="178">
        <f t="shared" si="0"/>
        <v>67853.398192679713</v>
      </c>
      <c r="AS9" s="178">
        <f t="shared" si="0"/>
        <v>76434.434741241843</v>
      </c>
      <c r="AT9" s="178"/>
      <c r="AU9" s="178">
        <f t="shared" si="0"/>
        <v>44780.822733029541</v>
      </c>
      <c r="AV9" s="178"/>
      <c r="AW9" s="178"/>
      <c r="AX9" s="178">
        <f t="shared" si="0"/>
        <v>917213.21689490217</v>
      </c>
      <c r="AY9" s="179">
        <f>IFERROR(AR9/AQ9-1,"-")</f>
        <v>-0.30463096414037405</v>
      </c>
      <c r="AZ9" s="180">
        <f>AX9/$AX$29</f>
        <v>0.80504768760602585</v>
      </c>
      <c r="BA9" s="644"/>
      <c r="BB9" s="644"/>
      <c r="BC9" s="644"/>
      <c r="BD9" s="644"/>
    </row>
    <row r="10" spans="1:57" s="186" customFormat="1" ht="45.6" customHeight="1" x14ac:dyDescent="0.3">
      <c r="A10" s="174">
        <v>3</v>
      </c>
      <c r="B10" s="181">
        <v>1</v>
      </c>
      <c r="C10" s="182" t="s">
        <v>96</v>
      </c>
      <c r="D10" s="182" t="s">
        <v>47</v>
      </c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  <c r="Q10" s="182"/>
      <c r="R10" s="182"/>
      <c r="S10" s="182"/>
      <c r="T10" s="182"/>
      <c r="U10" s="182"/>
      <c r="V10" s="182"/>
      <c r="W10" s="182"/>
      <c r="X10" s="182"/>
      <c r="Y10" s="182"/>
      <c r="Z10" s="182"/>
      <c r="AA10" s="182"/>
      <c r="AB10" s="182"/>
      <c r="AC10" s="182"/>
      <c r="AD10" s="182"/>
      <c r="AE10" s="182"/>
      <c r="AF10" s="182"/>
      <c r="AG10" s="183">
        <f>INDEX('18 KMP- Tháng'!$R$6:$AC$24,MATCH('18 KMP- Tháng (Tâm) (3)'!$A10,'18 KMP- Tháng'!$A$6:$A$24,0),MATCH('18 KMP- Tháng (Tâm) (3)'!AG$7,'18 KMP- Tháng'!$R$2:$AC$2,0))</f>
        <v>82388.013511614045</v>
      </c>
      <c r="AH10" s="183">
        <f>INDEX('18 KMP- Tháng'!$R$6:$AC$24,MATCH('18 KMP- Tháng (Tâm) (3)'!$A10,'18 KMP- Tháng'!$A$6:$A$24,0),MATCH('18 KMP- Tháng (Tâm) (3)'!AH$7,'18 KMP- Tháng'!$R$2:$AC$2,0))</f>
        <v>54679.33930764308</v>
      </c>
      <c r="AI10" s="183">
        <f>INDEX('18 KMP- Tháng'!$R$6:$AC$24,MATCH('18 KMP- Tháng (Tâm) (3)'!$A10,'18 KMP- Tháng'!$A$6:$A$24,0),MATCH('18 KMP- Tháng (Tâm) (3)'!AI$7,'18 KMP- Tháng'!$R$2:$AC$2,0))</f>
        <v>92225.012386978167</v>
      </c>
      <c r="AJ10" s="183">
        <f>INDEX('18 KMP- Tháng'!$R$6:$AC$24,MATCH('18 KMP- Tháng (Tâm) (3)'!$A10,'18 KMP- Tháng'!$A$6:$A$24,0),MATCH('18 KMP- Tháng (Tâm) (3)'!AJ$7,'18 KMP- Tháng'!$R$2:$AC$2,0))+3500</f>
        <v>88305.10524012665</v>
      </c>
      <c r="AK10" s="183">
        <f>INDEX('18 KMP- Tháng'!$R$6:$AC$24,MATCH('18 KMP- Tháng (Tâm) (3)'!$A10,'18 KMP- Tháng'!$A$6:$A$24,0),MATCH('18 KMP- Tháng (Tâm) (3)'!AK$7,'18 KMP- Tháng'!$R$2:$AC$2,0))-3500</f>
        <v>82512.811292874307</v>
      </c>
      <c r="AL10" s="183">
        <f>INDEX('18 KMP- Tháng'!$R$6:$AC$24,MATCH('18 KMP- Tháng (Tâm) (3)'!$A10,'18 KMP- Tháng'!$A$6:$A$24,0),MATCH('18 KMP- Tháng (Tâm) (3)'!AL$7,'18 KMP- Tháng'!$R$2:$AC$2,0))</f>
        <v>63429.137098188141</v>
      </c>
      <c r="AM10" s="183">
        <f>INDEX('18 KMP- Tháng'!$R$6:$AC$24,MATCH('18 KMP- Tháng (Tâm) (3)'!$A10,'18 KMP- Tháng'!$A$6:$A$24,0),MATCH('18 KMP- Tháng (Tâm) (3)'!AM$7,'18 KMP- Tháng'!$R$2:$AC$2,0))</f>
        <v>34124.938092043485</v>
      </c>
      <c r="AN10" s="183">
        <f>INDEX('18 KMP- Tháng'!$R$6:$AC$24,MATCH('18 KMP- Tháng (Tâm) (3)'!$A10,'18 KMP- Tháng'!$A$6:$A$24,0),MATCH('18 KMP- Tháng (Tâm) (3)'!AN$7,'18 KMP- Tháng'!$R$2:$AC$2,0))</f>
        <v>39820.045517334758</v>
      </c>
      <c r="AO10" s="183">
        <f>INDEX('18 KMP- Tháng'!$R$6:$AC$24,MATCH('18 KMP- Tháng (Tâm) (3)'!$A10,'18 KMP- Tháng'!$A$6:$A$24,0),MATCH('18 KMP- Tháng (Tâm) (3)'!AO$7,'18 KMP- Tháng'!$R$2:$AC$2,0))</f>
        <v>53180.748441125281</v>
      </c>
      <c r="AP10" s="183">
        <f>INDEX('18 KMP- Tháng'!$R$6:$AC$24,MATCH('18 KMP- Tháng (Tâm) (3)'!$A10,'18 KMP- Tháng'!$A$6:$A$24,0),MATCH('18 KMP- Tháng (Tâm) (3)'!AP$7,'18 KMP- Tháng'!$R$2:$AC$2,0))</f>
        <v>80242.8457912585</v>
      </c>
      <c r="AQ10" s="183">
        <f>INDEX('18 KMP- Tháng'!$R$6:$AC$24,MATCH('18 KMP- Tháng (Tâm) (3)'!$A10,'18 KMP- Tháng'!$A$6:$A$24,0),MATCH('18 KMP- Tháng (Tâm) (3)'!AQ$7,'18 KMP- Tháng'!$R$2:$AC$2,0))</f>
        <v>87480.523861716094</v>
      </c>
      <c r="AR10" s="183">
        <f>INDEX('18 KMP- Tháng'!$R$6:$AC$24,MATCH('18 KMP- Tháng (Tâm) (3)'!$A10,'18 KMP- Tháng'!$A$6:$A$24,0),MATCH('18 KMP- Tháng (Tâm) (3)'!AR$7,'18 KMP- Tháng'!$R$2:$AC$2,0))</f>
        <v>60679.337507679702</v>
      </c>
      <c r="AS10" s="183">
        <f>AX10/(12-COUNTIF($AG$10:$AR$10,0))</f>
        <v>68255.654837381837</v>
      </c>
      <c r="AT10" s="183"/>
      <c r="AU10" s="183">
        <v>37778.443911619746</v>
      </c>
      <c r="AV10" s="183"/>
      <c r="AW10" s="183"/>
      <c r="AX10" s="183">
        <f>SUM(AG10:AR10)</f>
        <v>819067.8580485821</v>
      </c>
      <c r="AY10" s="184">
        <f>IFERROR(AR10/AQ10-1,"-")</f>
        <v>-0.30636746524748848</v>
      </c>
      <c r="AZ10" s="185">
        <f>AX10/$AX$29</f>
        <v>0.71890447386563006</v>
      </c>
      <c r="BA10" s="659"/>
      <c r="BB10" s="653"/>
      <c r="BC10" s="653"/>
      <c r="BD10" s="653"/>
    </row>
    <row r="11" spans="1:57" s="186" customFormat="1" ht="97.5" customHeight="1" x14ac:dyDescent="0.3">
      <c r="A11" s="174">
        <v>4</v>
      </c>
      <c r="B11" s="187">
        <f>B10+1</f>
        <v>2</v>
      </c>
      <c r="C11" s="188" t="s">
        <v>96</v>
      </c>
      <c r="D11" s="188" t="s">
        <v>25</v>
      </c>
      <c r="E11" s="188"/>
      <c r="F11" s="188"/>
      <c r="G11" s="188"/>
      <c r="H11" s="188"/>
      <c r="I11" s="188"/>
      <c r="J11" s="188"/>
      <c r="K11" s="188"/>
      <c r="L11" s="188"/>
      <c r="M11" s="188"/>
      <c r="N11" s="188"/>
      <c r="O11" s="188"/>
      <c r="P11" s="188"/>
      <c r="Q11" s="188"/>
      <c r="R11" s="188"/>
      <c r="S11" s="188"/>
      <c r="T11" s="188"/>
      <c r="U11" s="188"/>
      <c r="V11" s="188"/>
      <c r="W11" s="188"/>
      <c r="X11" s="188"/>
      <c r="Y11" s="188"/>
      <c r="Z11" s="188"/>
      <c r="AA11" s="188"/>
      <c r="AB11" s="188"/>
      <c r="AC11" s="188"/>
      <c r="AD11" s="188"/>
      <c r="AE11" s="188"/>
      <c r="AF11" s="188"/>
      <c r="AG11" s="189">
        <f>INDEX('18 KMP- Tháng'!$R$6:$AC$24,MATCH('18 KMP- Tháng (Tâm) (3)'!$A11,'18 KMP- Tháng'!$A$6:$A$24,0),MATCH('18 KMP- Tháng (Tâm) (3)'!AG$7,'18 KMP- Tháng'!$R$2:$AC$2,0))</f>
        <v>5469.847452</v>
      </c>
      <c r="AH11" s="189">
        <f>INDEX('18 KMP- Tháng'!$R$6:$AC$24,MATCH('18 KMP- Tháng (Tâm) (3)'!$A11,'18 KMP- Tháng'!$A$6:$A$24,0),MATCH('18 KMP- Tháng (Tâm) (3)'!AH$7,'18 KMP- Tháng'!$R$2:$AC$2,0))</f>
        <v>4124.0470960000002</v>
      </c>
      <c r="AI11" s="189">
        <f>INDEX('18 KMP- Tháng'!$R$6:$AC$24,MATCH('18 KMP- Tháng (Tâm) (3)'!$A11,'18 KMP- Tháng'!$A$6:$A$24,0),MATCH('18 KMP- Tháng (Tâm) (3)'!AI$7,'18 KMP- Tháng'!$R$2:$AC$2,0))</f>
        <v>5082.6308650000001</v>
      </c>
      <c r="AJ11" s="189">
        <f>INDEX('18 KMP- Tháng'!$R$6:$AC$24,MATCH('18 KMP- Tháng (Tâm) (3)'!$A11,'18 KMP- Tháng'!$A$6:$A$24,0),MATCH('18 KMP- Tháng (Tâm) (3)'!AJ$7,'18 KMP- Tháng'!$R$2:$AC$2,0))+380</f>
        <v>5884.655452</v>
      </c>
      <c r="AK11" s="189">
        <f>INDEX('18 KMP- Tháng'!$R$6:$AC$24,MATCH('18 KMP- Tháng (Tâm) (3)'!$A11,'18 KMP- Tháng'!$A$6:$A$24,0),MATCH('18 KMP- Tháng (Tâm) (3)'!AK$7,'18 KMP- Tháng'!$R$2:$AC$2,0))-380</f>
        <v>5562.4358000000002</v>
      </c>
      <c r="AL11" s="189">
        <f>INDEX('18 KMP- Tháng'!$R$6:$AC$24,MATCH('18 KMP- Tháng (Tâm) (3)'!$A11,'18 KMP- Tháng'!$A$6:$A$24,0),MATCH('18 KMP- Tháng (Tâm) (3)'!AL$7,'18 KMP- Tháng'!$R$2:$AC$2,0))</f>
        <v>4785.0316119999998</v>
      </c>
      <c r="AM11" s="189">
        <f>INDEX('18 KMP- Tháng'!$R$6:$AC$24,MATCH('18 KMP- Tháng (Tâm) (3)'!$A11,'18 KMP- Tháng'!$A$6:$A$24,0),MATCH('18 KMP- Tháng (Tâm) (3)'!AM$7,'18 KMP- Tháng'!$R$2:$AC$2,0))</f>
        <v>3003.7880009999999</v>
      </c>
      <c r="AN11" s="189">
        <f>INDEX('18 KMP- Tháng'!$R$6:$AC$24,MATCH('18 KMP- Tháng (Tâm) (3)'!$A11,'18 KMP- Tháng'!$A$6:$A$24,0),MATCH('18 KMP- Tháng (Tâm) (3)'!AN$7,'18 KMP- Tháng'!$R$2:$AC$2,0))</f>
        <v>3483.1443100000001</v>
      </c>
      <c r="AO11" s="189">
        <f>INDEX('18 KMP- Tháng'!$R$6:$AC$24,MATCH('18 KMP- Tháng (Tâm) (3)'!$A11,'18 KMP- Tháng'!$A$6:$A$24,0),MATCH('18 KMP- Tháng (Tâm) (3)'!AO$7,'18 KMP- Tháng'!$R$2:$AC$2,0))</f>
        <v>4629.7979379999997</v>
      </c>
      <c r="AP11" s="189">
        <f>INDEX('18 KMP- Tháng'!$R$6:$AC$24,MATCH('18 KMP- Tháng (Tâm) (3)'!$A11,'18 KMP- Tháng'!$A$6:$A$24,0),MATCH('18 KMP- Tháng (Tâm) (3)'!AP$7,'18 KMP- Tháng'!$R$2:$AC$2,0))</f>
        <v>5506.4469950000002</v>
      </c>
      <c r="AQ11" s="189">
        <f>INDEX('18 KMP- Tháng'!$R$6:$AC$24,MATCH('18 KMP- Tháng (Tâm) (3)'!$A11,'18 KMP- Tháng'!$A$6:$A$24,0),MATCH('18 KMP- Tháng (Tâm) (3)'!AQ$7,'18 KMP- Tháng'!$R$2:$AC$2,0))</f>
        <v>6370.138516</v>
      </c>
      <c r="AR11" s="189">
        <f>INDEX('18 KMP- Tháng'!$R$6:$AC$24,MATCH('18 KMP- Tháng (Tâm) (3)'!$A11,'18 KMP- Tháng'!$A$6:$A$24,0),MATCH('18 KMP- Tháng (Tâm) (3)'!AR$7,'18 KMP- Tháng'!$R$2:$AC$2,0))</f>
        <v>4868.779184</v>
      </c>
      <c r="AS11" s="183">
        <f>AX11/(12-COUNTIF($AG$10:$AR$10,0))</f>
        <v>4897.5619350833331</v>
      </c>
      <c r="AT11" s="337"/>
      <c r="AU11" s="189">
        <v>2867.0940820833334</v>
      </c>
      <c r="AV11" s="189"/>
      <c r="AW11" s="189"/>
      <c r="AX11" s="189">
        <f>SUM(AG11:AR11)</f>
        <v>58770.743220999997</v>
      </c>
      <c r="AY11" s="184">
        <f t="shared" ref="AY11:AY20" si="1">IFERROR(AR11/AQ11-1,"-")</f>
        <v>-0.23568707779728915</v>
      </c>
      <c r="AZ11" s="190">
        <f t="shared" ref="AZ11:AZ28" si="2">AX11/$AX$29</f>
        <v>5.1583699468620833E-2</v>
      </c>
      <c r="BA11" s="647"/>
      <c r="BB11" s="648"/>
      <c r="BC11" s="648"/>
      <c r="BD11" s="648"/>
    </row>
    <row r="12" spans="1:57" s="186" customFormat="1" x14ac:dyDescent="0.3">
      <c r="A12" s="174">
        <v>6</v>
      </c>
      <c r="B12" s="187">
        <f t="shared" ref="B12:B20" si="3">B11+1</f>
        <v>3</v>
      </c>
      <c r="C12" s="188" t="s">
        <v>96</v>
      </c>
      <c r="D12" s="188" t="s">
        <v>166</v>
      </c>
      <c r="E12" s="188"/>
      <c r="F12" s="188"/>
      <c r="G12" s="188"/>
      <c r="H12" s="188"/>
      <c r="I12" s="188"/>
      <c r="J12" s="188"/>
      <c r="K12" s="188"/>
      <c r="L12" s="188"/>
      <c r="M12" s="188"/>
      <c r="N12" s="188"/>
      <c r="O12" s="188"/>
      <c r="P12" s="188"/>
      <c r="Q12" s="188"/>
      <c r="R12" s="188"/>
      <c r="S12" s="188"/>
      <c r="T12" s="188"/>
      <c r="U12" s="188"/>
      <c r="V12" s="188"/>
      <c r="W12" s="188"/>
      <c r="X12" s="188"/>
      <c r="Y12" s="188"/>
      <c r="Z12" s="188"/>
      <c r="AA12" s="188"/>
      <c r="AB12" s="188"/>
      <c r="AC12" s="188"/>
      <c r="AD12" s="188"/>
      <c r="AE12" s="188"/>
      <c r="AF12" s="188"/>
      <c r="AG12" s="189">
        <f>INDEX('18 KMP- Tháng'!$R$6:$AC$24,MATCH('18 KMP- Tháng (Tâm) (3)'!$A12,'18 KMP- Tháng'!$A$6:$A$24,0),MATCH('18 KMP- Tháng (Tâm) (3)'!AG$7,'18 KMP- Tháng'!$R$2:$AC$2,0))</f>
        <v>10</v>
      </c>
      <c r="AH12" s="189">
        <f>INDEX('18 KMP- Tháng'!$R$6:$AC$24,MATCH('18 KMP- Tháng (Tâm) (3)'!$A12,'18 KMP- Tháng'!$A$6:$A$24,0),MATCH('18 KMP- Tháng (Tâm) (3)'!AH$7,'18 KMP- Tháng'!$R$2:$AC$2,0))</f>
        <v>0</v>
      </c>
      <c r="AI12" s="189">
        <f>INDEX('18 KMP- Tháng'!$R$6:$AC$24,MATCH('18 KMP- Tháng (Tâm) (3)'!$A12,'18 KMP- Tháng'!$A$6:$A$24,0),MATCH('18 KMP- Tháng (Tâm) (3)'!AI$7,'18 KMP- Tháng'!$R$2:$AC$2,0))</f>
        <v>-5</v>
      </c>
      <c r="AJ12" s="189">
        <f>INDEX('18 KMP- Tháng'!$R$6:$AC$24,MATCH('18 KMP- Tháng (Tâm) (3)'!$A12,'18 KMP- Tháng'!$A$6:$A$24,0),MATCH('18 KMP- Tháng (Tâm) (3)'!AJ$7,'18 KMP- Tháng'!$R$2:$AC$2,0))</f>
        <v>0</v>
      </c>
      <c r="AK12" s="189">
        <f>INDEX('18 KMP- Tháng'!$R$6:$AC$24,MATCH('18 KMP- Tháng (Tâm) (3)'!$A12,'18 KMP- Tháng'!$A$6:$A$24,0),MATCH('18 KMP- Tháng (Tâm) (3)'!AK$7,'18 KMP- Tháng'!$R$2:$AC$2,0))</f>
        <v>32</v>
      </c>
      <c r="AL12" s="189">
        <f>INDEX('18 KMP- Tháng'!$R$6:$AC$24,MATCH('18 KMP- Tháng (Tâm) (3)'!$A12,'18 KMP- Tháng'!$A$6:$A$24,0),MATCH('18 KMP- Tháng (Tâm) (3)'!AL$7,'18 KMP- Tháng'!$R$2:$AC$2,0))</f>
        <v>0</v>
      </c>
      <c r="AM12" s="189">
        <f>INDEX('18 KMP- Tháng'!$R$6:$AC$24,MATCH('18 KMP- Tháng (Tâm) (3)'!$A12,'18 KMP- Tháng'!$A$6:$A$24,0),MATCH('18 KMP- Tháng (Tâm) (3)'!AM$7,'18 KMP- Tháng'!$R$2:$AC$2,0))</f>
        <v>0</v>
      </c>
      <c r="AN12" s="189">
        <f>INDEX('18 KMP- Tháng'!$R$6:$AC$24,MATCH('18 KMP- Tháng (Tâm) (3)'!$A12,'18 KMP- Tháng'!$A$6:$A$24,0),MATCH('18 KMP- Tháng (Tâm) (3)'!AN$7,'18 KMP- Tháng'!$R$2:$AC$2,0))</f>
        <v>0</v>
      </c>
      <c r="AO12" s="189">
        <f>INDEX('18 KMP- Tháng'!$R$6:$AC$24,MATCH('18 KMP- Tháng (Tâm) (3)'!$A12,'18 KMP- Tháng'!$A$6:$A$24,0),MATCH('18 KMP- Tháng (Tâm) (3)'!AO$7,'18 KMP- Tháng'!$R$2:$AC$2,0))</f>
        <v>0</v>
      </c>
      <c r="AP12" s="189">
        <f>INDEX('18 KMP- Tháng'!$R$6:$AC$24,MATCH('18 KMP- Tháng (Tâm) (3)'!$A12,'18 KMP- Tháng'!$A$6:$A$24,0),MATCH('18 KMP- Tháng (Tâm) (3)'!AP$7,'18 KMP- Tháng'!$R$2:$AC$2,0))</f>
        <v>0</v>
      </c>
      <c r="AQ12" s="189">
        <f>INDEX('18 KMP- Tháng'!$R$6:$AC$24,MATCH('18 KMP- Tháng (Tâm) (3)'!$A12,'18 KMP- Tháng'!$A$6:$A$24,0),MATCH('18 KMP- Tháng (Tâm) (3)'!AQ$7,'18 KMP- Tháng'!$R$2:$AC$2,0))</f>
        <v>23.387096</v>
      </c>
      <c r="AR12" s="189">
        <f>INDEX('18 KMP- Tháng'!$R$6:$AC$24,MATCH('18 KMP- Tháng (Tâm) (3)'!$A12,'18 KMP- Tháng'!$A$6:$A$24,0),MATCH('18 KMP- Tháng (Tâm) (3)'!AR$7,'18 KMP- Tháng'!$R$2:$AC$2,0))</f>
        <v>0</v>
      </c>
      <c r="AS12" s="189">
        <f>AX12/(12-COUNTIF($AG$10:$AR$10,0))</f>
        <v>5.0322579999999997</v>
      </c>
      <c r="AT12" s="189"/>
      <c r="AU12" s="189">
        <v>1356.8409857500001</v>
      </c>
      <c r="AV12" s="189"/>
      <c r="AW12" s="189"/>
      <c r="AX12" s="189">
        <f t="shared" ref="AX12:AX20" si="4">SUM(AG12:AR12)</f>
        <v>60.387096</v>
      </c>
      <c r="AY12" s="184">
        <f>IFERROR(AR12/AQ12-1,"-")</f>
        <v>-1</v>
      </c>
      <c r="AZ12" s="190">
        <f t="shared" si="2"/>
        <v>5.3002389303351625E-5</v>
      </c>
      <c r="BA12" s="649"/>
      <c r="BB12" s="650"/>
      <c r="BC12" s="650"/>
      <c r="BD12" s="650"/>
      <c r="BE12" s="191"/>
    </row>
    <row r="13" spans="1:57" s="186" customFormat="1" ht="35.1" customHeight="1" x14ac:dyDescent="0.3">
      <c r="A13" s="174">
        <v>7</v>
      </c>
      <c r="B13" s="187">
        <f t="shared" si="3"/>
        <v>4</v>
      </c>
      <c r="C13" s="188" t="s">
        <v>96</v>
      </c>
      <c r="D13" s="188" t="s">
        <v>54</v>
      </c>
      <c r="E13" s="188"/>
      <c r="F13" s="188"/>
      <c r="G13" s="188"/>
      <c r="H13" s="188"/>
      <c r="I13" s="188"/>
      <c r="J13" s="188"/>
      <c r="K13" s="188"/>
      <c r="L13" s="188"/>
      <c r="M13" s="188"/>
      <c r="N13" s="188"/>
      <c r="O13" s="188"/>
      <c r="P13" s="188"/>
      <c r="Q13" s="188"/>
      <c r="R13" s="188"/>
      <c r="S13" s="188"/>
      <c r="T13" s="188"/>
      <c r="U13" s="188"/>
      <c r="V13" s="188"/>
      <c r="W13" s="188"/>
      <c r="X13" s="188"/>
      <c r="Y13" s="188"/>
      <c r="Z13" s="188"/>
      <c r="AA13" s="188"/>
      <c r="AB13" s="188"/>
      <c r="AC13" s="188"/>
      <c r="AD13" s="188"/>
      <c r="AE13" s="188"/>
      <c r="AF13" s="188"/>
      <c r="AG13" s="189">
        <f>INDEX('18 KMP- Tháng'!$R$6:$AC$24,MATCH('18 KMP- Tháng (Tâm) (3)'!$A13,'18 KMP- Tháng'!$A$6:$A$24,0),MATCH('18 KMP- Tháng (Tâm) (3)'!AG$7,'18 KMP- Tháng'!$R$2:$AC$2,0))</f>
        <v>1729.6174993199998</v>
      </c>
      <c r="AH13" s="189">
        <f>INDEX('18 KMP- Tháng'!$R$6:$AC$24,MATCH('18 KMP- Tháng (Tâm) (3)'!$A13,'18 KMP- Tháng'!$A$6:$A$24,0),MATCH('18 KMP- Tháng (Tâm) (3)'!AH$7,'18 KMP- Tháng'!$R$2:$AC$2,0))</f>
        <v>1517.450685</v>
      </c>
      <c r="AI13" s="189">
        <f>INDEX('18 KMP- Tháng'!$R$6:$AC$24,MATCH('18 KMP- Tháng (Tâm) (3)'!$A13,'18 KMP- Tháng'!$A$6:$A$24,0),MATCH('18 KMP- Tháng (Tâm) (3)'!AI$7,'18 KMP- Tháng'!$R$2:$AC$2,0))</f>
        <v>1767.7928019999999</v>
      </c>
      <c r="AJ13" s="189">
        <f>INDEX('18 KMP- Tháng'!$R$6:$AC$24,MATCH('18 KMP- Tháng (Tâm) (3)'!$A13,'18 KMP- Tháng'!$A$6:$A$24,0),MATCH('18 KMP- Tháng (Tâm) (3)'!AJ$7,'18 KMP- Tháng'!$R$2:$AC$2,0))</f>
        <v>1045.8530069999999</v>
      </c>
      <c r="AK13" s="189">
        <f>INDEX('18 KMP- Tháng'!$R$6:$AC$24,MATCH('18 KMP- Tháng (Tâm) (3)'!$A13,'18 KMP- Tháng'!$A$6:$A$24,0),MATCH('18 KMP- Tháng (Tâm) (3)'!AK$7,'18 KMP- Tháng'!$R$2:$AC$2,0))</f>
        <v>972.024225</v>
      </c>
      <c r="AL13" s="189">
        <f>INDEX('18 KMP- Tháng'!$R$6:$AC$24,MATCH('18 KMP- Tháng (Tâm) (3)'!$A13,'18 KMP- Tháng'!$A$6:$A$24,0),MATCH('18 KMP- Tháng (Tâm) (3)'!AL$7,'18 KMP- Tháng'!$R$2:$AC$2,0))</f>
        <v>591.19552299999998</v>
      </c>
      <c r="AM13" s="192">
        <f>INDEX('18 KMP- Tháng'!$R$6:$AC$24,MATCH('18 KMP- Tháng (Tâm) (3)'!$A13,'18 KMP- Tháng'!$A$6:$A$24,0),MATCH('18 KMP- Tháng (Tâm) (3)'!AM$7,'18 KMP- Tháng'!$R$2:$AC$2,0))</f>
        <v>1077.291879250055</v>
      </c>
      <c r="AN13" s="189">
        <f>INDEX('18 KMP- Tháng'!$R$6:$AC$24,MATCH('18 KMP- Tháng (Tâm) (3)'!$A13,'18 KMP- Tháng'!$A$6:$A$24,0),MATCH('18 KMP- Tháng (Tâm) (3)'!AN$7,'18 KMP- Tháng'!$R$2:$AC$2,0))</f>
        <v>549.30051674994502</v>
      </c>
      <c r="AO13" s="189">
        <f>INDEX('18 KMP- Tháng'!$R$6:$AC$24,MATCH('18 KMP- Tháng (Tâm) (3)'!$A13,'18 KMP- Tháng'!$A$6:$A$24,0),MATCH('18 KMP- Tháng (Tâm) (3)'!AO$7,'18 KMP- Tháng'!$R$2:$AC$2,0))</f>
        <v>1071.8952039999999</v>
      </c>
      <c r="AP13" s="189">
        <f>INDEX('18 KMP- Tháng'!$R$6:$AC$24,MATCH('18 KMP- Tháng (Tâm) (3)'!$A13,'18 KMP- Tháng'!$A$6:$A$24,0),MATCH('18 KMP- Tháng (Tâm) (3)'!AP$7,'18 KMP- Tháng'!$R$2:$AC$2,0))</f>
        <v>1893.504713</v>
      </c>
      <c r="AQ13" s="189">
        <f>INDEX('18 KMP- Tháng'!$R$6:$AC$24,MATCH('18 KMP- Tháng (Tâm) (3)'!$A13,'18 KMP- Tháng'!$A$6:$A$24,0),MATCH('18 KMP- Tháng (Tâm) (3)'!AQ$7,'18 KMP- Tháng'!$R$2:$AC$2,0))</f>
        <v>1720.675248</v>
      </c>
      <c r="AR13" s="189">
        <f>INDEX('18 KMP- Tháng'!$R$6:$AC$24,MATCH('18 KMP- Tháng (Tâm) (3)'!$A13,'18 KMP- Tháng'!$A$6:$A$24,0),MATCH('18 KMP- Tháng (Tâm) (3)'!AR$7,'18 KMP- Tháng'!$R$2:$AC$2,0))</f>
        <v>321.65228200000001</v>
      </c>
      <c r="AS13" s="189">
        <f t="shared" ref="AS13:AS20" si="5">AX13/(12-COUNTIF($AG$10:$AR$10,0))</f>
        <v>1188.1877986933332</v>
      </c>
      <c r="AT13" s="189"/>
      <c r="AU13" s="189">
        <v>966.81180257646599</v>
      </c>
      <c r="AV13" s="189"/>
      <c r="AW13" s="189"/>
      <c r="AX13" s="189">
        <f t="shared" si="4"/>
        <v>14258.253584319998</v>
      </c>
      <c r="AY13" s="184">
        <f t="shared" si="1"/>
        <v>-0.8130662468854204</v>
      </c>
      <c r="AZ13" s="190">
        <f t="shared" si="2"/>
        <v>1.2514619137539536E-2</v>
      </c>
      <c r="BA13" s="648"/>
      <c r="BB13" s="648"/>
      <c r="BC13" s="648"/>
      <c r="BD13" s="648"/>
    </row>
    <row r="14" spans="1:57" s="186" customFormat="1" ht="16.350000000000001" customHeight="1" x14ac:dyDescent="0.3">
      <c r="A14" s="174">
        <v>8</v>
      </c>
      <c r="B14" s="187">
        <f t="shared" si="3"/>
        <v>5</v>
      </c>
      <c r="C14" s="188" t="s">
        <v>96</v>
      </c>
      <c r="D14" s="188" t="s">
        <v>49</v>
      </c>
      <c r="E14" s="188"/>
      <c r="F14" s="188"/>
      <c r="G14" s="188"/>
      <c r="H14" s="188"/>
      <c r="I14" s="188"/>
      <c r="J14" s="188"/>
      <c r="K14" s="188"/>
      <c r="L14" s="188"/>
      <c r="M14" s="188"/>
      <c r="N14" s="188"/>
      <c r="O14" s="188"/>
      <c r="P14" s="188"/>
      <c r="Q14" s="188"/>
      <c r="R14" s="188"/>
      <c r="S14" s="188"/>
      <c r="T14" s="188"/>
      <c r="U14" s="188"/>
      <c r="V14" s="188"/>
      <c r="W14" s="188"/>
      <c r="X14" s="188"/>
      <c r="Y14" s="188"/>
      <c r="Z14" s="188"/>
      <c r="AA14" s="188"/>
      <c r="AB14" s="188"/>
      <c r="AC14" s="188"/>
      <c r="AD14" s="188"/>
      <c r="AE14" s="188"/>
      <c r="AF14" s="188"/>
      <c r="AG14" s="189">
        <f>INDEX('18 KMP- Tháng'!$R$6:$AC$24,MATCH('18 KMP- Tháng (Tâm) (3)'!$A14,'18 KMP- Tháng'!$A$6:$A$24,0),MATCH('18 KMP- Tháng (Tâm) (3)'!AG$7,'18 KMP- Tháng'!$R$2:$AC$2,0))</f>
        <v>1024.1533429999999</v>
      </c>
      <c r="AH14" s="189">
        <f>INDEX('18 KMP- Tháng'!$R$6:$AC$24,MATCH('18 KMP- Tháng (Tâm) (3)'!$A14,'18 KMP- Tháng'!$A$6:$A$24,0),MATCH('18 KMP- Tháng (Tâm) (3)'!AH$7,'18 KMP- Tháng'!$R$2:$AC$2,0))</f>
        <v>494.67674900000003</v>
      </c>
      <c r="AI14" s="189">
        <f>INDEX('18 KMP- Tháng'!$R$6:$AC$24,MATCH('18 KMP- Tháng (Tâm) (3)'!$A14,'18 KMP- Tháng'!$A$6:$A$24,0),MATCH('18 KMP- Tháng (Tâm) (3)'!AI$7,'18 KMP- Tháng'!$R$2:$AC$2,0))</f>
        <v>832.50088600000004</v>
      </c>
      <c r="AJ14" s="189">
        <f>INDEX('18 KMP- Tháng'!$R$6:$AC$24,MATCH('18 KMP- Tháng (Tâm) (3)'!$A14,'18 KMP- Tháng'!$A$6:$A$24,0),MATCH('18 KMP- Tháng (Tâm) (3)'!AJ$7,'18 KMP- Tháng'!$R$2:$AC$2,0))</f>
        <v>1314.4848100000002</v>
      </c>
      <c r="AK14" s="189">
        <f>INDEX('18 KMP- Tháng'!$R$6:$AC$24,MATCH('18 KMP- Tháng (Tâm) (3)'!$A14,'18 KMP- Tháng'!$A$6:$A$24,0),MATCH('18 KMP- Tháng (Tâm) (3)'!AK$7,'18 KMP- Tháng'!$R$2:$AC$2,0))</f>
        <v>883.52530899999999</v>
      </c>
      <c r="AL14" s="189">
        <f>INDEX('18 KMP- Tháng'!$R$6:$AC$24,MATCH('18 KMP- Tháng (Tâm) (3)'!$A14,'18 KMP- Tháng'!$A$6:$A$24,0),MATCH('18 KMP- Tháng (Tâm) (3)'!AL$7,'18 KMP- Tháng'!$R$2:$AC$2,0))</f>
        <v>901.03991800000006</v>
      </c>
      <c r="AM14" s="189">
        <f>INDEX('18 KMP- Tháng'!$R$6:$AC$24,MATCH('18 KMP- Tháng (Tâm) (3)'!$A14,'18 KMP- Tháng'!$A$6:$A$24,0),MATCH('18 KMP- Tháng (Tâm) (3)'!AM$7,'18 KMP- Tháng'!$R$2:$AC$2,0))</f>
        <v>420.2372509999999</v>
      </c>
      <c r="AN14" s="189">
        <f>INDEX('18 KMP- Tháng'!$R$6:$AC$24,MATCH('18 KMP- Tháng (Tâm) (3)'!$A14,'18 KMP- Tháng'!$A$6:$A$24,0),MATCH('18 KMP- Tháng (Tâm) (3)'!AN$7,'18 KMP- Tháng'!$R$2:$AC$2,0))</f>
        <v>546.30616100000009</v>
      </c>
      <c r="AO14" s="189">
        <f>INDEX('18 KMP- Tháng'!$R$6:$AC$24,MATCH('18 KMP- Tháng (Tâm) (3)'!$A14,'18 KMP- Tháng'!$A$6:$A$24,0),MATCH('18 KMP- Tháng (Tâm) (3)'!AO$7,'18 KMP- Tháng'!$R$2:$AC$2,0))</f>
        <v>582.40284800000006</v>
      </c>
      <c r="AP14" s="189">
        <f>INDEX('18 KMP- Tháng'!$R$6:$AC$24,MATCH('18 KMP- Tháng (Tâm) (3)'!$A14,'18 KMP- Tháng'!$A$6:$A$24,0),MATCH('18 KMP- Tháng (Tâm) (3)'!AP$7,'18 KMP- Tháng'!$R$2:$AC$2,0))</f>
        <v>600.29113600000005</v>
      </c>
      <c r="AQ14" s="189">
        <f>INDEX('18 KMP- Tháng'!$R$6:$AC$24,MATCH('18 KMP- Tháng (Tâm) (3)'!$A14,'18 KMP- Tháng'!$A$6:$A$24,0),MATCH('18 KMP- Tháng (Tâm) (3)'!AQ$7,'18 KMP- Tháng'!$R$2:$AC$2,0))</f>
        <v>378.45344</v>
      </c>
      <c r="AR14" s="189">
        <f>INDEX('18 KMP- Tháng'!$R$6:$AC$24,MATCH('18 KMP- Tháng (Tâm) (3)'!$A14,'18 KMP- Tháng'!$A$6:$A$24,0),MATCH('18 KMP- Tháng (Tâm) (3)'!AR$7,'18 KMP- Tháng'!$R$2:$AC$2,0))</f>
        <v>606.28838299999995</v>
      </c>
      <c r="AS14" s="189">
        <f t="shared" si="5"/>
        <v>715.36335283333335</v>
      </c>
      <c r="AT14" s="189"/>
      <c r="AU14" s="189">
        <v>613.60755875000007</v>
      </c>
      <c r="AV14" s="189"/>
      <c r="AW14" s="189"/>
      <c r="AX14" s="189">
        <f t="shared" si="4"/>
        <v>8584.3602339999998</v>
      </c>
      <c r="AY14" s="184">
        <f>IFERROR(AR14/AQ14-1,"-")</f>
        <v>0.60201578032954317</v>
      </c>
      <c r="AZ14" s="190">
        <f t="shared" si="2"/>
        <v>7.5345832666415787E-3</v>
      </c>
      <c r="BA14" s="648"/>
      <c r="BB14" s="648"/>
      <c r="BC14" s="648"/>
      <c r="BD14" s="648"/>
    </row>
    <row r="15" spans="1:57" s="186" customFormat="1" ht="50.1" customHeight="1" x14ac:dyDescent="0.3">
      <c r="A15" s="174">
        <v>9</v>
      </c>
      <c r="B15" s="187">
        <f t="shared" si="3"/>
        <v>6</v>
      </c>
      <c r="C15" s="188" t="s">
        <v>96</v>
      </c>
      <c r="D15" s="188" t="s">
        <v>56</v>
      </c>
      <c r="E15" s="188"/>
      <c r="F15" s="188"/>
      <c r="G15" s="188"/>
      <c r="H15" s="188"/>
      <c r="I15" s="188"/>
      <c r="J15" s="188"/>
      <c r="K15" s="188"/>
      <c r="L15" s="188"/>
      <c r="M15" s="188"/>
      <c r="N15" s="188"/>
      <c r="O15" s="188"/>
      <c r="P15" s="188"/>
      <c r="Q15" s="188"/>
      <c r="R15" s="188"/>
      <c r="S15" s="188"/>
      <c r="T15" s="188"/>
      <c r="U15" s="188"/>
      <c r="V15" s="188"/>
      <c r="W15" s="188"/>
      <c r="X15" s="188"/>
      <c r="Y15" s="188"/>
      <c r="Z15" s="188"/>
      <c r="AA15" s="188"/>
      <c r="AB15" s="188"/>
      <c r="AC15" s="188"/>
      <c r="AD15" s="188"/>
      <c r="AE15" s="188"/>
      <c r="AF15" s="188"/>
      <c r="AG15" s="189">
        <f>INDEX('18 KMP- Tháng'!$R$6:$AC$24,MATCH('18 KMP- Tháng (Tâm) (3)'!$A15,'18 KMP- Tháng'!$A$6:$A$24,0),MATCH('18 KMP- Tháng (Tâm) (3)'!AG$7,'18 KMP- Tháng'!$R$2:$AC$2,0))</f>
        <v>914.03018499999996</v>
      </c>
      <c r="AH15" s="189">
        <f>INDEX('18 KMP- Tháng'!$R$6:$AC$24,MATCH('18 KMP- Tháng (Tâm) (3)'!$A15,'18 KMP- Tháng'!$A$6:$A$24,0),MATCH('18 KMP- Tháng (Tâm) (3)'!AH$7,'18 KMP- Tháng'!$R$2:$AC$2,0))</f>
        <v>427.32569400000011</v>
      </c>
      <c r="AI15" s="189">
        <f>INDEX('18 KMP- Tháng'!$R$6:$AC$24,MATCH('18 KMP- Tháng (Tâm) (3)'!$A15,'18 KMP- Tháng'!$A$6:$A$24,0),MATCH('18 KMP- Tháng (Tâm) (3)'!AI$7,'18 KMP- Tháng'!$R$2:$AC$2,0))</f>
        <v>761.12916300000006</v>
      </c>
      <c r="AJ15" s="189">
        <f>INDEX('18 KMP- Tháng'!$R$6:$AC$24,MATCH('18 KMP- Tháng (Tâm) (3)'!$A15,'18 KMP- Tháng'!$A$6:$A$24,0),MATCH('18 KMP- Tháng (Tâm) (3)'!AJ$7,'18 KMP- Tháng'!$R$2:$AC$2,0))</f>
        <v>676.13008899999988</v>
      </c>
      <c r="AK15" s="189">
        <f>INDEX('18 KMP- Tháng'!$R$6:$AC$24,MATCH('18 KMP- Tháng (Tâm) (3)'!$A15,'18 KMP- Tháng'!$A$6:$A$24,0),MATCH('18 KMP- Tháng (Tâm) (3)'!AK$7,'18 KMP- Tháng'!$R$2:$AC$2,0))</f>
        <v>693.03544600000009</v>
      </c>
      <c r="AL15" s="189">
        <f>INDEX('18 KMP- Tháng'!$R$6:$AC$24,MATCH('18 KMP- Tháng (Tâm) (3)'!$A15,'18 KMP- Tháng'!$A$6:$A$24,0),MATCH('18 KMP- Tháng (Tâm) (3)'!AL$7,'18 KMP- Tháng'!$R$2:$AC$2,0))</f>
        <v>782.97129899999982</v>
      </c>
      <c r="AM15" s="189">
        <f>INDEX('18 KMP- Tháng'!$R$6:$AC$24,MATCH('18 KMP- Tháng (Tâm) (3)'!$A15,'18 KMP- Tháng'!$A$6:$A$24,0),MATCH('18 KMP- Tháng (Tâm) (3)'!AM$7,'18 KMP- Tháng'!$R$2:$AC$2,0))</f>
        <v>321.45073600000001</v>
      </c>
      <c r="AN15" s="189">
        <f>INDEX('18 KMP- Tháng'!$R$6:$AC$24,MATCH('18 KMP- Tháng (Tâm) (3)'!$A15,'18 KMP- Tháng'!$A$6:$A$24,0),MATCH('18 KMP- Tháng (Tâm) (3)'!AN$7,'18 KMP- Tháng'!$R$2:$AC$2,0))</f>
        <v>361.48229300000003</v>
      </c>
      <c r="AO15" s="189">
        <f>INDEX('18 KMP- Tháng'!$R$6:$AC$24,MATCH('18 KMP- Tháng (Tâm) (3)'!$A15,'18 KMP- Tháng'!$A$6:$A$24,0),MATCH('18 KMP- Tháng (Tâm) (3)'!AO$7,'18 KMP- Tháng'!$R$2:$AC$2,0))</f>
        <v>516.38720899999998</v>
      </c>
      <c r="AP15" s="189">
        <f>INDEX('18 KMP- Tháng'!$R$6:$AC$24,MATCH('18 KMP- Tháng (Tâm) (3)'!$A15,'18 KMP- Tháng'!$A$6:$A$24,0),MATCH('18 KMP- Tháng (Tâm) (3)'!AP$7,'18 KMP- Tháng'!$R$2:$AC$2,0))</f>
        <v>707.21815000000004</v>
      </c>
      <c r="AQ15" s="189">
        <f>INDEX('18 KMP- Tháng'!$R$6:$AC$24,MATCH('18 KMP- Tháng (Tâm) (3)'!$A15,'18 KMP- Tháng'!$A$6:$A$24,0),MATCH('18 KMP- Tháng (Tâm) (3)'!AQ$7,'18 KMP- Tháng'!$R$2:$AC$2,0))</f>
        <v>824.52075600000001</v>
      </c>
      <c r="AR15" s="189">
        <f>INDEX('18 KMP- Tháng'!$R$6:$AC$24,MATCH('18 KMP- Tháng (Tâm) (3)'!$A15,'18 KMP- Tháng'!$A$6:$A$24,0),MATCH('18 KMP- Tháng (Tâm) (3)'!AR$7,'18 KMP- Tháng'!$R$2:$AC$2,0))</f>
        <v>612.23483699999997</v>
      </c>
      <c r="AS15" s="189">
        <f t="shared" si="5"/>
        <v>633.15965474999996</v>
      </c>
      <c r="AT15" s="189"/>
      <c r="AU15" s="189">
        <v>363.45366024999998</v>
      </c>
      <c r="AV15" s="189"/>
      <c r="AW15" s="189"/>
      <c r="AX15" s="189">
        <f t="shared" si="4"/>
        <v>7597.9158569999991</v>
      </c>
      <c r="AY15" s="184">
        <f t="shared" si="1"/>
        <v>-0.25746582782204697</v>
      </c>
      <c r="AZ15" s="190">
        <f t="shared" si="2"/>
        <v>6.6687706616463628E-3</v>
      </c>
      <c r="BA15" s="647"/>
      <c r="BB15" s="648"/>
      <c r="BC15" s="648"/>
      <c r="BD15" s="648"/>
    </row>
    <row r="16" spans="1:57" s="186" customFormat="1" x14ac:dyDescent="0.3">
      <c r="A16" s="174">
        <v>10</v>
      </c>
      <c r="B16" s="187">
        <f t="shared" si="3"/>
        <v>7</v>
      </c>
      <c r="C16" s="188" t="s">
        <v>96</v>
      </c>
      <c r="D16" s="188" t="s">
        <v>28</v>
      </c>
      <c r="E16" s="188"/>
      <c r="F16" s="188"/>
      <c r="G16" s="188"/>
      <c r="H16" s="188"/>
      <c r="I16" s="188"/>
      <c r="J16" s="188"/>
      <c r="K16" s="188"/>
      <c r="L16" s="188"/>
      <c r="M16" s="188"/>
      <c r="N16" s="188"/>
      <c r="O16" s="188"/>
      <c r="P16" s="188"/>
      <c r="Q16" s="188"/>
      <c r="R16" s="188"/>
      <c r="S16" s="188"/>
      <c r="T16" s="188"/>
      <c r="U16" s="188"/>
      <c r="V16" s="188"/>
      <c r="W16" s="188"/>
      <c r="X16" s="188"/>
      <c r="Y16" s="188"/>
      <c r="Z16" s="188"/>
      <c r="AA16" s="188"/>
      <c r="AB16" s="188"/>
      <c r="AC16" s="188"/>
      <c r="AD16" s="188"/>
      <c r="AE16" s="188"/>
      <c r="AF16" s="188"/>
      <c r="AG16" s="189">
        <f>INDEX('18 KMP- Tháng'!$R$6:$AC$24,MATCH('18 KMP- Tháng (Tâm) (3)'!$A16,'18 KMP- Tháng'!$A$6:$A$24,0),MATCH('18 KMP- Tháng (Tâm) (3)'!AG$7,'18 KMP- Tháng'!$R$2:$AC$2,0))</f>
        <v>377.49690900000002</v>
      </c>
      <c r="AH16" s="189">
        <f>INDEX('18 KMP- Tháng'!$R$6:$AC$24,MATCH('18 KMP- Tháng (Tâm) (3)'!$A16,'18 KMP- Tháng'!$A$6:$A$24,0),MATCH('18 KMP- Tháng (Tâm) (3)'!AH$7,'18 KMP- Tháng'!$R$2:$AC$2,0))</f>
        <v>255.24872999999999</v>
      </c>
      <c r="AI16" s="189">
        <f>INDEX('18 KMP- Tháng'!$R$6:$AC$24,MATCH('18 KMP- Tháng (Tâm) (3)'!$A16,'18 KMP- Tháng'!$A$6:$A$24,0),MATCH('18 KMP- Tháng (Tâm) (3)'!AI$7,'18 KMP- Tháng'!$R$2:$AC$2,0))</f>
        <v>394.67352</v>
      </c>
      <c r="AJ16" s="189">
        <f>INDEX('18 KMP- Tháng'!$R$6:$AC$24,MATCH('18 KMP- Tháng (Tâm) (3)'!$A16,'18 KMP- Tháng'!$A$6:$A$24,0),MATCH('18 KMP- Tháng (Tâm) (3)'!AJ$7,'18 KMP- Tháng'!$R$2:$AC$2,0))</f>
        <v>371.32545199999998</v>
      </c>
      <c r="AK16" s="189">
        <f>INDEX('18 KMP- Tháng'!$R$6:$AC$24,MATCH('18 KMP- Tháng (Tâm) (3)'!$A16,'18 KMP- Tháng'!$A$6:$A$24,0),MATCH('18 KMP- Tháng (Tâm) (3)'!AK$7,'18 KMP- Tháng'!$R$2:$AC$2,0))</f>
        <v>367.60268200000002</v>
      </c>
      <c r="AL16" s="189">
        <f>INDEX('18 KMP- Tháng'!$R$6:$AC$24,MATCH('18 KMP- Tháng (Tâm) (3)'!$A16,'18 KMP- Tháng'!$A$6:$A$24,0),MATCH('18 KMP- Tháng (Tâm) (3)'!AL$7,'18 KMP- Tháng'!$R$2:$AC$2,0))</f>
        <v>326.45109400000001</v>
      </c>
      <c r="AM16" s="189">
        <f>INDEX('18 KMP- Tháng'!$R$6:$AC$24,MATCH('18 KMP- Tháng (Tâm) (3)'!$A16,'18 KMP- Tháng'!$A$6:$A$24,0),MATCH('18 KMP- Tháng (Tâm) (3)'!AM$7,'18 KMP- Tháng'!$R$2:$AC$2,0))</f>
        <v>297.34214600000001</v>
      </c>
      <c r="AN16" s="189">
        <f>INDEX('18 KMP- Tháng'!$R$6:$AC$24,MATCH('18 KMP- Tháng (Tâm) (3)'!$A16,'18 KMP- Tháng'!$A$6:$A$24,0),MATCH('18 KMP- Tháng (Tâm) (3)'!AN$7,'18 KMP- Tháng'!$R$2:$AC$2,0))</f>
        <v>252.431725</v>
      </c>
      <c r="AO16" s="189">
        <f>INDEX('18 KMP- Tháng'!$R$6:$AC$24,MATCH('18 KMP- Tháng (Tâm) (3)'!$A16,'18 KMP- Tháng'!$A$6:$A$24,0),MATCH('18 KMP- Tháng (Tâm) (3)'!AO$7,'18 KMP- Tháng'!$R$2:$AC$2,0))</f>
        <v>251.48836299999999</v>
      </c>
      <c r="AP16" s="189">
        <f>INDEX('18 KMP- Tháng'!$R$6:$AC$24,MATCH('18 KMP- Tháng (Tâm) (3)'!$A16,'18 KMP- Tháng'!$A$6:$A$24,0),MATCH('18 KMP- Tháng (Tâm) (3)'!AP$7,'18 KMP- Tháng'!$R$2:$AC$2,0))</f>
        <v>293.83949999999999</v>
      </c>
      <c r="AQ16" s="189">
        <f>INDEX('18 KMP- Tháng'!$R$6:$AC$24,MATCH('18 KMP- Tháng (Tâm) (3)'!$A16,'18 KMP- Tháng'!$A$6:$A$24,0),MATCH('18 KMP- Tháng (Tâm) (3)'!AQ$7,'18 KMP- Tháng'!$R$2:$AC$2,0))</f>
        <v>302.22001899999998</v>
      </c>
      <c r="AR16" s="189">
        <f>INDEX('18 KMP- Tháng'!$R$6:$AC$24,MATCH('18 KMP- Tháng (Tâm) (3)'!$A16,'18 KMP- Tháng'!$A$6:$A$24,0),MATCH('18 KMP- Tháng (Tâm) (3)'!AR$7,'18 KMP- Tháng'!$R$2:$AC$2,0))</f>
        <v>273.175363</v>
      </c>
      <c r="AS16" s="189">
        <f t="shared" si="5"/>
        <v>313.6079585833333</v>
      </c>
      <c r="AT16" s="189"/>
      <c r="AU16" s="189">
        <v>322.9764596666667</v>
      </c>
      <c r="AV16" s="189"/>
      <c r="AW16" s="189"/>
      <c r="AX16" s="189">
        <f t="shared" si="4"/>
        <v>3763.2955029999994</v>
      </c>
      <c r="AY16" s="184">
        <f t="shared" si="1"/>
        <v>-9.6104341784188585E-2</v>
      </c>
      <c r="AZ16" s="190">
        <f t="shared" si="2"/>
        <v>3.3030840448687654E-3</v>
      </c>
      <c r="BA16" s="648"/>
      <c r="BB16" s="648"/>
      <c r="BC16" s="648"/>
      <c r="BD16" s="648"/>
    </row>
    <row r="17" spans="1:67" s="186" customFormat="1" ht="45" customHeight="1" x14ac:dyDescent="0.3">
      <c r="A17" s="174">
        <v>11</v>
      </c>
      <c r="B17" s="187">
        <f t="shared" si="3"/>
        <v>8</v>
      </c>
      <c r="C17" s="188" t="s">
        <v>96</v>
      </c>
      <c r="D17" s="188" t="s">
        <v>53</v>
      </c>
      <c r="E17" s="188"/>
      <c r="F17" s="188"/>
      <c r="G17" s="188"/>
      <c r="H17" s="188"/>
      <c r="I17" s="188"/>
      <c r="J17" s="188"/>
      <c r="K17" s="188"/>
      <c r="L17" s="188"/>
      <c r="M17" s="188"/>
      <c r="N17" s="188"/>
      <c r="O17" s="188"/>
      <c r="P17" s="188"/>
      <c r="Q17" s="188"/>
      <c r="R17" s="188"/>
      <c r="S17" s="188"/>
      <c r="T17" s="188"/>
      <c r="U17" s="188"/>
      <c r="V17" s="188"/>
      <c r="W17" s="188"/>
      <c r="X17" s="188"/>
      <c r="Y17" s="188"/>
      <c r="Z17" s="188"/>
      <c r="AA17" s="188"/>
      <c r="AB17" s="188"/>
      <c r="AC17" s="188"/>
      <c r="AD17" s="188"/>
      <c r="AE17" s="188"/>
      <c r="AF17" s="188"/>
      <c r="AG17" s="189">
        <f>INDEX('18 KMP- Tháng'!$R$6:$AC$24,MATCH('18 KMP- Tháng (Tâm) (3)'!$A17,'18 KMP- Tháng'!$A$6:$A$24,0),MATCH('18 KMP- Tháng (Tâm) (3)'!AG$7,'18 KMP- Tháng'!$R$2:$AC$2,0))</f>
        <v>168.93012999999999</v>
      </c>
      <c r="AH17" s="189">
        <f>INDEX('18 KMP- Tháng'!$R$6:$AC$24,MATCH('18 KMP- Tháng (Tâm) (3)'!$A17,'18 KMP- Tháng'!$A$6:$A$24,0),MATCH('18 KMP- Tháng (Tâm) (3)'!AH$7,'18 KMP- Tháng'!$R$2:$AC$2,0))</f>
        <v>139.05925400000001</v>
      </c>
      <c r="AI17" s="189">
        <f>INDEX('18 KMP- Tháng'!$R$6:$AC$24,MATCH('18 KMP- Tháng (Tâm) (3)'!$A17,'18 KMP- Tháng'!$A$6:$A$24,0),MATCH('18 KMP- Tháng (Tâm) (3)'!AI$7,'18 KMP- Tháng'!$R$2:$AC$2,0))</f>
        <v>130.98270099999999</v>
      </c>
      <c r="AJ17" s="189">
        <f>INDEX('18 KMP- Tháng'!$R$6:$AC$24,MATCH('18 KMP- Tháng (Tâm) (3)'!$A17,'18 KMP- Tháng'!$A$6:$A$24,0),MATCH('18 KMP- Tháng (Tâm) (3)'!AJ$7,'18 KMP- Tháng'!$R$2:$AC$2,0))</f>
        <v>216.14341000000002</v>
      </c>
      <c r="AK17" s="189">
        <f>INDEX('18 KMP- Tháng'!$R$6:$AC$24,MATCH('18 KMP- Tháng (Tâm) (3)'!$A17,'18 KMP- Tháng'!$A$6:$A$24,0),MATCH('18 KMP- Tháng (Tâm) (3)'!AK$7,'18 KMP- Tháng'!$R$2:$AC$2,0))</f>
        <v>304.87664899999999</v>
      </c>
      <c r="AL17" s="189">
        <f>INDEX('18 KMP- Tháng'!$R$6:$AC$24,MATCH('18 KMP- Tháng (Tâm) (3)'!$A17,'18 KMP- Tháng'!$A$6:$A$24,0),MATCH('18 KMP- Tháng (Tâm) (3)'!AL$7,'18 KMP- Tháng'!$R$2:$AC$2,0))</f>
        <v>295.18419499999999</v>
      </c>
      <c r="AM17" s="189">
        <f>INDEX('18 KMP- Tháng'!$R$6:$AC$24,MATCH('18 KMP- Tháng (Tâm) (3)'!$A17,'18 KMP- Tháng'!$A$6:$A$24,0),MATCH('18 KMP- Tháng (Tâm) (3)'!AM$7,'18 KMP- Tháng'!$R$2:$AC$2,0))</f>
        <v>186.81335799999999</v>
      </c>
      <c r="AN17" s="189">
        <f>INDEX('18 KMP- Tháng'!$R$6:$AC$24,MATCH('18 KMP- Tháng (Tâm) (3)'!$A17,'18 KMP- Tháng'!$A$6:$A$24,0),MATCH('18 KMP- Tháng (Tâm) (3)'!AN$7,'18 KMP- Tháng'!$R$2:$AC$2,0))</f>
        <v>232.26438400000001</v>
      </c>
      <c r="AO17" s="189">
        <f>INDEX('18 KMP- Tháng'!$R$6:$AC$24,MATCH('18 KMP- Tháng (Tâm) (3)'!$A17,'18 KMP- Tháng'!$A$6:$A$24,0),MATCH('18 KMP- Tháng (Tâm) (3)'!AO$7,'18 KMP- Tháng'!$R$2:$AC$2,0))</f>
        <v>145.066621</v>
      </c>
      <c r="AP17" s="189">
        <f>INDEX('18 KMP- Tháng'!$R$6:$AC$24,MATCH('18 KMP- Tháng (Tâm) (3)'!$A17,'18 KMP- Tháng'!$A$6:$A$24,0),MATCH('18 KMP- Tháng (Tâm) (3)'!AP$7,'18 KMP- Tháng'!$R$2:$AC$2,0))</f>
        <v>272.26879300000002</v>
      </c>
      <c r="AQ17" s="189">
        <f>INDEX('18 KMP- Tháng'!$R$6:$AC$24,MATCH('18 KMP- Tháng (Tâm) (3)'!$A17,'18 KMP- Tháng'!$A$6:$A$24,0),MATCH('18 KMP- Tháng (Tâm) (3)'!AQ$7,'18 KMP- Tháng'!$R$2:$AC$2,0))</f>
        <v>272.19795499999998</v>
      </c>
      <c r="AR17" s="189">
        <f>INDEX('18 KMP- Tháng'!$R$6:$AC$24,MATCH('18 KMP- Tháng (Tâm) (3)'!$A17,'18 KMP- Tháng'!$A$6:$A$24,0),MATCH('18 KMP- Tháng (Tâm) (3)'!AR$7,'18 KMP- Tháng'!$R$2:$AC$2,0))</f>
        <v>306.84791300000001</v>
      </c>
      <c r="AS17" s="189">
        <f t="shared" si="5"/>
        <v>222.55294691666668</v>
      </c>
      <c r="AT17" s="189"/>
      <c r="AU17" s="189">
        <v>240.68175233333332</v>
      </c>
      <c r="AV17" s="189"/>
      <c r="AW17" s="189"/>
      <c r="AX17" s="189">
        <f t="shared" si="4"/>
        <v>2670.6353630000003</v>
      </c>
      <c r="AY17" s="184">
        <f t="shared" si="1"/>
        <v>0.1272969078698627</v>
      </c>
      <c r="AZ17" s="190">
        <f t="shared" si="2"/>
        <v>2.3440447475239377E-3</v>
      </c>
      <c r="BA17" s="648"/>
      <c r="BB17" s="648"/>
      <c r="BC17" s="648"/>
      <c r="BD17" s="648"/>
    </row>
    <row r="18" spans="1:67" s="186" customFormat="1" ht="52.35" customHeight="1" x14ac:dyDescent="0.3">
      <c r="A18" s="174">
        <v>12</v>
      </c>
      <c r="B18" s="187">
        <f t="shared" si="3"/>
        <v>9</v>
      </c>
      <c r="C18" s="188" t="s">
        <v>96</v>
      </c>
      <c r="D18" s="188" t="s">
        <v>42</v>
      </c>
      <c r="E18" s="188"/>
      <c r="F18" s="188"/>
      <c r="G18" s="188"/>
      <c r="H18" s="188"/>
      <c r="I18" s="188"/>
      <c r="J18" s="188"/>
      <c r="K18" s="188"/>
      <c r="L18" s="188"/>
      <c r="M18" s="188"/>
      <c r="N18" s="188"/>
      <c r="O18" s="188"/>
      <c r="P18" s="188"/>
      <c r="Q18" s="188"/>
      <c r="R18" s="188"/>
      <c r="S18" s="188"/>
      <c r="T18" s="188"/>
      <c r="U18" s="188"/>
      <c r="V18" s="188"/>
      <c r="W18" s="188"/>
      <c r="X18" s="188"/>
      <c r="Y18" s="188"/>
      <c r="Z18" s="188"/>
      <c r="AA18" s="188"/>
      <c r="AB18" s="188"/>
      <c r="AC18" s="188"/>
      <c r="AD18" s="188"/>
      <c r="AE18" s="188"/>
      <c r="AF18" s="188"/>
      <c r="AG18" s="189">
        <f>INDEX('18 KMP- Tháng'!$R$6:$AC$24,MATCH('18 KMP- Tháng (Tâm) (3)'!$A18,'18 KMP- Tháng'!$A$6:$A$24,0),MATCH('18 KMP- Tháng (Tâm) (3)'!AG$7,'18 KMP- Tháng'!$R$2:$AC$2,0))</f>
        <v>69.344239000000002</v>
      </c>
      <c r="AH18" s="189">
        <f>INDEX('18 KMP- Tháng'!$R$6:$AC$24,MATCH('18 KMP- Tháng (Tâm) (3)'!$A18,'18 KMP- Tháng'!$A$6:$A$24,0),MATCH('18 KMP- Tháng (Tâm) (3)'!AH$7,'18 KMP- Tháng'!$R$2:$AC$2,0))</f>
        <v>65.696956</v>
      </c>
      <c r="AI18" s="189">
        <f>INDEX('18 KMP- Tháng'!$R$6:$AC$24,MATCH('18 KMP- Tháng (Tâm) (3)'!$A18,'18 KMP- Tháng'!$A$6:$A$24,0),MATCH('18 KMP- Tháng (Tâm) (3)'!AI$7,'18 KMP- Tháng'!$R$2:$AC$2,0))</f>
        <v>71.977480999999997</v>
      </c>
      <c r="AJ18" s="189">
        <f>INDEX('18 KMP- Tháng'!$R$6:$AC$24,MATCH('18 KMP- Tháng (Tâm) (3)'!$A18,'18 KMP- Tháng'!$A$6:$A$24,0),MATCH('18 KMP- Tháng (Tâm) (3)'!AJ$7,'18 KMP- Tháng'!$R$2:$AC$2,0))+67</f>
        <v>154.504536</v>
      </c>
      <c r="AK18" s="189">
        <f>INDEX('18 KMP- Tháng'!$R$6:$AC$24,MATCH('18 KMP- Tháng (Tâm) (3)'!$A18,'18 KMP- Tháng'!$A$6:$A$24,0),MATCH('18 KMP- Tháng (Tâm) (3)'!AK$7,'18 KMP- Tháng'!$R$2:$AC$2,0))-67</f>
        <v>114.65412699999999</v>
      </c>
      <c r="AL18" s="189">
        <f>INDEX('18 KMP- Tháng'!$R$6:$AC$24,MATCH('18 KMP- Tháng (Tâm) (3)'!$A18,'18 KMP- Tháng'!$A$6:$A$24,0),MATCH('18 KMP- Tháng (Tâm) (3)'!AL$7,'18 KMP- Tháng'!$R$2:$AC$2,0))</f>
        <v>81.847181000000006</v>
      </c>
      <c r="AM18" s="189">
        <f>INDEX('18 KMP- Tháng'!$R$6:$AC$24,MATCH('18 KMP- Tháng (Tâm) (3)'!$A18,'18 KMP- Tháng'!$A$6:$A$24,0),MATCH('18 KMP- Tháng (Tâm) (3)'!AM$7,'18 KMP- Tháng'!$R$2:$AC$2,0))</f>
        <v>73.038004000000001</v>
      </c>
      <c r="AN18" s="189">
        <f>INDEX('18 KMP- Tháng'!$R$6:$AC$24,MATCH('18 KMP- Tháng (Tâm) (3)'!$A18,'18 KMP- Tháng'!$A$6:$A$24,0),MATCH('18 KMP- Tháng (Tâm) (3)'!AN$7,'18 KMP- Tháng'!$R$2:$AC$2,0))</f>
        <v>79.525662999999994</v>
      </c>
      <c r="AO18" s="189">
        <f>INDEX('18 KMP- Tháng'!$R$6:$AC$24,MATCH('18 KMP- Tháng (Tâm) (3)'!$A18,'18 KMP- Tháng'!$A$6:$A$24,0),MATCH('18 KMP- Tháng (Tâm) (3)'!AO$7,'18 KMP- Tháng'!$R$2:$AC$2,0))</f>
        <v>60.357999999999997</v>
      </c>
      <c r="AP18" s="189">
        <f>INDEX('18 KMP- Tháng'!$R$6:$AC$24,MATCH('18 KMP- Tháng (Tâm) (3)'!$A18,'18 KMP- Tháng'!$A$6:$A$24,0),MATCH('18 KMP- Tháng (Tâm) (3)'!AP$7,'18 KMP- Tháng'!$R$2:$AC$2,0))</f>
        <v>87.399765000000002</v>
      </c>
      <c r="AQ18" s="189">
        <f>INDEX('18 KMP- Tháng'!$R$6:$AC$24,MATCH('18 KMP- Tháng (Tâm) (3)'!$A18,'18 KMP- Tháng'!$A$6:$A$24,0),MATCH('18 KMP- Tháng (Tâm) (3)'!AQ$7,'18 KMP- Tháng'!$R$2:$AC$2,0))</f>
        <v>74.767274</v>
      </c>
      <c r="AR18" s="189">
        <f>INDEX('18 KMP- Tháng'!$R$6:$AC$24,MATCH('18 KMP- Tháng (Tâm) (3)'!$A18,'18 KMP- Tháng'!$A$6:$A$24,0),MATCH('18 KMP- Tháng (Tâm) (3)'!AR$7,'18 KMP- Tháng'!$R$2:$AC$2,0))</f>
        <v>71.777555000000007</v>
      </c>
      <c r="AS18" s="189">
        <f t="shared" si="5"/>
        <v>83.740898416666667</v>
      </c>
      <c r="AT18" s="189"/>
      <c r="AU18" s="189">
        <v>111.93388600000002</v>
      </c>
      <c r="AV18" s="189"/>
      <c r="AW18" s="189"/>
      <c r="AX18" s="189">
        <f t="shared" si="4"/>
        <v>1004.8907810000001</v>
      </c>
      <c r="AY18" s="184">
        <f t="shared" si="1"/>
        <v>-3.9987000194764311E-2</v>
      </c>
      <c r="AZ18" s="190">
        <f>AX18/$AX$29</f>
        <v>8.8200320780305549E-4</v>
      </c>
      <c r="BA18" s="648"/>
      <c r="BB18" s="648"/>
      <c r="BC18" s="648"/>
      <c r="BD18" s="648"/>
    </row>
    <row r="19" spans="1:67" s="186" customFormat="1" ht="45" customHeight="1" x14ac:dyDescent="0.3">
      <c r="A19" s="174">
        <v>13</v>
      </c>
      <c r="B19" s="187">
        <f t="shared" si="3"/>
        <v>10</v>
      </c>
      <c r="C19" s="188" t="s">
        <v>96</v>
      </c>
      <c r="D19" s="188" t="s">
        <v>52</v>
      </c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  <c r="R19" s="188"/>
      <c r="S19" s="188"/>
      <c r="T19" s="188"/>
      <c r="U19" s="188"/>
      <c r="V19" s="188"/>
      <c r="W19" s="188"/>
      <c r="X19" s="188"/>
      <c r="Y19" s="188"/>
      <c r="Z19" s="188"/>
      <c r="AA19" s="188"/>
      <c r="AB19" s="188"/>
      <c r="AC19" s="188"/>
      <c r="AD19" s="188"/>
      <c r="AE19" s="188"/>
      <c r="AF19" s="188"/>
      <c r="AG19" s="189">
        <f>INDEX('18 KMP- Tháng'!$R$6:$AC$24,MATCH('18 KMP- Tháng (Tâm) (3)'!$A19,'18 KMP- Tháng'!$A$6:$A$24,0),MATCH('18 KMP- Tháng (Tâm) (3)'!AG$7,'18 KMP- Tháng'!$R$2:$AC$2,0))</f>
        <v>106.229562</v>
      </c>
      <c r="AH19" s="189">
        <f>INDEX('18 KMP- Tháng'!$R$6:$AC$24,MATCH('18 KMP- Tháng (Tâm) (3)'!$A19,'18 KMP- Tháng'!$A$6:$A$24,0),MATCH('18 KMP- Tháng (Tâm) (3)'!AH$7,'18 KMP- Tháng'!$R$2:$AC$2,0))</f>
        <v>95.315191999999996</v>
      </c>
      <c r="AI19" s="189">
        <f>INDEX('18 KMP- Tháng'!$R$6:$AC$24,MATCH('18 KMP- Tháng (Tâm) (3)'!$A19,'18 KMP- Tháng'!$A$6:$A$24,0),MATCH('18 KMP- Tháng (Tâm) (3)'!AI$7,'18 KMP- Tháng'!$R$2:$AC$2,0))</f>
        <v>119.124152</v>
      </c>
      <c r="AJ19" s="189">
        <f>INDEX('18 KMP- Tháng'!$R$6:$AC$24,MATCH('18 KMP- Tháng (Tâm) (3)'!$A19,'18 KMP- Tháng'!$A$6:$A$24,0),MATCH('18 KMP- Tháng (Tâm) (3)'!AJ$7,'18 KMP- Tháng'!$R$2:$AC$2,0))</f>
        <v>121.11321599999999</v>
      </c>
      <c r="AK19" s="189">
        <f>INDEX('18 KMP- Tháng'!$R$6:$AC$24,MATCH('18 KMP- Tháng (Tâm) (3)'!$A19,'18 KMP- Tháng'!$A$6:$A$24,0),MATCH('18 KMP- Tháng (Tâm) (3)'!AK$7,'18 KMP- Tháng'!$R$2:$AC$2,0))</f>
        <v>108.694152</v>
      </c>
      <c r="AL19" s="189">
        <f>INDEX('18 KMP- Tháng'!$R$6:$AC$24,MATCH('18 KMP- Tháng (Tâm) (3)'!$A19,'18 KMP- Tháng'!$A$6:$A$24,0),MATCH('18 KMP- Tháng (Tâm) (3)'!AL$7,'18 KMP- Tháng'!$R$2:$AC$2,0))</f>
        <v>114.626288</v>
      </c>
      <c r="AM19" s="189">
        <f>INDEX('18 KMP- Tháng'!$R$6:$AC$24,MATCH('18 KMP- Tháng (Tâm) (3)'!$A19,'18 KMP- Tháng'!$A$6:$A$24,0),MATCH('18 KMP- Tháng (Tâm) (3)'!AM$7,'18 KMP- Tháng'!$R$2:$AC$2,0))</f>
        <v>91.745695999999995</v>
      </c>
      <c r="AN19" s="189">
        <f>INDEX('18 KMP- Tháng'!$R$6:$AC$24,MATCH('18 KMP- Tháng (Tâm) (3)'!$A19,'18 KMP- Tháng'!$A$6:$A$24,0),MATCH('18 KMP- Tháng (Tâm) (3)'!AN$7,'18 KMP- Tháng'!$R$2:$AC$2,0))</f>
        <v>93.112375999999998</v>
      </c>
      <c r="AO19" s="189">
        <f>INDEX('18 KMP- Tháng'!$R$6:$AC$24,MATCH('18 KMP- Tháng (Tâm) (3)'!$A19,'18 KMP- Tháng'!$A$6:$A$24,0),MATCH('18 KMP- Tháng (Tâm) (3)'!AO$7,'18 KMP- Tháng'!$R$2:$AC$2,0))</f>
        <v>86.641295999999997</v>
      </c>
      <c r="AP19" s="189">
        <f>INDEX('18 KMP- Tháng'!$R$6:$AC$24,MATCH('18 KMP- Tháng (Tâm) (3)'!$A19,'18 KMP- Tháng'!$A$6:$A$24,0),MATCH('18 KMP- Tháng (Tâm) (3)'!AP$7,'18 KMP- Tháng'!$R$2:$AC$2,0))</f>
        <v>106.1704</v>
      </c>
      <c r="AQ19" s="189">
        <f>INDEX('18 KMP- Tháng'!$R$6:$AC$24,MATCH('18 KMP- Tháng (Tâm) (3)'!$A19,'18 KMP- Tháng'!$A$6:$A$24,0),MATCH('18 KMP- Tháng (Tâm) (3)'!AQ$7,'18 KMP- Tháng'!$R$2:$AC$2,0))</f>
        <v>120.841448</v>
      </c>
      <c r="AR19" s="189">
        <f>INDEX('18 KMP- Tháng'!$R$6:$AC$24,MATCH('18 KMP- Tháng (Tâm) (3)'!$A19,'18 KMP- Tháng'!$A$6:$A$24,0),MATCH('18 KMP- Tháng (Tâm) (3)'!AR$7,'18 KMP- Tháng'!$R$2:$AC$2,0))</f>
        <v>105.80516799999999</v>
      </c>
      <c r="AS19" s="189">
        <f t="shared" si="5"/>
        <v>105.78491216666667</v>
      </c>
      <c r="AT19" s="189"/>
      <c r="AU19" s="189">
        <v>128.42433333333335</v>
      </c>
      <c r="AV19" s="189"/>
      <c r="AW19" s="189"/>
      <c r="AX19" s="189">
        <f t="shared" si="4"/>
        <v>1269.418946</v>
      </c>
      <c r="AY19" s="184">
        <f>IFERROR(AR19/AQ19-1,"-")</f>
        <v>-0.1244298231183063</v>
      </c>
      <c r="AZ19" s="190">
        <f t="shared" si="2"/>
        <v>1.1141823604987114E-3</v>
      </c>
      <c r="BA19" s="648"/>
      <c r="BB19" s="648"/>
      <c r="BC19" s="648"/>
      <c r="BD19" s="648"/>
    </row>
    <row r="20" spans="1:67" s="186" customFormat="1" ht="48" customHeight="1" x14ac:dyDescent="0.3">
      <c r="A20" s="174">
        <v>14</v>
      </c>
      <c r="B20" s="187">
        <f t="shared" si="3"/>
        <v>11</v>
      </c>
      <c r="C20" s="193" t="s">
        <v>96</v>
      </c>
      <c r="D20" s="193" t="s">
        <v>55</v>
      </c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193"/>
      <c r="R20" s="193"/>
      <c r="S20" s="193"/>
      <c r="T20" s="193"/>
      <c r="U20" s="193"/>
      <c r="V20" s="193"/>
      <c r="W20" s="193"/>
      <c r="X20" s="193"/>
      <c r="Y20" s="193"/>
      <c r="Z20" s="193"/>
      <c r="AA20" s="193"/>
      <c r="AB20" s="193"/>
      <c r="AC20" s="193"/>
      <c r="AD20" s="193"/>
      <c r="AE20" s="193"/>
      <c r="AF20" s="193"/>
      <c r="AG20" s="194">
        <f>INDEX('18 KMP- Tháng'!$R$6:$AC$24,MATCH('18 KMP- Tháng (Tâm) (3)'!$A20,'18 KMP- Tháng'!$A$6:$A$24,0),MATCH('18 KMP- Tháng (Tâm) (3)'!AG$7,'18 KMP- Tháng'!$R$2:$AC$2,0))</f>
        <v>22.973268999999998</v>
      </c>
      <c r="AH20" s="194">
        <f>INDEX('18 KMP- Tháng'!$R$6:$AC$24,MATCH('18 KMP- Tháng (Tâm) (3)'!$A20,'18 KMP- Tháng'!$A$6:$A$24,0),MATCH('18 KMP- Tháng (Tâm) (3)'!AH$7,'18 KMP- Tháng'!$R$2:$AC$2,0))</f>
        <v>0</v>
      </c>
      <c r="AI20" s="194">
        <f>INDEX('18 KMP- Tháng'!$R$6:$AC$24,MATCH('18 KMP- Tháng (Tâm) (3)'!$A20,'18 KMP- Tháng'!$A$6:$A$24,0),MATCH('18 KMP- Tháng (Tâm) (3)'!AI$7,'18 KMP- Tháng'!$R$2:$AC$2,0))</f>
        <v>23.045940000000002</v>
      </c>
      <c r="AJ20" s="194">
        <f>INDEX('18 KMP- Tháng'!$R$6:$AC$24,MATCH('18 KMP- Tháng (Tâm) (3)'!$A20,'18 KMP- Tháng'!$A$6:$A$24,0),MATCH('18 KMP- Tháng (Tâm) (3)'!AJ$7,'18 KMP- Tháng'!$R$2:$AC$2,0))</f>
        <v>0</v>
      </c>
      <c r="AK20" s="194">
        <f>INDEX('18 KMP- Tháng'!$R$6:$AC$24,MATCH('18 KMP- Tháng (Tâm) (3)'!$A20,'18 KMP- Tháng'!$A$6:$A$24,0),MATCH('18 KMP- Tháng (Tâm) (3)'!AK$7,'18 KMP- Tháng'!$R$2:$AC$2,0))</f>
        <v>0</v>
      </c>
      <c r="AL20" s="194">
        <f>INDEX('18 KMP- Tháng'!$R$6:$AC$24,MATCH('18 KMP- Tháng (Tâm) (3)'!$A20,'18 KMP- Tháng'!$A$6:$A$24,0),MATCH('18 KMP- Tháng (Tâm) (3)'!AL$7,'18 KMP- Tháng'!$R$2:$AC$2,0))</f>
        <v>10.511874000000001</v>
      </c>
      <c r="AM20" s="194">
        <f>INDEX('18 KMP- Tháng'!$R$6:$AC$24,MATCH('18 KMP- Tháng (Tâm) (3)'!$A20,'18 KMP- Tháng'!$A$6:$A$24,0),MATCH('18 KMP- Tháng (Tâm) (3)'!AM$7,'18 KMP- Tháng'!$R$2:$AC$2,0))</f>
        <v>20.243397999999999</v>
      </c>
      <c r="AN20" s="194">
        <f>INDEX('18 KMP- Tháng'!$R$6:$AC$24,MATCH('18 KMP- Tháng (Tâm) (3)'!$A20,'18 KMP- Tháng'!$A$6:$A$24,0),MATCH('18 KMP- Tháng (Tâm) (3)'!AN$7,'18 KMP- Tháng'!$R$2:$AC$2,0))</f>
        <v>29.591062000000001</v>
      </c>
      <c r="AO20" s="194">
        <f>INDEX('18 KMP- Tháng'!$R$6:$AC$24,MATCH('18 KMP- Tháng (Tâm) (3)'!$A20,'18 KMP- Tháng'!$A$6:$A$24,0),MATCH('18 KMP- Tháng (Tâm) (3)'!AO$7,'18 KMP- Tháng'!$R$2:$AC$2,0))</f>
        <v>0.11293499999999999</v>
      </c>
      <c r="AP20" s="194">
        <f>INDEX('18 KMP- Tháng'!$R$6:$AC$24,MATCH('18 KMP- Tháng (Tâm) (3)'!$A20,'18 KMP- Tháng'!$A$6:$A$24,0),MATCH('18 KMP- Tháng (Tâm) (3)'!AP$7,'18 KMP- Tháng'!$R$2:$AC$2,0))</f>
        <v>40.229782999999998</v>
      </c>
      <c r="AQ20" s="194">
        <f>INDEX('18 KMP- Tháng'!$R$6:$AC$24,MATCH('18 KMP- Tháng (Tâm) (3)'!$A20,'18 KMP- Tháng'!$A$6:$A$24,0),MATCH('18 KMP- Tháng (Tâm) (3)'!AQ$7,'18 KMP- Tháng'!$R$2:$AC$2,0))</f>
        <v>11.25</v>
      </c>
      <c r="AR20" s="194">
        <f>INDEX('18 KMP- Tháng'!$R$6:$AC$24,MATCH('18 KMP- Tháng (Tâm) (3)'!$A20,'18 KMP- Tháng'!$A$6:$A$24,0),MATCH('18 KMP- Tháng (Tâm) (3)'!AR$7,'18 KMP- Tháng'!$R$2:$AC$2,0))</f>
        <v>7.5</v>
      </c>
      <c r="AS20" s="194">
        <f t="shared" si="5"/>
        <v>13.788188416666666</v>
      </c>
      <c r="AT20" s="194"/>
      <c r="AU20" s="194">
        <v>30.554300666666666</v>
      </c>
      <c r="AV20" s="194"/>
      <c r="AW20" s="194"/>
      <c r="AX20" s="194">
        <f t="shared" si="4"/>
        <v>165.45826099999999</v>
      </c>
      <c r="AY20" s="184">
        <f t="shared" si="1"/>
        <v>-0.33333333333333337</v>
      </c>
      <c r="AZ20" s="195">
        <f t="shared" si="2"/>
        <v>1.4522445594962143E-4</v>
      </c>
      <c r="BA20" s="651"/>
      <c r="BB20" s="652"/>
      <c r="BC20" s="652"/>
      <c r="BD20" s="652"/>
    </row>
    <row r="21" spans="1:67" s="176" customFormat="1" x14ac:dyDescent="0.3">
      <c r="A21" s="174">
        <v>15</v>
      </c>
      <c r="B21" s="175" t="s">
        <v>164</v>
      </c>
      <c r="D21" s="177" t="s">
        <v>165</v>
      </c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8">
        <f>SUM(AG22:AG28)</f>
        <v>16247.306337333332</v>
      </c>
      <c r="AH21" s="178">
        <f>SUM(AH22:AH28)</f>
        <v>16910.566925333333</v>
      </c>
      <c r="AI21" s="178">
        <f>SUM(AI22:AI28)</f>
        <v>17612.31567133333</v>
      </c>
      <c r="AJ21" s="178">
        <f>SUM(AJ22:AJ28)</f>
        <v>18478.719161333334</v>
      </c>
      <c r="AK21" s="178">
        <f>SUM(AK22:AK28)</f>
        <v>18904.73839633333</v>
      </c>
      <c r="AL21" s="178">
        <f t="shared" ref="AL21:AX21" si="6">SUM(AL22:AL28)</f>
        <v>18724.396763333334</v>
      </c>
      <c r="AM21" s="178">
        <f t="shared" si="6"/>
        <v>18099.627335333331</v>
      </c>
      <c r="AN21" s="178">
        <f t="shared" si="6"/>
        <v>18570.879595333328</v>
      </c>
      <c r="AO21" s="178">
        <f t="shared" si="6"/>
        <v>19357.666160333334</v>
      </c>
      <c r="AP21" s="178">
        <f t="shared" si="6"/>
        <v>18937.979961333338</v>
      </c>
      <c r="AQ21" s="178">
        <f t="shared" si="6"/>
        <v>19292.985916333331</v>
      </c>
      <c r="AR21" s="178">
        <f t="shared" si="6"/>
        <v>20977.40843333333</v>
      </c>
      <c r="AS21" s="178">
        <f t="shared" si="6"/>
        <v>18509.549221416666</v>
      </c>
      <c r="AT21" s="178"/>
      <c r="AU21" s="178">
        <f t="shared" si="6"/>
        <v>13124.906914583336</v>
      </c>
      <c r="AV21" s="178"/>
      <c r="AW21" s="178"/>
      <c r="AX21" s="178">
        <f t="shared" si="6"/>
        <v>222114.59065699996</v>
      </c>
      <c r="AY21" s="179">
        <f>IFERROR(AR21/AQ21-1,"-")</f>
        <v>8.7307507728701328E-2</v>
      </c>
      <c r="AZ21" s="180">
        <f t="shared" si="2"/>
        <v>0.19495231239397404</v>
      </c>
      <c r="BA21" s="644"/>
      <c r="BB21" s="644"/>
      <c r="BC21" s="644"/>
      <c r="BD21" s="644"/>
    </row>
    <row r="22" spans="1:67" s="186" customFormat="1" x14ac:dyDescent="0.3">
      <c r="A22" s="174">
        <v>16</v>
      </c>
      <c r="B22" s="181">
        <v>1</v>
      </c>
      <c r="C22" s="182" t="s">
        <v>97</v>
      </c>
      <c r="D22" s="182" t="s">
        <v>169</v>
      </c>
      <c r="E22" s="182"/>
      <c r="F22" s="182"/>
      <c r="G22" s="182"/>
      <c r="H22" s="182"/>
      <c r="I22" s="182"/>
      <c r="J22" s="182"/>
      <c r="K22" s="182"/>
      <c r="L22" s="182"/>
      <c r="M22" s="182"/>
      <c r="N22" s="182"/>
      <c r="O22" s="182"/>
      <c r="P22" s="182"/>
      <c r="Q22" s="182"/>
      <c r="R22" s="182"/>
      <c r="S22" s="182"/>
      <c r="T22" s="182"/>
      <c r="U22" s="182"/>
      <c r="V22" s="182"/>
      <c r="W22" s="182"/>
      <c r="X22" s="182"/>
      <c r="Y22" s="182"/>
      <c r="Z22" s="182"/>
      <c r="AA22" s="182"/>
      <c r="AB22" s="182"/>
      <c r="AC22" s="182"/>
      <c r="AD22" s="182"/>
      <c r="AE22" s="182"/>
      <c r="AF22" s="182"/>
      <c r="AG22" s="183">
        <f>INDEX('18 KMP- Tháng'!$R$6:$AC$24,MATCH('18 KMP- Tháng (Tâm) (3)'!$A22,'18 KMP- Tháng'!$A$6:$A$24,0),MATCH('18 KMP- Tháng (Tâm) (3)'!AG$7,'18 KMP- Tháng'!$R$2:$AC$2,0))+2727+154</f>
        <v>8810.4601823333323</v>
      </c>
      <c r="AH22" s="183">
        <f>INDEX('18 KMP- Tháng'!$R$6:$AC$24,MATCH('18 KMP- Tháng (Tâm) (3)'!$A22,'18 KMP- Tháng'!$A$6:$A$24,0),MATCH('18 KMP- Tháng (Tâm) (3)'!AH$7,'18 KMP- Tháng'!$R$2:$AC$2,0))+2727-154</f>
        <v>10102.460182333332</v>
      </c>
      <c r="AI22" s="183">
        <f>INDEX('18 KMP- Tháng'!$R$6:$AC$24,MATCH('18 KMP- Tháng (Tâm) (3)'!$A22,'18 KMP- Tháng'!$A$6:$A$24,0),MATCH('18 KMP- Tháng (Tâm) (3)'!AI$7,'18 KMP- Tháng'!$R$2:$AC$2,0))</f>
        <v>7579.4600823333321</v>
      </c>
      <c r="AJ22" s="183">
        <f>INDEX('18 KMP- Tháng'!$R$6:$AC$24,MATCH('18 KMP- Tháng (Tâm) (3)'!$A22,'18 KMP- Tháng'!$A$6:$A$24,0),MATCH('18 KMP- Tháng (Tâm) (3)'!AJ$7,'18 KMP- Tháng'!$R$2:$AC$2,0))+150</f>
        <v>7615.6420003333324</v>
      </c>
      <c r="AK22" s="183">
        <f>INDEX('18 KMP- Tháng'!$R$6:$AC$24,MATCH('18 KMP- Tháng (Tâm) (3)'!$A22,'18 KMP- Tháng'!$A$6:$A$24,0),MATCH('18 KMP- Tháng (Tâm) (3)'!AK$7,'18 KMP- Tháng'!$R$2:$AC$2,0))-150</f>
        <v>7541.6420003333324</v>
      </c>
      <c r="AL22" s="183">
        <f>INDEX('18 KMP- Tháng'!$R$6:$AC$24,MATCH('18 KMP- Tháng (Tâm) (3)'!$A22,'18 KMP- Tháng'!$A$6:$A$24,0),MATCH('18 KMP- Tháng (Tâm) (3)'!AL$7,'18 KMP- Tháng'!$R$2:$AC$2,0))</f>
        <v>7541.6420003333324</v>
      </c>
      <c r="AM22" s="183">
        <f>INDEX('18 KMP- Tháng'!$R$6:$AC$24,MATCH('18 KMP- Tháng (Tâm) (3)'!$A22,'18 KMP- Tháng'!$A$6:$A$24,0),MATCH('18 KMP- Tháng (Tâm) (3)'!AM$7,'18 KMP- Tháng'!$R$2:$AC$2,0))</f>
        <v>7541.6420003333324</v>
      </c>
      <c r="AN22" s="183">
        <f>INDEX('18 KMP- Tháng'!$R$6:$AC$24,MATCH('18 KMP- Tháng (Tâm) (3)'!$A22,'18 KMP- Tháng'!$A$6:$A$24,0),MATCH('18 KMP- Tháng (Tâm) (3)'!AN$7,'18 KMP- Tháng'!$R$2:$AC$2,0))</f>
        <v>7541.6420003333324</v>
      </c>
      <c r="AO22" s="183">
        <f>INDEX('18 KMP- Tháng'!$R$6:$AC$24,MATCH('18 KMP- Tháng (Tâm) (3)'!$A22,'18 KMP- Tháng'!$A$6:$A$24,0),MATCH('18 KMP- Tháng (Tâm) (3)'!AO$7,'18 KMP- Tháng'!$R$2:$AC$2,0))</f>
        <v>7541.6420003333324</v>
      </c>
      <c r="AP22" s="183">
        <f>INDEX('18 KMP- Tháng'!$R$6:$AC$24,MATCH('18 KMP- Tháng (Tâm) (3)'!$A22,'18 KMP- Tháng'!$A$6:$A$24,0),MATCH('18 KMP- Tháng (Tâm) (3)'!AP$7,'18 KMP- Tháng'!$R$2:$AC$2,0))</f>
        <v>6941.6420003333324</v>
      </c>
      <c r="AQ22" s="183">
        <f>INDEX('18 KMP- Tháng'!$R$6:$AC$24,MATCH('18 KMP- Tháng (Tâm) (3)'!$A22,'18 KMP- Tháng'!$A$6:$A$24,0),MATCH('18 KMP- Tháng (Tâm) (3)'!AQ$7,'18 KMP- Tháng'!$R$2:$AC$2,0))</f>
        <v>6791.6420003333324</v>
      </c>
      <c r="AR22" s="183">
        <f>INDEX('18 KMP- Tháng'!$R$6:$AC$24,MATCH('18 KMP- Tháng (Tâm) (3)'!$A22,'18 KMP- Tháng'!$A$6:$A$24,0),MATCH('18 KMP- Tháng (Tâm) (3)'!AR$7,'18 KMP- Tháng'!$R$2:$AC$2,0))</f>
        <v>7115.8333383333302</v>
      </c>
      <c r="AS22" s="183">
        <f t="shared" ref="AS22:AS28" si="7">AX22/(12-COUNTIF($AG$10:$AR$10,0))</f>
        <v>7722.112482333333</v>
      </c>
      <c r="AT22" s="183"/>
      <c r="AU22" s="183">
        <v>1310.196969833333</v>
      </c>
      <c r="AV22" s="183"/>
      <c r="AW22" s="183"/>
      <c r="AX22" s="183">
        <f t="shared" ref="AX22:AX28" si="8">SUM(AG22:AR22)</f>
        <v>92665.349787999992</v>
      </c>
      <c r="AY22" s="196">
        <f t="shared" ref="AY22:AY28" si="9">IFERROR(AR22/AQ22-1,"-")</f>
        <v>4.7733867301027688E-2</v>
      </c>
      <c r="AZ22" s="185">
        <f t="shared" si="2"/>
        <v>8.1333352151837665E-2</v>
      </c>
      <c r="BA22" s="653"/>
      <c r="BB22" s="653"/>
      <c r="BC22" s="653"/>
      <c r="BD22" s="653"/>
    </row>
    <row r="23" spans="1:67" s="186" customFormat="1" ht="55.35" customHeight="1" x14ac:dyDescent="0.3">
      <c r="A23" s="174">
        <v>17</v>
      </c>
      <c r="B23" s="187">
        <f t="shared" ref="B23:B28" si="10">B22+1</f>
        <v>2</v>
      </c>
      <c r="C23" s="188" t="s">
        <v>97</v>
      </c>
      <c r="D23" s="188" t="s">
        <v>48</v>
      </c>
      <c r="E23" s="188"/>
      <c r="F23" s="188"/>
      <c r="G23" s="188"/>
      <c r="H23" s="188"/>
      <c r="I23" s="188"/>
      <c r="J23" s="188"/>
      <c r="K23" s="188"/>
      <c r="L23" s="188"/>
      <c r="M23" s="188"/>
      <c r="N23" s="188"/>
      <c r="O23" s="188"/>
      <c r="P23" s="188"/>
      <c r="Q23" s="188"/>
      <c r="R23" s="188"/>
      <c r="S23" s="188"/>
      <c r="T23" s="188"/>
      <c r="U23" s="188"/>
      <c r="V23" s="188"/>
      <c r="W23" s="188"/>
      <c r="X23" s="188"/>
      <c r="Y23" s="188"/>
      <c r="Z23" s="188"/>
      <c r="AA23" s="188"/>
      <c r="AB23" s="188"/>
      <c r="AC23" s="188"/>
      <c r="AD23" s="188"/>
      <c r="AE23" s="188"/>
      <c r="AF23" s="188"/>
      <c r="AG23" s="189">
        <f>INDEX('18 KMP- Tháng'!$R$6:$AC$24,MATCH('18 KMP- Tháng (Tâm) (3)'!$A23,'18 KMP- Tháng'!$A$6:$A$24,0),MATCH('18 KMP- Tháng (Tâm) (3)'!AG$7,'18 KMP- Tháng'!$R$2:$AC$2,0))</f>
        <v>6073.4928609999997</v>
      </c>
      <c r="AH23" s="189">
        <f>INDEX('18 KMP- Tháng'!$R$6:$AC$24,MATCH('18 KMP- Tháng (Tâm) (3)'!$A23,'18 KMP- Tháng'!$A$6:$A$24,0),MATCH('18 KMP- Tháng (Tâm) (3)'!AH$7,'18 KMP- Tháng'!$R$2:$AC$2,0))</f>
        <v>5327.4856149999996</v>
      </c>
      <c r="AI23" s="189">
        <f>INDEX('18 KMP- Tháng'!$R$6:$AC$24,MATCH('18 KMP- Tháng (Tâm) (3)'!$A23,'18 KMP- Tháng'!$A$6:$A$24,0),MATCH('18 KMP- Tháng (Tâm) (3)'!AI$7,'18 KMP- Tháng'!$R$2:$AC$2,0))</f>
        <v>5623.891971</v>
      </c>
      <c r="AJ23" s="189">
        <f>INDEX('18 KMP- Tháng'!$R$6:$AC$24,MATCH('18 KMP- Tháng (Tâm) (3)'!$A23,'18 KMP- Tháng'!$A$6:$A$24,0),MATCH('18 KMP- Tháng (Tâm) (3)'!AJ$7,'18 KMP- Tháng'!$R$2:$AC$2,0))</f>
        <v>6329.4198649999998</v>
      </c>
      <c r="AK23" s="189">
        <f>INDEX('18 KMP- Tháng'!$R$6:$AC$24,MATCH('18 KMP- Tháng (Tâm) (3)'!$A23,'18 KMP- Tháng'!$A$6:$A$24,0),MATCH('18 KMP- Tháng (Tâm) (3)'!AK$7,'18 KMP- Tháng'!$R$2:$AC$2,0))</f>
        <v>6582.0558250000004</v>
      </c>
      <c r="AL23" s="189">
        <f>INDEX('18 KMP- Tháng'!$R$6:$AC$24,MATCH('18 KMP- Tháng (Tâm) (3)'!$A23,'18 KMP- Tháng'!$A$6:$A$24,0),MATCH('18 KMP- Tháng (Tâm) (3)'!AL$7,'18 KMP- Tháng'!$R$2:$AC$2,0))</f>
        <v>6501.2386399999996</v>
      </c>
      <c r="AM23" s="189">
        <f>INDEX('18 KMP- Tháng'!$R$6:$AC$24,MATCH('18 KMP- Tháng (Tâm) (3)'!$A23,'18 KMP- Tháng'!$A$6:$A$24,0),MATCH('18 KMP- Tháng (Tâm) (3)'!AM$7,'18 KMP- Tháng'!$R$2:$AC$2,0))</f>
        <v>6209.0240169999997</v>
      </c>
      <c r="AN23" s="189">
        <f>INDEX('18 KMP- Tháng'!$R$6:$AC$24,MATCH('18 KMP- Tháng (Tâm) (3)'!$A23,'18 KMP- Tháng'!$A$6:$A$24,0),MATCH('18 KMP- Tháng (Tâm) (3)'!AN$7,'18 KMP- Tháng'!$R$2:$AC$2,0))</f>
        <v>6269.393822</v>
      </c>
      <c r="AO23" s="189">
        <f>INDEX('18 KMP- Tháng'!$R$6:$AC$24,MATCH('18 KMP- Tháng (Tâm) (3)'!$A23,'18 KMP- Tháng'!$A$6:$A$24,0),MATCH('18 KMP- Tháng (Tâm) (3)'!AO$7,'18 KMP- Tháng'!$R$2:$AC$2,0))</f>
        <v>6638.2907679999998</v>
      </c>
      <c r="AP23" s="189">
        <f>INDEX('18 KMP- Tháng'!$R$6:$AC$24,MATCH('18 KMP- Tháng (Tâm) (3)'!$A23,'18 KMP- Tháng'!$A$6:$A$24,0),MATCH('18 KMP- Tháng (Tâm) (3)'!AP$7,'18 KMP- Tháng'!$R$2:$AC$2,0))</f>
        <v>6894.8505660000001</v>
      </c>
      <c r="AQ23" s="189">
        <f>INDEX('18 KMP- Tháng'!$R$6:$AC$24,MATCH('18 KMP- Tháng (Tâm) (3)'!$A23,'18 KMP- Tháng'!$A$6:$A$24,0),MATCH('18 KMP- Tháng (Tâm) (3)'!AQ$7,'18 KMP- Tháng'!$R$2:$AC$2,0))</f>
        <v>7084.2907859999996</v>
      </c>
      <c r="AR23" s="189">
        <f>INDEX('18 KMP- Tháng'!$R$6:$AC$24,MATCH('18 KMP- Tháng (Tâm) (3)'!$A23,'18 KMP- Tháng'!$A$6:$A$24,0),MATCH('18 KMP- Tháng (Tâm) (3)'!AR$7,'18 KMP- Tháng'!$R$2:$AC$2,0))</f>
        <v>7756.3366020000003</v>
      </c>
      <c r="AS23" s="189">
        <f t="shared" si="7"/>
        <v>6440.8142781666656</v>
      </c>
      <c r="AT23" s="189"/>
      <c r="AU23" s="189">
        <v>7436.2421423333353</v>
      </c>
      <c r="AV23" s="189"/>
      <c r="AW23" s="189"/>
      <c r="AX23" s="189">
        <f t="shared" si="8"/>
        <v>77289.771337999991</v>
      </c>
      <c r="AY23" s="196">
        <f t="shared" si="9"/>
        <v>9.4864233598104031E-2</v>
      </c>
      <c r="AZ23" s="190">
        <f t="shared" si="2"/>
        <v>6.7838045227803359E-2</v>
      </c>
      <c r="BA23" s="647"/>
      <c r="BB23" s="648"/>
      <c r="BC23" s="648"/>
      <c r="BD23" s="648"/>
      <c r="BE23" s="191"/>
    </row>
    <row r="24" spans="1:67" s="186" customFormat="1" ht="63.6" customHeight="1" x14ac:dyDescent="0.3">
      <c r="A24" s="174">
        <v>5</v>
      </c>
      <c r="B24" s="187">
        <f t="shared" si="10"/>
        <v>3</v>
      </c>
      <c r="C24" s="188" t="s">
        <v>96</v>
      </c>
      <c r="D24" s="188" t="s">
        <v>16</v>
      </c>
      <c r="E24" s="188"/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188"/>
      <c r="Q24" s="188"/>
      <c r="R24" s="188"/>
      <c r="S24" s="188"/>
      <c r="T24" s="188"/>
      <c r="U24" s="188"/>
      <c r="V24" s="188"/>
      <c r="W24" s="188"/>
      <c r="X24" s="188"/>
      <c r="Y24" s="188"/>
      <c r="Z24" s="188"/>
      <c r="AA24" s="188"/>
      <c r="AB24" s="188"/>
      <c r="AC24" s="188"/>
      <c r="AD24" s="188"/>
      <c r="AE24" s="188"/>
      <c r="AF24" s="188"/>
      <c r="AG24" s="189">
        <f>INDEX('18 KMP- Tháng'!$R$6:$AC$24,MATCH('18 KMP- Tháng (Tâm) (3)'!$A24,'18 KMP- Tháng'!$A$6:$A$24,0),MATCH('18 KMP- Tháng (Tâm) (3)'!AG$7,'18 KMP- Tháng'!$R$2:$AC$2,0))-2727</f>
        <v>131.54409299999998</v>
      </c>
      <c r="AH24" s="189">
        <f>INDEX('18 KMP- Tháng'!$R$6:$AC$24,MATCH('18 KMP- Tháng (Tâm) (3)'!$A24,'18 KMP- Tháng'!$A$6:$A$24,0),MATCH('18 KMP- Tháng (Tâm) (3)'!AH$7,'18 KMP- Tháng'!$R$2:$AC$2,0))-2727</f>
        <v>136.42334600000004</v>
      </c>
      <c r="AI24" s="189">
        <f>INDEX('18 KMP- Tháng'!$R$6:$AC$24,MATCH('18 KMP- Tháng (Tâm) (3)'!$A24,'18 KMP- Tháng'!$A$6:$A$24,0),MATCH('18 KMP- Tháng (Tâm) (3)'!AI$7,'18 KMP- Tháng'!$R$2:$AC$2,0))</f>
        <v>2863.4951820000001</v>
      </c>
      <c r="AJ24" s="189">
        <f>INDEX('18 KMP- Tháng'!$R$6:$AC$24,MATCH('18 KMP- Tháng (Tâm) (3)'!$A24,'18 KMP- Tháng'!$A$6:$A$24,0),MATCH('18 KMP- Tháng (Tâm) (3)'!AJ$7,'18 KMP- Tháng'!$R$2:$AC$2,0))</f>
        <v>2985.926919</v>
      </c>
      <c r="AK24" s="189">
        <f>INDEX('18 KMP- Tháng'!$R$6:$AC$24,MATCH('18 KMP- Tháng (Tâm) (3)'!$A24,'18 KMP- Tháng'!$A$6:$A$24,0),MATCH('18 KMP- Tháng (Tâm) (3)'!AK$7,'18 KMP- Tháng'!$R$2:$AC$2,0))</f>
        <v>3039.160644</v>
      </c>
      <c r="AL24" s="189">
        <f>INDEX('18 KMP- Tháng'!$R$6:$AC$24,MATCH('18 KMP- Tháng (Tâm) (3)'!$A24,'18 KMP- Tháng'!$A$6:$A$24,0),MATCH('18 KMP- Tháng (Tâm) (3)'!AL$7,'18 KMP- Tháng'!$R$2:$AC$2,0))</f>
        <v>3042.3351680000001</v>
      </c>
      <c r="AM24" s="189">
        <f>INDEX('18 KMP- Tháng'!$R$6:$AC$24,MATCH('18 KMP- Tháng (Tâm) (3)'!$A24,'18 KMP- Tháng'!$A$6:$A$24,0),MATCH('18 KMP- Tháng (Tâm) (3)'!AM$7,'18 KMP- Tháng'!$R$2:$AC$2,0))</f>
        <v>3076.391627</v>
      </c>
      <c r="AN24" s="189">
        <f>INDEX('18 KMP- Tháng'!$R$6:$AC$24,MATCH('18 KMP- Tháng (Tâm) (3)'!$A24,'18 KMP- Tháng'!$A$6:$A$24,0),MATCH('18 KMP- Tháng (Tâm) (3)'!AN$7,'18 KMP- Tháng'!$R$2:$AC$2,0))</f>
        <v>3097.32494</v>
      </c>
      <c r="AO24" s="189">
        <f>INDEX('18 KMP- Tháng'!$R$6:$AC$24,MATCH('18 KMP- Tháng (Tâm) (3)'!$A24,'18 KMP- Tháng'!$A$6:$A$24,0),MATCH('18 KMP- Tháng (Tâm) (3)'!AO$7,'18 KMP- Tháng'!$R$2:$AC$2,0))</f>
        <v>3236.6067619999999</v>
      </c>
      <c r="AP24" s="189">
        <f>INDEX('18 KMP- Tháng'!$R$6:$AC$24,MATCH('18 KMP- Tháng (Tâm) (3)'!$A24,'18 KMP- Tháng'!$A$6:$A$24,0),MATCH('18 KMP- Tháng (Tâm) (3)'!AP$7,'18 KMP- Tháng'!$R$2:$AC$2,0))</f>
        <v>3236.6875519999999</v>
      </c>
      <c r="AQ24" s="189">
        <f>INDEX('18 KMP- Tháng'!$R$6:$AC$24,MATCH('18 KMP- Tháng (Tâm) (3)'!$A24,'18 KMP- Tháng'!$A$6:$A$24,0),MATCH('18 KMP- Tháng (Tâm) (3)'!AQ$7,'18 KMP- Tháng'!$R$2:$AC$2,0))</f>
        <v>3251.798088</v>
      </c>
      <c r="AR24" s="189">
        <f>INDEX('18 KMP- Tháng'!$R$6:$AC$24,MATCH('18 KMP- Tháng (Tâm) (3)'!$A24,'18 KMP- Tháng'!$A$6:$A$24,0),MATCH('18 KMP- Tháng (Tâm) (3)'!AR$7,'18 KMP- Tháng'!$R$2:$AC$2,0))</f>
        <v>3545.8212290000001</v>
      </c>
      <c r="AS24" s="189">
        <f>AX24/(12-COUNTIF($AG$10:$AR$10,0))</f>
        <v>2636.9596291666662</v>
      </c>
      <c r="AT24" s="189"/>
      <c r="AU24" s="189">
        <v>2581.3796933333338</v>
      </c>
      <c r="AV24" s="189"/>
      <c r="AW24" s="189"/>
      <c r="AX24" s="189">
        <f>SUM(AG24:AR24)</f>
        <v>31643.515549999996</v>
      </c>
      <c r="AY24" s="184">
        <f t="shared" si="9"/>
        <v>9.0418633950559046E-2</v>
      </c>
      <c r="AZ24" s="190">
        <f t="shared" si="2"/>
        <v>2.7773846420893637E-2</v>
      </c>
      <c r="BA24" s="649"/>
      <c r="BB24" s="650"/>
      <c r="BC24" s="650"/>
      <c r="BD24" s="650"/>
      <c r="BE24" s="191"/>
    </row>
    <row r="25" spans="1:67" s="186" customFormat="1" ht="93" customHeight="1" x14ac:dyDescent="0.3">
      <c r="A25" s="174">
        <v>18</v>
      </c>
      <c r="B25" s="187">
        <f t="shared" si="10"/>
        <v>4</v>
      </c>
      <c r="C25" s="188" t="s">
        <v>97</v>
      </c>
      <c r="D25" s="188" t="s">
        <v>36</v>
      </c>
      <c r="E25" s="188"/>
      <c r="F25" s="188"/>
      <c r="G25" s="188"/>
      <c r="H25" s="188"/>
      <c r="I25" s="188"/>
      <c r="J25" s="188"/>
      <c r="K25" s="188"/>
      <c r="L25" s="188"/>
      <c r="M25" s="188"/>
      <c r="N25" s="188"/>
      <c r="O25" s="188"/>
      <c r="P25" s="188"/>
      <c r="Q25" s="188"/>
      <c r="R25" s="188"/>
      <c r="S25" s="188"/>
      <c r="T25" s="188"/>
      <c r="U25" s="188"/>
      <c r="V25" s="188"/>
      <c r="W25" s="188"/>
      <c r="X25" s="188"/>
      <c r="Y25" s="188"/>
      <c r="Z25" s="188"/>
      <c r="AA25" s="188"/>
      <c r="AB25" s="188"/>
      <c r="AC25" s="188"/>
      <c r="AD25" s="188"/>
      <c r="AE25" s="188"/>
      <c r="AF25" s="188"/>
      <c r="AG25" s="189">
        <f>INDEX('18 KMP- Tháng'!$R$6:$AC$24,MATCH('18 KMP- Tháng (Tâm) (3)'!$A25,'18 KMP- Tháng'!$A$6:$A$24,0),MATCH('18 KMP- Tháng (Tâm) (3)'!AG$7,'18 KMP- Tháng'!$R$2:$AC$2,0))</f>
        <v>131.210769</v>
      </c>
      <c r="AH25" s="189">
        <f>INDEX('18 KMP- Tháng'!$R$6:$AC$24,MATCH('18 KMP- Tháng (Tâm) (3)'!$A25,'18 KMP- Tháng'!$A$6:$A$24,0),MATCH('18 KMP- Tháng (Tâm) (3)'!AH$7,'18 KMP- Tháng'!$R$2:$AC$2,0))</f>
        <v>180.74259799999999</v>
      </c>
      <c r="AI25" s="189">
        <f>INDEX('18 KMP- Tháng'!$R$6:$AC$24,MATCH('18 KMP- Tháng (Tâm) (3)'!$A25,'18 KMP- Tháng'!$A$6:$A$24,0),MATCH('18 KMP- Tháng (Tâm) (3)'!AI$7,'18 KMP- Tháng'!$R$2:$AC$2,0))</f>
        <v>206.01249599999997</v>
      </c>
      <c r="AJ25" s="189">
        <f>INDEX('18 KMP- Tháng'!$R$6:$AC$24,MATCH('18 KMP- Tháng (Tâm) (3)'!$A25,'18 KMP- Tháng'!$A$6:$A$24,0),MATCH('18 KMP- Tháng (Tâm) (3)'!AJ$7,'18 KMP- Tháng'!$R$2:$AC$2,0))</f>
        <v>230.52595599999998</v>
      </c>
      <c r="AK25" s="189">
        <f>INDEX('18 KMP- Tháng'!$R$6:$AC$24,MATCH('18 KMP- Tháng (Tâm) (3)'!$A25,'18 KMP- Tháng'!$A$6:$A$24,0),MATCH('18 KMP- Tháng (Tâm) (3)'!AK$7,'18 KMP- Tháng'!$R$2:$AC$2,0))</f>
        <v>228.19252499999996</v>
      </c>
      <c r="AL25" s="189">
        <f>INDEX('18 KMP- Tháng'!$R$6:$AC$24,MATCH('18 KMP- Tháng (Tâm) (3)'!$A25,'18 KMP- Tháng'!$A$6:$A$24,0),MATCH('18 KMP- Tháng (Tâm) (3)'!AL$7,'18 KMP- Tháng'!$R$2:$AC$2,0))</f>
        <v>219.52153400000003</v>
      </c>
      <c r="AM25" s="189">
        <f>INDEX('18 KMP- Tháng'!$R$6:$AC$24,MATCH('18 KMP- Tháng (Tâm) (3)'!$A25,'18 KMP- Tháng'!$A$6:$A$24,0),MATCH('18 KMP- Tháng (Tâm) (3)'!AM$7,'18 KMP- Tháng'!$R$2:$AC$2,0))</f>
        <v>210.42664500000004</v>
      </c>
      <c r="AN25" s="189">
        <f>INDEX('18 KMP- Tháng'!$R$6:$AC$24,MATCH('18 KMP- Tháng (Tâm) (3)'!$A25,'18 KMP- Tháng'!$A$6:$A$24,0),MATCH('18 KMP- Tháng (Tâm) (3)'!AN$7,'18 KMP- Tháng'!$R$2:$AC$2,0))</f>
        <v>234.972218</v>
      </c>
      <c r="AO25" s="189">
        <f>INDEX('18 KMP- Tháng'!$R$6:$AC$24,MATCH('18 KMP- Tháng (Tâm) (3)'!$A25,'18 KMP- Tháng'!$A$6:$A$24,0),MATCH('18 KMP- Tháng (Tâm) (3)'!AO$7,'18 KMP- Tháng'!$R$2:$AC$2,0))</f>
        <v>187.086457</v>
      </c>
      <c r="AP25" s="189">
        <f>INDEX('18 KMP- Tháng'!$R$6:$AC$24,MATCH('18 KMP- Tháng (Tâm) (3)'!$A25,'18 KMP- Tháng'!$A$6:$A$24,0),MATCH('18 KMP- Tháng (Tâm) (3)'!AP$7,'18 KMP- Tháng'!$R$2:$AC$2,0))</f>
        <v>234.67086900000001</v>
      </c>
      <c r="AQ25" s="189">
        <f>INDEX('18 KMP- Tháng'!$R$6:$AC$24,MATCH('18 KMP- Tháng (Tâm) (3)'!$A25,'18 KMP- Tháng'!$A$6:$A$24,0),MATCH('18 KMP- Tháng (Tâm) (3)'!AQ$7,'18 KMP- Tháng'!$R$2:$AC$2,0))</f>
        <v>271.48286099999996</v>
      </c>
      <c r="AR25" s="189">
        <f>INDEX('18 KMP- Tháng'!$R$6:$AC$24,MATCH('18 KMP- Tháng (Tâm) (3)'!$A25,'18 KMP- Tháng'!$A$6:$A$24,0),MATCH('18 KMP- Tháng (Tâm) (3)'!AR$7,'18 KMP- Tháng'!$R$2:$AC$2,0))</f>
        <v>393.78090400000002</v>
      </c>
      <c r="AS25" s="189">
        <f t="shared" si="7"/>
        <v>227.38548599999999</v>
      </c>
      <c r="AT25" s="189"/>
      <c r="AU25" s="189">
        <v>753.4168821666666</v>
      </c>
      <c r="AV25" s="189"/>
      <c r="AW25" s="189"/>
      <c r="AX25" s="189">
        <f t="shared" si="8"/>
        <v>2728.6258319999997</v>
      </c>
      <c r="AY25" s="196">
        <f t="shared" si="9"/>
        <v>0.45048163463991231</v>
      </c>
      <c r="AZ25" s="190">
        <f t="shared" si="2"/>
        <v>2.3949435921019569E-3</v>
      </c>
      <c r="BA25" s="655"/>
      <c r="BB25" s="656"/>
      <c r="BC25" s="656"/>
      <c r="BD25" s="656"/>
      <c r="BE25" s="191"/>
    </row>
    <row r="26" spans="1:67" s="186" customFormat="1" x14ac:dyDescent="0.3">
      <c r="A26" s="174">
        <v>19</v>
      </c>
      <c r="B26" s="187">
        <f t="shared" si="10"/>
        <v>5</v>
      </c>
      <c r="C26" s="188" t="s">
        <v>97</v>
      </c>
      <c r="D26" s="188" t="s">
        <v>12</v>
      </c>
      <c r="E26" s="188"/>
      <c r="F26" s="188"/>
      <c r="G26" s="188"/>
      <c r="H26" s="188"/>
      <c r="I26" s="188"/>
      <c r="J26" s="188"/>
      <c r="K26" s="188"/>
      <c r="L26" s="188"/>
      <c r="M26" s="188"/>
      <c r="N26" s="188"/>
      <c r="O26" s="188"/>
      <c r="P26" s="188"/>
      <c r="Q26" s="188"/>
      <c r="R26" s="188"/>
      <c r="S26" s="188"/>
      <c r="T26" s="188"/>
      <c r="U26" s="188"/>
      <c r="V26" s="188"/>
      <c r="W26" s="188"/>
      <c r="X26" s="188"/>
      <c r="Y26" s="188"/>
      <c r="Z26" s="188"/>
      <c r="AA26" s="188"/>
      <c r="AB26" s="188"/>
      <c r="AC26" s="188"/>
      <c r="AD26" s="188"/>
      <c r="AE26" s="188"/>
      <c r="AF26" s="188"/>
      <c r="AG26" s="189">
        <f>INDEX('18 KMP- Tháng'!$R$6:$AC$24,MATCH('18 KMP- Tháng (Tâm) (3)'!$A26,'18 KMP- Tháng'!$A$6:$A$24,0),MATCH('18 KMP- Tháng (Tâm) (3)'!AG$7,'18 KMP- Tháng'!$R$2:$AC$2,0))</f>
        <v>594.323802</v>
      </c>
      <c r="AH26" s="189">
        <f>INDEX('18 KMP- Tháng'!$R$6:$AC$24,MATCH('18 KMP- Tháng (Tâm) (3)'!$A26,'18 KMP- Tháng'!$A$6:$A$24,0),MATCH('18 KMP- Tháng (Tâm) (3)'!AH$7,'18 KMP- Tháng'!$R$2:$AC$2,0))</f>
        <v>570.37826399999994</v>
      </c>
      <c r="AI26" s="189">
        <f>INDEX('18 KMP- Tháng'!$R$6:$AC$24,MATCH('18 KMP- Tháng (Tâm) (3)'!$A26,'18 KMP- Tháng'!$A$6:$A$24,0),MATCH('18 KMP- Tháng (Tâm) (3)'!AI$7,'18 KMP- Tháng'!$R$2:$AC$2,0))</f>
        <v>674.92623200000003</v>
      </c>
      <c r="AJ26" s="189">
        <f>INDEX('18 KMP- Tháng'!$R$6:$AC$24,MATCH('18 KMP- Tháng (Tâm) (3)'!$A26,'18 KMP- Tháng'!$A$6:$A$24,0),MATCH('18 KMP- Tháng (Tâm) (3)'!AJ$7,'18 KMP- Tháng'!$R$2:$AC$2,0))</f>
        <v>723.31254100000001</v>
      </c>
      <c r="AK26" s="189">
        <f>INDEX('18 KMP- Tháng'!$R$6:$AC$24,MATCH('18 KMP- Tháng (Tâm) (3)'!$A26,'18 KMP- Tháng'!$A$6:$A$24,0),MATCH('18 KMP- Tháng (Tâm) (3)'!AK$7,'18 KMP- Tháng'!$R$2:$AC$2,0))</f>
        <v>794.63473399999998</v>
      </c>
      <c r="AL26" s="189">
        <f>INDEX('18 KMP- Tháng'!$R$6:$AC$24,MATCH('18 KMP- Tháng (Tâm) (3)'!$A26,'18 KMP- Tháng'!$A$6:$A$24,0),MATCH('18 KMP- Tháng (Tâm) (3)'!AL$7,'18 KMP- Tháng'!$R$2:$AC$2,0))</f>
        <v>626.50749900000005</v>
      </c>
      <c r="AM26" s="189">
        <f>INDEX('18 KMP- Tháng'!$R$6:$AC$24,MATCH('18 KMP- Tháng (Tâm) (3)'!$A26,'18 KMP- Tháng'!$A$6:$A$24,0),MATCH('18 KMP- Tháng (Tâm) (3)'!AM$7,'18 KMP- Tháng'!$R$2:$AC$2,0))</f>
        <v>526.28645900000004</v>
      </c>
      <c r="AN26" s="189">
        <f>INDEX('18 KMP- Tháng'!$R$6:$AC$24,MATCH('18 KMP- Tháng (Tâm) (3)'!$A26,'18 KMP- Tháng'!$A$6:$A$24,0),MATCH('18 KMP- Tháng (Tâm) (3)'!AN$7,'18 KMP- Tháng'!$R$2:$AC$2,0))</f>
        <v>676.44750099999999</v>
      </c>
      <c r="AO26" s="189">
        <f>INDEX('18 KMP- Tháng'!$R$6:$AC$24,MATCH('18 KMP- Tháng (Tâm) (3)'!$A26,'18 KMP- Tháng'!$A$6:$A$24,0),MATCH('18 KMP- Tháng (Tâm) (3)'!AO$7,'18 KMP- Tháng'!$R$2:$AC$2,0))</f>
        <v>887.53877199999999</v>
      </c>
      <c r="AP26" s="189">
        <f>INDEX('18 KMP- Tháng'!$R$6:$AC$24,MATCH('18 KMP- Tháng (Tâm) (3)'!$A26,'18 KMP- Tháng'!$A$6:$A$24,0),MATCH('18 KMP- Tháng (Tâm) (3)'!AP$7,'18 KMP- Tháng'!$R$2:$AC$2,0))</f>
        <v>694.86993199999995</v>
      </c>
      <c r="AQ26" s="189">
        <f>INDEX('18 KMP- Tháng'!$R$6:$AC$24,MATCH('18 KMP- Tháng (Tâm) (3)'!$A26,'18 KMP- Tháng'!$A$6:$A$24,0),MATCH('18 KMP- Tháng (Tâm) (3)'!AQ$7,'18 KMP- Tháng'!$R$2:$AC$2,0))</f>
        <v>842.70942500000001</v>
      </c>
      <c r="AR26" s="189">
        <f>INDEX('18 KMP- Tháng'!$R$6:$AC$24,MATCH('18 KMP- Tháng (Tâm) (3)'!$A26,'18 KMP- Tháng'!$A$6:$A$24,0),MATCH('18 KMP- Tháng (Tâm) (3)'!AR$7,'18 KMP- Tháng'!$R$2:$AC$2,0))</f>
        <v>924.13166999999999</v>
      </c>
      <c r="AS26" s="189">
        <f t="shared" si="7"/>
        <v>711.33890258333338</v>
      </c>
      <c r="AT26" s="189"/>
      <c r="AU26" s="189">
        <v>526.03818533333344</v>
      </c>
      <c r="AV26" s="189"/>
      <c r="AW26" s="189"/>
      <c r="AX26" s="189">
        <f t="shared" si="8"/>
        <v>8536.0668310000001</v>
      </c>
      <c r="AY26" s="196">
        <f t="shared" si="9"/>
        <v>9.6619596962499887E-2</v>
      </c>
      <c r="AZ26" s="190">
        <f t="shared" si="2"/>
        <v>7.492195638884324E-3</v>
      </c>
      <c r="BA26" s="657"/>
      <c r="BB26" s="648"/>
      <c r="BC26" s="648"/>
      <c r="BD26" s="648"/>
      <c r="BE26" s="191"/>
    </row>
    <row r="27" spans="1:67" s="186" customFormat="1" ht="38.85" customHeight="1" x14ac:dyDescent="0.3">
      <c r="A27" s="174">
        <v>20</v>
      </c>
      <c r="B27" s="187">
        <f t="shared" si="10"/>
        <v>6</v>
      </c>
      <c r="C27" s="188" t="s">
        <v>97</v>
      </c>
      <c r="D27" s="188" t="s">
        <v>51</v>
      </c>
      <c r="E27" s="188"/>
      <c r="F27" s="188"/>
      <c r="G27" s="188"/>
      <c r="H27" s="188"/>
      <c r="I27" s="188"/>
      <c r="J27" s="188"/>
      <c r="K27" s="188"/>
      <c r="L27" s="188"/>
      <c r="M27" s="188"/>
      <c r="N27" s="188"/>
      <c r="O27" s="188"/>
      <c r="P27" s="188"/>
      <c r="Q27" s="188"/>
      <c r="R27" s="188"/>
      <c r="S27" s="188"/>
      <c r="T27" s="188"/>
      <c r="U27" s="188"/>
      <c r="V27" s="188"/>
      <c r="W27" s="188"/>
      <c r="X27" s="188"/>
      <c r="Y27" s="188"/>
      <c r="Z27" s="188"/>
      <c r="AA27" s="188"/>
      <c r="AB27" s="188"/>
      <c r="AC27" s="188"/>
      <c r="AD27" s="188"/>
      <c r="AE27" s="188"/>
      <c r="AF27" s="188"/>
      <c r="AG27" s="189">
        <f>INDEX('18 KMP- Tháng'!$R$6:$AC$24,MATCH('18 KMP- Tháng (Tâm) (3)'!$A27,'18 KMP- Tháng'!$A$6:$A$24,0),MATCH('18 KMP- Tháng (Tâm) (3)'!AG$7,'18 KMP- Tháng'!$R$2:$AC$2,0))</f>
        <v>506.27463</v>
      </c>
      <c r="AH27" s="189">
        <f>INDEX('18 KMP- Tháng'!$R$6:$AC$24,MATCH('18 KMP- Tháng (Tâm) (3)'!$A27,'18 KMP- Tháng'!$A$6:$A$24,0),MATCH('18 KMP- Tháng (Tâm) (3)'!AH$7,'18 KMP- Tháng'!$R$2:$AC$2,0))</f>
        <v>593.07691999999997</v>
      </c>
      <c r="AI27" s="189">
        <f>INDEX('18 KMP- Tháng'!$R$6:$AC$24,MATCH('18 KMP- Tháng (Tâm) (3)'!$A27,'18 KMP- Tháng'!$A$6:$A$24,0),MATCH('18 KMP- Tháng (Tâm) (3)'!AI$7,'18 KMP- Tháng'!$R$2:$AC$2,0))</f>
        <v>664.52970800000003</v>
      </c>
      <c r="AJ27" s="189">
        <f>INDEX('18 KMP- Tháng'!$R$6:$AC$24,MATCH('18 KMP- Tháng (Tâm) (3)'!$A27,'18 KMP- Tháng'!$A$6:$A$24,0),MATCH('18 KMP- Tháng (Tâm) (3)'!AJ$7,'18 KMP- Tháng'!$R$2:$AC$2,0))</f>
        <v>593.89188000000001</v>
      </c>
      <c r="AK27" s="189">
        <f>INDEX('18 KMP- Tháng'!$R$6:$AC$24,MATCH('18 KMP- Tháng (Tâm) (3)'!$A27,'18 KMP- Tháng'!$A$6:$A$24,0),MATCH('18 KMP- Tháng (Tâm) (3)'!AK$7,'18 KMP- Tháng'!$R$2:$AC$2,0))</f>
        <v>719.05266800000004</v>
      </c>
      <c r="AL27" s="189">
        <f>INDEX('18 KMP- Tháng'!$R$6:$AC$24,MATCH('18 KMP- Tháng (Tâm) (3)'!$A27,'18 KMP- Tháng'!$A$6:$A$24,0),MATCH('18 KMP- Tháng (Tâm) (3)'!AL$7,'18 KMP- Tháng'!$R$2:$AC$2,0))</f>
        <v>793.15192200000001</v>
      </c>
      <c r="AM27" s="189">
        <f>INDEX('18 KMP- Tháng'!$R$6:$AC$24,MATCH('18 KMP- Tháng (Tâm) (3)'!$A27,'18 KMP- Tháng'!$A$6:$A$24,0),MATCH('18 KMP- Tháng (Tâm) (3)'!AM$7,'18 KMP- Tháng'!$R$2:$AC$2,0))</f>
        <v>535.85658699999999</v>
      </c>
      <c r="AN27" s="189">
        <f>INDEX('18 KMP- Tháng'!$R$6:$AC$24,MATCH('18 KMP- Tháng (Tâm) (3)'!$A27,'18 KMP- Tháng'!$A$6:$A$24,0),MATCH('18 KMP- Tháng (Tâm) (3)'!AN$7,'18 KMP- Tháng'!$R$2:$AC$2,0))</f>
        <v>751.09911399999999</v>
      </c>
      <c r="AO27" s="189">
        <f>INDEX('18 KMP- Tháng'!$R$6:$AC$24,MATCH('18 KMP- Tháng (Tâm) (3)'!$A27,'18 KMP- Tháng'!$A$6:$A$24,0),MATCH('18 KMP- Tháng (Tâm) (3)'!AO$7,'18 KMP- Tháng'!$R$2:$AC$2,0))</f>
        <v>866.50140099999999</v>
      </c>
      <c r="AP27" s="189">
        <f>INDEX('18 KMP- Tháng'!$R$6:$AC$24,MATCH('18 KMP- Tháng (Tâm) (3)'!$A27,'18 KMP- Tháng'!$A$6:$A$24,0),MATCH('18 KMP- Tháng (Tâm) (3)'!AP$7,'18 KMP- Tháng'!$R$2:$AC$2,0))</f>
        <v>935.25904200000002</v>
      </c>
      <c r="AQ27" s="189">
        <f>INDEX('18 KMP- Tháng'!$R$6:$AC$24,MATCH('18 KMP- Tháng (Tâm) (3)'!$A27,'18 KMP- Tháng'!$A$6:$A$24,0),MATCH('18 KMP- Tháng (Tâm) (3)'!AQ$7,'18 KMP- Tháng'!$R$2:$AC$2,0))</f>
        <v>1051.062756</v>
      </c>
      <c r="AR27" s="189">
        <f>INDEX('18 KMP- Tháng'!$R$6:$AC$24,MATCH('18 KMP- Tháng (Tâm) (3)'!$A27,'18 KMP- Tháng'!$A$6:$A$24,0),MATCH('18 KMP- Tháng (Tâm) (3)'!AR$7,'18 KMP- Tháng'!$R$2:$AC$2,0))</f>
        <v>1241.50469</v>
      </c>
      <c r="AS27" s="189">
        <f t="shared" si="7"/>
        <v>770.93844316666673</v>
      </c>
      <c r="AT27" s="189"/>
      <c r="AU27" s="189">
        <v>420.51581458333322</v>
      </c>
      <c r="AV27" s="189"/>
      <c r="AW27" s="189"/>
      <c r="AX27" s="189">
        <f>SUM(AG27:AR27)</f>
        <v>9251.2613180000008</v>
      </c>
      <c r="AY27" s="196">
        <f>IFERROR(AR27/AQ27-1,"-")</f>
        <v>0.18118987939859976</v>
      </c>
      <c r="AZ27" s="190">
        <f t="shared" si="2"/>
        <v>8.119929362453095E-3</v>
      </c>
      <c r="BA27" s="658"/>
      <c r="BB27" s="648"/>
      <c r="BC27" s="648"/>
      <c r="BD27" s="648"/>
      <c r="BE27" s="191"/>
    </row>
    <row r="28" spans="1:67" s="186" customFormat="1" x14ac:dyDescent="0.3">
      <c r="A28" s="174">
        <v>21</v>
      </c>
      <c r="B28" s="187">
        <f t="shared" si="10"/>
        <v>7</v>
      </c>
      <c r="C28" s="193" t="s">
        <v>97</v>
      </c>
      <c r="D28" s="193" t="s">
        <v>40</v>
      </c>
      <c r="E28" s="322"/>
      <c r="F28" s="322"/>
      <c r="G28" s="322"/>
      <c r="H28" s="322"/>
      <c r="I28" s="322"/>
      <c r="J28" s="322"/>
      <c r="K28" s="322"/>
      <c r="L28" s="322"/>
      <c r="M28" s="322"/>
      <c r="N28" s="322"/>
      <c r="O28" s="322"/>
      <c r="P28" s="322"/>
      <c r="Q28" s="322"/>
      <c r="R28" s="322"/>
      <c r="S28" s="322"/>
      <c r="T28" s="322"/>
      <c r="U28" s="322"/>
      <c r="V28" s="322"/>
      <c r="W28" s="322"/>
      <c r="X28" s="322"/>
      <c r="Y28" s="322"/>
      <c r="Z28" s="322"/>
      <c r="AA28" s="322"/>
      <c r="AB28" s="322"/>
      <c r="AC28" s="322"/>
      <c r="AD28" s="322"/>
      <c r="AE28" s="322"/>
      <c r="AF28" s="322"/>
      <c r="AG28" s="189">
        <f>INDEX('18 KMP- Tháng'!$R$6:$AC$24,MATCH('18 KMP- Tháng (Tâm) (3)'!$A28,'18 KMP- Tháng'!$A$6:$A$24,0),MATCH('18 KMP- Tháng (Tâm) (3)'!AG$7,'18 KMP- Tháng'!$R$2:$AC$2,0))</f>
        <v>0</v>
      </c>
      <c r="AH28" s="189">
        <f>INDEX('18 KMP- Tháng'!$R$6:$AC$24,MATCH('18 KMP- Tháng (Tâm) (3)'!$A28,'18 KMP- Tháng'!$A$6:$A$24,0),MATCH('18 KMP- Tháng (Tâm) (3)'!AH$7,'18 KMP- Tháng'!$R$2:$AC$2,0))</f>
        <v>0</v>
      </c>
      <c r="AI28" s="189">
        <f>INDEX('18 KMP- Tháng'!$R$6:$AC$24,MATCH('18 KMP- Tháng (Tâm) (3)'!$A28,'18 KMP- Tháng'!$A$6:$A$24,0),MATCH('18 KMP- Tháng (Tâm) (3)'!AI$7,'18 KMP- Tháng'!$R$2:$AC$2,0))</f>
        <v>0</v>
      </c>
      <c r="AJ28" s="189">
        <f>INDEX('18 KMP- Tháng'!$R$6:$AC$24,MATCH('18 KMP- Tháng (Tâm) (3)'!$A28,'18 KMP- Tháng'!$A$6:$A$24,0),MATCH('18 KMP- Tháng (Tâm) (3)'!AJ$7,'18 KMP- Tháng'!$R$2:$AC$2,0))</f>
        <v>0</v>
      </c>
      <c r="AK28" s="189">
        <f>INDEX('18 KMP- Tháng'!$R$6:$AC$24,MATCH('18 KMP- Tháng (Tâm) (3)'!$A28,'18 KMP- Tháng'!$A$6:$A$24,0),MATCH('18 KMP- Tháng (Tâm) (3)'!AK$7,'18 KMP- Tháng'!$R$2:$AC$2,0))</f>
        <v>0</v>
      </c>
      <c r="AL28" s="189">
        <f>INDEX('18 KMP- Tháng'!$R$6:$AC$24,MATCH('18 KMP- Tháng (Tâm) (3)'!$A28,'18 KMP- Tháng'!$A$6:$A$24,0),MATCH('18 KMP- Tháng (Tâm) (3)'!AL$7,'18 KMP- Tháng'!$R$2:$AC$2,0))</f>
        <v>0</v>
      </c>
      <c r="AM28" s="189">
        <f>INDEX('18 KMP- Tháng'!$R$6:$AC$24,MATCH('18 KMP- Tháng (Tâm) (3)'!$A28,'18 KMP- Tháng'!$A$6:$A$24,0),MATCH('18 KMP- Tháng (Tâm) (3)'!AM$7,'18 KMP- Tháng'!$R$2:$AC$2,0))</f>
        <v>0</v>
      </c>
      <c r="AN28" s="189">
        <f>INDEX('18 KMP- Tháng'!$R$6:$AC$24,MATCH('18 KMP- Tháng (Tâm) (3)'!$A28,'18 KMP- Tháng'!$A$6:$A$24,0),MATCH('18 KMP- Tháng (Tâm) (3)'!AN$7,'18 KMP- Tháng'!$R$2:$AC$2,0))</f>
        <v>0</v>
      </c>
      <c r="AO28" s="189">
        <f>INDEX('18 KMP- Tháng'!$R$6:$AC$24,MATCH('18 KMP- Tháng (Tâm) (3)'!$A28,'18 KMP- Tháng'!$A$6:$A$24,0),MATCH('18 KMP- Tháng (Tâm) (3)'!AO$7,'18 KMP- Tháng'!$R$2:$AC$2,0))</f>
        <v>0</v>
      </c>
      <c r="AP28" s="189">
        <f>INDEX('18 KMP- Tháng'!$R$6:$AC$24,MATCH('18 KMP- Tháng (Tâm) (3)'!$A28,'18 KMP- Tháng'!$A$6:$A$24,0),MATCH('18 KMP- Tháng (Tâm) (3)'!AP$7,'18 KMP- Tháng'!$R$2:$AC$2,0))</f>
        <v>0</v>
      </c>
      <c r="AQ28" s="189">
        <f>INDEX('18 KMP- Tháng'!$R$6:$AC$24,MATCH('18 KMP- Tháng (Tâm) (3)'!$A28,'18 KMP- Tháng'!$A$6:$A$24,0),MATCH('18 KMP- Tháng (Tâm) (3)'!AQ$7,'18 KMP- Tháng'!$R$2:$AC$2,0))</f>
        <v>0</v>
      </c>
      <c r="AR28" s="189">
        <f>INDEX('18 KMP- Tháng'!$R$6:$AC$24,MATCH('18 KMP- Tháng (Tâm) (3)'!$A28,'18 KMP- Tháng'!$A$6:$A$24,0),MATCH('18 KMP- Tháng (Tâm) (3)'!AR$7,'18 KMP- Tháng'!$R$2:$AC$2,0))</f>
        <v>0</v>
      </c>
      <c r="AS28" s="194">
        <f t="shared" si="7"/>
        <v>0</v>
      </c>
      <c r="AT28" s="194"/>
      <c r="AU28" s="194">
        <v>97.117227</v>
      </c>
      <c r="AV28" s="194"/>
      <c r="AW28" s="194"/>
      <c r="AX28" s="194">
        <f t="shared" si="8"/>
        <v>0</v>
      </c>
      <c r="AY28" s="197" t="str">
        <f t="shared" si="9"/>
        <v>-</v>
      </c>
      <c r="AZ28" s="195">
        <f t="shared" si="2"/>
        <v>0</v>
      </c>
      <c r="BA28" s="652"/>
      <c r="BB28" s="652"/>
      <c r="BC28" s="652"/>
      <c r="BD28" s="652"/>
    </row>
    <row r="29" spans="1:67" s="202" customFormat="1" x14ac:dyDescent="0.3">
      <c r="A29" s="174">
        <v>22</v>
      </c>
      <c r="B29" s="198" t="s">
        <v>173</v>
      </c>
      <c r="C29" s="198"/>
      <c r="D29" s="198"/>
      <c r="E29" s="198"/>
      <c r="F29" s="198"/>
      <c r="G29" s="198"/>
      <c r="H29" s="198"/>
      <c r="I29" s="198"/>
      <c r="J29" s="198"/>
      <c r="K29" s="198"/>
      <c r="L29" s="198"/>
      <c r="M29" s="198"/>
      <c r="N29" s="198"/>
      <c r="O29" s="198"/>
      <c r="P29" s="198"/>
      <c r="Q29" s="198"/>
      <c r="R29" s="198"/>
      <c r="S29" s="198"/>
      <c r="T29" s="198"/>
      <c r="U29" s="198"/>
      <c r="V29" s="198"/>
      <c r="W29" s="198"/>
      <c r="X29" s="198"/>
      <c r="Y29" s="198"/>
      <c r="Z29" s="198"/>
      <c r="AA29" s="198"/>
      <c r="AB29" s="198"/>
      <c r="AC29" s="198"/>
      <c r="AD29" s="198"/>
      <c r="AE29" s="198"/>
      <c r="AF29" s="198"/>
      <c r="AG29" s="199">
        <f t="shared" ref="AG29:AX29" si="11">AG9+AG21</f>
        <v>108527.94243726734</v>
      </c>
      <c r="AH29" s="199">
        <f t="shared" si="11"/>
        <v>78708.726588976424</v>
      </c>
      <c r="AI29" s="199">
        <f t="shared" si="11"/>
        <v>119016.18556831148</v>
      </c>
      <c r="AJ29" s="199">
        <f t="shared" si="11"/>
        <v>116568.03437345999</v>
      </c>
      <c r="AK29" s="199">
        <f t="shared" si="11"/>
        <v>110456.39807920763</v>
      </c>
      <c r="AL29" s="199">
        <f t="shared" si="11"/>
        <v>90042.392845521477</v>
      </c>
      <c r="AM29" s="199">
        <f t="shared" si="11"/>
        <v>57716.515896626872</v>
      </c>
      <c r="AN29" s="199">
        <f t="shared" si="11"/>
        <v>64018.083603418039</v>
      </c>
      <c r="AO29" s="199">
        <f t="shared" si="11"/>
        <v>79882.565015458618</v>
      </c>
      <c r="AP29" s="199">
        <f t="shared" si="11"/>
        <v>108688.19498759185</v>
      </c>
      <c r="AQ29" s="199">
        <f t="shared" si="11"/>
        <v>116871.96153004943</v>
      </c>
      <c r="AR29" s="199">
        <f t="shared" si="11"/>
        <v>88830.806626013044</v>
      </c>
      <c r="AS29" s="199">
        <f t="shared" si="11"/>
        <v>94943.983962658502</v>
      </c>
      <c r="AT29" s="199"/>
      <c r="AU29" s="199">
        <f t="shared" si="11"/>
        <v>57905.729647612876</v>
      </c>
      <c r="AV29" s="199"/>
      <c r="AW29" s="199"/>
      <c r="AX29" s="199">
        <f t="shared" si="11"/>
        <v>1139327.8075519023</v>
      </c>
      <c r="AY29" s="200">
        <f>IFERROR(AR29/AQ29-1,"-")</f>
        <v>-0.23993055765412663</v>
      </c>
      <c r="AZ29" s="201">
        <f>AZ21+AZ9</f>
        <v>0.99999999999999989</v>
      </c>
      <c r="BA29" s="654"/>
      <c r="BB29" s="654"/>
      <c r="BC29" s="654"/>
      <c r="BD29" s="654"/>
    </row>
    <row r="30" spans="1:67" s="202" customFormat="1" x14ac:dyDescent="0.3">
      <c r="A30" s="203">
        <v>23</v>
      </c>
      <c r="B30" s="204" t="s">
        <v>172</v>
      </c>
      <c r="C30" s="204"/>
      <c r="D30" s="204"/>
      <c r="E30" s="323"/>
      <c r="F30" s="323"/>
      <c r="G30" s="323"/>
      <c r="H30" s="323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V30" s="323"/>
      <c r="W30" s="323"/>
      <c r="X30" s="323"/>
      <c r="Y30" s="323"/>
      <c r="Z30" s="323"/>
      <c r="AA30" s="323"/>
      <c r="AB30" s="323"/>
      <c r="AC30" s="323"/>
      <c r="AD30" s="323"/>
      <c r="AE30" s="323"/>
      <c r="AF30" s="323"/>
      <c r="AG30" s="205">
        <f>INDEX('18 KMP- Tháng'!$R$6:$AC$28,MATCH('18 KMP- Tháng (Tâm) (3)'!$A30,'18 KMP- Tháng'!$A$6:$A$28,0),MATCH('18 KMP- Tháng (Tâm) (3)'!AG$7,'18 KMP- Tháng'!$R$2:$AC$2,0))</f>
        <v>4748.3130000000001</v>
      </c>
      <c r="AH30" s="205">
        <f>INDEX('18 KMP- Tháng'!$R$6:$AC$28,MATCH('18 KMP- Tháng (Tâm) (3)'!$A30,'18 KMP- Tháng'!$A$6:$A$28,0),MATCH('18 KMP- Tháng (Tâm) (3)'!AH$7,'18 KMP- Tháng'!$R$2:$AC$2,0))</f>
        <v>2926.5019999999995</v>
      </c>
      <c r="AI30" s="205">
        <f>INDEX('18 KMP- Tháng'!$R$6:$AC$28,MATCH('18 KMP- Tháng (Tâm) (3)'!$A30,'18 KMP- Tháng'!$A$6:$A$28,0),MATCH('18 KMP- Tháng (Tâm) (3)'!AI$7,'18 KMP- Tháng'!$R$2:$AC$2,0))</f>
        <v>4896.4380000000001</v>
      </c>
      <c r="AJ30" s="205">
        <f>INDEX('18 KMP- Tháng'!$R$6:$AC$28,MATCH('18 KMP- Tháng (Tâm) (3)'!$A30,'18 KMP- Tháng'!$A$6:$A$28,0),MATCH('18 KMP- Tháng (Tâm) (3)'!AJ$7,'18 KMP- Tháng'!$R$2:$AC$2,0))</f>
        <v>4526.3689999999997</v>
      </c>
      <c r="AK30" s="205">
        <f>INDEX('18 KMP- Tháng'!$R$6:$AC$28,MATCH('18 KMP- Tháng (Tâm) (3)'!$A30,'18 KMP- Tháng'!$A$6:$A$28,0),MATCH('18 KMP- Tháng (Tâm) (3)'!AK$7,'18 KMP- Tháng'!$R$2:$AC$2,0))</f>
        <v>4417.8749999999991</v>
      </c>
      <c r="AL30" s="205">
        <f>INDEX('18 KMP- Tháng'!$R$6:$AC$28,MATCH('18 KMP- Tháng (Tâm) (3)'!$A30,'18 KMP- Tháng'!$A$6:$A$28,0),MATCH('18 KMP- Tháng (Tâm) (3)'!AL$7,'18 KMP- Tháng'!$R$2:$AC$2,0))</f>
        <v>3495.0745000000011</v>
      </c>
      <c r="AM30" s="205">
        <f>INDEX('18 KMP- Tháng'!$R$6:$AC$28,MATCH('18 KMP- Tháng (Tâm) (3)'!$A30,'18 KMP- Tháng'!$A$6:$A$28,0),MATCH('18 KMP- Tháng (Tâm) (3)'!AM$7,'18 KMP- Tháng'!$R$2:$AC$2,0))</f>
        <v>1866.424</v>
      </c>
      <c r="AN30" s="205">
        <f>INDEX('18 KMP- Tháng'!$R$6:$AC$28,MATCH('18 KMP- Tháng (Tâm) (3)'!$A30,'18 KMP- Tháng'!$A$6:$A$28,0),MATCH('18 KMP- Tháng (Tâm) (3)'!AN$7,'18 KMP- Tháng'!$R$2:$AC$2,0))</f>
        <v>2192.5824999999995</v>
      </c>
      <c r="AO30" s="205">
        <f>INDEX('18 KMP- Tháng'!$R$6:$AC$28,MATCH('18 KMP- Tháng (Tâm) (3)'!$A30,'18 KMP- Tháng'!$A$6:$A$28,0),MATCH('18 KMP- Tháng (Tâm) (3)'!AO$7,'18 KMP- Tháng'!$R$2:$AC$2,0))</f>
        <v>2799.3996999999999</v>
      </c>
      <c r="AP30" s="205">
        <f>INDEX('18 KMP- Tháng'!$R$6:$AC$28,MATCH('18 KMP- Tháng (Tâm) (3)'!$A30,'18 KMP- Tháng'!$A$6:$A$28,0),MATCH('18 KMP- Tháng (Tâm) (3)'!AP$7,'18 KMP- Tháng'!$R$2:$AC$2,0))</f>
        <v>4293.2714999999989</v>
      </c>
      <c r="AQ30" s="205">
        <f>INDEX('18 KMP- Tháng'!$R$6:$AC$28,MATCH('18 KMP- Tháng (Tâm) (3)'!$A30,'18 KMP- Tháng'!$A$6:$A$28,0),MATCH('18 KMP- Tháng (Tâm) (3)'!AQ$7,'18 KMP- Tháng'!$R$2:$AC$2,0))</f>
        <v>4775.3970000000008</v>
      </c>
      <c r="AR30" s="205">
        <f>INDEX('18 KMP- Tháng'!$R$6:$AC$28,MATCH('18 KMP- Tháng (Tâm) (3)'!$A30,'18 KMP- Tháng'!$A$6:$A$28,0),MATCH('18 KMP- Tháng (Tâm) (3)'!AR$7,'18 KMP- Tháng'!$R$2:$AC$2,0))</f>
        <v>3318.6420999999996</v>
      </c>
      <c r="AS30" s="206">
        <f>AX30/(12-COUNTIF($AG$10:$AR$10,0))</f>
        <v>3688.0240250000002</v>
      </c>
      <c r="AT30" s="206"/>
      <c r="AU30" s="207">
        <v>1954.7762499999999</v>
      </c>
      <c r="AV30" s="207"/>
      <c r="AW30" s="207"/>
      <c r="AX30" s="206">
        <f>SUM(AG30:AR30)</f>
        <v>44256.2883</v>
      </c>
      <c r="AY30" s="208">
        <f>IFERROR(AR30/AQ30-1,"-")</f>
        <v>-0.30505419758817975</v>
      </c>
      <c r="AZ30" s="206"/>
      <c r="BA30" s="654"/>
      <c r="BB30" s="654"/>
      <c r="BC30" s="654"/>
      <c r="BD30" s="654"/>
      <c r="BE30" s="186"/>
      <c r="BF30" s="186"/>
    </row>
    <row r="31" spans="1:67" s="202" customFormat="1" x14ac:dyDescent="0.3">
      <c r="A31" s="174">
        <v>24</v>
      </c>
      <c r="B31" s="639" t="s">
        <v>190</v>
      </c>
      <c r="C31" s="639"/>
      <c r="D31" s="639"/>
      <c r="E31" s="317"/>
      <c r="F31" s="317"/>
      <c r="G31" s="317"/>
      <c r="H31" s="317"/>
      <c r="I31" s="317"/>
      <c r="J31" s="317"/>
      <c r="K31" s="317"/>
      <c r="L31" s="317"/>
      <c r="M31" s="317"/>
      <c r="N31" s="317"/>
      <c r="O31" s="317"/>
      <c r="P31" s="317"/>
      <c r="Q31" s="317"/>
      <c r="R31" s="317"/>
      <c r="S31" s="317"/>
      <c r="T31" s="317"/>
      <c r="U31" s="317"/>
      <c r="V31" s="317"/>
      <c r="W31" s="317"/>
      <c r="X31" s="317"/>
      <c r="Y31" s="317"/>
      <c r="Z31" s="317"/>
      <c r="AA31" s="317"/>
      <c r="AB31" s="317"/>
      <c r="AC31" s="317"/>
      <c r="AD31" s="317"/>
      <c r="AE31" s="317"/>
      <c r="AF31" s="317"/>
      <c r="AG31" s="209">
        <f>AG29/AG30</f>
        <v>22.856105407808485</v>
      </c>
      <c r="AH31" s="209">
        <f>AH29/AH30</f>
        <v>26.895155577879816</v>
      </c>
      <c r="AI31" s="209">
        <f>AI29/AI30</f>
        <v>24.306686936158791</v>
      </c>
      <c r="AJ31" s="209">
        <f>AJ29/AJ30</f>
        <v>25.75310019431911</v>
      </c>
      <c r="AK31" s="209">
        <f>AK29/AK30</f>
        <v>25.002155579143288</v>
      </c>
      <c r="AL31" s="209">
        <f t="shared" ref="AL31:AR31" si="12">AL29/AL30</f>
        <v>25.762653369912844</v>
      </c>
      <c r="AM31" s="209">
        <f t="shared" si="12"/>
        <v>30.923582153158591</v>
      </c>
      <c r="AN31" s="209">
        <f t="shared" si="12"/>
        <v>29.197571176189747</v>
      </c>
      <c r="AO31" s="209">
        <f t="shared" si="12"/>
        <v>28.535605335479111</v>
      </c>
      <c r="AP31" s="209">
        <f t="shared" si="12"/>
        <v>25.31593797121656</v>
      </c>
      <c r="AQ31" s="209">
        <f t="shared" si="12"/>
        <v>24.473768679347373</v>
      </c>
      <c r="AR31" s="209">
        <f t="shared" si="12"/>
        <v>26.76721500821467</v>
      </c>
      <c r="AS31" s="209">
        <f>AS29/AS30</f>
        <v>25.743862653567852</v>
      </c>
      <c r="AT31" s="209"/>
      <c r="AU31" s="209">
        <f>AU29/AU30</f>
        <v>29.622689373074223</v>
      </c>
      <c r="AV31" s="209"/>
      <c r="AW31" s="209"/>
      <c r="AX31" s="209">
        <f>AX29/AX30</f>
        <v>25.743862653567859</v>
      </c>
      <c r="AY31" s="206"/>
      <c r="AZ31" s="206"/>
      <c r="BA31" s="654"/>
      <c r="BB31" s="654"/>
      <c r="BC31" s="654"/>
      <c r="BD31" s="654"/>
      <c r="BE31" s="186"/>
      <c r="BF31" s="186"/>
      <c r="BG31" s="210"/>
      <c r="BH31" s="210"/>
      <c r="BI31" s="210"/>
      <c r="BJ31" s="210"/>
      <c r="BK31" s="210"/>
      <c r="BL31" s="210"/>
      <c r="BM31" s="210"/>
      <c r="BN31" s="210"/>
      <c r="BO31" s="210"/>
    </row>
    <row r="32" spans="1:67" s="202" customFormat="1" x14ac:dyDescent="0.3">
      <c r="A32" s="174">
        <v>25</v>
      </c>
      <c r="B32" s="639" t="s">
        <v>191</v>
      </c>
      <c r="C32" s="639"/>
      <c r="D32" s="639"/>
      <c r="E32" s="317"/>
      <c r="F32" s="317"/>
      <c r="G32" s="317"/>
      <c r="H32" s="317"/>
      <c r="I32" s="317"/>
      <c r="J32" s="317"/>
      <c r="K32" s="317"/>
      <c r="L32" s="317"/>
      <c r="M32" s="317"/>
      <c r="N32" s="317"/>
      <c r="O32" s="317"/>
      <c r="P32" s="317"/>
      <c r="Q32" s="317"/>
      <c r="R32" s="317"/>
      <c r="S32" s="317"/>
      <c r="T32" s="317"/>
      <c r="U32" s="317"/>
      <c r="V32" s="317"/>
      <c r="W32" s="317"/>
      <c r="X32" s="317"/>
      <c r="Y32" s="317"/>
      <c r="Z32" s="317"/>
      <c r="AA32" s="317"/>
      <c r="AB32" s="317"/>
      <c r="AC32" s="317"/>
      <c r="AD32" s="317"/>
      <c r="AE32" s="317"/>
      <c r="AF32" s="317"/>
      <c r="AG32" s="209">
        <f>(AG29-AG33)/AG30</f>
        <v>22.531862700275656</v>
      </c>
      <c r="AH32" s="209">
        <f>(AH29-AH33)/AH30</f>
        <v>25.822336948904564</v>
      </c>
      <c r="AI32" s="209">
        <f>(AI29-AI33)/AI30</f>
        <v>24.319021252791959</v>
      </c>
      <c r="AJ32" s="209">
        <f>(AJ29-AJ33)/AJ30</f>
        <v>25.412958711524993</v>
      </c>
      <c r="AK32" s="209">
        <f>(AK29-AK33)/AK30</f>
        <v>24.653660915230585</v>
      </c>
      <c r="AL32" s="209">
        <f t="shared" ref="AL32:AX32" si="13">(AL29-AL33)/AL30</f>
        <v>25.322146060745805</v>
      </c>
      <c r="AM32" s="209">
        <f t="shared" si="13"/>
        <v>30.098686061309511</v>
      </c>
      <c r="AN32" s="209">
        <f t="shared" si="13"/>
        <v>28.49538283740052</v>
      </c>
      <c r="AO32" s="209">
        <f t="shared" si="13"/>
        <v>27.985628187402209</v>
      </c>
      <c r="AP32" s="209">
        <f t="shared" si="13"/>
        <v>24.957328956311883</v>
      </c>
      <c r="AQ32" s="209">
        <f t="shared" si="13"/>
        <v>24.151364937138439</v>
      </c>
      <c r="AR32" s="209">
        <f t="shared" si="13"/>
        <v>25.059689309274937</v>
      </c>
      <c r="AS32" s="209">
        <f t="shared" si="13"/>
        <v>24.207357838815916</v>
      </c>
      <c r="AT32" s="209"/>
      <c r="AU32" s="209">
        <f>(AU29-AU33)/AU30</f>
        <v>26.723806868576158</v>
      </c>
      <c r="AV32" s="209"/>
      <c r="AW32" s="209"/>
      <c r="AX32" s="209">
        <f t="shared" si="13"/>
        <v>25.233148087204192</v>
      </c>
      <c r="AY32" s="206"/>
      <c r="AZ32" s="206"/>
      <c r="BA32" s="654"/>
      <c r="BB32" s="654"/>
      <c r="BC32" s="654"/>
      <c r="BD32" s="654"/>
      <c r="BE32" s="186"/>
      <c r="BF32" s="186"/>
      <c r="BG32" s="210"/>
      <c r="BH32" s="210"/>
      <c r="BI32" s="210"/>
      <c r="BJ32" s="210"/>
      <c r="BK32" s="210"/>
      <c r="BL32" s="210"/>
      <c r="BM32" s="210"/>
      <c r="BN32" s="210"/>
      <c r="BO32" s="210"/>
    </row>
    <row r="33" spans="1:67" s="176" customFormat="1" x14ac:dyDescent="0.3">
      <c r="A33" s="174">
        <v>26</v>
      </c>
      <c r="B33" s="176" t="s">
        <v>170</v>
      </c>
      <c r="AG33" s="205">
        <f>INDEX('18 KMP- Tháng'!$R$6:$AC$29,MATCH('18 KMP- Tháng (Tâm) (3)'!$A33,'18 KMP- Tháng'!$A$6:$A$29,0),MATCH('18 KMP- Tháng (Tâm) (3)'!AG$7,'18 KMP- Tháng'!$R$2:$AC$2,0))</f>
        <v>1539.6058633333323</v>
      </c>
      <c r="AH33" s="205">
        <f>INDEX('18 KMP- Tháng'!$R$6:$AC$29,MATCH('18 KMP- Tháng (Tâm) (3)'!$A33,'18 KMP- Tháng'!$A$6:$A$29,0),MATCH('18 KMP- Tháng (Tâm) (3)'!AH$7,'18 KMP- Tháng'!$R$2:$AC$2,0))</f>
        <v>3139.6058633333323</v>
      </c>
      <c r="AI33" s="205">
        <f>INDEX('18 KMP- Tháng'!$R$6:$AC$29,MATCH('18 KMP- Tháng (Tâm) (3)'!$A33,'18 KMP- Tháng'!$A$6:$A$29,0),MATCH('18 KMP- Tháng (Tâm) (3)'!AI$7,'18 KMP- Tháng'!$R$2:$AC$2,0))</f>
        <v>-60.394216666667489</v>
      </c>
      <c r="AJ33" s="205">
        <f>INDEX('18 KMP- Tháng'!$R$6:$AC$29,MATCH('18 KMP- Tháng (Tâm) (3)'!$A33,'18 KMP- Tháng'!$A$6:$A$29,0),MATCH('18 KMP- Tháng (Tâm) (3)'!AJ$7,'18 KMP- Tháng'!$R$2:$AC$2,0))</f>
        <v>1539.6058633333323</v>
      </c>
      <c r="AK33" s="205">
        <f>INDEX('18 KMP- Tháng'!$R$6:$AC$29,MATCH('18 KMP- Tháng (Tâm) (3)'!$A33,'18 KMP- Tháng'!$A$6:$A$29,0),MATCH('18 KMP- Tháng (Tâm) (3)'!AK$7,'18 KMP- Tháng'!$R$2:$AC$2,0))</f>
        <v>1539.6058633333323</v>
      </c>
      <c r="AL33" s="205">
        <f>INDEX('18 KMP- Tháng'!$R$6:$AC$29,MATCH('18 KMP- Tháng (Tâm) (3)'!$A33,'18 KMP- Tháng'!$A$6:$A$29,0),MATCH('18 KMP- Tháng (Tâm) (3)'!AL$7,'18 KMP- Tháng'!$R$2:$AC$2,0))</f>
        <v>1539.6058633333323</v>
      </c>
      <c r="AM33" s="205">
        <f>INDEX('18 KMP- Tháng'!$R$6:$AC$29,MATCH('18 KMP- Tháng (Tâm) (3)'!$A33,'18 KMP- Tháng'!$A$6:$A$29,0),MATCH('18 KMP- Tháng (Tâm) (3)'!AM$7,'18 KMP- Tháng'!$R$2:$AC$2,0))</f>
        <v>1539.6058633333323</v>
      </c>
      <c r="AN33" s="205">
        <f>INDEX('18 KMP- Tháng'!$R$6:$AC$29,MATCH('18 KMP- Tháng (Tâm) (3)'!$A33,'18 KMP- Tháng'!$A$6:$A$29,0),MATCH('18 KMP- Tháng (Tâm) (3)'!AN$7,'18 KMP- Tháng'!$R$2:$AC$2,0))</f>
        <v>1539.6058633333323</v>
      </c>
      <c r="AO33" s="205">
        <f>INDEX('18 KMP- Tháng'!$R$6:$AC$29,MATCH('18 KMP- Tháng (Tâm) (3)'!$A33,'18 KMP- Tháng'!$A$6:$A$29,0),MATCH('18 KMP- Tháng (Tâm) (3)'!AO$7,'18 KMP- Tháng'!$R$2:$AC$2,0))</f>
        <v>1539.6058633333323</v>
      </c>
      <c r="AP33" s="205">
        <f>INDEX('18 KMP- Tháng'!$R$6:$AC$29,MATCH('18 KMP- Tháng (Tâm) (3)'!$A33,'18 KMP- Tháng'!$A$6:$A$29,0),MATCH('18 KMP- Tháng (Tâm) (3)'!AP$7,'18 KMP- Tháng'!$R$2:$AC$2,0))</f>
        <v>1539.6058633333323</v>
      </c>
      <c r="AQ33" s="205">
        <f>INDEX('18 KMP- Tháng'!$R$6:$AC$29,MATCH('18 KMP- Tháng (Tâm) (3)'!$A33,'18 KMP- Tháng'!$A$6:$A$29,0),MATCH('18 KMP- Tháng (Tâm) (3)'!AQ$7,'18 KMP- Tháng'!$R$2:$AC$2,0))</f>
        <v>1539.6058633333323</v>
      </c>
      <c r="AR33" s="205">
        <f>INDEX('18 KMP- Tháng'!$R$6:$AC$29,MATCH('18 KMP- Tháng (Tâm) (3)'!$A33,'18 KMP- Tháng'!$A$6:$A$29,0),MATCH('18 KMP- Tháng (Tâm) (3)'!AR$7,'18 KMP- Tháng'!$R$2:$AC$2,0))</f>
        <v>5666.6666713333307</v>
      </c>
      <c r="AS33" s="205">
        <f>INDEX('18 KMP- Tháng'!$R$6:$AC$29,MATCH('18 KMP- Tháng (Tâm) (3)'!$A33,'18 KMP- Tháng'!$A$6:$A$29,0),MATCH('18 KMP- Tháng (Tâm) (3)'!$AG$2,'18 KMP- Tháng'!$R$2:$AC$2,0))</f>
        <v>5666.6666713333307</v>
      </c>
      <c r="AT33" s="205"/>
      <c r="AU33" s="205">
        <f>INDEX('18 KMP- Tháng'!$R$6:$AC$29,MATCH('18 KMP- Tháng (Tâm) (3)'!$A33,'18 KMP- Tháng'!$A$6:$A$29,0),MATCH('18 KMP- Tháng (Tâm) (3)'!$AG$2,'18 KMP- Tháng'!$R$2:$AC$2,0))</f>
        <v>5666.6666713333307</v>
      </c>
      <c r="AV33" s="329"/>
      <c r="AW33" s="329"/>
      <c r="AX33" s="207">
        <f>SUM(AG33:AR33)</f>
        <v>22602.331087999984</v>
      </c>
      <c r="AY33" s="211"/>
      <c r="AZ33" s="212"/>
      <c r="BA33" s="654"/>
      <c r="BB33" s="654"/>
      <c r="BC33" s="654"/>
      <c r="BD33" s="654"/>
      <c r="BE33" s="186"/>
      <c r="BF33" s="186"/>
    </row>
    <row r="34" spans="1:67" s="213" customFormat="1" x14ac:dyDescent="0.3">
      <c r="AH34" s="214"/>
      <c r="AI34" s="214"/>
      <c r="AJ34" s="214"/>
      <c r="AK34" s="214"/>
      <c r="AL34" s="215"/>
      <c r="AM34" s="215"/>
      <c r="AN34" s="215"/>
      <c r="AO34" s="215"/>
      <c r="AP34" s="215"/>
      <c r="AQ34" s="215"/>
      <c r="AR34" s="215"/>
      <c r="AS34" s="215"/>
      <c r="AT34" s="215"/>
      <c r="AU34" s="215"/>
      <c r="AV34" s="215"/>
      <c r="AW34" s="215"/>
      <c r="AX34" s="215"/>
      <c r="BA34" s="216"/>
      <c r="BB34" s="158"/>
      <c r="BC34" s="158"/>
      <c r="BD34" s="158"/>
      <c r="BE34" s="158"/>
      <c r="BF34" s="158"/>
    </row>
    <row r="35" spans="1:67" s="217" customFormat="1" ht="21" x14ac:dyDescent="0.4">
      <c r="B35" s="218"/>
      <c r="C35" s="218"/>
      <c r="D35" s="218"/>
      <c r="E35" s="218"/>
      <c r="F35" s="218"/>
      <c r="G35" s="218"/>
      <c r="H35" s="218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S35" s="218"/>
      <c r="T35" s="218"/>
      <c r="U35" s="218"/>
      <c r="V35" s="218"/>
      <c r="W35" s="218"/>
      <c r="X35" s="218"/>
      <c r="Y35" s="218"/>
      <c r="Z35" s="218"/>
      <c r="AA35" s="218"/>
      <c r="AB35" s="218"/>
      <c r="AC35" s="218"/>
      <c r="AD35" s="218"/>
      <c r="AE35" s="218"/>
      <c r="AF35" s="218"/>
      <c r="AG35" s="219"/>
      <c r="AH35" s="219"/>
      <c r="AI35" s="220"/>
      <c r="AJ35" s="220"/>
      <c r="AK35" s="220"/>
      <c r="AL35" s="220"/>
      <c r="AM35" s="219"/>
      <c r="AN35" s="219"/>
      <c r="AO35" s="219"/>
      <c r="AP35" s="219"/>
      <c r="AQ35" s="219"/>
      <c r="AR35" s="219"/>
      <c r="AS35" s="219"/>
      <c r="AT35" s="219"/>
      <c r="AU35" s="219"/>
      <c r="AV35" s="219"/>
      <c r="AW35" s="219"/>
      <c r="AX35" s="219"/>
      <c r="AY35" s="221">
        <v>12</v>
      </c>
      <c r="AZ35" s="219"/>
      <c r="BA35" s="222"/>
      <c r="BB35" s="219"/>
      <c r="BC35" s="219"/>
      <c r="BD35" s="219"/>
      <c r="BE35" s="219"/>
      <c r="BF35" s="219"/>
    </row>
    <row r="36" spans="1:67" s="217" customFormat="1" x14ac:dyDescent="0.3">
      <c r="B36" s="218"/>
      <c r="C36" s="218"/>
      <c r="D36" s="223" t="s">
        <v>203</v>
      </c>
      <c r="E36" s="223"/>
      <c r="F36" s="223"/>
      <c r="G36" s="223"/>
      <c r="H36" s="223"/>
      <c r="I36" s="223"/>
      <c r="J36" s="223"/>
      <c r="K36" s="223"/>
      <c r="L36" s="223"/>
      <c r="M36" s="223"/>
      <c r="N36" s="223"/>
      <c r="O36" s="223"/>
      <c r="P36" s="223"/>
      <c r="Q36" s="223"/>
      <c r="R36" s="223"/>
      <c r="S36" s="223"/>
      <c r="T36" s="223"/>
      <c r="U36" s="223"/>
      <c r="V36" s="223"/>
      <c r="W36" s="223"/>
      <c r="X36" s="223"/>
      <c r="Y36" s="223"/>
      <c r="Z36" s="223"/>
      <c r="AA36" s="223"/>
      <c r="AB36" s="223"/>
      <c r="AC36" s="223"/>
      <c r="AD36" s="223"/>
      <c r="AE36" s="223"/>
      <c r="AF36" s="223"/>
      <c r="AG36" s="224">
        <v>2153</v>
      </c>
      <c r="AH36" s="224">
        <v>2064</v>
      </c>
      <c r="AI36" s="224">
        <v>2908</v>
      </c>
      <c r="AJ36" s="224">
        <v>3201</v>
      </c>
      <c r="AK36" s="224">
        <v>3202</v>
      </c>
      <c r="AL36" s="224">
        <v>1891</v>
      </c>
      <c r="AM36" s="224">
        <v>1784</v>
      </c>
      <c r="AN36" s="224">
        <v>4611</v>
      </c>
      <c r="AO36" s="224">
        <v>4683.5999999999995</v>
      </c>
      <c r="AP36" s="224">
        <v>3573.5250000000001</v>
      </c>
      <c r="AQ36" s="224">
        <v>1971.9250000000002</v>
      </c>
      <c r="AR36" s="224">
        <v>2927.35</v>
      </c>
      <c r="AS36" s="224">
        <f>AX36/(12-COUNTIF(AG36:AR36,0))</f>
        <v>2914.2000000000003</v>
      </c>
      <c r="AT36" s="224"/>
      <c r="AU36" s="224">
        <v>1790</v>
      </c>
      <c r="AV36" s="224"/>
      <c r="AW36" s="224"/>
      <c r="AX36" s="224">
        <f>SUM(AG36:AR36)</f>
        <v>34970.400000000001</v>
      </c>
      <c r="AY36" s="225"/>
      <c r="AZ36" s="219"/>
      <c r="BA36" s="222"/>
      <c r="BB36" s="219"/>
      <c r="BC36" s="219"/>
      <c r="BD36" s="219"/>
      <c r="BE36" s="219"/>
      <c r="BF36" s="219"/>
    </row>
    <row r="37" spans="1:67" x14ac:dyDescent="0.3">
      <c r="D37" s="164"/>
      <c r="E37" s="164"/>
      <c r="F37" s="164"/>
      <c r="G37" s="164"/>
      <c r="H37" s="164"/>
      <c r="I37" s="164"/>
      <c r="J37" s="164"/>
      <c r="K37" s="164"/>
      <c r="L37" s="164"/>
      <c r="M37" s="164"/>
      <c r="N37" s="164"/>
      <c r="O37" s="164"/>
      <c r="P37" s="164"/>
      <c r="Q37" s="164"/>
      <c r="R37" s="164"/>
      <c r="S37" s="164"/>
      <c r="T37" s="164"/>
      <c r="U37" s="164"/>
      <c r="V37" s="164"/>
      <c r="W37" s="164"/>
      <c r="X37" s="164"/>
      <c r="Y37" s="164"/>
      <c r="Z37" s="164"/>
      <c r="AA37" s="164"/>
      <c r="AB37" s="164"/>
      <c r="AC37" s="164"/>
      <c r="AD37" s="164"/>
      <c r="AE37" s="164"/>
      <c r="AF37" s="164"/>
      <c r="BG37" s="226" t="s">
        <v>201</v>
      </c>
      <c r="BH37" s="227"/>
      <c r="BI37" s="227"/>
      <c r="BJ37" s="227"/>
      <c r="BK37" s="227"/>
      <c r="BL37" s="227"/>
      <c r="BM37" s="227"/>
    </row>
    <row r="38" spans="1:67" s="186" customFormat="1" ht="46.8" x14ac:dyDescent="0.3">
      <c r="A38" s="174">
        <v>1</v>
      </c>
      <c r="B38" s="228" t="s">
        <v>57</v>
      </c>
      <c r="C38" s="228" t="s">
        <v>58</v>
      </c>
      <c r="D38" s="229" t="s">
        <v>207</v>
      </c>
      <c r="E38" s="229"/>
      <c r="F38" s="229"/>
      <c r="G38" s="229"/>
      <c r="H38" s="229"/>
      <c r="I38" s="229"/>
      <c r="J38" s="229"/>
      <c r="K38" s="229"/>
      <c r="L38" s="229"/>
      <c r="M38" s="229"/>
      <c r="N38" s="229"/>
      <c r="O38" s="229"/>
      <c r="P38" s="229"/>
      <c r="Q38" s="229"/>
      <c r="R38" s="229"/>
      <c r="S38" s="229"/>
      <c r="T38" s="229"/>
      <c r="U38" s="229"/>
      <c r="V38" s="229"/>
      <c r="W38" s="229"/>
      <c r="X38" s="229"/>
      <c r="Y38" s="229"/>
      <c r="Z38" s="229"/>
      <c r="AA38" s="229"/>
      <c r="AB38" s="229"/>
      <c r="AC38" s="229"/>
      <c r="AD38" s="229"/>
      <c r="AE38" s="229"/>
      <c r="AF38" s="229"/>
      <c r="AG38" s="230" t="s">
        <v>72</v>
      </c>
      <c r="AH38" s="230" t="s">
        <v>73</v>
      </c>
      <c r="AI38" s="230" t="s">
        <v>74</v>
      </c>
      <c r="AJ38" s="230" t="s">
        <v>75</v>
      </c>
      <c r="AK38" s="230" t="s">
        <v>76</v>
      </c>
      <c r="AL38" s="230" t="s">
        <v>77</v>
      </c>
      <c r="AM38" s="230" t="s">
        <v>78</v>
      </c>
      <c r="AN38" s="230" t="s">
        <v>79</v>
      </c>
      <c r="AO38" s="230" t="s">
        <v>80</v>
      </c>
      <c r="AP38" s="230" t="s">
        <v>81</v>
      </c>
      <c r="AQ38" s="230" t="s">
        <v>82</v>
      </c>
      <c r="AR38" s="230" t="s">
        <v>83</v>
      </c>
      <c r="AS38" s="231" t="s">
        <v>175</v>
      </c>
      <c r="AT38" s="231"/>
      <c r="AU38" s="230" t="s">
        <v>171</v>
      </c>
      <c r="AV38" s="230"/>
      <c r="AW38" s="230"/>
      <c r="AX38" s="231" t="s">
        <v>202</v>
      </c>
      <c r="AY38" s="231" t="s">
        <v>187</v>
      </c>
      <c r="AZ38" s="231" t="s">
        <v>198</v>
      </c>
      <c r="BA38" s="232" t="s">
        <v>180</v>
      </c>
      <c r="BB38" s="231" t="s">
        <v>179</v>
      </c>
      <c r="BC38" s="231" t="s">
        <v>199</v>
      </c>
      <c r="BD38" s="231" t="s">
        <v>177</v>
      </c>
      <c r="BE38" s="233" t="s">
        <v>204</v>
      </c>
      <c r="BF38" s="186">
        <v>1</v>
      </c>
      <c r="BG38" s="234">
        <v>6</v>
      </c>
      <c r="BH38" s="234">
        <v>7</v>
      </c>
      <c r="BI38" s="234">
        <v>8</v>
      </c>
      <c r="BJ38" s="234">
        <v>9</v>
      </c>
      <c r="BK38" s="234">
        <v>10</v>
      </c>
      <c r="BL38" s="234">
        <v>11</v>
      </c>
      <c r="BM38" s="234">
        <v>12</v>
      </c>
      <c r="BO38" s="235" t="s">
        <v>205</v>
      </c>
    </row>
    <row r="39" spans="1:67" ht="18.75" customHeight="1" x14ac:dyDescent="0.3">
      <c r="A39" s="170">
        <v>2</v>
      </c>
      <c r="B39" s="236" t="s">
        <v>162</v>
      </c>
      <c r="C39" s="213"/>
      <c r="D39" s="237" t="s">
        <v>163</v>
      </c>
      <c r="E39" s="237"/>
      <c r="F39" s="237"/>
      <c r="G39" s="237"/>
      <c r="H39" s="237"/>
      <c r="I39" s="237"/>
      <c r="J39" s="237"/>
      <c r="K39" s="237"/>
      <c r="L39" s="237"/>
      <c r="M39" s="237"/>
      <c r="N39" s="237"/>
      <c r="O39" s="237"/>
      <c r="P39" s="237"/>
      <c r="Q39" s="237"/>
      <c r="R39" s="237"/>
      <c r="S39" s="237"/>
      <c r="T39" s="237"/>
      <c r="U39" s="237"/>
      <c r="V39" s="237"/>
      <c r="W39" s="237"/>
      <c r="X39" s="237"/>
      <c r="Y39" s="237"/>
      <c r="Z39" s="237"/>
      <c r="AA39" s="237"/>
      <c r="AB39" s="237"/>
      <c r="AC39" s="237"/>
      <c r="AD39" s="237"/>
      <c r="AE39" s="237"/>
      <c r="AF39" s="237"/>
      <c r="AG39" s="238">
        <f t="shared" ref="AG39:AR39" si="14">SUM(AG40:AG50)</f>
        <v>19.436943289773112</v>
      </c>
      <c r="AH39" s="238">
        <f t="shared" si="14"/>
        <v>21.116732421041604</v>
      </c>
      <c r="AI39" s="238">
        <f t="shared" si="14"/>
        <v>20.709023781588659</v>
      </c>
      <c r="AJ39" s="238">
        <f t="shared" si="14"/>
        <v>21.670640465266235</v>
      </c>
      <c r="AK39" s="238">
        <f t="shared" si="14"/>
        <v>20.725758614356931</v>
      </c>
      <c r="AL39" s="238">
        <f t="shared" si="14"/>
        <v>20.405286377211159</v>
      </c>
      <c r="AM39" s="238">
        <f t="shared" si="14"/>
        <v>21.22609254986731</v>
      </c>
      <c r="AN39" s="238">
        <f t="shared" si="14"/>
        <v>20.727705346587737</v>
      </c>
      <c r="AO39" s="238">
        <f t="shared" si="14"/>
        <v>21.620670622750048</v>
      </c>
      <c r="AP39" s="238">
        <f t="shared" si="14"/>
        <v>20.90485426469268</v>
      </c>
      <c r="AQ39" s="238">
        <f t="shared" si="14"/>
        <v>20.440651297631792</v>
      </c>
      <c r="AR39" s="310">
        <f t="shared" si="14"/>
        <v>20.446133131584062</v>
      </c>
      <c r="AS39" s="238">
        <f>SUM(AS40:AS50)</f>
        <v>20.725399419055883</v>
      </c>
      <c r="AT39" s="238"/>
      <c r="AU39" s="238">
        <f>SUM(AU40:AU50)</f>
        <v>22.972309522558902</v>
      </c>
      <c r="AV39" s="238"/>
      <c r="AW39" s="238"/>
      <c r="AX39" s="239">
        <f t="shared" ref="AX39" si="15">AS39-AU39</f>
        <v>-2.2469101035030192</v>
      </c>
      <c r="AY39" s="238">
        <f>SUM(AY40:AY50)</f>
        <v>18.899406605445247</v>
      </c>
      <c r="AZ39" s="240">
        <f t="shared" ref="AZ39" si="16">AS39-AY39</f>
        <v>1.825992813610636</v>
      </c>
      <c r="BA39" s="241">
        <f t="shared" ref="BA39:BA58" si="17">AU39/$AU$59</f>
        <v>0.77382795142053507</v>
      </c>
      <c r="BB39" s="242">
        <f t="shared" ref="BB39:BB47" si="18">AS39/$AS$59</f>
        <v>0.85614833959152525</v>
      </c>
      <c r="BC39" s="240">
        <f>BB39-BA39</f>
        <v>8.2320388170990189E-2</v>
      </c>
      <c r="BD39" s="243"/>
      <c r="BF39" s="158">
        <v>2</v>
      </c>
      <c r="BG39" s="238">
        <f t="shared" ref="BG39:BM39" si="19">SUM(BG40:BG50)</f>
        <v>18.954835583436338</v>
      </c>
      <c r="BH39" s="238">
        <f t="shared" si="19"/>
        <v>18.71219157958258</v>
      </c>
      <c r="BI39" s="238">
        <f t="shared" si="19"/>
        <v>18.581044081011644</v>
      </c>
      <c r="BJ39" s="238">
        <f t="shared" si="19"/>
        <v>18.540263848686028</v>
      </c>
      <c r="BK39" s="238">
        <f t="shared" si="19"/>
        <v>18.540263848686028</v>
      </c>
      <c r="BL39" s="238">
        <f t="shared" si="19"/>
        <v>18.515676660152188</v>
      </c>
      <c r="BM39" s="238">
        <f t="shared" si="19"/>
        <v>18.479647199713973</v>
      </c>
      <c r="BO39" s="244">
        <f>SUM(BO40:BO50)</f>
        <v>18.70728691217635</v>
      </c>
    </row>
    <row r="40" spans="1:67" ht="18.75" customHeight="1" x14ac:dyDescent="0.3">
      <c r="A40" s="170">
        <v>3</v>
      </c>
      <c r="B40" s="245">
        <v>1</v>
      </c>
      <c r="C40" s="246" t="s">
        <v>96</v>
      </c>
      <c r="D40" s="246" t="s">
        <v>47</v>
      </c>
      <c r="E40" s="324"/>
      <c r="F40" s="324"/>
      <c r="G40" s="324"/>
      <c r="H40" s="324"/>
      <c r="I40" s="324"/>
      <c r="J40" s="324"/>
      <c r="K40" s="324"/>
      <c r="L40" s="324"/>
      <c r="M40" s="324"/>
      <c r="N40" s="324"/>
      <c r="O40" s="324"/>
      <c r="P40" s="324"/>
      <c r="Q40" s="324"/>
      <c r="R40" s="324"/>
      <c r="S40" s="324"/>
      <c r="T40" s="324"/>
      <c r="U40" s="324"/>
      <c r="V40" s="324"/>
      <c r="W40" s="324"/>
      <c r="X40" s="324"/>
      <c r="Y40" s="324"/>
      <c r="Z40" s="324"/>
      <c r="AA40" s="324"/>
      <c r="AB40" s="324"/>
      <c r="AC40" s="324"/>
      <c r="AD40" s="324"/>
      <c r="AE40" s="324"/>
      <c r="AF40" s="324"/>
      <c r="AG40" s="247">
        <f t="shared" ref="AG40:AR41" si="20">AG10/AG$30</f>
        <v>17.351007297036663</v>
      </c>
      <c r="AH40" s="247">
        <f t="shared" si="20"/>
        <v>18.684196801383731</v>
      </c>
      <c r="AI40" s="247">
        <f t="shared" si="20"/>
        <v>18.83512308069216</v>
      </c>
      <c r="AJ40" s="247">
        <f t="shared" si="20"/>
        <v>19.509038092149947</v>
      </c>
      <c r="AK40" s="247">
        <f t="shared" si="20"/>
        <v>18.677036197917399</v>
      </c>
      <c r="AL40" s="247">
        <f t="shared" si="20"/>
        <v>18.148150232044589</v>
      </c>
      <c r="AM40" s="247">
        <f t="shared" si="20"/>
        <v>18.283593702204584</v>
      </c>
      <c r="AN40" s="247">
        <f t="shared" si="20"/>
        <v>18.161253005227746</v>
      </c>
      <c r="AO40" s="247">
        <f t="shared" si="20"/>
        <v>18.997197306667314</v>
      </c>
      <c r="AP40" s="247">
        <f t="shared" si="20"/>
        <v>18.690373015370334</v>
      </c>
      <c r="AQ40" s="247">
        <f t="shared" si="20"/>
        <v>18.319005490374114</v>
      </c>
      <c r="AR40" s="311">
        <f t="shared" si="20"/>
        <v>18.284387312413024</v>
      </c>
      <c r="AS40" s="248">
        <f>AS10/$AS$30</f>
        <v>18.507378036232243</v>
      </c>
      <c r="AT40" s="248"/>
      <c r="AU40" s="248">
        <f>AU10/AU$30</f>
        <v>19.326224119829444</v>
      </c>
      <c r="AV40" s="330"/>
      <c r="AW40" s="330"/>
      <c r="AX40" s="249">
        <f>AS40-AU40</f>
        <v>-0.8188460835972009</v>
      </c>
      <c r="AY40" s="248">
        <f>BO40</f>
        <v>16.64552711501112</v>
      </c>
      <c r="AZ40" s="250">
        <f>AS40-AY40</f>
        <v>1.8618509212211229</v>
      </c>
      <c r="BA40" s="251">
        <f t="shared" si="17"/>
        <v>0.65100865912744699</v>
      </c>
      <c r="BB40" s="252">
        <f t="shared" si="18"/>
        <v>0.76452379302973639</v>
      </c>
      <c r="BC40" s="250">
        <f>BB40-BA40</f>
        <v>0.1135151339022894</v>
      </c>
      <c r="BD40" s="253"/>
      <c r="BE40" s="158" t="s">
        <v>147</v>
      </c>
      <c r="BF40" s="186">
        <v>3</v>
      </c>
      <c r="BG40" s="254" cm="1">
        <f t="array" ref="BG40">AVERAGE(SMALL($AG40:AK$40,ROW(1:3)))</f>
        <v>18.2374134321126</v>
      </c>
      <c r="BH40" s="254" cm="1">
        <f t="array" ref="BH40">AVERAGE(SMALL($AG40:AL$40,ROW(1:3)))</f>
        <v>18.058731242332883</v>
      </c>
      <c r="BI40" s="254" cm="1">
        <f t="array" ref="BI40">AVERAGE(SMALL($AG40:AM$40,ROW(1:3)))</f>
        <v>17.927583743761947</v>
      </c>
      <c r="BJ40" s="254" cm="1">
        <f t="array" ref="BJ40">AVERAGE(SMALL($AG40:AN$40,ROW(1:3)))</f>
        <v>17.88680351143633</v>
      </c>
      <c r="BK40" s="254" cm="1">
        <f t="array" ref="BK40">AVERAGE(SMALL($AG40:AO$40,ROW(1:3)))</f>
        <v>17.88680351143633</v>
      </c>
      <c r="BL40" s="254" cm="1">
        <f t="array" ref="BL40">AVERAGE(SMALL($AG40:AP$40,ROW(1:3)))</f>
        <v>17.88680351143633</v>
      </c>
      <c r="BM40" s="254" cm="1">
        <f t="array" ref="BM40">AVERAGE(SMALL($AG40:AQ$40,ROW(1:3)))</f>
        <v>17.88680351143633</v>
      </c>
      <c r="BO40" s="255">
        <f t="shared" ref="BO40:BO50" si="21">AVERAGE(AG40:AR40)*90%</f>
        <v>16.64552711501112</v>
      </c>
    </row>
    <row r="41" spans="1:67" ht="18.75" customHeight="1" x14ac:dyDescent="0.3">
      <c r="A41" s="170">
        <v>4</v>
      </c>
      <c r="B41" s="256">
        <f>B40+1</f>
        <v>2</v>
      </c>
      <c r="C41" s="257" t="s">
        <v>96</v>
      </c>
      <c r="D41" s="257" t="s">
        <v>25</v>
      </c>
      <c r="E41" s="257"/>
      <c r="F41" s="257"/>
      <c r="G41" s="257"/>
      <c r="H41" s="257"/>
      <c r="I41" s="257"/>
      <c r="J41" s="257"/>
      <c r="K41" s="257"/>
      <c r="L41" s="257"/>
      <c r="M41" s="257"/>
      <c r="N41" s="257"/>
      <c r="O41" s="257"/>
      <c r="P41" s="257"/>
      <c r="Q41" s="257"/>
      <c r="R41" s="257"/>
      <c r="S41" s="257"/>
      <c r="T41" s="257"/>
      <c r="U41" s="257"/>
      <c r="V41" s="257"/>
      <c r="W41" s="257"/>
      <c r="X41" s="257"/>
      <c r="Y41" s="257"/>
      <c r="Z41" s="257"/>
      <c r="AA41" s="257"/>
      <c r="AB41" s="257"/>
      <c r="AC41" s="257"/>
      <c r="AD41" s="257"/>
      <c r="AE41" s="257"/>
      <c r="AF41" s="257"/>
      <c r="AG41" s="247">
        <f t="shared" si="20"/>
        <v>1.1519559582529626</v>
      </c>
      <c r="AH41" s="247">
        <f t="shared" si="20"/>
        <v>1.4092069972957479</v>
      </c>
      <c r="AI41" s="247">
        <f t="shared" si="20"/>
        <v>1.0380261865870659</v>
      </c>
      <c r="AJ41" s="247">
        <f t="shared" si="20"/>
        <v>1.300083014000847</v>
      </c>
      <c r="AK41" s="247">
        <f t="shared" si="20"/>
        <v>1.2590749625102569</v>
      </c>
      <c r="AL41" s="247">
        <f t="shared" si="20"/>
        <v>1.3690785738615867</v>
      </c>
      <c r="AM41" s="258">
        <f t="shared" si="20"/>
        <v>1.6093813629700433</v>
      </c>
      <c r="AN41" s="247">
        <f t="shared" si="20"/>
        <v>1.5886035348726906</v>
      </c>
      <c r="AO41" s="247">
        <f t="shared" si="20"/>
        <v>1.6538538380210586</v>
      </c>
      <c r="AP41" s="247">
        <f t="shared" si="20"/>
        <v>1.2825760017739389</v>
      </c>
      <c r="AQ41" s="247">
        <f t="shared" si="20"/>
        <v>1.3339495158203598</v>
      </c>
      <c r="AR41" s="311">
        <f t="shared" si="20"/>
        <v>1.4670998068758305</v>
      </c>
      <c r="AS41" s="247">
        <f>AS11/$AS$30</f>
        <v>1.327963674283096</v>
      </c>
      <c r="AT41" s="247"/>
      <c r="AU41" s="247">
        <f>AU11/AU$30</f>
        <v>1.4667121529041156</v>
      </c>
      <c r="AV41" s="247"/>
      <c r="AW41" s="247"/>
      <c r="AX41" s="249">
        <f t="shared" ref="AX41:AX53" si="22">AS41-AU41</f>
        <v>-0.13874847862101958</v>
      </c>
      <c r="AY41" s="247">
        <f>780*1770/10^6</f>
        <v>1.3806</v>
      </c>
      <c r="AZ41" s="249">
        <f t="shared" ref="AZ41" si="23">AS41-AY41</f>
        <v>-5.263632571690402E-2</v>
      </c>
      <c r="BA41" s="259">
        <f t="shared" si="17"/>
        <v>4.940656312726574E-2</v>
      </c>
      <c r="BB41" s="260">
        <f t="shared" si="18"/>
        <v>5.4857031789215339E-2</v>
      </c>
      <c r="BC41" s="249">
        <f t="shared" ref="BC41:BC53" si="24">BB41-BA41</f>
        <v>5.4504686619495993E-3</v>
      </c>
      <c r="BD41" s="261"/>
      <c r="BF41" s="158">
        <v>4</v>
      </c>
      <c r="BG41" s="254"/>
      <c r="BH41" s="254"/>
      <c r="BI41" s="254"/>
      <c r="BJ41" s="254"/>
      <c r="BK41" s="254"/>
      <c r="BL41" s="254"/>
      <c r="BM41" s="254"/>
      <c r="BO41" s="255">
        <f t="shared" si="21"/>
        <v>1.2347167314631793</v>
      </c>
    </row>
    <row r="42" spans="1:67" ht="18.75" customHeight="1" x14ac:dyDescent="0.3">
      <c r="A42" s="170">
        <v>6</v>
      </c>
      <c r="B42" s="256">
        <f t="shared" ref="B42:B50" si="25">B41+1</f>
        <v>3</v>
      </c>
      <c r="C42" s="257" t="s">
        <v>96</v>
      </c>
      <c r="D42" s="257" t="s">
        <v>166</v>
      </c>
      <c r="E42" s="257"/>
      <c r="F42" s="257"/>
      <c r="G42" s="257"/>
      <c r="H42" s="257"/>
      <c r="I42" s="257"/>
      <c r="J42" s="257"/>
      <c r="K42" s="257"/>
      <c r="L42" s="257"/>
      <c r="M42" s="257"/>
      <c r="N42" s="257"/>
      <c r="O42" s="257"/>
      <c r="P42" s="257"/>
      <c r="Q42" s="257"/>
      <c r="R42" s="257"/>
      <c r="S42" s="257"/>
      <c r="T42" s="257"/>
      <c r="U42" s="257"/>
      <c r="V42" s="257"/>
      <c r="W42" s="257"/>
      <c r="X42" s="257"/>
      <c r="Y42" s="257"/>
      <c r="Z42" s="257"/>
      <c r="AA42" s="257"/>
      <c r="AB42" s="257"/>
      <c r="AC42" s="257"/>
      <c r="AD42" s="257"/>
      <c r="AE42" s="257"/>
      <c r="AF42" s="257"/>
      <c r="AG42" s="247">
        <f>AG12/AG36</f>
        <v>4.6446818392940088E-3</v>
      </c>
      <c r="AH42" s="247">
        <f t="shared" ref="AH42:AU42" si="26">AH12/AH36</f>
        <v>0</v>
      </c>
      <c r="AI42" s="247">
        <f t="shared" si="26"/>
        <v>-1.7193947730398899E-3</v>
      </c>
      <c r="AJ42" s="247">
        <f t="shared" si="26"/>
        <v>0</v>
      </c>
      <c r="AK42" s="247">
        <f t="shared" si="26"/>
        <v>9.9937539038101181E-3</v>
      </c>
      <c r="AL42" s="247">
        <f t="shared" si="26"/>
        <v>0</v>
      </c>
      <c r="AM42" s="247">
        <f t="shared" si="26"/>
        <v>0</v>
      </c>
      <c r="AN42" s="247">
        <f t="shared" si="26"/>
        <v>0</v>
      </c>
      <c r="AO42" s="247">
        <f t="shared" si="26"/>
        <v>0</v>
      </c>
      <c r="AP42" s="247">
        <f t="shared" si="26"/>
        <v>0</v>
      </c>
      <c r="AQ42" s="247">
        <f t="shared" si="26"/>
        <v>1.1860033216273437E-2</v>
      </c>
      <c r="AR42" s="311">
        <f t="shared" si="26"/>
        <v>0</v>
      </c>
      <c r="AS42" s="247">
        <f t="shared" si="26"/>
        <v>1.7268059844897396E-3</v>
      </c>
      <c r="AT42" s="247"/>
      <c r="AU42" s="247">
        <f t="shared" si="26"/>
        <v>0.75801172388268157</v>
      </c>
      <c r="AV42" s="247"/>
      <c r="AW42" s="247"/>
      <c r="AX42" s="249">
        <f t="shared" si="22"/>
        <v>-0.75628491789819186</v>
      </c>
      <c r="AY42" s="247">
        <f t="shared" ref="AY42:AY47" si="27">BO42</f>
        <v>1.8584305639753255E-3</v>
      </c>
      <c r="AZ42" s="249">
        <f>AS42-AY42</f>
        <v>-1.3162457948558593E-4</v>
      </c>
      <c r="BA42" s="259">
        <f t="shared" si="17"/>
        <v>2.5533813170542079E-2</v>
      </c>
      <c r="BB42" s="260">
        <f t="shared" si="18"/>
        <v>7.13328629535742E-5</v>
      </c>
      <c r="BC42" s="249">
        <f t="shared" si="24"/>
        <v>-2.5462480307588506E-2</v>
      </c>
      <c r="BD42" s="261"/>
      <c r="BE42" s="158" t="s">
        <v>147</v>
      </c>
      <c r="BF42" s="186">
        <v>5</v>
      </c>
      <c r="BG42" s="254" cm="1">
        <f t="array" ref="BG42">AVERAGE(SMALL($AG42:AK42,ROW(1:3)))</f>
        <v>-5.7313159101329662E-4</v>
      </c>
      <c r="BH42" s="254" cm="1">
        <f t="array" ref="BH42">AVERAGE(SMALL($AG42:AL42,ROW(1:3)))</f>
        <v>-5.7313159101329662E-4</v>
      </c>
      <c r="BI42" s="254" cm="1">
        <f t="array" ref="BI42">AVERAGE(SMALL($AG42:AM42,ROW(1:3)))</f>
        <v>-5.7313159101329662E-4</v>
      </c>
      <c r="BJ42" s="254" cm="1">
        <f t="array" ref="BJ42">AVERAGE(SMALL($AG42:AN42,ROW(1:3)))</f>
        <v>-5.7313159101329662E-4</v>
      </c>
      <c r="BK42" s="254" cm="1">
        <f t="array" ref="BK42">AVERAGE(SMALL($AG42:AO42,ROW(1:3)))</f>
        <v>-5.7313159101329662E-4</v>
      </c>
      <c r="BL42" s="254" cm="1">
        <f t="array" ref="BL42">AVERAGE(SMALL($AG42:AP42,ROW(1:3)))</f>
        <v>-5.7313159101329662E-4</v>
      </c>
      <c r="BM42" s="254" cm="1">
        <f t="array" ref="BM42">AVERAGE(SMALL($AG42:AQ42,ROW(1:3)))</f>
        <v>-5.7313159101329662E-4</v>
      </c>
      <c r="BO42" s="255">
        <f t="shared" si="21"/>
        <v>1.8584305639753255E-3</v>
      </c>
    </row>
    <row r="43" spans="1:67" ht="18.75" customHeight="1" x14ac:dyDescent="0.3">
      <c r="A43" s="170">
        <v>7</v>
      </c>
      <c r="B43" s="256">
        <f t="shared" si="25"/>
        <v>4</v>
      </c>
      <c r="C43" s="257" t="s">
        <v>96</v>
      </c>
      <c r="D43" s="257" t="s">
        <v>54</v>
      </c>
      <c r="E43" s="257"/>
      <c r="F43" s="257"/>
      <c r="G43" s="257"/>
      <c r="H43" s="257"/>
      <c r="I43" s="257"/>
      <c r="J43" s="257"/>
      <c r="K43" s="257"/>
      <c r="L43" s="257"/>
      <c r="M43" s="257"/>
      <c r="N43" s="257"/>
      <c r="O43" s="257"/>
      <c r="P43" s="257"/>
      <c r="Q43" s="257"/>
      <c r="R43" s="257"/>
      <c r="S43" s="257"/>
      <c r="T43" s="257"/>
      <c r="U43" s="257"/>
      <c r="V43" s="257"/>
      <c r="W43" s="257"/>
      <c r="X43" s="257"/>
      <c r="Y43" s="257"/>
      <c r="Z43" s="257"/>
      <c r="AA43" s="257"/>
      <c r="AB43" s="257"/>
      <c r="AC43" s="257"/>
      <c r="AD43" s="257"/>
      <c r="AE43" s="257"/>
      <c r="AF43" s="257"/>
      <c r="AG43" s="247">
        <f t="shared" ref="AG43:AR50" si="28">AG13/AG$30</f>
        <v>0.36425936944763326</v>
      </c>
      <c r="AH43" s="247">
        <f t="shared" si="28"/>
        <v>0.51852029658616339</v>
      </c>
      <c r="AI43" s="247">
        <f t="shared" si="28"/>
        <v>0.36103649265037152</v>
      </c>
      <c r="AJ43" s="247">
        <f t="shared" si="28"/>
        <v>0.23105783178525657</v>
      </c>
      <c r="AK43" s="247">
        <f t="shared" si="28"/>
        <v>0.22002076224429171</v>
      </c>
      <c r="AL43" s="247">
        <f t="shared" si="28"/>
        <v>0.16915105042825263</v>
      </c>
      <c r="AM43" s="258">
        <f t="shared" si="28"/>
        <v>0.57719568503729857</v>
      </c>
      <c r="AN43" s="247">
        <f t="shared" si="28"/>
        <v>0.25052672670239096</v>
      </c>
      <c r="AO43" s="247">
        <f t="shared" si="28"/>
        <v>0.38290180712672073</v>
      </c>
      <c r="AP43" s="247">
        <f t="shared" si="28"/>
        <v>0.44104005837972288</v>
      </c>
      <c r="AQ43" s="247">
        <f t="shared" si="28"/>
        <v>0.36032087970905868</v>
      </c>
      <c r="AR43" s="311">
        <f t="shared" si="28"/>
        <v>9.6922859503289022E-2</v>
      </c>
      <c r="AS43" s="247">
        <f t="shared" ref="AS43:AS50" si="29">AS13/$AS$30</f>
        <v>0.32217463623852971</v>
      </c>
      <c r="AT43" s="247"/>
      <c r="AU43" s="247">
        <f t="shared" ref="AU43:AU50" si="30">AU13/AU$30</f>
        <v>0.49458949717465928</v>
      </c>
      <c r="AV43" s="247"/>
      <c r="AW43" s="247"/>
      <c r="AX43" s="249">
        <f t="shared" si="22"/>
        <v>-0.17241486093612957</v>
      </c>
      <c r="AY43" s="247">
        <f t="shared" si="27"/>
        <v>0.29797153647003377</v>
      </c>
      <c r="AZ43" s="249">
        <f t="shared" ref="AZ43:AZ53" si="31">AS43-AY43</f>
        <v>2.4203099768495939E-2</v>
      </c>
      <c r="BA43" s="259">
        <f t="shared" si="17"/>
        <v>1.6660370043200898E-2</v>
      </c>
      <c r="BB43" s="260">
        <f t="shared" si="18"/>
        <v>1.3308755807162431E-2</v>
      </c>
      <c r="BC43" s="249">
        <f t="shared" si="24"/>
        <v>-3.3516142360384676E-3</v>
      </c>
      <c r="BD43" s="261"/>
      <c r="BE43" s="158" t="s">
        <v>147</v>
      </c>
      <c r="BF43" s="158">
        <v>6</v>
      </c>
      <c r="BG43" s="254" cm="1">
        <f t="array" ref="BG43">AVERAGE(SMALL($AG43:AK43,ROW(1:3)))</f>
        <v>0.27070502889330661</v>
      </c>
      <c r="BH43" s="254" cm="1">
        <f t="array" ref="BH43">AVERAGE(SMALL($AG43:AL43,ROW(1:3)))</f>
        <v>0.20674321481926694</v>
      </c>
      <c r="BI43" s="254" cm="1">
        <f t="array" ref="BI43">AVERAGE(SMALL($AG43:AM43,ROW(1:3)))</f>
        <v>0.20674321481926694</v>
      </c>
      <c r="BJ43" s="254" cm="1">
        <f t="array" ref="BJ43">AVERAGE(SMALL($AG43:AN43,ROW(1:3)))</f>
        <v>0.20674321481926694</v>
      </c>
      <c r="BK43" s="254" cm="1">
        <f t="array" ref="BK43">AVERAGE(SMALL($AG43:AO43,ROW(1:3)))</f>
        <v>0.20674321481926694</v>
      </c>
      <c r="BL43" s="254" cm="1">
        <f t="array" ref="BL43">AVERAGE(SMALL($AG43:AP43,ROW(1:3)))</f>
        <v>0.20674321481926694</v>
      </c>
      <c r="BM43" s="254" cm="1">
        <f t="array" ref="BM43">AVERAGE(SMALL($AG43:AQ43,ROW(1:3)))</f>
        <v>0.20674321481926694</v>
      </c>
      <c r="BO43" s="255">
        <f t="shared" si="21"/>
        <v>0.29797153647003377</v>
      </c>
    </row>
    <row r="44" spans="1:67" ht="18.75" customHeight="1" x14ac:dyDescent="0.3">
      <c r="A44" s="170">
        <v>8</v>
      </c>
      <c r="B44" s="256">
        <f t="shared" si="25"/>
        <v>5</v>
      </c>
      <c r="C44" s="257" t="s">
        <v>96</v>
      </c>
      <c r="D44" s="257" t="s">
        <v>49</v>
      </c>
      <c r="E44" s="257"/>
      <c r="F44" s="257"/>
      <c r="G44" s="257"/>
      <c r="H44" s="257"/>
      <c r="I44" s="257"/>
      <c r="J44" s="257"/>
      <c r="K44" s="257"/>
      <c r="L44" s="257"/>
      <c r="M44" s="257"/>
      <c r="N44" s="257"/>
      <c r="O44" s="257"/>
      <c r="P44" s="257"/>
      <c r="Q44" s="257"/>
      <c r="R44" s="257"/>
      <c r="S44" s="257"/>
      <c r="T44" s="257"/>
      <c r="U44" s="257"/>
      <c r="V44" s="257"/>
      <c r="W44" s="257"/>
      <c r="X44" s="257"/>
      <c r="Y44" s="257"/>
      <c r="Z44" s="257"/>
      <c r="AA44" s="257"/>
      <c r="AB44" s="257"/>
      <c r="AC44" s="257"/>
      <c r="AD44" s="257"/>
      <c r="AE44" s="257"/>
      <c r="AF44" s="257"/>
      <c r="AG44" s="247">
        <f t="shared" si="28"/>
        <v>0.21568783334207325</v>
      </c>
      <c r="AH44" s="247">
        <f t="shared" si="28"/>
        <v>0.16903345666601291</v>
      </c>
      <c r="AI44" s="247">
        <f t="shared" si="28"/>
        <v>0.17002173539213608</v>
      </c>
      <c r="AJ44" s="247">
        <f t="shared" si="28"/>
        <v>0.29040602080829031</v>
      </c>
      <c r="AK44" s="247">
        <f t="shared" si="28"/>
        <v>0.19998875228475232</v>
      </c>
      <c r="AL44" s="247">
        <f t="shared" si="28"/>
        <v>0.25780277873905111</v>
      </c>
      <c r="AM44" s="258">
        <f t="shared" si="28"/>
        <v>0.22515636907798009</v>
      </c>
      <c r="AN44" s="247">
        <f t="shared" si="28"/>
        <v>0.24916105140855599</v>
      </c>
      <c r="AO44" s="247">
        <f t="shared" si="28"/>
        <v>0.20804562063788179</v>
      </c>
      <c r="AP44" s="247">
        <f t="shared" si="28"/>
        <v>0.13982137770695383</v>
      </c>
      <c r="AQ44" s="247">
        <f t="shared" si="28"/>
        <v>7.9250675912390101E-2</v>
      </c>
      <c r="AR44" s="311">
        <f t="shared" si="28"/>
        <v>0.18269170483915698</v>
      </c>
      <c r="AS44" s="247">
        <f t="shared" si="29"/>
        <v>0.19396927676829148</v>
      </c>
      <c r="AT44" s="247"/>
      <c r="AU44" s="247">
        <f t="shared" si="30"/>
        <v>0.31390168503940036</v>
      </c>
      <c r="AV44" s="247"/>
      <c r="AW44" s="247"/>
      <c r="AX44" s="249">
        <f t="shared" si="22"/>
        <v>-0.11993240827110888</v>
      </c>
      <c r="AY44" s="247">
        <f t="shared" si="27"/>
        <v>0.1790300532611426</v>
      </c>
      <c r="AZ44" s="249">
        <f t="shared" si="31"/>
        <v>1.493922350714888E-2</v>
      </c>
      <c r="BA44" s="259">
        <f t="shared" si="17"/>
        <v>1.0573856217763329E-2</v>
      </c>
      <c r="BB44" s="260">
        <f t="shared" si="18"/>
        <v>8.0127031995461881E-3</v>
      </c>
      <c r="BC44" s="249">
        <f t="shared" si="24"/>
        <v>-2.5611530182171414E-3</v>
      </c>
      <c r="BD44" s="261"/>
      <c r="BF44" s="186">
        <v>7</v>
      </c>
      <c r="BG44" s="254" cm="1">
        <f t="array" ref="BG44">AVERAGE(SMALL($AG44:AK44,ROW(1:3)))</f>
        <v>0.17968131478096713</v>
      </c>
      <c r="BH44" s="254" cm="1">
        <f t="array" ref="BH44">AVERAGE(SMALL($AG44:AL44,ROW(1:3)))</f>
        <v>0.17968131478096713</v>
      </c>
      <c r="BI44" s="254" cm="1">
        <f t="array" ref="BI44">AVERAGE(SMALL($AG44:AM44,ROW(1:3)))</f>
        <v>0.17968131478096713</v>
      </c>
      <c r="BJ44" s="254" cm="1">
        <f t="array" ref="BJ44">AVERAGE(SMALL($AG44:AN44,ROW(1:3)))</f>
        <v>0.17968131478096713</v>
      </c>
      <c r="BK44" s="254" cm="1">
        <f t="array" ref="BK44">AVERAGE(SMALL($AG44:AO44,ROW(1:3)))</f>
        <v>0.17968131478096713</v>
      </c>
      <c r="BL44" s="254" cm="1">
        <f t="array" ref="BL44">AVERAGE(SMALL($AG44:AP44,ROW(1:3)))</f>
        <v>0.15962552325503429</v>
      </c>
      <c r="BM44" s="254" cm="1">
        <f t="array" ref="BM44">AVERAGE(SMALL($AG44:AQ44,ROW(1:3)))</f>
        <v>0.12936850342845227</v>
      </c>
      <c r="BO44" s="255">
        <f t="shared" si="21"/>
        <v>0.1790300532611426</v>
      </c>
    </row>
    <row r="45" spans="1:67" ht="18.75" customHeight="1" x14ac:dyDescent="0.3">
      <c r="A45" s="170">
        <v>9</v>
      </c>
      <c r="B45" s="256">
        <f t="shared" si="25"/>
        <v>6</v>
      </c>
      <c r="C45" s="257" t="s">
        <v>96</v>
      </c>
      <c r="D45" s="257" t="s">
        <v>56</v>
      </c>
      <c r="E45" s="257"/>
      <c r="F45" s="257"/>
      <c r="G45" s="257"/>
      <c r="H45" s="257"/>
      <c r="I45" s="257"/>
      <c r="J45" s="257"/>
      <c r="K45" s="257"/>
      <c r="L45" s="257"/>
      <c r="M45" s="257"/>
      <c r="N45" s="257"/>
      <c r="O45" s="257"/>
      <c r="P45" s="257"/>
      <c r="Q45" s="257"/>
      <c r="R45" s="257"/>
      <c r="S45" s="257"/>
      <c r="T45" s="257"/>
      <c r="U45" s="257"/>
      <c r="V45" s="257"/>
      <c r="W45" s="257"/>
      <c r="X45" s="257"/>
      <c r="Y45" s="257"/>
      <c r="Z45" s="257"/>
      <c r="AA45" s="257"/>
      <c r="AB45" s="257"/>
      <c r="AC45" s="257"/>
      <c r="AD45" s="257"/>
      <c r="AE45" s="257"/>
      <c r="AF45" s="257"/>
      <c r="AG45" s="247">
        <f t="shared" si="28"/>
        <v>0.19249577376217616</v>
      </c>
      <c r="AH45" s="247">
        <f t="shared" si="28"/>
        <v>0.14601927283835794</v>
      </c>
      <c r="AI45" s="247">
        <f t="shared" si="28"/>
        <v>0.15544548159294574</v>
      </c>
      <c r="AJ45" s="247">
        <f t="shared" si="28"/>
        <v>0.14937582176795572</v>
      </c>
      <c r="AK45" s="247">
        <f t="shared" si="28"/>
        <v>0.15687076841241551</v>
      </c>
      <c r="AL45" s="247">
        <f t="shared" si="28"/>
        <v>0.22402134747056165</v>
      </c>
      <c r="AM45" s="247">
        <f t="shared" si="28"/>
        <v>0.17222814108691273</v>
      </c>
      <c r="AN45" s="247">
        <f t="shared" si="28"/>
        <v>0.16486599386796169</v>
      </c>
      <c r="AO45" s="247">
        <f t="shared" si="28"/>
        <v>0.18446355088199803</v>
      </c>
      <c r="AP45" s="247">
        <f t="shared" si="28"/>
        <v>0.16472709680717845</v>
      </c>
      <c r="AQ45" s="247">
        <f t="shared" si="28"/>
        <v>0.17266014867454996</v>
      </c>
      <c r="AR45" s="311">
        <f t="shared" si="28"/>
        <v>0.18448353831225128</v>
      </c>
      <c r="AS45" s="247">
        <f t="shared" si="29"/>
        <v>0.17167991598156684</v>
      </c>
      <c r="AT45" s="247"/>
      <c r="AU45" s="247">
        <f t="shared" si="30"/>
        <v>0.18593108047532295</v>
      </c>
      <c r="AV45" s="247"/>
      <c r="AW45" s="247"/>
      <c r="AX45" s="249">
        <f t="shared" si="22"/>
        <v>-1.4251164493756102E-2</v>
      </c>
      <c r="AY45" s="247">
        <f t="shared" si="27"/>
        <v>0.1550742701606449</v>
      </c>
      <c r="AZ45" s="249">
        <f t="shared" si="31"/>
        <v>1.6605645820921944E-2</v>
      </c>
      <c r="BA45" s="259">
        <f t="shared" si="17"/>
        <v>6.2631346216337697E-3</v>
      </c>
      <c r="BB45" s="260">
        <f t="shared" si="18"/>
        <v>7.0919489673954205E-3</v>
      </c>
      <c r="BC45" s="249">
        <f t="shared" si="24"/>
        <v>8.2881434576165085E-4</v>
      </c>
      <c r="BD45" s="261"/>
      <c r="BE45" s="158" t="s">
        <v>147</v>
      </c>
      <c r="BF45" s="158">
        <v>8</v>
      </c>
      <c r="BG45" s="254" cm="1">
        <f t="array" ref="BG45">AVERAGE(SMALL($AG45:AK45,ROW(1:3)))</f>
        <v>0.15028019206641979</v>
      </c>
      <c r="BH45" s="254" cm="1">
        <f t="array" ref="BH45">AVERAGE(SMALL($AG45:AL45,ROW(1:3)))</f>
        <v>0.15028019206641979</v>
      </c>
      <c r="BI45" s="254" cm="1">
        <f t="array" ref="BI45">AVERAGE(SMALL($AG45:AM45,ROW(1:3)))</f>
        <v>0.15028019206641979</v>
      </c>
      <c r="BJ45" s="254" cm="1">
        <f t="array" ref="BJ45">AVERAGE(SMALL($AG45:AN45,ROW(1:3)))</f>
        <v>0.15028019206641979</v>
      </c>
      <c r="BK45" s="254" cm="1">
        <f t="array" ref="BK45">AVERAGE(SMALL($AG45:AO45,ROW(1:3)))</f>
        <v>0.15028019206641979</v>
      </c>
      <c r="BL45" s="254" cm="1">
        <f t="array" ref="BL45">AVERAGE(SMALL($AG45:AP45,ROW(1:3)))</f>
        <v>0.15028019206641979</v>
      </c>
      <c r="BM45" s="254" cm="1">
        <f t="array" ref="BM45">AVERAGE(SMALL($AG45:AQ45,ROW(1:3)))</f>
        <v>0.15028019206641979</v>
      </c>
      <c r="BO45" s="255">
        <f t="shared" si="21"/>
        <v>0.1550742701606449</v>
      </c>
    </row>
    <row r="46" spans="1:67" ht="18.75" customHeight="1" x14ac:dyDescent="0.3">
      <c r="A46" s="170">
        <v>10</v>
      </c>
      <c r="B46" s="256">
        <f t="shared" si="25"/>
        <v>7</v>
      </c>
      <c r="C46" s="257" t="s">
        <v>96</v>
      </c>
      <c r="D46" s="257" t="s">
        <v>28</v>
      </c>
      <c r="E46" s="257"/>
      <c r="F46" s="257"/>
      <c r="G46" s="257"/>
      <c r="H46" s="257"/>
      <c r="I46" s="257"/>
      <c r="J46" s="257"/>
      <c r="K46" s="257"/>
      <c r="L46" s="257"/>
      <c r="M46" s="257"/>
      <c r="N46" s="257"/>
      <c r="O46" s="257"/>
      <c r="P46" s="257"/>
      <c r="Q46" s="257"/>
      <c r="R46" s="257"/>
      <c r="S46" s="257"/>
      <c r="T46" s="257"/>
      <c r="U46" s="257"/>
      <c r="V46" s="257"/>
      <c r="W46" s="257"/>
      <c r="X46" s="257"/>
      <c r="Y46" s="257"/>
      <c r="Z46" s="257"/>
      <c r="AA46" s="257"/>
      <c r="AB46" s="257"/>
      <c r="AC46" s="257"/>
      <c r="AD46" s="257"/>
      <c r="AE46" s="257"/>
      <c r="AF46" s="257"/>
      <c r="AG46" s="247">
        <f t="shared" si="28"/>
        <v>7.9501268977002992E-2</v>
      </c>
      <c r="AH46" s="247">
        <f t="shared" si="28"/>
        <v>8.7219735370076643E-2</v>
      </c>
      <c r="AI46" s="247">
        <f>AI16/AI$30</f>
        <v>8.0604210652723468E-2</v>
      </c>
      <c r="AJ46" s="247">
        <f t="shared" si="28"/>
        <v>8.2036054064527214E-2</v>
      </c>
      <c r="AK46" s="247">
        <f t="shared" si="28"/>
        <v>8.3208031463090304E-2</v>
      </c>
      <c r="AL46" s="247">
        <f t="shared" si="28"/>
        <v>9.3403186112341788E-2</v>
      </c>
      <c r="AM46" s="247">
        <f t="shared" si="28"/>
        <v>0.15931114580609765</v>
      </c>
      <c r="AN46" s="247">
        <f t="shared" si="28"/>
        <v>0.11512986398459353</v>
      </c>
      <c r="AO46" s="247">
        <f t="shared" si="28"/>
        <v>8.9836532810945141E-2</v>
      </c>
      <c r="AP46" s="247">
        <f t="shared" si="28"/>
        <v>6.8441863040807002E-2</v>
      </c>
      <c r="AQ46" s="247">
        <f t="shared" si="28"/>
        <v>6.3286888817830206E-2</v>
      </c>
      <c r="AR46" s="311">
        <f t="shared" si="28"/>
        <v>8.2315403339215165E-2</v>
      </c>
      <c r="AS46" s="247">
        <f t="shared" si="29"/>
        <v>8.5034141984292877E-2</v>
      </c>
      <c r="AT46" s="247"/>
      <c r="AU46" s="247">
        <f t="shared" si="30"/>
        <v>0.16522426015083144</v>
      </c>
      <c r="AV46" s="247"/>
      <c r="AW46" s="247"/>
      <c r="AX46" s="249">
        <f t="shared" si="22"/>
        <v>-8.0190118166538565E-2</v>
      </c>
      <c r="AY46" s="247">
        <f t="shared" si="27"/>
        <v>8.1322063832943853E-2</v>
      </c>
      <c r="AZ46" s="249">
        <f t="shared" si="31"/>
        <v>3.7120781513490242E-3</v>
      </c>
      <c r="BA46" s="259">
        <f t="shared" si="17"/>
        <v>5.5656202364824121E-3</v>
      </c>
      <c r="BB46" s="260">
        <f t="shared" si="18"/>
        <v>3.5126869208370964E-3</v>
      </c>
      <c r="BC46" s="249">
        <f t="shared" si="24"/>
        <v>-2.0529333156453157E-3</v>
      </c>
      <c r="BD46" s="261"/>
      <c r="BF46" s="186">
        <v>9</v>
      </c>
      <c r="BG46" s="254" cm="1">
        <f t="array" ref="BG46">AVERAGE(SMALL($AG46:AK46,ROW(1:3)))</f>
        <v>8.0713844564751225E-2</v>
      </c>
      <c r="BH46" s="254" cm="1">
        <f t="array" ref="BH46">AVERAGE(SMALL($AG46:AL46,ROW(1:3)))</f>
        <v>8.0713844564751225E-2</v>
      </c>
      <c r="BI46" s="254" cm="1">
        <f t="array" ref="BI46">AVERAGE(SMALL($AG46:AM46,ROW(1:3)))</f>
        <v>8.0713844564751225E-2</v>
      </c>
      <c r="BJ46" s="254" cm="1">
        <f t="array" ref="BJ46">AVERAGE(SMALL($AG46:AN46,ROW(1:3)))</f>
        <v>8.0713844564751225E-2</v>
      </c>
      <c r="BK46" s="254" cm="1">
        <f t="array" ref="BK46">AVERAGE(SMALL($AG46:AO46,ROW(1:3)))</f>
        <v>8.0713844564751225E-2</v>
      </c>
      <c r="BL46" s="254" cm="1">
        <f t="array" ref="BL46">AVERAGE(SMALL($AG46:AP46,ROW(1:3)))</f>
        <v>7.6182447556844488E-2</v>
      </c>
      <c r="BM46" s="254" cm="1">
        <f t="array" ref="BM46">AVERAGE(SMALL($AG46:AQ46,ROW(1:3)))</f>
        <v>7.0410006945213391E-2</v>
      </c>
      <c r="BO46" s="255">
        <f t="shared" si="21"/>
        <v>8.1322063832943853E-2</v>
      </c>
    </row>
    <row r="47" spans="1:67" ht="18.75" customHeight="1" x14ac:dyDescent="0.3">
      <c r="A47" s="170">
        <v>11</v>
      </c>
      <c r="B47" s="256">
        <f t="shared" si="25"/>
        <v>8</v>
      </c>
      <c r="C47" s="257" t="s">
        <v>96</v>
      </c>
      <c r="D47" s="257" t="s">
        <v>53</v>
      </c>
      <c r="E47" s="257"/>
      <c r="F47" s="257"/>
      <c r="G47" s="257"/>
      <c r="H47" s="257"/>
      <c r="I47" s="257"/>
      <c r="J47" s="257"/>
      <c r="K47" s="257"/>
      <c r="L47" s="257"/>
      <c r="M47" s="257"/>
      <c r="N47" s="257"/>
      <c r="O47" s="257"/>
      <c r="P47" s="257"/>
      <c r="Q47" s="257"/>
      <c r="R47" s="257"/>
      <c r="S47" s="257"/>
      <c r="T47" s="257"/>
      <c r="U47" s="257"/>
      <c r="V47" s="257"/>
      <c r="W47" s="257"/>
      <c r="X47" s="257"/>
      <c r="Y47" s="257"/>
      <c r="Z47" s="257"/>
      <c r="AA47" s="257"/>
      <c r="AB47" s="257"/>
      <c r="AC47" s="257"/>
      <c r="AD47" s="257"/>
      <c r="AE47" s="257"/>
      <c r="AF47" s="257"/>
      <c r="AG47" s="247">
        <f t="shared" si="28"/>
        <v>3.5576873302160153E-2</v>
      </c>
      <c r="AH47" s="247">
        <f t="shared" si="28"/>
        <v>4.7517225001042211E-2</v>
      </c>
      <c r="AI47" s="247">
        <f t="shared" si="28"/>
        <v>2.6750609524719804E-2</v>
      </c>
      <c r="AJ47" s="247">
        <f t="shared" si="28"/>
        <v>4.7752052472964539E-2</v>
      </c>
      <c r="AK47" s="247">
        <f t="shared" si="28"/>
        <v>6.9009795206971689E-2</v>
      </c>
      <c r="AL47" s="247">
        <f t="shared" si="28"/>
        <v>8.4457196835146117E-2</v>
      </c>
      <c r="AM47" s="247">
        <f t="shared" si="28"/>
        <v>0.1000915965504087</v>
      </c>
      <c r="AN47" s="247">
        <f t="shared" si="28"/>
        <v>0.10593187896008477</v>
      </c>
      <c r="AO47" s="247">
        <f t="shared" si="28"/>
        <v>5.1820617470238355E-2</v>
      </c>
      <c r="AP47" s="247">
        <f t="shared" si="28"/>
        <v>6.341755768299305E-2</v>
      </c>
      <c r="AQ47" s="247">
        <f t="shared" si="28"/>
        <v>5.700006826657552E-2</v>
      </c>
      <c r="AR47" s="311">
        <f t="shared" si="28"/>
        <v>9.246188764977098E-2</v>
      </c>
      <c r="AS47" s="247">
        <f t="shared" si="29"/>
        <v>6.0344766034073405E-2</v>
      </c>
      <c r="AT47" s="247"/>
      <c r="AU47" s="247">
        <f t="shared" si="30"/>
        <v>0.12312496242643287</v>
      </c>
      <c r="AV47" s="247"/>
      <c r="AW47" s="247"/>
      <c r="AX47" s="249">
        <f t="shared" si="22"/>
        <v>-6.2780196392359461E-2</v>
      </c>
      <c r="AY47" s="247">
        <f t="shared" si="27"/>
        <v>5.8634051919230698E-2</v>
      </c>
      <c r="AZ47" s="249">
        <f t="shared" si="31"/>
        <v>1.7107141148427069E-3</v>
      </c>
      <c r="BA47" s="259">
        <f t="shared" si="17"/>
        <v>4.1474949373119831E-3</v>
      </c>
      <c r="BB47" s="260">
        <f t="shared" si="18"/>
        <v>2.4927901363198191E-3</v>
      </c>
      <c r="BC47" s="249">
        <f t="shared" si="24"/>
        <v>-1.654704800992164E-3</v>
      </c>
      <c r="BD47" s="261"/>
      <c r="BE47" s="158" t="s">
        <v>147</v>
      </c>
      <c r="BF47" s="158">
        <v>10</v>
      </c>
      <c r="BG47" s="254" cm="1">
        <f t="array" ref="BG47">AVERAGE(SMALL($AG47:AK47,ROW(1:3)))</f>
        <v>3.6614902609307387E-2</v>
      </c>
      <c r="BH47" s="254" cm="1">
        <f t="array" ref="BH47">AVERAGE(SMALL($AG47:AL47,ROW(1:3)))</f>
        <v>3.6614902609307387E-2</v>
      </c>
      <c r="BI47" s="254" cm="1">
        <f t="array" ref="BI47">AVERAGE(SMALL($AG47:AM47,ROW(1:3)))</f>
        <v>3.6614902609307387E-2</v>
      </c>
      <c r="BJ47" s="254" cm="1">
        <f t="array" ref="BJ47">AVERAGE(SMALL($AG47:AN47,ROW(1:3)))</f>
        <v>3.6614902609307387E-2</v>
      </c>
      <c r="BK47" s="254" cm="1">
        <f t="array" ref="BK47">AVERAGE(SMALL($AG47:AO47,ROW(1:3)))</f>
        <v>3.6614902609307387E-2</v>
      </c>
      <c r="BL47" s="254" cm="1">
        <f t="array" ref="BL47">AVERAGE(SMALL($AG47:AP47,ROW(1:3)))</f>
        <v>3.6614902609307387E-2</v>
      </c>
      <c r="BM47" s="254" cm="1">
        <f t="array" ref="BM47">AVERAGE(SMALL($AG47:AQ47,ROW(1:3)))</f>
        <v>3.6614902609307387E-2</v>
      </c>
      <c r="BO47" s="255">
        <f t="shared" si="21"/>
        <v>5.8634051919230698E-2</v>
      </c>
    </row>
    <row r="48" spans="1:67" ht="18.75" customHeight="1" x14ac:dyDescent="0.3">
      <c r="A48" s="170">
        <v>12</v>
      </c>
      <c r="B48" s="256">
        <f t="shared" si="25"/>
        <v>9</v>
      </c>
      <c r="C48" s="257" t="s">
        <v>96</v>
      </c>
      <c r="D48" s="257" t="s">
        <v>42</v>
      </c>
      <c r="E48" s="257"/>
      <c r="F48" s="257"/>
      <c r="G48" s="257"/>
      <c r="H48" s="257"/>
      <c r="I48" s="257"/>
      <c r="J48" s="257"/>
      <c r="K48" s="257"/>
      <c r="L48" s="257"/>
      <c r="M48" s="257"/>
      <c r="N48" s="257"/>
      <c r="O48" s="257"/>
      <c r="P48" s="257"/>
      <c r="Q48" s="257"/>
      <c r="R48" s="257"/>
      <c r="S48" s="257"/>
      <c r="T48" s="257"/>
      <c r="U48" s="257"/>
      <c r="V48" s="257"/>
      <c r="W48" s="257"/>
      <c r="X48" s="257"/>
      <c r="Y48" s="257"/>
      <c r="Z48" s="257"/>
      <c r="AA48" s="257"/>
      <c r="AB48" s="257"/>
      <c r="AC48" s="257"/>
      <c r="AD48" s="257"/>
      <c r="AE48" s="257"/>
      <c r="AF48" s="257"/>
      <c r="AG48" s="247">
        <f t="shared" si="28"/>
        <v>1.46039738745108E-2</v>
      </c>
      <c r="AH48" s="247">
        <f t="shared" si="28"/>
        <v>2.2448970135677343E-2</v>
      </c>
      <c r="AI48" s="247">
        <f t="shared" si="28"/>
        <v>1.469996781333696E-2</v>
      </c>
      <c r="AJ48" s="247">
        <f t="shared" si="28"/>
        <v>3.4134321793031018E-2</v>
      </c>
      <c r="AK48" s="247">
        <f t="shared" si="28"/>
        <v>2.5952324816795408E-2</v>
      </c>
      <c r="AL48" s="247">
        <f t="shared" si="28"/>
        <v>2.3417864483289263E-2</v>
      </c>
      <c r="AM48" s="247">
        <f t="shared" si="28"/>
        <v>3.9132589379476473E-2</v>
      </c>
      <c r="AN48" s="247">
        <f t="shared" si="28"/>
        <v>3.6270317308470724E-2</v>
      </c>
      <c r="AO48" s="247">
        <f t="shared" si="28"/>
        <v>2.1561051106778355E-2</v>
      </c>
      <c r="AP48" s="247">
        <f t="shared" si="28"/>
        <v>2.0357381311664084E-2</v>
      </c>
      <c r="AQ48" s="247">
        <f t="shared" si="28"/>
        <v>1.5656766128554336E-2</v>
      </c>
      <c r="AR48" s="311">
        <f t="shared" si="28"/>
        <v>2.1628591706228283E-2</v>
      </c>
      <c r="AS48" s="247">
        <f t="shared" si="29"/>
        <v>2.2706169441688132E-2</v>
      </c>
      <c r="AT48" s="247"/>
      <c r="AU48" s="247">
        <f t="shared" si="30"/>
        <v>5.7261738267998713E-2</v>
      </c>
      <c r="AV48" s="247"/>
      <c r="AW48" s="247"/>
      <c r="AX48" s="249">
        <f t="shared" si="22"/>
        <v>-3.4555568826310584E-2</v>
      </c>
      <c r="AY48" s="247">
        <v>0.05</v>
      </c>
      <c r="AZ48" s="249">
        <f t="shared" si="31"/>
        <v>-2.7293830558311871E-2</v>
      </c>
      <c r="BA48" s="259">
        <f t="shared" si="17"/>
        <v>1.9288758744605535E-3</v>
      </c>
      <c r="BB48" s="260">
        <f>AS48/$AS$59</f>
        <v>9.3797223749093276E-4</v>
      </c>
      <c r="BC48" s="249">
        <f t="shared" si="24"/>
        <v>-9.9090363696962072E-4</v>
      </c>
      <c r="BD48" s="261"/>
      <c r="BF48" s="186">
        <v>11</v>
      </c>
      <c r="BG48" s="254"/>
      <c r="BH48" s="254"/>
      <c r="BI48" s="254"/>
      <c r="BJ48" s="254"/>
      <c r="BK48" s="254"/>
      <c r="BL48" s="254"/>
      <c r="BM48" s="254"/>
      <c r="BO48" s="255">
        <f t="shared" si="21"/>
        <v>2.1739808989335977E-2</v>
      </c>
    </row>
    <row r="49" spans="1:67" ht="18.75" customHeight="1" x14ac:dyDescent="0.3">
      <c r="A49" s="170">
        <v>13</v>
      </c>
      <c r="B49" s="256">
        <f t="shared" si="25"/>
        <v>10</v>
      </c>
      <c r="C49" s="257" t="s">
        <v>96</v>
      </c>
      <c r="D49" s="257" t="s">
        <v>52</v>
      </c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Z49" s="257"/>
      <c r="AA49" s="257"/>
      <c r="AB49" s="257"/>
      <c r="AC49" s="257"/>
      <c r="AD49" s="257"/>
      <c r="AE49" s="257"/>
      <c r="AF49" s="257"/>
      <c r="AG49" s="247">
        <f t="shared" si="28"/>
        <v>2.2372063930916095E-2</v>
      </c>
      <c r="AH49" s="247">
        <f t="shared" si="28"/>
        <v>3.2569665764793601E-2</v>
      </c>
      <c r="AI49" s="247">
        <f t="shared" si="28"/>
        <v>2.4328736930805617E-2</v>
      </c>
      <c r="AJ49" s="247">
        <f t="shared" si="28"/>
        <v>2.6757256423415768E-2</v>
      </c>
      <c r="AK49" s="247">
        <f t="shared" si="28"/>
        <v>2.4603265597147955E-2</v>
      </c>
      <c r="AL49" s="247">
        <f t="shared" si="28"/>
        <v>3.2796522076997202E-2</v>
      </c>
      <c r="AM49" s="247">
        <f t="shared" si="28"/>
        <v>4.9155870263134206E-2</v>
      </c>
      <c r="AN49" s="247">
        <f t="shared" si="28"/>
        <v>4.2466988585378208E-2</v>
      </c>
      <c r="AO49" s="247">
        <f t="shared" si="28"/>
        <v>3.0949955449377235E-2</v>
      </c>
      <c r="AP49" s="247">
        <f t="shared" si="28"/>
        <v>2.4729486593149309E-2</v>
      </c>
      <c r="AQ49" s="247">
        <f t="shared" si="28"/>
        <v>2.530500563618061E-2</v>
      </c>
      <c r="AR49" s="311">
        <f t="shared" si="28"/>
        <v>3.1882066463268216E-2</v>
      </c>
      <c r="AS49" s="247">
        <f t="shared" si="29"/>
        <v>2.8683357659706858E-2</v>
      </c>
      <c r="AT49" s="247"/>
      <c r="AU49" s="247">
        <f t="shared" si="30"/>
        <v>6.5697715190336167E-2</v>
      </c>
      <c r="AV49" s="247"/>
      <c r="AW49" s="247"/>
      <c r="AX49" s="249">
        <f t="shared" si="22"/>
        <v>-3.7014357530629309E-2</v>
      </c>
      <c r="AY49" s="247">
        <f>14700*3.1/10^6</f>
        <v>4.5569999999999999E-2</v>
      </c>
      <c r="AZ49" s="249">
        <f t="shared" si="31"/>
        <v>-1.6886642340293141E-2</v>
      </c>
      <c r="BA49" s="259">
        <f t="shared" si="17"/>
        <v>2.2130438521570399E-3</v>
      </c>
      <c r="BB49" s="260">
        <f t="shared" ref="BB49:BB51" si="32">AS49/$AS$59</f>
        <v>1.1848847174298054E-3</v>
      </c>
      <c r="BC49" s="249">
        <f t="shared" si="24"/>
        <v>-1.0281591347272344E-3</v>
      </c>
      <c r="BD49" s="261"/>
      <c r="BF49" s="158">
        <v>12</v>
      </c>
      <c r="BG49" s="254"/>
      <c r="BH49" s="254"/>
      <c r="BI49" s="254"/>
      <c r="BJ49" s="254"/>
      <c r="BK49" s="254"/>
      <c r="BL49" s="254"/>
      <c r="BM49" s="254"/>
      <c r="BO49" s="255">
        <f t="shared" si="21"/>
        <v>2.7593766278592301E-2</v>
      </c>
    </row>
    <row r="50" spans="1:67" ht="18.75" customHeight="1" x14ac:dyDescent="0.3">
      <c r="A50" s="170">
        <v>14</v>
      </c>
      <c r="B50" s="256">
        <f t="shared" si="25"/>
        <v>11</v>
      </c>
      <c r="C50" s="262" t="s">
        <v>96</v>
      </c>
      <c r="D50" s="262" t="s">
        <v>55</v>
      </c>
      <c r="E50" s="325"/>
      <c r="F50" s="325"/>
      <c r="G50" s="325"/>
      <c r="H50" s="325"/>
      <c r="I50" s="325"/>
      <c r="J50" s="325"/>
      <c r="K50" s="325"/>
      <c r="L50" s="325"/>
      <c r="M50" s="325"/>
      <c r="N50" s="325"/>
      <c r="O50" s="325"/>
      <c r="P50" s="325"/>
      <c r="Q50" s="325"/>
      <c r="R50" s="325"/>
      <c r="S50" s="325"/>
      <c r="T50" s="325"/>
      <c r="U50" s="325"/>
      <c r="V50" s="325"/>
      <c r="W50" s="325"/>
      <c r="X50" s="325"/>
      <c r="Y50" s="325"/>
      <c r="Z50" s="325"/>
      <c r="AA50" s="325"/>
      <c r="AB50" s="325"/>
      <c r="AC50" s="325"/>
      <c r="AD50" s="325"/>
      <c r="AE50" s="325"/>
      <c r="AF50" s="325"/>
      <c r="AG50" s="247">
        <f t="shared" si="28"/>
        <v>4.8381960077189517E-3</v>
      </c>
      <c r="AH50" s="247">
        <f t="shared" si="28"/>
        <v>0</v>
      </c>
      <c r="AI50" s="247">
        <f t="shared" si="28"/>
        <v>4.7066745254407388E-3</v>
      </c>
      <c r="AJ50" s="247">
        <f t="shared" si="28"/>
        <v>0</v>
      </c>
      <c r="AK50" s="247">
        <f t="shared" si="28"/>
        <v>0</v>
      </c>
      <c r="AL50" s="247">
        <f t="shared" si="28"/>
        <v>3.007625159349249E-3</v>
      </c>
      <c r="AM50" s="247">
        <f t="shared" si="28"/>
        <v>1.0846087491373878E-2</v>
      </c>
      <c r="AN50" s="263">
        <f t="shared" si="28"/>
        <v>1.3495985669866473E-2</v>
      </c>
      <c r="AO50" s="247">
        <f t="shared" si="28"/>
        <v>4.0342577731933028E-5</v>
      </c>
      <c r="AP50" s="247">
        <f t="shared" si="28"/>
        <v>9.3704260259338378E-3</v>
      </c>
      <c r="AQ50" s="247">
        <f t="shared" si="28"/>
        <v>2.3558250759046833E-3</v>
      </c>
      <c r="AR50" s="312">
        <f t="shared" si="28"/>
        <v>2.2599604820296836E-3</v>
      </c>
      <c r="AS50" s="263">
        <f t="shared" si="29"/>
        <v>3.7386384479061699E-3</v>
      </c>
      <c r="AT50" s="263"/>
      <c r="AU50" s="263">
        <f t="shared" si="30"/>
        <v>1.5630587217676021E-2</v>
      </c>
      <c r="AV50" s="331"/>
      <c r="AW50" s="331"/>
      <c r="AX50" s="264">
        <f t="shared" si="22"/>
        <v>-1.1891948769769851E-2</v>
      </c>
      <c r="AY50" s="247">
        <f t="shared" ref="AY50" si="33">BO50</f>
        <v>3.8190842261512075E-3</v>
      </c>
      <c r="AZ50" s="265">
        <f t="shared" si="31"/>
        <v>-8.0445778245037593E-5</v>
      </c>
      <c r="BA50" s="266">
        <f t="shared" si="17"/>
        <v>5.2652021227019073E-4</v>
      </c>
      <c r="BB50" s="267">
        <f t="shared" si="32"/>
        <v>1.5443992343833505E-4</v>
      </c>
      <c r="BC50" s="265">
        <f t="shared" si="24"/>
        <v>-3.7208028883185568E-4</v>
      </c>
      <c r="BD50" s="268"/>
      <c r="BE50" s="158" t="s">
        <v>147</v>
      </c>
      <c r="BF50" s="186">
        <v>13</v>
      </c>
      <c r="BG50" s="254" cm="1">
        <f t="array" ref="BG50">AVERAGE(SMALL($AG50:AK50,ROW(1:3)))</f>
        <v>0</v>
      </c>
      <c r="BH50" s="254" cm="1">
        <f t="array" ref="BH50">AVERAGE(SMALL($AG50:AL50,ROW(1:3)))</f>
        <v>0</v>
      </c>
      <c r="BI50" s="254" cm="1">
        <f t="array" ref="BI50">AVERAGE(SMALL($AG50:AM50,ROW(1:3)))</f>
        <v>0</v>
      </c>
      <c r="BJ50" s="254" cm="1">
        <f t="array" ref="BJ50">AVERAGE(SMALL($AG50:AN50,ROW(1:3)))</f>
        <v>0</v>
      </c>
      <c r="BK50" s="254" cm="1">
        <f t="array" ref="BK50">AVERAGE(SMALL($AG50:AO50,ROW(1:3)))</f>
        <v>0</v>
      </c>
      <c r="BL50" s="254" cm="1">
        <f t="array" ref="BL50">AVERAGE(SMALL($AG50:AP50,ROW(1:3)))</f>
        <v>0</v>
      </c>
      <c r="BM50" s="254" cm="1">
        <f t="array" ref="BM50">AVERAGE(SMALL($AG50:AQ50,ROW(1:3)))</f>
        <v>0</v>
      </c>
      <c r="BO50" s="255">
        <f t="shared" si="21"/>
        <v>3.8190842261512075E-3</v>
      </c>
    </row>
    <row r="51" spans="1:67" ht="18.75" customHeight="1" x14ac:dyDescent="0.3">
      <c r="A51" s="170">
        <v>15</v>
      </c>
      <c r="B51" s="236" t="s">
        <v>164</v>
      </c>
      <c r="C51" s="213"/>
      <c r="D51" s="237" t="s">
        <v>165</v>
      </c>
      <c r="E51" s="237"/>
      <c r="F51" s="237"/>
      <c r="G51" s="237"/>
      <c r="H51" s="237"/>
      <c r="I51" s="237"/>
      <c r="J51" s="237"/>
      <c r="K51" s="237"/>
      <c r="L51" s="237"/>
      <c r="M51" s="237"/>
      <c r="N51" s="237"/>
      <c r="O51" s="237"/>
      <c r="P51" s="237"/>
      <c r="Q51" s="237"/>
      <c r="R51" s="237"/>
      <c r="S51" s="237"/>
      <c r="T51" s="237"/>
      <c r="U51" s="237"/>
      <c r="V51" s="237"/>
      <c r="W51" s="237"/>
      <c r="X51" s="237"/>
      <c r="Y51" s="237"/>
      <c r="Z51" s="237"/>
      <c r="AA51" s="237"/>
      <c r="AB51" s="237"/>
      <c r="AC51" s="237"/>
      <c r="AD51" s="237"/>
      <c r="AE51" s="237"/>
      <c r="AF51" s="237"/>
      <c r="AG51" s="238">
        <f t="shared" ref="AG51:AR51" si="34">SUM(AG52:AG58)</f>
        <v>3.0974580812174772</v>
      </c>
      <c r="AH51" s="238">
        <f t="shared" si="34"/>
        <v>4.7056045278629579</v>
      </c>
      <c r="AI51" s="238">
        <f t="shared" si="34"/>
        <v>3.6092992269073969</v>
      </c>
      <c r="AJ51" s="238">
        <f t="shared" si="34"/>
        <v>3.7423182462587565</v>
      </c>
      <c r="AK51" s="238">
        <f t="shared" si="34"/>
        <v>3.9306527534165188</v>
      </c>
      <c r="AL51" s="238">
        <f t="shared" si="34"/>
        <v>4.916859683534641</v>
      </c>
      <c r="AM51" s="238">
        <f t="shared" si="34"/>
        <v>8.8725935114422008</v>
      </c>
      <c r="AN51" s="238">
        <f t="shared" si="34"/>
        <v>7.7676774908127761</v>
      </c>
      <c r="AO51" s="238">
        <f t="shared" si="34"/>
        <v>6.3649575646521654</v>
      </c>
      <c r="AP51" s="238">
        <f t="shared" si="34"/>
        <v>4.0524746916192012</v>
      </c>
      <c r="AQ51" s="238">
        <f t="shared" si="34"/>
        <v>3.7176762587487486</v>
      </c>
      <c r="AR51" s="310">
        <f t="shared" si="34"/>
        <v>4.61355617769087</v>
      </c>
      <c r="AS51" s="238">
        <f>SUM(AS52:AS58)</f>
        <v>3.4823207395139821</v>
      </c>
      <c r="AT51" s="238"/>
      <c r="AU51" s="238">
        <f>SUM(AU52:AU58)</f>
        <v>6.7142758229149431</v>
      </c>
      <c r="AV51" s="238"/>
      <c r="AW51" s="238"/>
      <c r="AX51" s="239">
        <f t="shared" si="22"/>
        <v>-3.2319550834009609</v>
      </c>
      <c r="AY51" s="238">
        <f>SUM(AY52:AY58)</f>
        <v>4.4543346160622788</v>
      </c>
      <c r="AZ51" s="240">
        <f t="shared" si="31"/>
        <v>-0.97201387654829663</v>
      </c>
      <c r="BA51" s="241">
        <f t="shared" si="17"/>
        <v>0.22617204857946496</v>
      </c>
      <c r="BB51" s="242">
        <f t="shared" si="32"/>
        <v>0.14385166040847483</v>
      </c>
      <c r="BC51" s="240">
        <f t="shared" si="24"/>
        <v>-8.2320388170990133E-2</v>
      </c>
      <c r="BD51" s="243"/>
      <c r="BF51" s="158">
        <v>14</v>
      </c>
      <c r="BG51" s="238">
        <f>SUM(BG52:BG58)</f>
        <v>3.2114366739497546</v>
      </c>
      <c r="BH51" s="238">
        <f t="shared" ref="BH51:BM51" si="35">SUM(BH52:BH58)</f>
        <v>3.2114366739497546</v>
      </c>
      <c r="BI51" s="238">
        <f t="shared" si="35"/>
        <v>3.2114366739497546</v>
      </c>
      <c r="BJ51" s="238">
        <f t="shared" si="35"/>
        <v>3.2114366739497546</v>
      </c>
      <c r="BK51" s="238">
        <f t="shared" si="35"/>
        <v>3.2114366739497546</v>
      </c>
      <c r="BL51" s="238">
        <f t="shared" si="35"/>
        <v>3.1204387887311955</v>
      </c>
      <c r="BM51" s="238">
        <f t="shared" si="35"/>
        <v>3.0341826303514181</v>
      </c>
      <c r="BO51" s="244">
        <f>SUM(BO52:BO58)</f>
        <v>4.4543346160622788</v>
      </c>
    </row>
    <row r="52" spans="1:67" ht="18.75" customHeight="1" x14ac:dyDescent="0.3">
      <c r="A52" s="170">
        <v>16</v>
      </c>
      <c r="B52" s="245">
        <v>1</v>
      </c>
      <c r="C52" s="246" t="s">
        <v>97</v>
      </c>
      <c r="D52" s="246" t="s">
        <v>169</v>
      </c>
      <c r="E52" s="324"/>
      <c r="F52" s="324"/>
      <c r="G52" s="324"/>
      <c r="H52" s="324"/>
      <c r="I52" s="324"/>
      <c r="J52" s="324"/>
      <c r="K52" s="324"/>
      <c r="L52" s="324"/>
      <c r="M52" s="324"/>
      <c r="N52" s="324"/>
      <c r="O52" s="324"/>
      <c r="P52" s="324"/>
      <c r="Q52" s="324"/>
      <c r="R52" s="324"/>
      <c r="S52" s="324"/>
      <c r="T52" s="324"/>
      <c r="U52" s="324"/>
      <c r="V52" s="324"/>
      <c r="W52" s="324"/>
      <c r="X52" s="324"/>
      <c r="Y52" s="324"/>
      <c r="Z52" s="324"/>
      <c r="AA52" s="324"/>
      <c r="AB52" s="324"/>
      <c r="AC52" s="324"/>
      <c r="AD52" s="324"/>
      <c r="AE52" s="324"/>
      <c r="AF52" s="324"/>
      <c r="AG52" s="247">
        <f>(AG22-AG33)/AG$30</f>
        <v>1.5312500079501921</v>
      </c>
      <c r="AH52" s="247">
        <f>(AH22-AH33)/AH$30</f>
        <v>2.3792412644857244</v>
      </c>
      <c r="AI52" s="247">
        <f t="shared" ref="AI52:AS52" si="36">(AI22-AI33)/AI$30</f>
        <v>1.5602881725450215</v>
      </c>
      <c r="AJ52" s="247">
        <f t="shared" si="36"/>
        <v>1.342364296194146</v>
      </c>
      <c r="AK52" s="247">
        <f t="shared" si="36"/>
        <v>1.3585798912373033</v>
      </c>
      <c r="AL52" s="247">
        <f t="shared" si="36"/>
        <v>1.7172841772042335</v>
      </c>
      <c r="AM52" s="247">
        <f t="shared" si="36"/>
        <v>3.2157945552564691</v>
      </c>
      <c r="AN52" s="247">
        <f t="shared" si="36"/>
        <v>2.7374277305414969</v>
      </c>
      <c r="AO52" s="247">
        <f>(AO22-AO33)/AO$30</f>
        <v>2.1440440023623637</v>
      </c>
      <c r="AP52" s="247">
        <f>(AP22-AP33)/AP$30</f>
        <v>1.2582563522945152</v>
      </c>
      <c r="AQ52" s="247">
        <f>(AQ22-AQ33)/AQ$30</f>
        <v>1.0998114160979704</v>
      </c>
      <c r="AR52" s="311">
        <f>(AR22-AR33)/AR$30</f>
        <v>0.43667458657262248</v>
      </c>
      <c r="AS52" s="248">
        <f t="shared" si="36"/>
        <v>0.55732983219923637</v>
      </c>
      <c r="AT52" s="248"/>
      <c r="AU52" s="248">
        <f t="shared" ref="AU52:AU58" si="37">AU22/AU$30</f>
        <v>0.67025418885324251</v>
      </c>
      <c r="AV52" s="248"/>
      <c r="AW52" s="248"/>
      <c r="AX52" s="250">
        <f t="shared" si="22"/>
        <v>-0.11292435665400613</v>
      </c>
      <c r="AY52" s="247">
        <f>BO52</f>
        <v>1.5585762339556544</v>
      </c>
      <c r="AZ52" s="250">
        <f t="shared" si="31"/>
        <v>-1.001246401756418</v>
      </c>
      <c r="BA52" s="251">
        <f t="shared" si="17"/>
        <v>2.2577678808567741E-2</v>
      </c>
      <c r="BB52" s="252">
        <f>AS52/$AS$59</f>
        <v>2.3022813736630791E-2</v>
      </c>
      <c r="BC52" s="250">
        <f t="shared" si="24"/>
        <v>4.4513492806304983E-4</v>
      </c>
      <c r="BD52" s="269"/>
      <c r="BE52" s="158" t="s">
        <v>147</v>
      </c>
      <c r="BF52" s="186">
        <v>15</v>
      </c>
      <c r="BG52" s="254" cm="1">
        <f t="array" ref="BG52">AVERAGE(SMALL($AG52:AK52,ROW(1:3)))</f>
        <v>1.4107313984605472</v>
      </c>
      <c r="BH52" s="254" cm="1">
        <f t="array" ref="BH52">AVERAGE(SMALL($AG52:AL52,ROW(1:3)))</f>
        <v>1.4107313984605472</v>
      </c>
      <c r="BI52" s="254" cm="1">
        <f t="array" ref="BI52">AVERAGE(SMALL($AG52:AM52,ROW(1:3)))</f>
        <v>1.4107313984605472</v>
      </c>
      <c r="BJ52" s="254" cm="1">
        <f t="array" ref="BJ52">AVERAGE(SMALL($AG52:AN52,ROW(1:3)))</f>
        <v>1.4107313984605472</v>
      </c>
      <c r="BK52" s="254" cm="1">
        <f t="array" ref="BK52">AVERAGE(SMALL($AG52:AO52,ROW(1:3)))</f>
        <v>1.4107313984605472</v>
      </c>
      <c r="BL52" s="254" cm="1">
        <f t="array" ref="BL52">AVERAGE(SMALL($AG52:AP52,ROW(1:3)))</f>
        <v>1.3197335132419881</v>
      </c>
      <c r="BM52" s="254" cm="1">
        <f t="array" ref="BM52">AVERAGE(SMALL($AG52:AQ52,ROW(1:3)))</f>
        <v>1.2334773548622107</v>
      </c>
      <c r="BO52" s="255">
        <f t="shared" ref="BO52:BO58" si="38">AVERAGE(AG52:AR52)*90%</f>
        <v>1.5585762339556544</v>
      </c>
    </row>
    <row r="53" spans="1:67" ht="18.75" customHeight="1" x14ac:dyDescent="0.3">
      <c r="A53" s="170">
        <v>17</v>
      </c>
      <c r="B53" s="256">
        <f t="shared" ref="B53:B58" si="39">B52+1</f>
        <v>2</v>
      </c>
      <c r="C53" s="257" t="s">
        <v>97</v>
      </c>
      <c r="D53" s="257" t="s">
        <v>48</v>
      </c>
      <c r="E53" s="257"/>
      <c r="F53" s="257"/>
      <c r="G53" s="257"/>
      <c r="H53" s="257"/>
      <c r="I53" s="257"/>
      <c r="J53" s="257"/>
      <c r="K53" s="257"/>
      <c r="L53" s="257"/>
      <c r="M53" s="257"/>
      <c r="N53" s="257"/>
      <c r="O53" s="257"/>
      <c r="P53" s="257"/>
      <c r="Q53" s="257"/>
      <c r="R53" s="257"/>
      <c r="S53" s="257"/>
      <c r="T53" s="257"/>
      <c r="U53" s="257"/>
      <c r="V53" s="257"/>
      <c r="W53" s="257"/>
      <c r="X53" s="257"/>
      <c r="Y53" s="257"/>
      <c r="Z53" s="257"/>
      <c r="AA53" s="257"/>
      <c r="AB53" s="257"/>
      <c r="AC53" s="257"/>
      <c r="AD53" s="257"/>
      <c r="AE53" s="257"/>
      <c r="AF53" s="257"/>
      <c r="AG53" s="247">
        <f t="shared" ref="AG53:AR58" si="40">AG23/AG$30</f>
        <v>1.2790843529059688</v>
      </c>
      <c r="AH53" s="247">
        <f t="shared" si="40"/>
        <v>1.8204278059608368</v>
      </c>
      <c r="AI53" s="247">
        <f t="shared" si="40"/>
        <v>1.1485679939172109</v>
      </c>
      <c r="AJ53" s="247">
        <f t="shared" si="40"/>
        <v>1.3983437640634249</v>
      </c>
      <c r="AK53" s="247">
        <f t="shared" si="40"/>
        <v>1.4898691848456558</v>
      </c>
      <c r="AL53" s="247">
        <f t="shared" si="40"/>
        <v>1.8601144668017799</v>
      </c>
      <c r="AM53" s="247">
        <f t="shared" si="40"/>
        <v>3.3266953366437635</v>
      </c>
      <c r="AN53" s="247">
        <f t="shared" si="40"/>
        <v>2.8593650738341663</v>
      </c>
      <c r="AO53" s="247">
        <f t="shared" si="40"/>
        <v>2.3713265268978918</v>
      </c>
      <c r="AP53" s="247">
        <f t="shared" si="40"/>
        <v>1.6059665842237096</v>
      </c>
      <c r="AQ53" s="247">
        <f t="shared" si="40"/>
        <v>1.4834977669919378</v>
      </c>
      <c r="AR53" s="311">
        <f t="shared" si="40"/>
        <v>2.3372018941120531</v>
      </c>
      <c r="AS53" s="247">
        <f t="shared" ref="AS53:AS55" si="41">AS23/$AS$30</f>
        <v>1.7464133190310942</v>
      </c>
      <c r="AT53" s="247"/>
      <c r="AU53" s="247">
        <f t="shared" si="37"/>
        <v>3.8041398049179982</v>
      </c>
      <c r="AV53" s="247"/>
      <c r="AW53" s="247"/>
      <c r="AX53" s="249">
        <f t="shared" si="22"/>
        <v>-2.0577264858869038</v>
      </c>
      <c r="AY53" s="247">
        <f t="shared" ref="AY53:AY58" si="42">BO53</f>
        <v>1.7235345563398798</v>
      </c>
      <c r="AZ53" s="249">
        <f t="shared" si="31"/>
        <v>2.287876269121436E-2</v>
      </c>
      <c r="BA53" s="259">
        <f t="shared" si="17"/>
        <v>0.12814339408348274</v>
      </c>
      <c r="BB53" s="260">
        <f t="shared" ref="BB53:BB58" si="43">AS53/$AS$59</f>
        <v>7.214282499927363E-2</v>
      </c>
      <c r="BC53" s="249">
        <f t="shared" si="24"/>
        <v>-5.6000569084209112E-2</v>
      </c>
      <c r="BD53" s="261"/>
      <c r="BF53" s="158">
        <v>16</v>
      </c>
      <c r="BG53" s="254" cm="1">
        <f t="array" ref="BG53">AVERAGE(SMALL($AG53:AK53,ROW(1:3)))</f>
        <v>1.2753320369622017</v>
      </c>
      <c r="BH53" s="254" cm="1">
        <f t="array" ref="BH53">AVERAGE(SMALL($AG53:AL53,ROW(1:3)))</f>
        <v>1.2753320369622017</v>
      </c>
      <c r="BI53" s="254" cm="1">
        <f t="array" ref="BI53">AVERAGE(SMALL($AG53:AM53,ROW(1:3)))</f>
        <v>1.2753320369622017</v>
      </c>
      <c r="BJ53" s="254" cm="1">
        <f t="array" ref="BJ53">AVERAGE(SMALL($AG53:AN53,ROW(1:3)))</f>
        <v>1.2753320369622017</v>
      </c>
      <c r="BK53" s="254" cm="1">
        <f t="array" ref="BK53">AVERAGE(SMALL($AG53:AO53,ROW(1:3)))</f>
        <v>1.2753320369622017</v>
      </c>
      <c r="BL53" s="254" cm="1">
        <f t="array" ref="BL53">AVERAGE(SMALL($AG53:AP53,ROW(1:3)))</f>
        <v>1.2753320369622017</v>
      </c>
      <c r="BM53" s="254" cm="1">
        <f t="array" ref="BM53">AVERAGE(SMALL($AG53:AQ53,ROW(1:3)))</f>
        <v>1.2753320369622017</v>
      </c>
      <c r="BO53" s="255">
        <f t="shared" si="38"/>
        <v>1.7235345563398798</v>
      </c>
    </row>
    <row r="54" spans="1:67" ht="18.600000000000001" customHeight="1" x14ac:dyDescent="0.3">
      <c r="A54" s="170">
        <v>5</v>
      </c>
      <c r="B54" s="256">
        <f t="shared" si="39"/>
        <v>3</v>
      </c>
      <c r="C54" s="257" t="s">
        <v>96</v>
      </c>
      <c r="D54" s="257" t="s">
        <v>16</v>
      </c>
      <c r="E54" s="257"/>
      <c r="F54" s="257"/>
      <c r="G54" s="257"/>
      <c r="H54" s="257"/>
      <c r="I54" s="257"/>
      <c r="J54" s="257"/>
      <c r="K54" s="257"/>
      <c r="L54" s="257"/>
      <c r="M54" s="257"/>
      <c r="N54" s="257"/>
      <c r="O54" s="257"/>
      <c r="P54" s="257"/>
      <c r="Q54" s="257"/>
      <c r="R54" s="257"/>
      <c r="S54" s="257"/>
      <c r="T54" s="257"/>
      <c r="U54" s="257"/>
      <c r="V54" s="257"/>
      <c r="W54" s="257"/>
      <c r="X54" s="257"/>
      <c r="Y54" s="257"/>
      <c r="Z54" s="257"/>
      <c r="AA54" s="257"/>
      <c r="AB54" s="257"/>
      <c r="AC54" s="257"/>
      <c r="AD54" s="257"/>
      <c r="AE54" s="257"/>
      <c r="AF54" s="257"/>
      <c r="AG54" s="247">
        <f t="shared" si="40"/>
        <v>2.7703332320341976E-2</v>
      </c>
      <c r="AH54" s="247">
        <f t="shared" si="40"/>
        <v>4.6616522387478314E-2</v>
      </c>
      <c r="AI54" s="247">
        <f t="shared" si="40"/>
        <v>0.58481189427906577</v>
      </c>
      <c r="AJ54" s="247">
        <f t="shared" si="40"/>
        <v>0.65967377361412649</v>
      </c>
      <c r="AK54" s="247">
        <f t="shared" si="40"/>
        <v>0.68792363840081505</v>
      </c>
      <c r="AL54" s="247">
        <f t="shared" si="40"/>
        <v>0.87046361043233822</v>
      </c>
      <c r="AM54" s="247">
        <f t="shared" si="40"/>
        <v>1.6482812195942615</v>
      </c>
      <c r="AN54" s="247">
        <f t="shared" si="40"/>
        <v>1.4126378095237013</v>
      </c>
      <c r="AO54" s="247">
        <f t="shared" si="40"/>
        <v>1.1561788629183607</v>
      </c>
      <c r="AP54" s="247">
        <f t="shared" si="40"/>
        <v>0.7538977099398444</v>
      </c>
      <c r="AQ54" s="247">
        <f t="shared" si="40"/>
        <v>0.68094822022127155</v>
      </c>
      <c r="AR54" s="311">
        <f t="shared" si="40"/>
        <v>1.0684554471842567</v>
      </c>
      <c r="AS54" s="247">
        <f t="shared" si="41"/>
        <v>0.715006087620773</v>
      </c>
      <c r="AT54" s="247"/>
      <c r="AU54" s="247">
        <f t="shared" si="37"/>
        <v>1.3205499572308257</v>
      </c>
      <c r="AV54" s="247"/>
      <c r="AW54" s="247"/>
      <c r="AX54" s="249">
        <f>AS54-AU54</f>
        <v>-0.60554386961005269</v>
      </c>
      <c r="AY54" s="247">
        <f t="shared" si="42"/>
        <v>0.71981940306118963</v>
      </c>
      <c r="AZ54" s="249">
        <f>AS54-AY54</f>
        <v>-4.8133154404166323E-3</v>
      </c>
      <c r="BA54" s="259">
        <f t="shared" si="17"/>
        <v>4.4483053266756493E-2</v>
      </c>
      <c r="BB54" s="260">
        <f t="shared" si="43"/>
        <v>2.9536283587930156E-2</v>
      </c>
      <c r="BC54" s="249">
        <f>BB54-BA54</f>
        <v>-1.4946769678826338E-2</v>
      </c>
      <c r="BD54" s="261"/>
      <c r="BE54" s="158" t="s">
        <v>147</v>
      </c>
      <c r="BF54" s="186">
        <v>17</v>
      </c>
      <c r="BG54" s="254" cm="1">
        <f t="array" ref="BG54">AVERAGE(SMALL($AG54:AK54,ROW(1:3)))</f>
        <v>0.21971058299562871</v>
      </c>
      <c r="BH54" s="254" cm="1">
        <f t="array" ref="BH54">AVERAGE(SMALL($AG54:AL54,ROW(1:3)))</f>
        <v>0.21971058299562871</v>
      </c>
      <c r="BI54" s="254" cm="1">
        <f t="array" ref="BI54">AVERAGE(SMALL($AG54:AM54,ROW(1:3)))</f>
        <v>0.21971058299562871</v>
      </c>
      <c r="BJ54" s="254" cm="1">
        <f t="array" ref="BJ54">AVERAGE(SMALL($AG54:AN54,ROW(1:3)))</f>
        <v>0.21971058299562871</v>
      </c>
      <c r="BK54" s="254" cm="1">
        <f t="array" ref="BK54">AVERAGE(SMALL($AG54:AO54,ROW(1:3)))</f>
        <v>0.21971058299562871</v>
      </c>
      <c r="BL54" s="254" cm="1">
        <f t="array" ref="BL54">AVERAGE(SMALL($AG54:AP54,ROW(1:3)))</f>
        <v>0.21971058299562871</v>
      </c>
      <c r="BM54" s="254" cm="1">
        <f t="array" ref="BM54">AVERAGE(SMALL($AG54:AQ54,ROW(1:3)))</f>
        <v>0.21971058299562871</v>
      </c>
      <c r="BO54" s="255">
        <f t="shared" si="38"/>
        <v>0.71981940306118963</v>
      </c>
    </row>
    <row r="55" spans="1:67" ht="18.600000000000001" customHeight="1" x14ac:dyDescent="0.3">
      <c r="A55" s="170">
        <v>18</v>
      </c>
      <c r="B55" s="256">
        <f t="shared" si="39"/>
        <v>4</v>
      </c>
      <c r="C55" s="257" t="s">
        <v>97</v>
      </c>
      <c r="D55" s="257" t="s">
        <v>36</v>
      </c>
      <c r="E55" s="257"/>
      <c r="F55" s="257"/>
      <c r="G55" s="257"/>
      <c r="H55" s="257"/>
      <c r="I55" s="257"/>
      <c r="J55" s="257"/>
      <c r="K55" s="257"/>
      <c r="L55" s="257"/>
      <c r="M55" s="257"/>
      <c r="N55" s="257"/>
      <c r="O55" s="257"/>
      <c r="P55" s="257"/>
      <c r="Q55" s="257"/>
      <c r="R55" s="257"/>
      <c r="S55" s="257"/>
      <c r="T55" s="257"/>
      <c r="U55" s="257"/>
      <c r="V55" s="257"/>
      <c r="W55" s="257"/>
      <c r="X55" s="257"/>
      <c r="Y55" s="257"/>
      <c r="Z55" s="257"/>
      <c r="AA55" s="257"/>
      <c r="AB55" s="257"/>
      <c r="AC55" s="257"/>
      <c r="AD55" s="257"/>
      <c r="AE55" s="257"/>
      <c r="AF55" s="257"/>
      <c r="AG55" s="247">
        <f t="shared" si="40"/>
        <v>2.7633133915139965E-2</v>
      </c>
      <c r="AH55" s="247">
        <f t="shared" si="40"/>
        <v>6.1760626850759032E-2</v>
      </c>
      <c r="AI55" s="247">
        <f t="shared" si="40"/>
        <v>4.2073951717554674E-2</v>
      </c>
      <c r="AJ55" s="247">
        <f t="shared" si="40"/>
        <v>5.092955435140175E-2</v>
      </c>
      <c r="AK55" s="247">
        <f t="shared" si="40"/>
        <v>5.1652100840336133E-2</v>
      </c>
      <c r="AL55" s="247">
        <f t="shared" si="40"/>
        <v>6.2808828252444965E-2</v>
      </c>
      <c r="AM55" s="247">
        <f t="shared" si="40"/>
        <v>0.11274321643956574</v>
      </c>
      <c r="AN55" s="247">
        <f t="shared" si="40"/>
        <v>0.10716687650293663</v>
      </c>
      <c r="AO55" s="247">
        <f t="shared" si="40"/>
        <v>6.6830919857568033E-2</v>
      </c>
      <c r="AP55" s="247">
        <f t="shared" si="40"/>
        <v>5.4660151122518125E-2</v>
      </c>
      <c r="AQ55" s="247">
        <f t="shared" si="40"/>
        <v>5.6850322810857383E-2</v>
      </c>
      <c r="AR55" s="311">
        <f t="shared" si="40"/>
        <v>0.1186572375490566</v>
      </c>
      <c r="AS55" s="247">
        <f t="shared" si="41"/>
        <v>6.1655098898115226E-2</v>
      </c>
      <c r="AT55" s="247"/>
      <c r="AU55" s="247">
        <f t="shared" si="37"/>
        <v>0.38542359114843278</v>
      </c>
      <c r="AV55" s="247"/>
      <c r="AW55" s="247"/>
      <c r="AX55" s="249">
        <f>AS55-AU55</f>
        <v>-0.32376849225031756</v>
      </c>
      <c r="AY55" s="247">
        <f t="shared" si="42"/>
        <v>6.1032519015760421E-2</v>
      </c>
      <c r="AZ55" s="249">
        <f t="shared" ref="AZ55:AZ62" si="44">AS55-AY55</f>
        <v>6.2257988235480538E-4</v>
      </c>
      <c r="BA55" s="259">
        <f t="shared" si="17"/>
        <v>1.2983089387449414E-2</v>
      </c>
      <c r="BB55" s="260">
        <f t="shared" si="43"/>
        <v>2.5469188545741051E-3</v>
      </c>
      <c r="BC55" s="249">
        <f t="shared" ref="BC55:BC59" si="45">BB55-BA55</f>
        <v>-1.043617053287531E-2</v>
      </c>
      <c r="BD55" s="261"/>
      <c r="BF55" s="158">
        <v>18</v>
      </c>
      <c r="BG55" s="254" cm="1">
        <f t="array" ref="BG55">AVERAGE(SMALL($AG55:AK55,ROW(1:3)))</f>
        <v>4.0212213328032126E-2</v>
      </c>
      <c r="BH55" s="254" cm="1">
        <f t="array" ref="BH55">AVERAGE(SMALL($AG55:AL55,ROW(1:3)))</f>
        <v>4.0212213328032126E-2</v>
      </c>
      <c r="BI55" s="254" cm="1">
        <f t="array" ref="BI55">AVERAGE(SMALL($AG55:AM55,ROW(1:3)))</f>
        <v>4.0212213328032126E-2</v>
      </c>
      <c r="BJ55" s="254" cm="1">
        <f t="array" ref="BJ55">AVERAGE(SMALL($AG55:AN55,ROW(1:3)))</f>
        <v>4.0212213328032126E-2</v>
      </c>
      <c r="BK55" s="254" cm="1">
        <f t="array" ref="BK55">AVERAGE(SMALL($AG55:AO55,ROW(1:3)))</f>
        <v>4.0212213328032126E-2</v>
      </c>
      <c r="BL55" s="254" cm="1">
        <f t="array" ref="BL55">AVERAGE(SMALL($AG55:AP55,ROW(1:3)))</f>
        <v>4.0212213328032126E-2</v>
      </c>
      <c r="BM55" s="254" cm="1">
        <f t="array" ref="BM55">AVERAGE(SMALL($AG55:AQ55,ROW(1:3)))</f>
        <v>4.0212213328032126E-2</v>
      </c>
      <c r="BO55" s="255">
        <f t="shared" si="38"/>
        <v>6.1032519015760421E-2</v>
      </c>
    </row>
    <row r="56" spans="1:67" ht="18.75" customHeight="1" x14ac:dyDescent="0.3">
      <c r="A56" s="170">
        <v>19</v>
      </c>
      <c r="B56" s="256">
        <f t="shared" si="39"/>
        <v>5</v>
      </c>
      <c r="C56" s="257"/>
      <c r="D56" s="257" t="s">
        <v>12</v>
      </c>
      <c r="E56" s="257"/>
      <c r="F56" s="257"/>
      <c r="G56" s="257"/>
      <c r="H56" s="257"/>
      <c r="I56" s="257"/>
      <c r="J56" s="257"/>
      <c r="K56" s="257"/>
      <c r="L56" s="257"/>
      <c r="M56" s="257"/>
      <c r="N56" s="257"/>
      <c r="O56" s="257"/>
      <c r="P56" s="257"/>
      <c r="Q56" s="257"/>
      <c r="R56" s="257"/>
      <c r="S56" s="257"/>
      <c r="T56" s="257"/>
      <c r="U56" s="257"/>
      <c r="V56" s="257"/>
      <c r="W56" s="257"/>
      <c r="X56" s="257"/>
      <c r="Y56" s="257"/>
      <c r="Z56" s="257"/>
      <c r="AA56" s="257"/>
      <c r="AB56" s="257"/>
      <c r="AC56" s="257"/>
      <c r="AD56" s="257"/>
      <c r="AE56" s="257"/>
      <c r="AF56" s="257"/>
      <c r="AG56" s="247">
        <f t="shared" si="40"/>
        <v>0.12516525384910387</v>
      </c>
      <c r="AH56" s="247">
        <f t="shared" si="40"/>
        <v>0.1949010333838829</v>
      </c>
      <c r="AI56" s="247">
        <f t="shared" si="40"/>
        <v>0.13784024876859463</v>
      </c>
      <c r="AJ56" s="247">
        <f t="shared" si="40"/>
        <v>0.15979972931946115</v>
      </c>
      <c r="AK56" s="247">
        <f t="shared" si="40"/>
        <v>0.17986808906997145</v>
      </c>
      <c r="AL56" s="247">
        <f t="shared" si="40"/>
        <v>0.1792544047344341</v>
      </c>
      <c r="AM56" s="247">
        <f t="shared" si="40"/>
        <v>0.28197583132235765</v>
      </c>
      <c r="AN56" s="247">
        <f t="shared" si="40"/>
        <v>0.30851632766383941</v>
      </c>
      <c r="AO56" s="247">
        <f t="shared" si="40"/>
        <v>0.31704610527749932</v>
      </c>
      <c r="AP56" s="247">
        <f t="shared" si="40"/>
        <v>0.16185091765102677</v>
      </c>
      <c r="AQ56" s="247">
        <f t="shared" si="40"/>
        <v>0.17646897734366376</v>
      </c>
      <c r="AR56" s="311">
        <f t="shared" si="40"/>
        <v>0.27846680725227951</v>
      </c>
      <c r="AS56" s="247">
        <f>AS26/$AS$30</f>
        <v>0.19287805550109813</v>
      </c>
      <c r="AT56" s="247"/>
      <c r="AU56" s="247">
        <f t="shared" si="37"/>
        <v>0.26910403957145146</v>
      </c>
      <c r="AV56" s="247"/>
      <c r="AW56" s="247"/>
      <c r="AX56" s="249">
        <f t="shared" ref="AX56:AX58" si="46">AS56-AU56</f>
        <v>-7.6225984070353331E-2</v>
      </c>
      <c r="AY56" s="247">
        <f t="shared" si="42"/>
        <v>0.18758652942270859</v>
      </c>
      <c r="AZ56" s="249">
        <f t="shared" si="44"/>
        <v>5.2915260783895357E-3</v>
      </c>
      <c r="BA56" s="259">
        <f t="shared" si="17"/>
        <v>9.0648364047190878E-3</v>
      </c>
      <c r="BB56" s="260">
        <f t="shared" si="43"/>
        <v>7.9676257920065496E-3</v>
      </c>
      <c r="BC56" s="249">
        <f t="shared" si="45"/>
        <v>-1.0972106127125382E-3</v>
      </c>
      <c r="BD56" s="261"/>
      <c r="BF56" s="186">
        <v>19</v>
      </c>
      <c r="BG56" s="254" cm="1">
        <f t="array" ref="BG56">AVERAGE(SMALL($AG56:AK56,ROW(1:3)))</f>
        <v>0.14093507731238655</v>
      </c>
      <c r="BH56" s="254" cm="1">
        <f t="array" ref="BH56">AVERAGE(SMALL($AG56:AL56,ROW(1:3)))</f>
        <v>0.14093507731238655</v>
      </c>
      <c r="BI56" s="254" cm="1">
        <f t="array" ref="BI56">AVERAGE(SMALL($AG56:AM56,ROW(1:3)))</f>
        <v>0.14093507731238655</v>
      </c>
      <c r="BJ56" s="254" cm="1">
        <f t="array" ref="BJ56">AVERAGE(SMALL($AG56:AN56,ROW(1:3)))</f>
        <v>0.14093507731238655</v>
      </c>
      <c r="BK56" s="254" cm="1">
        <f t="array" ref="BK56">AVERAGE(SMALL($AG56:AO56,ROW(1:3)))</f>
        <v>0.14093507731238655</v>
      </c>
      <c r="BL56" s="254" cm="1">
        <f t="array" ref="BL56">AVERAGE(SMALL($AG56:AP56,ROW(1:3)))</f>
        <v>0.14093507731238655</v>
      </c>
      <c r="BM56" s="254" cm="1">
        <f t="array" ref="BM56">AVERAGE(SMALL($AG56:AQ56,ROW(1:3)))</f>
        <v>0.14093507731238655</v>
      </c>
      <c r="BO56" s="255">
        <f t="shared" si="38"/>
        <v>0.18758652942270859</v>
      </c>
    </row>
    <row r="57" spans="1:67" ht="18.75" customHeight="1" x14ac:dyDescent="0.3">
      <c r="A57" s="170">
        <v>20</v>
      </c>
      <c r="B57" s="256">
        <f t="shared" si="39"/>
        <v>6</v>
      </c>
      <c r="C57" s="257"/>
      <c r="D57" s="257" t="s">
        <v>51</v>
      </c>
      <c r="E57" s="257"/>
      <c r="F57" s="257"/>
      <c r="G57" s="257"/>
      <c r="H57" s="257"/>
      <c r="I57" s="257"/>
      <c r="J57" s="257"/>
      <c r="K57" s="257"/>
      <c r="L57" s="257"/>
      <c r="M57" s="257"/>
      <c r="N57" s="257"/>
      <c r="O57" s="257"/>
      <c r="P57" s="257"/>
      <c r="Q57" s="257"/>
      <c r="R57" s="257"/>
      <c r="S57" s="257"/>
      <c r="T57" s="257"/>
      <c r="U57" s="257"/>
      <c r="V57" s="257"/>
      <c r="W57" s="257"/>
      <c r="X57" s="257"/>
      <c r="Y57" s="257"/>
      <c r="Z57" s="257"/>
      <c r="AA57" s="257"/>
      <c r="AB57" s="257"/>
      <c r="AC57" s="257"/>
      <c r="AD57" s="257"/>
      <c r="AE57" s="257"/>
      <c r="AF57" s="257"/>
      <c r="AG57" s="247">
        <f t="shared" si="40"/>
        <v>0.10662200027672986</v>
      </c>
      <c r="AH57" s="247">
        <f t="shared" si="40"/>
        <v>0.20265727479427662</v>
      </c>
      <c r="AI57" s="247">
        <f t="shared" si="40"/>
        <v>0.1357169656799494</v>
      </c>
      <c r="AJ57" s="247">
        <f t="shared" si="40"/>
        <v>0.13120712871619616</v>
      </c>
      <c r="AK57" s="247">
        <f t="shared" si="40"/>
        <v>0.16275984902243731</v>
      </c>
      <c r="AL57" s="247">
        <f t="shared" si="40"/>
        <v>0.22693419610941049</v>
      </c>
      <c r="AM57" s="247">
        <f t="shared" si="40"/>
        <v>0.28710335218578414</v>
      </c>
      <c r="AN57" s="247">
        <f t="shared" si="40"/>
        <v>0.34256367274663557</v>
      </c>
      <c r="AO57" s="247">
        <f t="shared" si="40"/>
        <v>0.30953114733848119</v>
      </c>
      <c r="AP57" s="247">
        <f t="shared" si="40"/>
        <v>0.21784297638758701</v>
      </c>
      <c r="AQ57" s="247">
        <f t="shared" si="40"/>
        <v>0.22009955528304764</v>
      </c>
      <c r="AR57" s="311">
        <f t="shared" si="40"/>
        <v>0.37410020502060171</v>
      </c>
      <c r="AS57" s="247">
        <f t="shared" ref="AS57:AS58" si="47">AS27/$AS$30</f>
        <v>0.20903834626366533</v>
      </c>
      <c r="AT57" s="247"/>
      <c r="AU57" s="247">
        <f t="shared" si="37"/>
        <v>0.21512222413349519</v>
      </c>
      <c r="AV57" s="247"/>
      <c r="AW57" s="247"/>
      <c r="AX57" s="249">
        <f t="shared" si="46"/>
        <v>-6.0838778698298623E-3</v>
      </c>
      <c r="AY57" s="247">
        <f t="shared" si="42"/>
        <v>0.20378537426708532</v>
      </c>
      <c r="AZ57" s="249">
        <f t="shared" si="44"/>
        <v>5.2529719965800081E-3</v>
      </c>
      <c r="BA57" s="259">
        <f t="shared" si="17"/>
        <v>7.2464455453545027E-3</v>
      </c>
      <c r="BB57" s="260">
        <f t="shared" si="43"/>
        <v>8.6351934380595897E-3</v>
      </c>
      <c r="BC57" s="249">
        <f t="shared" si="45"/>
        <v>1.388747892705087E-3</v>
      </c>
      <c r="BD57" s="261"/>
      <c r="BF57" s="158">
        <v>20</v>
      </c>
      <c r="BG57" s="254" cm="1">
        <f t="array" ref="BG57">AVERAGE(SMALL($AG57:AK57,ROW(1:3)))</f>
        <v>0.12451536489095848</v>
      </c>
      <c r="BH57" s="254" cm="1">
        <f t="array" ref="BH57">AVERAGE(SMALL($AG57:AL57,ROW(1:3)))</f>
        <v>0.12451536489095848</v>
      </c>
      <c r="BI57" s="254" cm="1">
        <f t="array" ref="BI57">AVERAGE(SMALL($AG57:AM57,ROW(1:3)))</f>
        <v>0.12451536489095848</v>
      </c>
      <c r="BJ57" s="254" cm="1">
        <f t="array" ref="BJ57">AVERAGE(SMALL($AG57:AN57,ROW(1:3)))</f>
        <v>0.12451536489095848</v>
      </c>
      <c r="BK57" s="254" cm="1">
        <f t="array" ref="BK57">AVERAGE(SMALL($AG57:AO57,ROW(1:3)))</f>
        <v>0.12451536489095848</v>
      </c>
      <c r="BL57" s="254" cm="1">
        <f t="array" ref="BL57">AVERAGE(SMALL($AG57:AP57,ROW(1:3)))</f>
        <v>0.12451536489095848</v>
      </c>
      <c r="BM57" s="254" cm="1">
        <f t="array" ref="BM57">AVERAGE(SMALL($AG57:AQ57,ROW(1:3)))</f>
        <v>0.12451536489095848</v>
      </c>
      <c r="BO57" s="255">
        <f t="shared" si="38"/>
        <v>0.20378537426708532</v>
      </c>
    </row>
    <row r="58" spans="1:67" ht="18.75" customHeight="1" x14ac:dyDescent="0.3">
      <c r="A58" s="170">
        <v>21</v>
      </c>
      <c r="B58" s="256">
        <f t="shared" si="39"/>
        <v>7</v>
      </c>
      <c r="C58" s="262" t="s">
        <v>97</v>
      </c>
      <c r="D58" s="262" t="s">
        <v>40</v>
      </c>
      <c r="E58" s="325"/>
      <c r="F58" s="325"/>
      <c r="G58" s="325"/>
      <c r="H58" s="325"/>
      <c r="I58" s="325"/>
      <c r="J58" s="325"/>
      <c r="K58" s="325"/>
      <c r="L58" s="325"/>
      <c r="M58" s="325"/>
      <c r="N58" s="325"/>
      <c r="O58" s="325"/>
      <c r="P58" s="325"/>
      <c r="Q58" s="325"/>
      <c r="R58" s="325"/>
      <c r="S58" s="325"/>
      <c r="T58" s="325"/>
      <c r="U58" s="325"/>
      <c r="V58" s="325"/>
      <c r="W58" s="325"/>
      <c r="X58" s="325"/>
      <c r="Y58" s="325"/>
      <c r="Z58" s="325"/>
      <c r="AA58" s="325"/>
      <c r="AB58" s="325"/>
      <c r="AC58" s="325"/>
      <c r="AD58" s="325"/>
      <c r="AE58" s="325"/>
      <c r="AF58" s="325"/>
      <c r="AG58" s="247">
        <f t="shared" si="40"/>
        <v>0</v>
      </c>
      <c r="AH58" s="247">
        <f t="shared" si="40"/>
        <v>0</v>
      </c>
      <c r="AI58" s="247">
        <f t="shared" si="40"/>
        <v>0</v>
      </c>
      <c r="AJ58" s="247">
        <f t="shared" si="40"/>
        <v>0</v>
      </c>
      <c r="AK58" s="247">
        <f t="shared" si="40"/>
        <v>0</v>
      </c>
      <c r="AL58" s="247">
        <f t="shared" si="40"/>
        <v>0</v>
      </c>
      <c r="AM58" s="247">
        <f t="shared" si="40"/>
        <v>0</v>
      </c>
      <c r="AN58" s="263">
        <f t="shared" si="40"/>
        <v>0</v>
      </c>
      <c r="AO58" s="247">
        <f t="shared" si="40"/>
        <v>0</v>
      </c>
      <c r="AP58" s="247">
        <f t="shared" si="40"/>
        <v>0</v>
      </c>
      <c r="AQ58" s="247">
        <f t="shared" si="40"/>
        <v>0</v>
      </c>
      <c r="AR58" s="312">
        <f t="shared" si="40"/>
        <v>0</v>
      </c>
      <c r="AS58" s="263">
        <f t="shared" si="47"/>
        <v>0</v>
      </c>
      <c r="AT58" s="263"/>
      <c r="AU58" s="263">
        <f t="shared" si="37"/>
        <v>4.9682017059497222E-2</v>
      </c>
      <c r="AV58" s="263"/>
      <c r="AW58" s="263"/>
      <c r="AX58" s="265">
        <f t="shared" si="46"/>
        <v>-4.9682017059497222E-2</v>
      </c>
      <c r="AY58" s="247">
        <f t="shared" si="42"/>
        <v>0</v>
      </c>
      <c r="AZ58" s="265">
        <f t="shared" si="44"/>
        <v>0</v>
      </c>
      <c r="BA58" s="266">
        <f t="shared" si="17"/>
        <v>1.6735510831349951E-3</v>
      </c>
      <c r="BB58" s="267">
        <f t="shared" si="43"/>
        <v>0</v>
      </c>
      <c r="BC58" s="265">
        <f t="shared" si="45"/>
        <v>-1.6735510831349951E-3</v>
      </c>
      <c r="BD58" s="268"/>
      <c r="BE58" s="158" t="s">
        <v>147</v>
      </c>
      <c r="BF58" s="186">
        <v>21</v>
      </c>
      <c r="BG58" s="254" cm="1">
        <f t="array" ref="BG58">AVERAGE(SMALL($AG58:AK58,ROW(1:3)))</f>
        <v>0</v>
      </c>
      <c r="BH58" s="254" cm="1">
        <f t="array" ref="BH58">AVERAGE(SMALL($AG58:AL58,ROW(1:3)))</f>
        <v>0</v>
      </c>
      <c r="BI58" s="254" cm="1">
        <f t="array" ref="BI58">AVERAGE(SMALL($AG58:AM58,ROW(1:3)))</f>
        <v>0</v>
      </c>
      <c r="BJ58" s="254" cm="1">
        <f t="array" ref="BJ58">AVERAGE(SMALL($AG58:AN58,ROW(1:3)))</f>
        <v>0</v>
      </c>
      <c r="BK58" s="254" cm="1">
        <f t="array" ref="BK58">AVERAGE(SMALL($AG58:AO58,ROW(1:3)))</f>
        <v>0</v>
      </c>
      <c r="BL58" s="254" cm="1">
        <f t="array" ref="BL58">AVERAGE(SMALL($AG58:AP58,ROW(1:3)))</f>
        <v>0</v>
      </c>
      <c r="BM58" s="254" cm="1">
        <f t="array" ref="BM58">AVERAGE(SMALL($AG58:AQ58,ROW(1:3)))</f>
        <v>0</v>
      </c>
      <c r="BO58" s="255">
        <f t="shared" si="38"/>
        <v>0</v>
      </c>
    </row>
    <row r="59" spans="1:67" ht="18.75" customHeight="1" x14ac:dyDescent="0.3">
      <c r="A59" s="170">
        <v>22</v>
      </c>
      <c r="B59" s="270" t="s">
        <v>189</v>
      </c>
      <c r="C59" s="271"/>
      <c r="D59" s="270"/>
      <c r="E59" s="270"/>
      <c r="F59" s="270"/>
      <c r="G59" s="270"/>
      <c r="H59" s="270"/>
      <c r="I59" s="270"/>
      <c r="J59" s="270"/>
      <c r="K59" s="270"/>
      <c r="L59" s="270"/>
      <c r="M59" s="270"/>
      <c r="N59" s="270"/>
      <c r="O59" s="270"/>
      <c r="P59" s="270"/>
      <c r="Q59" s="270"/>
      <c r="R59" s="270"/>
      <c r="S59" s="270"/>
      <c r="T59" s="270"/>
      <c r="U59" s="270"/>
      <c r="V59" s="270"/>
      <c r="W59" s="270"/>
      <c r="X59" s="270"/>
      <c r="Y59" s="270"/>
      <c r="Z59" s="270"/>
      <c r="AA59" s="270"/>
      <c r="AB59" s="270"/>
      <c r="AC59" s="270"/>
      <c r="AD59" s="270"/>
      <c r="AE59" s="270"/>
      <c r="AF59" s="270"/>
      <c r="AG59" s="272">
        <f t="shared" ref="AG59:AU59" si="48">AG39+AG51</f>
        <v>22.53440137099059</v>
      </c>
      <c r="AH59" s="272">
        <f t="shared" si="48"/>
        <v>25.822336948904564</v>
      </c>
      <c r="AI59" s="272">
        <f t="shared" si="48"/>
        <v>24.318323008496055</v>
      </c>
      <c r="AJ59" s="272">
        <f t="shared" si="48"/>
        <v>25.412958711524993</v>
      </c>
      <c r="AK59" s="272">
        <f t="shared" si="48"/>
        <v>24.656411367773451</v>
      </c>
      <c r="AL59" s="272">
        <f t="shared" si="48"/>
        <v>25.322146060745801</v>
      </c>
      <c r="AM59" s="272">
        <f t="shared" si="48"/>
        <v>30.098686061309511</v>
      </c>
      <c r="AN59" s="272">
        <f t="shared" si="48"/>
        <v>28.495382837400513</v>
      </c>
      <c r="AO59" s="272">
        <f t="shared" si="48"/>
        <v>27.985628187402213</v>
      </c>
      <c r="AP59" s="272">
        <f t="shared" si="48"/>
        <v>24.957328956311883</v>
      </c>
      <c r="AQ59" s="272">
        <f t="shared" si="48"/>
        <v>24.158327556380542</v>
      </c>
      <c r="AR59" s="313">
        <f t="shared" si="48"/>
        <v>25.059689309274933</v>
      </c>
      <c r="AS59" s="272">
        <f>AS39+AS51</f>
        <v>24.207720158569863</v>
      </c>
      <c r="AT59" s="272"/>
      <c r="AU59" s="272">
        <f t="shared" si="48"/>
        <v>29.686585345473844</v>
      </c>
      <c r="AV59" s="272"/>
      <c r="AW59" s="272"/>
      <c r="AX59" s="273">
        <f>AS59-AU59</f>
        <v>-5.4788651869039811</v>
      </c>
      <c r="AY59" s="272">
        <f>AY39+AY51</f>
        <v>23.353741221507526</v>
      </c>
      <c r="AZ59" s="240">
        <f t="shared" si="44"/>
        <v>0.85397893706233674</v>
      </c>
      <c r="BA59" s="274">
        <f>BA51+BA39</f>
        <v>1</v>
      </c>
      <c r="BB59" s="275">
        <f>BB51+BB39</f>
        <v>1</v>
      </c>
      <c r="BC59" s="240">
        <f t="shared" si="45"/>
        <v>0</v>
      </c>
      <c r="BD59" s="276"/>
      <c r="BF59" s="158">
        <v>22</v>
      </c>
      <c r="BG59" s="272">
        <f>BG39+BG51</f>
        <v>22.166272257386094</v>
      </c>
      <c r="BH59" s="272">
        <f t="shared" ref="BH59:BO59" si="49">BH39+BH51</f>
        <v>21.923628253532335</v>
      </c>
      <c r="BI59" s="272">
        <f t="shared" si="49"/>
        <v>21.792480754961399</v>
      </c>
      <c r="BJ59" s="272">
        <f t="shared" si="49"/>
        <v>21.751700522635783</v>
      </c>
      <c r="BK59" s="272">
        <f t="shared" si="49"/>
        <v>21.751700522635783</v>
      </c>
      <c r="BL59" s="272">
        <f t="shared" si="49"/>
        <v>21.636115448883384</v>
      </c>
      <c r="BM59" s="272">
        <f t="shared" si="49"/>
        <v>21.51382983006539</v>
      </c>
      <c r="BO59" s="277">
        <f t="shared" si="49"/>
        <v>23.16162152823863</v>
      </c>
    </row>
    <row r="60" spans="1:67" ht="18.75" customHeight="1" x14ac:dyDescent="0.3">
      <c r="A60" s="278">
        <v>23</v>
      </c>
      <c r="B60" s="279" t="s">
        <v>172</v>
      </c>
      <c r="C60" s="279"/>
      <c r="D60" s="279"/>
      <c r="E60" s="326"/>
      <c r="F60" s="326"/>
      <c r="G60" s="326"/>
      <c r="H60" s="326"/>
      <c r="I60" s="326"/>
      <c r="J60" s="326"/>
      <c r="K60" s="326"/>
      <c r="L60" s="326"/>
      <c r="M60" s="326"/>
      <c r="N60" s="326"/>
      <c r="O60" s="326"/>
      <c r="P60" s="326"/>
      <c r="Q60" s="326"/>
      <c r="R60" s="326"/>
      <c r="S60" s="326"/>
      <c r="T60" s="326"/>
      <c r="U60" s="326"/>
      <c r="V60" s="326"/>
      <c r="W60" s="326"/>
      <c r="X60" s="326"/>
      <c r="Y60" s="326"/>
      <c r="Z60" s="326"/>
      <c r="AA60" s="326"/>
      <c r="AB60" s="326"/>
      <c r="AC60" s="326"/>
      <c r="AD60" s="326"/>
      <c r="AE60" s="326"/>
      <c r="AF60" s="326"/>
      <c r="AG60" s="280">
        <f>INDEX('18 KMP- Tháng'!$R$6:$AC$28,MATCH('18 KMP- Tháng (Tâm) (3)'!$A60,'18 KMP- Tháng'!$A$6:$A$28,0),MATCH('18 KMP- Tháng (Tâm) (3)'!AG$7,'18 KMP- Tháng'!$R$2:$AC$2,0))</f>
        <v>4748.3130000000001</v>
      </c>
      <c r="AH60" s="280">
        <f>INDEX('18 KMP- Tháng'!$R$6:$AC$28,MATCH('18 KMP- Tháng (Tâm) (3)'!$A60,'18 KMP- Tháng'!$A$6:$A$28,0),MATCH('18 KMP- Tháng (Tâm) (3)'!AH$7,'18 KMP- Tháng'!$R$2:$AC$2,0))</f>
        <v>2926.5019999999995</v>
      </c>
      <c r="AI60" s="280">
        <f>INDEX('18 KMP- Tháng'!$R$6:$AC$28,MATCH('18 KMP- Tháng (Tâm) (3)'!$A60,'18 KMP- Tháng'!$A$6:$A$28,0),MATCH('18 KMP- Tháng (Tâm) (3)'!AI$7,'18 KMP- Tháng'!$R$2:$AC$2,0))</f>
        <v>4896.4380000000001</v>
      </c>
      <c r="AJ60" s="280">
        <f>INDEX('18 KMP- Tháng'!$R$6:$AC$28,MATCH('18 KMP- Tháng (Tâm) (3)'!$A60,'18 KMP- Tháng'!$A$6:$A$28,0),MATCH('18 KMP- Tháng (Tâm) (3)'!AJ$7,'18 KMP- Tháng'!$R$2:$AC$2,0))</f>
        <v>4526.3689999999997</v>
      </c>
      <c r="AK60" s="280">
        <f>INDEX('18 KMP- Tháng'!$R$6:$AC$28,MATCH('18 KMP- Tháng (Tâm) (3)'!$A60,'18 KMP- Tháng'!$A$6:$A$28,0),MATCH('18 KMP- Tháng (Tâm) (3)'!AK$7,'18 KMP- Tháng'!$R$2:$AC$2,0))</f>
        <v>4417.8749999999991</v>
      </c>
      <c r="AL60" s="280">
        <f>INDEX('18 KMP- Tháng'!$R$6:$AC$28,MATCH('18 KMP- Tháng (Tâm) (3)'!$A60,'18 KMP- Tháng'!$A$6:$A$28,0),MATCH('18 KMP- Tháng (Tâm) (3)'!AL$7,'18 KMP- Tháng'!$R$2:$AC$2,0))</f>
        <v>3495.0745000000011</v>
      </c>
      <c r="AM60" s="280">
        <f>INDEX('18 KMP- Tháng'!$R$6:$AC$28,MATCH('18 KMP- Tháng (Tâm) (3)'!$A60,'18 KMP- Tháng'!$A$6:$A$28,0),MATCH('18 KMP- Tháng (Tâm) (3)'!AM$7,'18 KMP- Tháng'!$R$2:$AC$2,0))</f>
        <v>1866.424</v>
      </c>
      <c r="AN60" s="281">
        <f>INDEX('18 KMP- Tháng'!$R$6:$AC$28,MATCH('18 KMP- Tháng (Tâm) (3)'!$A60,'18 KMP- Tháng'!$A$6:$A$28,0),MATCH('18 KMP- Tháng (Tâm) (3)'!AN$7,'18 KMP- Tháng'!$R$2:$AC$2,0))</f>
        <v>2192.5824999999995</v>
      </c>
      <c r="AO60" s="281">
        <f>INDEX('18 KMP- Tháng'!$R$6:$AC$28,MATCH('18 KMP- Tháng (Tâm) (3)'!$A60,'18 KMP- Tháng'!$A$6:$A$28,0),MATCH('18 KMP- Tháng (Tâm) (3)'!AO$7,'18 KMP- Tháng'!$R$2:$AC$2,0))</f>
        <v>2799.3996999999999</v>
      </c>
      <c r="AP60" s="281">
        <f>INDEX('18 KMP- Tháng'!$R$6:$AC$28,MATCH('18 KMP- Tháng (Tâm) (3)'!$A60,'18 KMP- Tháng'!$A$6:$A$28,0),MATCH('18 KMP- Tháng (Tâm) (3)'!AP$7,'18 KMP- Tháng'!$R$2:$AC$2,0))</f>
        <v>4293.2714999999989</v>
      </c>
      <c r="AQ60" s="281">
        <f>INDEX('18 KMP- Tháng'!$R$6:$AC$28,MATCH('18 KMP- Tháng (Tâm) (3)'!$A60,'18 KMP- Tháng'!$A$6:$A$28,0),MATCH('18 KMP- Tháng (Tâm) (3)'!AQ$7,'18 KMP- Tháng'!$R$2:$AC$2,0))</f>
        <v>4775.3970000000008</v>
      </c>
      <c r="AR60" s="314">
        <f>INDEX('18 KMP- Tháng'!$R$6:$AC$28,MATCH('18 KMP- Tháng (Tâm) (3)'!$A60,'18 KMP- Tháng'!$A$6:$A$28,0),MATCH('18 KMP- Tháng (Tâm) (3)'!AR$7,'18 KMP- Tháng'!$R$2:$AC$2,0))</f>
        <v>3318.6420999999996</v>
      </c>
      <c r="AS60" s="282">
        <f>SUM(AG60:AR60)/(12-COUNTIF($AG$10:$AR$10,0))</f>
        <v>3688.0240250000002</v>
      </c>
      <c r="AT60" s="282"/>
      <c r="AU60" s="283">
        <v>1954.7762499999999</v>
      </c>
      <c r="AV60" s="283"/>
      <c r="AW60" s="283"/>
      <c r="AX60" s="284">
        <f t="shared" ref="AX60:AX62" si="50">AS60-AU60</f>
        <v>1733.2477750000003</v>
      </c>
      <c r="AY60" s="282">
        <f t="shared" ref="AY60:AY62" si="51">BO60</f>
        <v>3349.4437800000001</v>
      </c>
      <c r="AZ60" s="284">
        <f t="shared" si="44"/>
        <v>338.5802450000001</v>
      </c>
      <c r="BA60" s="285"/>
      <c r="BB60" s="286"/>
      <c r="BC60" s="250"/>
      <c r="BD60" s="286"/>
      <c r="BF60" s="186">
        <v>23</v>
      </c>
      <c r="BG60" s="287" cm="1">
        <f t="array" ref="BG60">AVERAGE(LARGE($AG60:AK60,ROW(1:3)))</f>
        <v>4723.706666666666</v>
      </c>
      <c r="BH60" s="287" cm="1">
        <f t="array" ref="BH60">AVERAGE(LARGE($AG60:AL60,ROW(1:3)))</f>
        <v>4723.706666666666</v>
      </c>
      <c r="BI60" s="287" cm="1">
        <f t="array" ref="BI60">AVERAGE(LARGE($AG60:AM60,ROW(1:3)))</f>
        <v>4723.706666666666</v>
      </c>
      <c r="BJ60" s="287" cm="1">
        <f t="array" ref="BJ60">AVERAGE(LARGE($AG60:AN60,ROW(1:3)))</f>
        <v>4723.706666666666</v>
      </c>
      <c r="BK60" s="287" cm="1">
        <f t="array" ref="BK60">AVERAGE(LARGE($AG60:AO60,ROW(1:3)))</f>
        <v>4723.706666666666</v>
      </c>
      <c r="BL60" s="287" cm="1">
        <f t="array" ref="BL60">AVERAGE(LARGE($AG60:AP60,ROW(1:3)))</f>
        <v>4723.706666666666</v>
      </c>
      <c r="BM60" s="287" cm="1">
        <f t="array" ref="BM60">AVERAGE(LARGE($AG60:AQ60,ROW(1:3)))</f>
        <v>4806.7160000000003</v>
      </c>
      <c r="BO60" s="288">
        <f t="shared" ref="BO60" si="52">AVERAGE(AG60:AQ60)*90%</f>
        <v>3349.4437800000001</v>
      </c>
    </row>
    <row r="61" spans="1:67" ht="18.75" customHeight="1" x14ac:dyDescent="0.3">
      <c r="A61" s="170"/>
      <c r="B61" s="660" t="s">
        <v>182</v>
      </c>
      <c r="C61" s="660"/>
      <c r="D61" s="660"/>
      <c r="E61" s="318"/>
      <c r="F61" s="318"/>
      <c r="G61" s="318"/>
      <c r="H61" s="318"/>
      <c r="I61" s="318"/>
      <c r="J61" s="318"/>
      <c r="K61" s="318"/>
      <c r="L61" s="318"/>
      <c r="M61" s="318"/>
      <c r="N61" s="318"/>
      <c r="O61" s="318"/>
      <c r="P61" s="318"/>
      <c r="Q61" s="318"/>
      <c r="R61" s="318"/>
      <c r="S61" s="318"/>
      <c r="T61" s="318"/>
      <c r="U61" s="318"/>
      <c r="V61" s="318"/>
      <c r="W61" s="318"/>
      <c r="X61" s="318"/>
      <c r="Y61" s="318"/>
      <c r="Z61" s="318"/>
      <c r="AA61" s="318"/>
      <c r="AB61" s="318"/>
      <c r="AC61" s="318"/>
      <c r="AD61" s="318"/>
      <c r="AE61" s="318"/>
      <c r="AF61" s="318"/>
      <c r="AG61" s="289">
        <f t="shared" ref="AG61:AU61" si="53">SUM(AG40,AG43,AG45,AG47,AG50)</f>
        <v>17.948177509556348</v>
      </c>
      <c r="AH61" s="289">
        <f t="shared" si="53"/>
        <v>19.396253595809295</v>
      </c>
      <c r="AI61" s="289">
        <f t="shared" si="53"/>
        <v>19.383062338985635</v>
      </c>
      <c r="AJ61" s="289">
        <f>SUM(AJ40,AJ43,AJ45,AJ47,AJ50)</f>
        <v>19.937223798176124</v>
      </c>
      <c r="AK61" s="289">
        <f t="shared" si="53"/>
        <v>19.122937523781076</v>
      </c>
      <c r="AL61" s="289">
        <f t="shared" si="53"/>
        <v>18.628787451937896</v>
      </c>
      <c r="AM61" s="289">
        <f t="shared" si="53"/>
        <v>19.143955212370578</v>
      </c>
      <c r="AN61" s="289">
        <f t="shared" si="53"/>
        <v>18.69607359042805</v>
      </c>
      <c r="AO61" s="289">
        <f t="shared" si="53"/>
        <v>19.616423624724003</v>
      </c>
      <c r="AP61" s="289">
        <f t="shared" si="53"/>
        <v>19.368928154266165</v>
      </c>
      <c r="AQ61" s="289">
        <f t="shared" si="53"/>
        <v>18.911342412100201</v>
      </c>
      <c r="AR61" s="315">
        <f t="shared" si="53"/>
        <v>18.660515558360363</v>
      </c>
      <c r="AS61" s="289">
        <f t="shared" si="53"/>
        <v>19.06531599293432</v>
      </c>
      <c r="AT61" s="289"/>
      <c r="AU61" s="289">
        <f t="shared" si="53"/>
        <v>20.145500247123536</v>
      </c>
      <c r="AV61" s="332"/>
      <c r="AW61" s="332"/>
      <c r="AX61" s="290">
        <f t="shared" si="50"/>
        <v>-1.0801842541892164</v>
      </c>
      <c r="AY61" s="289">
        <f t="shared" si="51"/>
        <v>17.161026057787179</v>
      </c>
      <c r="AZ61" s="250">
        <f t="shared" si="44"/>
        <v>1.9042899351471405</v>
      </c>
      <c r="BA61" s="291">
        <f>AU61/$AU$59</f>
        <v>0.67860617894186381</v>
      </c>
      <c r="BB61" s="291">
        <f>AS61/$AS$59</f>
        <v>0.78757172786405238</v>
      </c>
      <c r="BC61" s="250">
        <f t="shared" ref="BC61:BC62" si="54">BB61-BA61</f>
        <v>0.10896554892218857</v>
      </c>
      <c r="BD61" s="269"/>
      <c r="BF61" s="158">
        <v>24</v>
      </c>
      <c r="BG61" s="289">
        <f>SUM(BG40,BG43,BG45,BG47,BG50)</f>
        <v>18.695013555681633</v>
      </c>
      <c r="BH61" s="289">
        <f t="shared" ref="BH61:BM61" si="55">SUM(BH40,BH43,BH45,BH47,BH50)</f>
        <v>18.452369551827875</v>
      </c>
      <c r="BI61" s="289">
        <f t="shared" si="55"/>
        <v>18.321222053256939</v>
      </c>
      <c r="BJ61" s="289">
        <f t="shared" si="55"/>
        <v>18.280441820931323</v>
      </c>
      <c r="BK61" s="289">
        <f t="shared" si="55"/>
        <v>18.280441820931323</v>
      </c>
      <c r="BL61" s="289">
        <f t="shared" si="55"/>
        <v>18.280441820931323</v>
      </c>
      <c r="BM61" s="289">
        <f t="shared" si="55"/>
        <v>18.280441820931323</v>
      </c>
      <c r="BO61" s="292">
        <f>SUM(BO40,BO43,BO45,BO47,BO50)</f>
        <v>17.161026057787179</v>
      </c>
    </row>
    <row r="62" spans="1:67" ht="18.75" customHeight="1" x14ac:dyDescent="0.3">
      <c r="A62" s="170"/>
      <c r="B62" s="661" t="s">
        <v>183</v>
      </c>
      <c r="C62" s="661"/>
      <c r="D62" s="661"/>
      <c r="E62" s="319"/>
      <c r="F62" s="319"/>
      <c r="G62" s="319"/>
      <c r="H62" s="319"/>
      <c r="I62" s="319"/>
      <c r="J62" s="319"/>
      <c r="K62" s="319"/>
      <c r="L62" s="319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Y62" s="319"/>
      <c r="Z62" s="319"/>
      <c r="AA62" s="319"/>
      <c r="AB62" s="319"/>
      <c r="AC62" s="319"/>
      <c r="AD62" s="319"/>
      <c r="AE62" s="319"/>
      <c r="AF62" s="319"/>
      <c r="AG62" s="293">
        <f t="shared" ref="AG62:AM62" si="56">AG59-AG61</f>
        <v>4.5862238614342417</v>
      </c>
      <c r="AH62" s="293">
        <f t="shared" si="56"/>
        <v>6.4260833530952688</v>
      </c>
      <c r="AI62" s="293">
        <f t="shared" si="56"/>
        <v>4.93526066951042</v>
      </c>
      <c r="AJ62" s="293">
        <f t="shared" si="56"/>
        <v>5.4757349133488695</v>
      </c>
      <c r="AK62" s="293">
        <f t="shared" si="56"/>
        <v>5.5334738439923754</v>
      </c>
      <c r="AL62" s="293">
        <f t="shared" si="56"/>
        <v>6.6933586088079053</v>
      </c>
      <c r="AM62" s="293">
        <f t="shared" si="56"/>
        <v>10.954730848938933</v>
      </c>
      <c r="AN62" s="293">
        <f>AN59-AN61</f>
        <v>9.799309246972463</v>
      </c>
      <c r="AO62" s="293">
        <f t="shared" ref="AO62:AR62" si="57">AO59-AO61</f>
        <v>8.3692045626782097</v>
      </c>
      <c r="AP62" s="293">
        <f t="shared" si="57"/>
        <v>5.5884008020457188</v>
      </c>
      <c r="AQ62" s="293">
        <f t="shared" si="57"/>
        <v>5.246985144280341</v>
      </c>
      <c r="AR62" s="316">
        <f t="shared" si="57"/>
        <v>6.3991737509145707</v>
      </c>
      <c r="AS62" s="293">
        <f>AS59-AS61</f>
        <v>5.1424041656355435</v>
      </c>
      <c r="AT62" s="293"/>
      <c r="AU62" s="293">
        <f>AU59-AU61</f>
        <v>9.5410850983503082</v>
      </c>
      <c r="AV62" s="293"/>
      <c r="AW62" s="293"/>
      <c r="AX62" s="294">
        <f t="shared" si="50"/>
        <v>-4.3986809327147647</v>
      </c>
      <c r="AY62" s="293">
        <f t="shared" si="51"/>
        <v>6.0005954704514508</v>
      </c>
      <c r="AZ62" s="265">
        <f t="shared" si="44"/>
        <v>-0.85819130481590733</v>
      </c>
      <c r="BA62" s="295">
        <f>AU62/$AU$59</f>
        <v>0.32139382105813619</v>
      </c>
      <c r="BB62" s="295">
        <f>AS62/$AS$59</f>
        <v>0.21242827213594759</v>
      </c>
      <c r="BC62" s="296">
        <f t="shared" si="54"/>
        <v>-0.1089655489221886</v>
      </c>
      <c r="BD62" s="268"/>
      <c r="BF62" s="186">
        <v>25</v>
      </c>
      <c r="BG62" s="293">
        <f>BG59-BG61</f>
        <v>3.4712587017044605</v>
      </c>
      <c r="BH62" s="293">
        <f t="shared" ref="BH62:BM62" si="58">BH59-BH61</f>
        <v>3.4712587017044605</v>
      </c>
      <c r="BI62" s="293">
        <f t="shared" si="58"/>
        <v>3.4712587017044605</v>
      </c>
      <c r="BJ62" s="293">
        <f t="shared" si="58"/>
        <v>3.4712587017044605</v>
      </c>
      <c r="BK62" s="293">
        <f t="shared" si="58"/>
        <v>3.4712587017044605</v>
      </c>
      <c r="BL62" s="293">
        <f t="shared" si="58"/>
        <v>3.3556736279520614</v>
      </c>
      <c r="BM62" s="293">
        <f t="shared" si="58"/>
        <v>3.2333880091340674</v>
      </c>
      <c r="BO62" s="293">
        <f>BO59-BO61</f>
        <v>6.0005954704514508</v>
      </c>
    </row>
    <row r="63" spans="1:67" x14ac:dyDescent="0.3">
      <c r="A63" s="170"/>
      <c r="B63" s="213"/>
      <c r="C63" s="213"/>
      <c r="D63" s="213"/>
      <c r="E63" s="213"/>
      <c r="F63" s="213"/>
      <c r="G63" s="213"/>
      <c r="H63" s="213"/>
      <c r="I63" s="213"/>
      <c r="J63" s="213"/>
      <c r="K63" s="213"/>
      <c r="L63" s="213"/>
      <c r="M63" s="213"/>
      <c r="N63" s="213"/>
      <c r="O63" s="213"/>
      <c r="P63" s="213"/>
      <c r="Q63" s="213"/>
      <c r="R63" s="213"/>
      <c r="S63" s="213"/>
      <c r="T63" s="213"/>
      <c r="U63" s="213"/>
      <c r="V63" s="213"/>
      <c r="W63" s="213"/>
      <c r="X63" s="213"/>
      <c r="Y63" s="213"/>
      <c r="Z63" s="213"/>
      <c r="AA63" s="213"/>
      <c r="AB63" s="213"/>
      <c r="AC63" s="213"/>
      <c r="AD63" s="213"/>
      <c r="AE63" s="213"/>
      <c r="AF63" s="213"/>
      <c r="AG63" s="213"/>
      <c r="AH63" s="213"/>
      <c r="AI63" s="213"/>
      <c r="AJ63" s="213"/>
      <c r="AK63" s="297"/>
      <c r="AL63" s="297"/>
      <c r="AM63" s="297"/>
      <c r="AN63" s="297"/>
      <c r="AO63" s="297"/>
      <c r="AP63" s="297"/>
      <c r="AQ63" s="297"/>
      <c r="AR63" s="297"/>
      <c r="AS63" s="297"/>
      <c r="AT63" s="297"/>
      <c r="AU63" s="298"/>
      <c r="AV63" s="298"/>
      <c r="AW63" s="298"/>
      <c r="AX63" s="298"/>
      <c r="AY63" s="298"/>
      <c r="AZ63" s="213"/>
      <c r="BA63" s="216"/>
      <c r="BB63" s="213"/>
      <c r="BC63" s="213"/>
      <c r="BD63" s="213"/>
      <c r="BE63" s="213"/>
      <c r="BF63" s="213"/>
    </row>
    <row r="64" spans="1:67" x14ac:dyDescent="0.3">
      <c r="A64" s="170"/>
      <c r="B64" s="213"/>
      <c r="C64" s="213"/>
      <c r="D64" s="213"/>
      <c r="E64" s="213"/>
      <c r="F64" s="213"/>
      <c r="G64" s="213"/>
      <c r="H64" s="213"/>
      <c r="I64" s="213"/>
      <c r="J64" s="213"/>
      <c r="K64" s="213"/>
      <c r="L64" s="213"/>
      <c r="M64" s="213"/>
      <c r="N64" s="213"/>
      <c r="O64" s="213"/>
      <c r="P64" s="213"/>
      <c r="Q64" s="213"/>
      <c r="R64" s="213"/>
      <c r="S64" s="213"/>
      <c r="T64" s="213"/>
      <c r="U64" s="213"/>
      <c r="V64" s="213"/>
      <c r="W64" s="213"/>
      <c r="X64" s="213"/>
      <c r="Y64" s="213"/>
      <c r="Z64" s="213"/>
      <c r="AA64" s="213"/>
      <c r="AB64" s="213"/>
      <c r="AC64" s="213"/>
      <c r="AD64" s="213"/>
      <c r="AE64" s="213"/>
      <c r="AF64" s="213"/>
      <c r="AG64" s="213"/>
      <c r="AH64" s="213"/>
      <c r="AI64" s="213"/>
      <c r="AJ64" s="213"/>
      <c r="AK64" s="297"/>
      <c r="AL64" s="297"/>
      <c r="AM64" s="297"/>
      <c r="AN64" s="297"/>
      <c r="AO64" s="297"/>
      <c r="AP64" s="297"/>
      <c r="AQ64" s="297"/>
      <c r="AR64" s="297"/>
      <c r="AS64" s="297"/>
      <c r="AT64" s="297"/>
      <c r="AU64" s="298"/>
      <c r="AV64" s="298"/>
      <c r="AW64" s="298"/>
      <c r="AX64" s="299"/>
      <c r="AY64" s="298"/>
      <c r="AZ64" s="213"/>
      <c r="BA64" s="216"/>
      <c r="BB64" s="213"/>
      <c r="BC64" s="213"/>
      <c r="BD64" s="213"/>
      <c r="BE64" s="213"/>
      <c r="BF64" s="213"/>
    </row>
    <row r="65" spans="2:49" ht="21" x14ac:dyDescent="0.4">
      <c r="B65" s="162" t="s">
        <v>181</v>
      </c>
    </row>
    <row r="66" spans="2:49" x14ac:dyDescent="0.3">
      <c r="D66" s="164" t="s">
        <v>184</v>
      </c>
      <c r="E66" s="164"/>
      <c r="F66" s="164"/>
      <c r="G66" s="164"/>
      <c r="H66" s="164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  <c r="AA66" s="164"/>
      <c r="AB66" s="164"/>
      <c r="AC66" s="164"/>
      <c r="AD66" s="164"/>
      <c r="AE66" s="164"/>
      <c r="AF66" s="164"/>
    </row>
    <row r="67" spans="2:49" x14ac:dyDescent="0.3">
      <c r="B67" s="228" t="s">
        <v>57</v>
      </c>
      <c r="C67" s="171" t="s">
        <v>58</v>
      </c>
      <c r="D67" s="228" t="s">
        <v>59</v>
      </c>
      <c r="E67" s="228"/>
      <c r="F67" s="228"/>
      <c r="G67" s="228"/>
      <c r="H67" s="228"/>
      <c r="I67" s="228"/>
      <c r="J67" s="228"/>
      <c r="K67" s="228"/>
      <c r="L67" s="228"/>
      <c r="M67" s="228"/>
      <c r="N67" s="228"/>
      <c r="O67" s="228"/>
      <c r="P67" s="228"/>
      <c r="Q67" s="228"/>
      <c r="R67" s="228"/>
      <c r="S67" s="228"/>
      <c r="T67" s="228"/>
      <c r="U67" s="228"/>
      <c r="V67" s="228"/>
      <c r="W67" s="228"/>
      <c r="X67" s="228"/>
      <c r="Y67" s="228"/>
      <c r="Z67" s="228"/>
      <c r="AA67" s="228"/>
      <c r="AB67" s="228"/>
      <c r="AC67" s="228"/>
      <c r="AD67" s="228"/>
      <c r="AE67" s="228"/>
      <c r="AF67" s="228"/>
      <c r="AG67" s="306" t="s">
        <v>186</v>
      </c>
      <c r="AH67" s="231">
        <v>2</v>
      </c>
      <c r="AI67" s="231">
        <v>3</v>
      </c>
      <c r="AJ67" s="230">
        <v>4</v>
      </c>
      <c r="AK67" s="230">
        <v>5</v>
      </c>
      <c r="AL67" s="230">
        <v>6</v>
      </c>
      <c r="AM67" s="230">
        <v>7</v>
      </c>
      <c r="AN67" s="230">
        <v>8</v>
      </c>
      <c r="AO67" s="230">
        <v>9</v>
      </c>
      <c r="AP67" s="230">
        <v>10</v>
      </c>
      <c r="AQ67" s="230">
        <v>11</v>
      </c>
      <c r="AR67" s="230">
        <v>12</v>
      </c>
      <c r="AS67" s="231" t="s">
        <v>185</v>
      </c>
      <c r="AT67" s="231"/>
      <c r="AU67" s="231" t="s">
        <v>171</v>
      </c>
      <c r="AV67" s="320"/>
      <c r="AW67" s="320"/>
    </row>
    <row r="68" spans="2:49" x14ac:dyDescent="0.3">
      <c r="B68" s="236" t="s">
        <v>162</v>
      </c>
      <c r="C68" s="213"/>
      <c r="D68" s="237" t="s">
        <v>163</v>
      </c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7"/>
      <c r="Q68" s="237"/>
      <c r="R68" s="237"/>
      <c r="S68" s="237"/>
      <c r="T68" s="237"/>
      <c r="U68" s="237"/>
      <c r="V68" s="237"/>
      <c r="W68" s="237"/>
      <c r="X68" s="237"/>
      <c r="Y68" s="237"/>
      <c r="Z68" s="237"/>
      <c r="AA68" s="237"/>
      <c r="AB68" s="237"/>
      <c r="AC68" s="237"/>
      <c r="AD68" s="237"/>
      <c r="AE68" s="237"/>
      <c r="AF68" s="237"/>
      <c r="AG68" s="300">
        <f t="shared" ref="AG68:AR68" si="59">SUM(AG69:AG79)</f>
        <v>0.86254535764127471</v>
      </c>
      <c r="AH68" s="300">
        <f t="shared" si="59"/>
        <v>0.81776999745708212</v>
      </c>
      <c r="AI68" s="300">
        <f t="shared" si="59"/>
        <v>0.85158108042045466</v>
      </c>
      <c r="AJ68" s="300">
        <f t="shared" si="59"/>
        <v>0.85273976600915879</v>
      </c>
      <c r="AK68" s="300">
        <f t="shared" si="59"/>
        <v>0.84058293419966301</v>
      </c>
      <c r="AL68" s="300">
        <f t="shared" si="59"/>
        <v>0.80582768649468006</v>
      </c>
      <c r="AM68" s="300">
        <f t="shared" si="59"/>
        <v>0.70521658342928417</v>
      </c>
      <c r="AN68" s="300">
        <f t="shared" si="59"/>
        <v>0.7274057507794699</v>
      </c>
      <c r="AO68" s="300">
        <f t="shared" si="59"/>
        <v>0.77256334851481501</v>
      </c>
      <c r="AP68" s="300">
        <f t="shared" si="59"/>
        <v>0.83762386196403027</v>
      </c>
      <c r="AQ68" s="300">
        <f t="shared" si="59"/>
        <v>0.84611201872015074</v>
      </c>
      <c r="AR68" s="300">
        <f t="shared" si="59"/>
        <v>0.81589731138512833</v>
      </c>
      <c r="AS68" s="300">
        <f>SUM(AS69:AS79)</f>
        <v>0.85614833959152525</v>
      </c>
      <c r="AT68" s="300"/>
      <c r="AU68" s="300">
        <f>SUM(AU69:AU79)</f>
        <v>0.77382795142053495</v>
      </c>
      <c r="AV68" s="333"/>
      <c r="AW68" s="333"/>
    </row>
    <row r="69" spans="2:49" x14ac:dyDescent="0.3">
      <c r="B69" s="245">
        <v>1</v>
      </c>
      <c r="C69" s="246" t="s">
        <v>96</v>
      </c>
      <c r="D69" s="246" t="s">
        <v>47</v>
      </c>
      <c r="E69" s="246"/>
      <c r="F69" s="246"/>
      <c r="G69" s="246"/>
      <c r="H69" s="246"/>
      <c r="I69" s="246"/>
      <c r="J69" s="246"/>
      <c r="K69" s="246"/>
      <c r="L69" s="246"/>
      <c r="M69" s="246"/>
      <c r="N69" s="246"/>
      <c r="O69" s="246"/>
      <c r="P69" s="246"/>
      <c r="Q69" s="246"/>
      <c r="R69" s="246"/>
      <c r="S69" s="246"/>
      <c r="T69" s="246"/>
      <c r="U69" s="246"/>
      <c r="V69" s="246"/>
      <c r="W69" s="246"/>
      <c r="X69" s="246"/>
      <c r="Y69" s="246"/>
      <c r="Z69" s="246"/>
      <c r="AA69" s="246"/>
      <c r="AB69" s="246"/>
      <c r="AC69" s="246"/>
      <c r="AD69" s="246"/>
      <c r="AE69" s="246"/>
      <c r="AF69" s="246"/>
      <c r="AG69" s="301">
        <f t="shared" ref="AG69:AR84" si="60">AG40/AG$59</f>
        <v>0.76997862119263072</v>
      </c>
      <c r="AH69" s="301">
        <f t="shared" si="60"/>
        <v>0.72356722934700735</v>
      </c>
      <c r="AI69" s="301">
        <f t="shared" si="60"/>
        <v>0.77452392889558064</v>
      </c>
      <c r="AJ69" s="301">
        <f t="shared" si="60"/>
        <v>0.76768070627299412</v>
      </c>
      <c r="AK69" s="301">
        <f t="shared" si="60"/>
        <v>0.75749207454937073</v>
      </c>
      <c r="AL69" s="301">
        <f t="shared" si="60"/>
        <v>0.71669084399515859</v>
      </c>
      <c r="AM69" s="301">
        <f t="shared" si="60"/>
        <v>0.60745487909212459</v>
      </c>
      <c r="AN69" s="301">
        <f t="shared" si="60"/>
        <v>0.63734020030048155</v>
      </c>
      <c r="AO69" s="301">
        <f t="shared" si="60"/>
        <v>0.67881975632117275</v>
      </c>
      <c r="AP69" s="301">
        <f t="shared" si="60"/>
        <v>0.74889316272939566</v>
      </c>
      <c r="AQ69" s="301">
        <f t="shared" si="60"/>
        <v>0.75828947378999401</v>
      </c>
      <c r="AR69" s="301">
        <f t="shared" si="60"/>
        <v>0.72963343985456841</v>
      </c>
      <c r="AS69" s="301">
        <f t="shared" ref="AS69:AS79" si="61">BB40</f>
        <v>0.76452379302973639</v>
      </c>
      <c r="AT69" s="301"/>
      <c r="AU69" s="301">
        <f t="shared" ref="AU69:AU79" si="62">BA40</f>
        <v>0.65100865912744699</v>
      </c>
      <c r="AV69" s="334"/>
      <c r="AW69" s="334"/>
    </row>
    <row r="70" spans="2:49" x14ac:dyDescent="0.3">
      <c r="B70" s="256">
        <f>B69+1</f>
        <v>2</v>
      </c>
      <c r="C70" s="257" t="s">
        <v>96</v>
      </c>
      <c r="D70" s="257" t="s">
        <v>25</v>
      </c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Z70" s="257"/>
      <c r="AA70" s="257"/>
      <c r="AB70" s="257"/>
      <c r="AC70" s="257"/>
      <c r="AD70" s="257"/>
      <c r="AE70" s="257"/>
      <c r="AF70" s="257"/>
      <c r="AG70" s="302">
        <f t="shared" si="60"/>
        <v>5.1119882853241455E-2</v>
      </c>
      <c r="AH70" s="302">
        <f t="shared" si="60"/>
        <v>5.4573178255871588E-2</v>
      </c>
      <c r="AI70" s="302">
        <f t="shared" si="60"/>
        <v>4.2684941154224013E-2</v>
      </c>
      <c r="AJ70" s="302">
        <f t="shared" si="60"/>
        <v>5.1158270422532431E-2</v>
      </c>
      <c r="AK70" s="302">
        <f t="shared" si="60"/>
        <v>5.1064810029731234E-2</v>
      </c>
      <c r="AL70" s="302">
        <f t="shared" si="60"/>
        <v>5.406645118376921E-2</v>
      </c>
      <c r="AM70" s="302">
        <f t="shared" si="60"/>
        <v>5.3470153470879571E-2</v>
      </c>
      <c r="AN70" s="302">
        <f t="shared" si="60"/>
        <v>5.5749506645954953E-2</v>
      </c>
      <c r="AO70" s="302">
        <f t="shared" si="60"/>
        <v>5.9096541515746434E-2</v>
      </c>
      <c r="AP70" s="302">
        <f t="shared" si="60"/>
        <v>5.1390755958664658E-2</v>
      </c>
      <c r="AQ70" s="302">
        <f t="shared" si="60"/>
        <v>5.5216964531472533E-2</v>
      </c>
      <c r="AR70" s="302">
        <f t="shared" si="60"/>
        <v>5.854421372785483E-2</v>
      </c>
      <c r="AS70" s="302">
        <f t="shared" si="61"/>
        <v>5.4857031789215339E-2</v>
      </c>
      <c r="AT70" s="302"/>
      <c r="AU70" s="302">
        <f t="shared" si="62"/>
        <v>4.940656312726574E-2</v>
      </c>
      <c r="AV70" s="334"/>
      <c r="AW70" s="334"/>
    </row>
    <row r="71" spans="2:49" x14ac:dyDescent="0.3">
      <c r="B71" s="256">
        <f t="shared" ref="B71:B79" si="63">B70+1</f>
        <v>3</v>
      </c>
      <c r="C71" s="257" t="s">
        <v>96</v>
      </c>
      <c r="D71" s="257" t="s">
        <v>166</v>
      </c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Z71" s="257"/>
      <c r="AA71" s="257"/>
      <c r="AB71" s="257"/>
      <c r="AC71" s="257"/>
      <c r="AD71" s="257"/>
      <c r="AE71" s="257"/>
      <c r="AF71" s="257"/>
      <c r="AG71" s="302">
        <f t="shared" si="60"/>
        <v>2.0611516422500969E-4</v>
      </c>
      <c r="AH71" s="302">
        <f t="shared" si="60"/>
        <v>0</v>
      </c>
      <c r="AI71" s="302">
        <f t="shared" si="60"/>
        <v>-7.0703673622526836E-5</v>
      </c>
      <c r="AJ71" s="302">
        <f t="shared" si="60"/>
        <v>0</v>
      </c>
      <c r="AK71" s="302">
        <f t="shared" si="60"/>
        <v>4.0532069954317054E-4</v>
      </c>
      <c r="AL71" s="302">
        <f t="shared" si="60"/>
        <v>0</v>
      </c>
      <c r="AM71" s="302">
        <f t="shared" si="60"/>
        <v>0</v>
      </c>
      <c r="AN71" s="302">
        <f t="shared" si="60"/>
        <v>0</v>
      </c>
      <c r="AO71" s="302">
        <f t="shared" si="60"/>
        <v>0</v>
      </c>
      <c r="AP71" s="302">
        <f t="shared" si="60"/>
        <v>0</v>
      </c>
      <c r="AQ71" s="302">
        <f t="shared" si="60"/>
        <v>4.9092939851049584E-4</v>
      </c>
      <c r="AR71" s="302">
        <f t="shared" si="60"/>
        <v>0</v>
      </c>
      <c r="AS71" s="302">
        <f t="shared" si="61"/>
        <v>7.13328629535742E-5</v>
      </c>
      <c r="AT71" s="302"/>
      <c r="AU71" s="302">
        <f t="shared" si="62"/>
        <v>2.5533813170542079E-2</v>
      </c>
      <c r="AV71" s="334"/>
      <c r="AW71" s="334"/>
    </row>
    <row r="72" spans="2:49" x14ac:dyDescent="0.3">
      <c r="B72" s="256">
        <f t="shared" si="63"/>
        <v>4</v>
      </c>
      <c r="C72" s="257" t="s">
        <v>96</v>
      </c>
      <c r="D72" s="257" t="s">
        <v>54</v>
      </c>
      <c r="E72" s="257"/>
      <c r="F72" s="257"/>
      <c r="G72" s="257"/>
      <c r="H72" s="257"/>
      <c r="I72" s="257"/>
      <c r="J72" s="257"/>
      <c r="K72" s="257"/>
      <c r="L72" s="257"/>
      <c r="M72" s="257"/>
      <c r="N72" s="257"/>
      <c r="O72" s="257"/>
      <c r="P72" s="257"/>
      <c r="Q72" s="257"/>
      <c r="R72" s="257"/>
      <c r="S72" s="257"/>
      <c r="T72" s="257"/>
      <c r="U72" s="257"/>
      <c r="V72" s="257"/>
      <c r="W72" s="257"/>
      <c r="X72" s="257"/>
      <c r="Y72" s="257"/>
      <c r="Z72" s="257"/>
      <c r="AA72" s="257"/>
      <c r="AB72" s="257"/>
      <c r="AC72" s="257"/>
      <c r="AD72" s="257"/>
      <c r="AE72" s="257"/>
      <c r="AF72" s="257"/>
      <c r="AG72" s="302">
        <f t="shared" si="60"/>
        <v>1.6164590461078699E-2</v>
      </c>
      <c r="AH72" s="302">
        <f t="shared" si="60"/>
        <v>2.0080300927533209E-2</v>
      </c>
      <c r="AI72" s="302">
        <f t="shared" si="60"/>
        <v>1.484627424860821E-2</v>
      </c>
      <c r="AJ72" s="302">
        <f t="shared" si="60"/>
        <v>9.0921263599452462E-3</v>
      </c>
      <c r="AK72" s="302">
        <f t="shared" si="60"/>
        <v>8.9234706122669726E-3</v>
      </c>
      <c r="AL72" s="302">
        <f t="shared" si="60"/>
        <v>6.6799650401854881E-3</v>
      </c>
      <c r="AM72" s="302">
        <f t="shared" si="60"/>
        <v>1.9176773493088037E-2</v>
      </c>
      <c r="AN72" s="302">
        <f t="shared" si="60"/>
        <v>8.7918357907994758E-3</v>
      </c>
      <c r="AO72" s="302">
        <f t="shared" si="60"/>
        <v>1.3682087268603274E-2</v>
      </c>
      <c r="AP72" s="302">
        <f t="shared" si="60"/>
        <v>1.767176524185617E-2</v>
      </c>
      <c r="AQ72" s="302">
        <f t="shared" si="60"/>
        <v>1.4914976165802217E-2</v>
      </c>
      <c r="AR72" s="302">
        <f t="shared" si="60"/>
        <v>3.8676800141898226E-3</v>
      </c>
      <c r="AS72" s="302">
        <f t="shared" si="61"/>
        <v>1.3308755807162431E-2</v>
      </c>
      <c r="AT72" s="302"/>
      <c r="AU72" s="302">
        <f t="shared" si="62"/>
        <v>1.6660370043200898E-2</v>
      </c>
      <c r="AV72" s="334"/>
      <c r="AW72" s="334"/>
    </row>
    <row r="73" spans="2:49" x14ac:dyDescent="0.3">
      <c r="B73" s="256">
        <f t="shared" si="63"/>
        <v>5</v>
      </c>
      <c r="C73" s="257" t="s">
        <v>96</v>
      </c>
      <c r="D73" s="257" t="s">
        <v>49</v>
      </c>
      <c r="E73" s="257"/>
      <c r="F73" s="257"/>
      <c r="G73" s="257"/>
      <c r="H73" s="257"/>
      <c r="I73" s="257"/>
      <c r="J73" s="257"/>
      <c r="K73" s="257"/>
      <c r="L73" s="257"/>
      <c r="M73" s="257"/>
      <c r="N73" s="257"/>
      <c r="O73" s="257"/>
      <c r="P73" s="257"/>
      <c r="Q73" s="257"/>
      <c r="R73" s="257"/>
      <c r="S73" s="257"/>
      <c r="T73" s="257"/>
      <c r="U73" s="257"/>
      <c r="V73" s="257"/>
      <c r="W73" s="257"/>
      <c r="X73" s="257"/>
      <c r="Y73" s="257"/>
      <c r="Z73" s="257"/>
      <c r="AA73" s="257"/>
      <c r="AB73" s="257"/>
      <c r="AC73" s="257"/>
      <c r="AD73" s="257"/>
      <c r="AE73" s="257"/>
      <c r="AF73" s="257"/>
      <c r="AG73" s="302">
        <f t="shared" si="60"/>
        <v>9.5714915959443491E-3</v>
      </c>
      <c r="AH73" s="302">
        <f t="shared" si="60"/>
        <v>6.546017000726329E-3</v>
      </c>
      <c r="AI73" s="302">
        <f t="shared" si="60"/>
        <v>6.9915074050433436E-3</v>
      </c>
      <c r="AJ73" s="302">
        <f t="shared" si="60"/>
        <v>1.1427477772455858E-2</v>
      </c>
      <c r="AK73" s="302">
        <f t="shared" si="60"/>
        <v>8.1110243214932189E-3</v>
      </c>
      <c r="AL73" s="302">
        <f t="shared" si="60"/>
        <v>1.0180921400603364E-2</v>
      </c>
      <c r="AM73" s="302">
        <f t="shared" si="60"/>
        <v>7.4806045891620612E-3</v>
      </c>
      <c r="AN73" s="302">
        <f t="shared" si="60"/>
        <v>8.743909595119715E-3</v>
      </c>
      <c r="AO73" s="302">
        <f t="shared" si="60"/>
        <v>7.4340164617613964E-3</v>
      </c>
      <c r="AP73" s="302">
        <f t="shared" si="60"/>
        <v>5.6024175484368898E-3</v>
      </c>
      <c r="AQ73" s="302">
        <f t="shared" si="60"/>
        <v>3.2804702944537619E-3</v>
      </c>
      <c r="AR73" s="302">
        <f t="shared" si="60"/>
        <v>7.2902621650436936E-3</v>
      </c>
      <c r="AS73" s="302">
        <f t="shared" si="61"/>
        <v>8.0127031995461881E-3</v>
      </c>
      <c r="AT73" s="302"/>
      <c r="AU73" s="302">
        <f t="shared" si="62"/>
        <v>1.0573856217763329E-2</v>
      </c>
      <c r="AV73" s="334"/>
      <c r="AW73" s="334"/>
    </row>
    <row r="74" spans="2:49" x14ac:dyDescent="0.3">
      <c r="B74" s="256">
        <f t="shared" si="63"/>
        <v>6</v>
      </c>
      <c r="C74" s="257" t="s">
        <v>96</v>
      </c>
      <c r="D74" s="257" t="s">
        <v>56</v>
      </c>
      <c r="E74" s="257"/>
      <c r="F74" s="257"/>
      <c r="G74" s="257"/>
      <c r="H74" s="257"/>
      <c r="I74" s="257"/>
      <c r="J74" s="257"/>
      <c r="K74" s="257"/>
      <c r="L74" s="257"/>
      <c r="M74" s="257"/>
      <c r="N74" s="257"/>
      <c r="O74" s="257"/>
      <c r="P74" s="257"/>
      <c r="Q74" s="257"/>
      <c r="R74" s="257"/>
      <c r="S74" s="257"/>
      <c r="T74" s="257"/>
      <c r="U74" s="257"/>
      <c r="V74" s="257"/>
      <c r="W74" s="257"/>
      <c r="X74" s="257"/>
      <c r="Y74" s="257"/>
      <c r="Z74" s="257"/>
      <c r="AA74" s="257"/>
      <c r="AB74" s="257"/>
      <c r="AC74" s="257"/>
      <c r="AD74" s="257"/>
      <c r="AE74" s="257"/>
      <c r="AF74" s="257"/>
      <c r="AG74" s="302">
        <f t="shared" si="60"/>
        <v>8.5423069640529013E-3</v>
      </c>
      <c r="AH74" s="302">
        <f t="shared" si="60"/>
        <v>5.6547659929963223E-3</v>
      </c>
      <c r="AI74" s="302">
        <f t="shared" si="60"/>
        <v>6.3921135326082314E-3</v>
      </c>
      <c r="AJ74" s="302">
        <f t="shared" si="60"/>
        <v>5.8779390256598696E-3</v>
      </c>
      <c r="AK74" s="302">
        <f t="shared" si="60"/>
        <v>6.362270894678921E-3</v>
      </c>
      <c r="AL74" s="302">
        <f t="shared" si="60"/>
        <v>8.8468547228640251E-3</v>
      </c>
      <c r="AM74" s="302">
        <f t="shared" si="60"/>
        <v>5.7221149367149334E-3</v>
      </c>
      <c r="AN74" s="302">
        <f t="shared" si="60"/>
        <v>5.7857090325374822E-3</v>
      </c>
      <c r="AO74" s="302">
        <f t="shared" si="60"/>
        <v>6.5913671705620201E-3</v>
      </c>
      <c r="AP74" s="302">
        <f t="shared" si="60"/>
        <v>6.6003496245746205E-3</v>
      </c>
      <c r="AQ74" s="302">
        <f t="shared" si="60"/>
        <v>7.1470240757186883E-3</v>
      </c>
      <c r="AR74" s="302">
        <f t="shared" si="60"/>
        <v>7.3617647862845373E-3</v>
      </c>
      <c r="AS74" s="302">
        <f t="shared" si="61"/>
        <v>7.0919489673954205E-3</v>
      </c>
      <c r="AT74" s="302"/>
      <c r="AU74" s="302">
        <f t="shared" si="62"/>
        <v>6.2631346216337697E-3</v>
      </c>
      <c r="AV74" s="334"/>
      <c r="AW74" s="334"/>
    </row>
    <row r="75" spans="2:49" x14ac:dyDescent="0.3">
      <c r="B75" s="256">
        <f t="shared" si="63"/>
        <v>7</v>
      </c>
      <c r="C75" s="257" t="s">
        <v>96</v>
      </c>
      <c r="D75" s="257" t="s">
        <v>28</v>
      </c>
      <c r="E75" s="257"/>
      <c r="F75" s="257"/>
      <c r="G75" s="257"/>
      <c r="H75" s="257"/>
      <c r="I75" s="257"/>
      <c r="J75" s="257"/>
      <c r="K75" s="257"/>
      <c r="L75" s="257"/>
      <c r="M75" s="257"/>
      <c r="N75" s="257"/>
      <c r="O75" s="257"/>
      <c r="P75" s="257"/>
      <c r="Q75" s="257"/>
      <c r="R75" s="257"/>
      <c r="S75" s="257"/>
      <c r="T75" s="257"/>
      <c r="U75" s="257"/>
      <c r="V75" s="257"/>
      <c r="W75" s="257"/>
      <c r="X75" s="257"/>
      <c r="Y75" s="257"/>
      <c r="Z75" s="257"/>
      <c r="AA75" s="257"/>
      <c r="AB75" s="257"/>
      <c r="AC75" s="257"/>
      <c r="AD75" s="257"/>
      <c r="AE75" s="257"/>
      <c r="AF75" s="257"/>
      <c r="AG75" s="302">
        <f t="shared" si="60"/>
        <v>3.5279956040610897E-3</v>
      </c>
      <c r="AH75" s="302">
        <f t="shared" si="60"/>
        <v>3.3776855883594489E-3</v>
      </c>
      <c r="AI75" s="302">
        <f t="shared" si="60"/>
        <v>3.3145464275872519E-3</v>
      </c>
      <c r="AJ75" s="302">
        <f t="shared" si="60"/>
        <v>3.2281189685844478E-3</v>
      </c>
      <c r="AK75" s="302">
        <f t="shared" si="60"/>
        <v>3.3747016231180055E-3</v>
      </c>
      <c r="AL75" s="302">
        <f t="shared" si="60"/>
        <v>3.6885967677571649E-3</v>
      </c>
      <c r="AM75" s="302">
        <f t="shared" si="60"/>
        <v>5.2929601472166878E-3</v>
      </c>
      <c r="AN75" s="302">
        <f t="shared" si="60"/>
        <v>4.0402989018096039E-3</v>
      </c>
      <c r="AO75" s="302">
        <f t="shared" si="60"/>
        <v>3.2100952749520642E-3</v>
      </c>
      <c r="AP75" s="302">
        <f t="shared" si="60"/>
        <v>2.7423552881245964E-3</v>
      </c>
      <c r="AQ75" s="302">
        <f t="shared" si="60"/>
        <v>2.619671774469143E-3</v>
      </c>
      <c r="AR75" s="302">
        <f t="shared" si="60"/>
        <v>3.2847734991171304E-3</v>
      </c>
      <c r="AS75" s="302">
        <f t="shared" si="61"/>
        <v>3.5126869208370964E-3</v>
      </c>
      <c r="AT75" s="302"/>
      <c r="AU75" s="302">
        <f t="shared" si="62"/>
        <v>5.5656202364824121E-3</v>
      </c>
      <c r="AV75" s="334"/>
      <c r="AW75" s="334"/>
    </row>
    <row r="76" spans="2:49" x14ac:dyDescent="0.3">
      <c r="B76" s="256">
        <f t="shared" si="63"/>
        <v>8</v>
      </c>
      <c r="C76" s="257" t="s">
        <v>96</v>
      </c>
      <c r="D76" s="257" t="s">
        <v>53</v>
      </c>
      <c r="E76" s="257"/>
      <c r="F76" s="257"/>
      <c r="G76" s="257"/>
      <c r="H76" s="257"/>
      <c r="I76" s="257"/>
      <c r="J76" s="257"/>
      <c r="K76" s="257"/>
      <c r="L76" s="257"/>
      <c r="M76" s="257"/>
      <c r="N76" s="257"/>
      <c r="O76" s="257"/>
      <c r="P76" s="257"/>
      <c r="Q76" s="257"/>
      <c r="R76" s="257"/>
      <c r="S76" s="257"/>
      <c r="T76" s="257"/>
      <c r="U76" s="257"/>
      <c r="V76" s="257"/>
      <c r="W76" s="257"/>
      <c r="X76" s="257"/>
      <c r="Y76" s="257"/>
      <c r="Z76" s="257"/>
      <c r="AA76" s="257"/>
      <c r="AB76" s="257"/>
      <c r="AC76" s="257"/>
      <c r="AD76" s="257"/>
      <c r="AE76" s="257"/>
      <c r="AF76" s="257"/>
      <c r="AG76" s="302">
        <f t="shared" si="60"/>
        <v>1.5787804928317131E-3</v>
      </c>
      <c r="AH76" s="302">
        <f t="shared" si="60"/>
        <v>1.840159746000758E-3</v>
      </c>
      <c r="AI76" s="302">
        <f t="shared" si="60"/>
        <v>1.1000186779069423E-3</v>
      </c>
      <c r="AJ76" s="302">
        <f t="shared" si="60"/>
        <v>1.8790434051784996E-3</v>
      </c>
      <c r="AK76" s="302">
        <f t="shared" si="60"/>
        <v>2.7988580405163594E-3</v>
      </c>
      <c r="AL76" s="302">
        <f t="shared" si="60"/>
        <v>3.3353095994525924E-3</v>
      </c>
      <c r="AM76" s="302">
        <f t="shared" si="60"/>
        <v>3.3254473748962712E-3</v>
      </c>
      <c r="AN76" s="302">
        <f t="shared" si="60"/>
        <v>3.7175102915637257E-3</v>
      </c>
      <c r="AO76" s="302">
        <f t="shared" si="60"/>
        <v>1.8516867701960506E-3</v>
      </c>
      <c r="AP76" s="302">
        <f t="shared" si="60"/>
        <v>2.5410394595513919E-3</v>
      </c>
      <c r="AQ76" s="302">
        <f t="shared" si="60"/>
        <v>2.3594376776930916E-3</v>
      </c>
      <c r="AR76" s="302">
        <f t="shared" si="60"/>
        <v>3.6896661610066159E-3</v>
      </c>
      <c r="AS76" s="302">
        <f t="shared" si="61"/>
        <v>2.4927901363198191E-3</v>
      </c>
      <c r="AT76" s="302"/>
      <c r="AU76" s="302">
        <f t="shared" si="62"/>
        <v>4.1474949373119831E-3</v>
      </c>
      <c r="AV76" s="334"/>
      <c r="AW76" s="334"/>
    </row>
    <row r="77" spans="2:49" x14ac:dyDescent="0.3">
      <c r="B77" s="256">
        <f t="shared" si="63"/>
        <v>9</v>
      </c>
      <c r="C77" s="257" t="s">
        <v>96</v>
      </c>
      <c r="D77" s="257" t="s">
        <v>42</v>
      </c>
      <c r="E77" s="257"/>
      <c r="F77" s="257"/>
      <c r="G77" s="257"/>
      <c r="H77" s="257"/>
      <c r="I77" s="257"/>
      <c r="J77" s="257"/>
      <c r="K77" s="257"/>
      <c r="L77" s="257"/>
      <c r="M77" s="257"/>
      <c r="N77" s="257"/>
      <c r="O77" s="257"/>
      <c r="P77" s="257"/>
      <c r="Q77" s="257"/>
      <c r="R77" s="257"/>
      <c r="S77" s="257"/>
      <c r="T77" s="257"/>
      <c r="U77" s="257"/>
      <c r="V77" s="257"/>
      <c r="W77" s="257"/>
      <c r="X77" s="257"/>
      <c r="Y77" s="257"/>
      <c r="Z77" s="257"/>
      <c r="AA77" s="257"/>
      <c r="AB77" s="257"/>
      <c r="AC77" s="257"/>
      <c r="AD77" s="257"/>
      <c r="AE77" s="257"/>
      <c r="AF77" s="257"/>
      <c r="AG77" s="303">
        <f t="shared" si="60"/>
        <v>6.480746319407918E-4</v>
      </c>
      <c r="AH77" s="303">
        <f t="shared" si="60"/>
        <v>8.6936245081526884E-4</v>
      </c>
      <c r="AI77" s="303">
        <f t="shared" si="60"/>
        <v>6.0448114815323634E-4</v>
      </c>
      <c r="AJ77" s="303">
        <f t="shared" si="60"/>
        <v>1.3431856628937429E-3</v>
      </c>
      <c r="AK77" s="303">
        <f t="shared" si="60"/>
        <v>1.0525588833546048E-3</v>
      </c>
      <c r="AL77" s="303">
        <f t="shared" si="60"/>
        <v>9.247977808481035E-4</v>
      </c>
      <c r="AM77" s="303">
        <f t="shared" si="60"/>
        <v>1.3001427803115842E-3</v>
      </c>
      <c r="AN77" s="303">
        <f t="shared" si="60"/>
        <v>1.2728489213650964E-3</v>
      </c>
      <c r="AO77" s="303">
        <f t="shared" si="60"/>
        <v>7.7043298661718469E-4</v>
      </c>
      <c r="AP77" s="303">
        <f t="shared" si="60"/>
        <v>8.1568750194782201E-4</v>
      </c>
      <c r="AQ77" s="303">
        <f t="shared" si="60"/>
        <v>6.4808981880118486E-4</v>
      </c>
      <c r="AR77" s="303">
        <f t="shared" si="60"/>
        <v>8.630829951360668E-4</v>
      </c>
      <c r="AS77" s="303">
        <f t="shared" si="61"/>
        <v>9.3797223749093276E-4</v>
      </c>
      <c r="AT77" s="303"/>
      <c r="AU77" s="303">
        <f t="shared" si="62"/>
        <v>1.9288758744605535E-3</v>
      </c>
      <c r="AV77" s="335"/>
      <c r="AW77" s="335"/>
    </row>
    <row r="78" spans="2:49" x14ac:dyDescent="0.3">
      <c r="B78" s="256">
        <f t="shared" si="63"/>
        <v>10</v>
      </c>
      <c r="C78" s="257" t="s">
        <v>96</v>
      </c>
      <c r="D78" s="257" t="s">
        <v>52</v>
      </c>
      <c r="E78" s="257"/>
      <c r="F78" s="257"/>
      <c r="G78" s="257"/>
      <c r="H78" s="257"/>
      <c r="I78" s="257"/>
      <c r="J78" s="257"/>
      <c r="K78" s="257"/>
      <c r="L78" s="257"/>
      <c r="M78" s="257"/>
      <c r="N78" s="257"/>
      <c r="O78" s="257"/>
      <c r="P78" s="257"/>
      <c r="Q78" s="257"/>
      <c r="R78" s="257"/>
      <c r="S78" s="257"/>
      <c r="T78" s="257"/>
      <c r="U78" s="257"/>
      <c r="V78" s="257"/>
      <c r="W78" s="257"/>
      <c r="X78" s="257"/>
      <c r="Y78" s="257"/>
      <c r="Z78" s="257"/>
      <c r="AA78" s="257"/>
      <c r="AB78" s="257"/>
      <c r="AC78" s="257"/>
      <c r="AD78" s="257"/>
      <c r="AE78" s="257"/>
      <c r="AF78" s="257"/>
      <c r="AG78" s="303">
        <f t="shared" si="60"/>
        <v>9.9279601719158691E-4</v>
      </c>
      <c r="AH78" s="303">
        <f t="shared" si="60"/>
        <v>1.2612981477718372E-3</v>
      </c>
      <c r="AI78" s="303">
        <f t="shared" si="60"/>
        <v>1.0004282335712839E-3</v>
      </c>
      <c r="AJ78" s="303">
        <f t="shared" si="60"/>
        <v>1.0528981189144703E-3</v>
      </c>
      <c r="AK78" s="303">
        <f t="shared" si="60"/>
        <v>9.9784454558967338E-4</v>
      </c>
      <c r="AL78" s="303">
        <f t="shared" si="60"/>
        <v>1.2951715071195377E-3</v>
      </c>
      <c r="AM78" s="303">
        <f t="shared" si="60"/>
        <v>1.6331566820892503E-3</v>
      </c>
      <c r="AN78" s="303">
        <f t="shared" si="60"/>
        <v>1.4903112138447848E-3</v>
      </c>
      <c r="AO78" s="303">
        <f t="shared" si="60"/>
        <v>1.1059231989407126E-3</v>
      </c>
      <c r="AP78" s="303">
        <f t="shared" si="60"/>
        <v>9.9087072324280314E-4</v>
      </c>
      <c r="AQ78" s="303">
        <f t="shared" si="60"/>
        <v>1.0474651267611121E-3</v>
      </c>
      <c r="AR78" s="303">
        <f t="shared" si="60"/>
        <v>1.2722450813254188E-3</v>
      </c>
      <c r="AS78" s="303">
        <f t="shared" si="61"/>
        <v>1.1848847174298054E-3</v>
      </c>
      <c r="AT78" s="303"/>
      <c r="AU78" s="303">
        <f t="shared" si="62"/>
        <v>2.2130438521570399E-3</v>
      </c>
      <c r="AV78" s="335"/>
      <c r="AW78" s="335"/>
    </row>
    <row r="79" spans="2:49" x14ac:dyDescent="0.3">
      <c r="B79" s="256">
        <f t="shared" si="63"/>
        <v>11</v>
      </c>
      <c r="C79" s="262" t="s">
        <v>96</v>
      </c>
      <c r="D79" s="262" t="s">
        <v>55</v>
      </c>
      <c r="E79" s="262"/>
      <c r="F79" s="262"/>
      <c r="G79" s="262"/>
      <c r="H79" s="262"/>
      <c r="I79" s="262"/>
      <c r="J79" s="262"/>
      <c r="K79" s="262"/>
      <c r="L79" s="262"/>
      <c r="M79" s="262"/>
      <c r="N79" s="262"/>
      <c r="O79" s="262"/>
      <c r="P79" s="262"/>
      <c r="Q79" s="262"/>
      <c r="R79" s="262"/>
      <c r="S79" s="262"/>
      <c r="T79" s="262"/>
      <c r="U79" s="262"/>
      <c r="V79" s="262"/>
      <c r="W79" s="262"/>
      <c r="X79" s="262"/>
      <c r="Y79" s="262"/>
      <c r="Z79" s="262"/>
      <c r="AA79" s="262"/>
      <c r="AB79" s="262"/>
      <c r="AC79" s="262"/>
      <c r="AD79" s="262"/>
      <c r="AE79" s="262"/>
      <c r="AF79" s="262"/>
      <c r="AG79" s="304">
        <f t="shared" si="60"/>
        <v>2.1470266407641736E-4</v>
      </c>
      <c r="AH79" s="304">
        <f t="shared" si="60"/>
        <v>0</v>
      </c>
      <c r="AI79" s="304">
        <f t="shared" si="60"/>
        <v>1.9354437079384032E-4</v>
      </c>
      <c r="AJ79" s="304">
        <f t="shared" si="60"/>
        <v>0</v>
      </c>
      <c r="AK79" s="304">
        <f t="shared" si="60"/>
        <v>0</v>
      </c>
      <c r="AL79" s="304">
        <f t="shared" si="60"/>
        <v>1.1877449692195112E-4</v>
      </c>
      <c r="AM79" s="304">
        <f t="shared" si="60"/>
        <v>3.603508628011516E-4</v>
      </c>
      <c r="AN79" s="304">
        <f t="shared" si="60"/>
        <v>4.7362008599346979E-4</v>
      </c>
      <c r="AO79" s="304">
        <f t="shared" si="60"/>
        <v>1.4415462630241518E-6</v>
      </c>
      <c r="AP79" s="304">
        <f t="shared" si="60"/>
        <v>3.7545788823543122E-4</v>
      </c>
      <c r="AQ79" s="304">
        <f t="shared" si="60"/>
        <v>9.7516066474662817E-5</v>
      </c>
      <c r="AR79" s="304">
        <f t="shared" si="60"/>
        <v>9.0183100601859471E-5</v>
      </c>
      <c r="AS79" s="304">
        <f t="shared" si="61"/>
        <v>1.5443992343833505E-4</v>
      </c>
      <c r="AT79" s="304"/>
      <c r="AU79" s="304">
        <f t="shared" si="62"/>
        <v>5.2652021227019073E-4</v>
      </c>
      <c r="AV79" s="334"/>
      <c r="AW79" s="334"/>
    </row>
    <row r="80" spans="2:49" x14ac:dyDescent="0.3">
      <c r="B80" s="236" t="s">
        <v>164</v>
      </c>
      <c r="C80" s="213"/>
      <c r="D80" s="237" t="s">
        <v>165</v>
      </c>
      <c r="E80" s="237"/>
      <c r="F80" s="237"/>
      <c r="G80" s="237"/>
      <c r="H80" s="237"/>
      <c r="I80" s="237"/>
      <c r="J80" s="237"/>
      <c r="K80" s="237"/>
      <c r="L80" s="237"/>
      <c r="M80" s="237"/>
      <c r="N80" s="237"/>
      <c r="O80" s="237"/>
      <c r="P80" s="237"/>
      <c r="Q80" s="237"/>
      <c r="R80" s="237"/>
      <c r="S80" s="237"/>
      <c r="T80" s="237"/>
      <c r="U80" s="237"/>
      <c r="V80" s="237"/>
      <c r="W80" s="237"/>
      <c r="X80" s="237"/>
      <c r="Y80" s="237"/>
      <c r="Z80" s="237"/>
      <c r="AA80" s="237"/>
      <c r="AB80" s="237"/>
      <c r="AC80" s="237"/>
      <c r="AD80" s="237"/>
      <c r="AE80" s="237"/>
      <c r="AF80" s="237"/>
      <c r="AG80" s="300">
        <f t="shared" ref="AG80:AU80" si="64">SUM(AG81:AG87)</f>
        <v>0.13745464235872512</v>
      </c>
      <c r="AH80" s="300">
        <f t="shared" si="64"/>
        <v>0.18223000254291777</v>
      </c>
      <c r="AI80" s="300">
        <f t="shared" si="64"/>
        <v>0.14841891957954587</v>
      </c>
      <c r="AJ80" s="300">
        <f t="shared" si="64"/>
        <v>0.14726023399084118</v>
      </c>
      <c r="AK80" s="300">
        <f t="shared" si="64"/>
        <v>0.15941706580033704</v>
      </c>
      <c r="AL80" s="300">
        <f t="shared" si="64"/>
        <v>0.19417231350532013</v>
      </c>
      <c r="AM80" s="300">
        <f t="shared" si="64"/>
        <v>0.29478341657071588</v>
      </c>
      <c r="AN80" s="300">
        <f t="shared" si="64"/>
        <v>0.27259424922053022</v>
      </c>
      <c r="AO80" s="300">
        <f t="shared" si="64"/>
        <v>0.22743665148518491</v>
      </c>
      <c r="AP80" s="300">
        <f t="shared" si="64"/>
        <v>0.1623761380359697</v>
      </c>
      <c r="AQ80" s="300">
        <f t="shared" si="64"/>
        <v>0.15388798127984898</v>
      </c>
      <c r="AR80" s="300">
        <f t="shared" si="64"/>
        <v>0.18410268861487161</v>
      </c>
      <c r="AS80" s="300">
        <f t="shared" si="64"/>
        <v>0.14385166040847483</v>
      </c>
      <c r="AT80" s="300"/>
      <c r="AU80" s="300">
        <f t="shared" si="64"/>
        <v>0.22617204857946496</v>
      </c>
      <c r="AV80" s="333"/>
      <c r="AW80" s="333"/>
    </row>
    <row r="81" spans="2:49" x14ac:dyDescent="0.3">
      <c r="B81" s="245">
        <v>1</v>
      </c>
      <c r="C81" s="246" t="s">
        <v>97</v>
      </c>
      <c r="D81" s="246" t="s">
        <v>169</v>
      </c>
      <c r="E81" s="246"/>
      <c r="F81" s="246"/>
      <c r="G81" s="246"/>
      <c r="H81" s="246"/>
      <c r="I81" s="246"/>
      <c r="J81" s="246"/>
      <c r="K81" s="246"/>
      <c r="L81" s="246"/>
      <c r="M81" s="246"/>
      <c r="N81" s="246"/>
      <c r="O81" s="246"/>
      <c r="P81" s="246"/>
      <c r="Q81" s="246"/>
      <c r="R81" s="246"/>
      <c r="S81" s="246"/>
      <c r="T81" s="246"/>
      <c r="U81" s="246"/>
      <c r="V81" s="246"/>
      <c r="W81" s="246"/>
      <c r="X81" s="246"/>
      <c r="Y81" s="246"/>
      <c r="Z81" s="246"/>
      <c r="AA81" s="246"/>
      <c r="AB81" s="246"/>
      <c r="AC81" s="246"/>
      <c r="AD81" s="246"/>
      <c r="AE81" s="246"/>
      <c r="AF81" s="246"/>
      <c r="AG81" s="301">
        <f t="shared" ref="AG81:AR88" si="65">AG52/AG$59</f>
        <v>6.7951661228570714E-2</v>
      </c>
      <c r="AH81" s="301">
        <f t="shared" si="65"/>
        <v>9.2138882286045637E-2</v>
      </c>
      <c r="AI81" s="301">
        <f t="shared" si="65"/>
        <v>6.416101028018692E-2</v>
      </c>
      <c r="AJ81" s="301">
        <f t="shared" si="65"/>
        <v>5.282203900112474E-2</v>
      </c>
      <c r="AK81" s="301">
        <f t="shared" si="65"/>
        <v>5.5100471474652683E-2</v>
      </c>
      <c r="AL81" s="301">
        <f t="shared" si="65"/>
        <v>6.781748170493157E-2</v>
      </c>
      <c r="AM81" s="301">
        <f t="shared" si="65"/>
        <v>0.10684169231527441</v>
      </c>
      <c r="AN81" s="301">
        <f t="shared" si="60"/>
        <v>9.6065658993308628E-2</v>
      </c>
      <c r="AO81" s="301">
        <f t="shared" si="60"/>
        <v>7.6612323582842048E-2</v>
      </c>
      <c r="AP81" s="301">
        <f t="shared" si="60"/>
        <v>5.0416306748895634E-2</v>
      </c>
      <c r="AQ81" s="301">
        <f t="shared" si="60"/>
        <v>4.552514711671319E-2</v>
      </c>
      <c r="AR81" s="301">
        <f t="shared" si="60"/>
        <v>1.7425379109189645E-2</v>
      </c>
      <c r="AS81" s="301">
        <f>BB52</f>
        <v>2.3022813736630791E-2</v>
      </c>
      <c r="AT81" s="301"/>
      <c r="AU81" s="301">
        <f t="shared" ref="AU81:AU87" si="66">BA52</f>
        <v>2.2577678808567741E-2</v>
      </c>
      <c r="AV81" s="334"/>
      <c r="AW81" s="334"/>
    </row>
    <row r="82" spans="2:49" x14ac:dyDescent="0.3">
      <c r="B82" s="256">
        <f t="shared" ref="B82:B87" si="67">B81+1</f>
        <v>2</v>
      </c>
      <c r="C82" s="257" t="s">
        <v>97</v>
      </c>
      <c r="D82" s="257" t="s">
        <v>48</v>
      </c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Z82" s="257"/>
      <c r="AA82" s="257"/>
      <c r="AB82" s="257"/>
      <c r="AC82" s="257"/>
      <c r="AD82" s="257"/>
      <c r="AE82" s="257"/>
      <c r="AF82" s="257"/>
      <c r="AG82" s="302">
        <f t="shared" si="65"/>
        <v>5.6761408117660658E-2</v>
      </c>
      <c r="AH82" s="302">
        <f t="shared" si="65"/>
        <v>7.0498181847869629E-2</v>
      </c>
      <c r="AI82" s="302">
        <f t="shared" si="65"/>
        <v>4.7230559176137984E-2</v>
      </c>
      <c r="AJ82" s="302">
        <f t="shared" si="65"/>
        <v>5.5024831226332734E-2</v>
      </c>
      <c r="AK82" s="302">
        <f t="shared" si="65"/>
        <v>6.0425224199209794E-2</v>
      </c>
      <c r="AL82" s="302">
        <f t="shared" si="65"/>
        <v>7.3458010325803916E-2</v>
      </c>
      <c r="AM82" s="302">
        <f t="shared" si="65"/>
        <v>0.11052626449764127</v>
      </c>
      <c r="AN82" s="302">
        <f t="shared" si="65"/>
        <v>0.10034485552098697</v>
      </c>
      <c r="AO82" s="302">
        <f t="shared" si="65"/>
        <v>8.4733725147014896E-2</v>
      </c>
      <c r="AP82" s="302">
        <f t="shared" si="60"/>
        <v>6.4348496068428407E-2</v>
      </c>
      <c r="AQ82" s="302">
        <f t="shared" si="60"/>
        <v>6.1407304107859322E-2</v>
      </c>
      <c r="AR82" s="302">
        <f t="shared" si="60"/>
        <v>9.3265397877340117E-2</v>
      </c>
      <c r="AS82" s="302">
        <f>BB53</f>
        <v>7.214282499927363E-2</v>
      </c>
      <c r="AT82" s="302"/>
      <c r="AU82" s="302">
        <f t="shared" si="66"/>
        <v>0.12814339408348274</v>
      </c>
      <c r="AV82" s="334"/>
      <c r="AW82" s="334"/>
    </row>
    <row r="83" spans="2:49" x14ac:dyDescent="0.3">
      <c r="B83" s="256">
        <f t="shared" si="67"/>
        <v>3</v>
      </c>
      <c r="C83" s="257" t="s">
        <v>96</v>
      </c>
      <c r="D83" s="257" t="s">
        <v>16</v>
      </c>
      <c r="E83" s="257"/>
      <c r="F83" s="257"/>
      <c r="G83" s="257"/>
      <c r="H83" s="257"/>
      <c r="I83" s="257"/>
      <c r="J83" s="257"/>
      <c r="K83" s="257"/>
      <c r="L83" s="257"/>
      <c r="M83" s="257"/>
      <c r="N83" s="257"/>
      <c r="O83" s="257"/>
      <c r="P83" s="257"/>
      <c r="Q83" s="257"/>
      <c r="R83" s="257"/>
      <c r="S83" s="257"/>
      <c r="T83" s="257"/>
      <c r="U83" s="257"/>
      <c r="V83" s="257"/>
      <c r="W83" s="257"/>
      <c r="X83" s="257"/>
      <c r="Y83" s="257"/>
      <c r="Z83" s="257"/>
      <c r="AA83" s="257"/>
      <c r="AB83" s="257"/>
      <c r="AC83" s="257"/>
      <c r="AD83" s="257"/>
      <c r="AE83" s="257"/>
      <c r="AF83" s="257"/>
      <c r="AG83" s="302">
        <f t="shared" si="65"/>
        <v>1.2293795545865066E-3</v>
      </c>
      <c r="AH83" s="302">
        <f t="shared" si="65"/>
        <v>1.8052789908101592E-3</v>
      </c>
      <c r="AI83" s="302">
        <f t="shared" si="65"/>
        <v>2.4048199955019552E-2</v>
      </c>
      <c r="AJ83" s="302">
        <f t="shared" si="65"/>
        <v>2.5958164930829513E-2</v>
      </c>
      <c r="AK83" s="302">
        <f t="shared" si="65"/>
        <v>2.7900395890536955E-2</v>
      </c>
      <c r="AL83" s="302">
        <f t="shared" si="65"/>
        <v>3.4375586032248835E-2</v>
      </c>
      <c r="AM83" s="302">
        <f t="shared" si="65"/>
        <v>5.4762563928431811E-2</v>
      </c>
      <c r="AN83" s="302">
        <f t="shared" si="65"/>
        <v>4.9574270245269288E-2</v>
      </c>
      <c r="AO83" s="302">
        <f t="shared" si="65"/>
        <v>4.1313307501127203E-2</v>
      </c>
      <c r="AP83" s="302">
        <f t="shared" si="60"/>
        <v>3.0207467764661506E-2</v>
      </c>
      <c r="AQ83" s="302">
        <f t="shared" si="60"/>
        <v>2.8186894089919062E-2</v>
      </c>
      <c r="AR83" s="302">
        <f t="shared" si="60"/>
        <v>4.2636420348148796E-2</v>
      </c>
      <c r="AS83" s="302">
        <f t="shared" ref="AS83:AS87" si="68">BB54</f>
        <v>2.9536283587930156E-2</v>
      </c>
      <c r="AT83" s="302"/>
      <c r="AU83" s="302">
        <f t="shared" si="66"/>
        <v>4.4483053266756493E-2</v>
      </c>
      <c r="AV83" s="334"/>
      <c r="AW83" s="334"/>
    </row>
    <row r="84" spans="2:49" x14ac:dyDescent="0.3">
      <c r="B84" s="256">
        <f t="shared" si="67"/>
        <v>4</v>
      </c>
      <c r="C84" s="257" t="s">
        <v>97</v>
      </c>
      <c r="D84" s="257" t="s">
        <v>36</v>
      </c>
      <c r="E84" s="257"/>
      <c r="F84" s="257"/>
      <c r="G84" s="257"/>
      <c r="H84" s="257"/>
      <c r="I84" s="257"/>
      <c r="J84" s="257"/>
      <c r="K84" s="257"/>
      <c r="L84" s="257"/>
      <c r="M84" s="257"/>
      <c r="N84" s="257"/>
      <c r="O84" s="257"/>
      <c r="P84" s="257"/>
      <c r="Q84" s="257"/>
      <c r="R84" s="257"/>
      <c r="S84" s="257"/>
      <c r="T84" s="257"/>
      <c r="U84" s="257"/>
      <c r="V84" s="257"/>
      <c r="W84" s="257"/>
      <c r="X84" s="257"/>
      <c r="Y84" s="257"/>
      <c r="Z84" s="257"/>
      <c r="AA84" s="257"/>
      <c r="AB84" s="257"/>
      <c r="AC84" s="257"/>
      <c r="AD84" s="257"/>
      <c r="AE84" s="257"/>
      <c r="AF84" s="257"/>
      <c r="AG84" s="302">
        <f t="shared" si="65"/>
        <v>1.2262643883992042E-3</v>
      </c>
      <c r="AH84" s="302">
        <f t="shared" si="65"/>
        <v>2.3917520313117531E-3</v>
      </c>
      <c r="AI84" s="302">
        <f t="shared" si="65"/>
        <v>1.7301337638642009E-3</v>
      </c>
      <c r="AJ84" s="302">
        <f t="shared" si="65"/>
        <v>2.0040781134352832E-3</v>
      </c>
      <c r="AK84" s="302">
        <f t="shared" si="65"/>
        <v>2.0948750436507856E-3</v>
      </c>
      <c r="AL84" s="302">
        <f t="shared" si="65"/>
        <v>2.4803911999311439E-3</v>
      </c>
      <c r="AM84" s="302">
        <f t="shared" si="65"/>
        <v>3.7457853213231128E-3</v>
      </c>
      <c r="AN84" s="302">
        <f t="shared" si="65"/>
        <v>3.7608505600520972E-3</v>
      </c>
      <c r="AO84" s="302">
        <f t="shared" si="65"/>
        <v>2.3880442993826421E-3</v>
      </c>
      <c r="AP84" s="302">
        <f t="shared" si="60"/>
        <v>2.1901442745816831E-3</v>
      </c>
      <c r="AQ84" s="302">
        <f t="shared" si="60"/>
        <v>2.3532391751117905E-3</v>
      </c>
      <c r="AR84" s="302">
        <f t="shared" si="60"/>
        <v>4.7349843840697554E-3</v>
      </c>
      <c r="AS84" s="302">
        <f t="shared" si="68"/>
        <v>2.5469188545741051E-3</v>
      </c>
      <c r="AT84" s="302"/>
      <c r="AU84" s="302">
        <f t="shared" si="66"/>
        <v>1.2983089387449414E-2</v>
      </c>
      <c r="AV84" s="334"/>
      <c r="AW84" s="334"/>
    </row>
    <row r="85" spans="2:49" x14ac:dyDescent="0.3">
      <c r="B85" s="256">
        <f t="shared" si="67"/>
        <v>5</v>
      </c>
      <c r="C85" s="257" t="s">
        <v>97</v>
      </c>
      <c r="D85" s="257" t="s">
        <v>12</v>
      </c>
      <c r="E85" s="257"/>
      <c r="F85" s="257"/>
      <c r="G85" s="257"/>
      <c r="H85" s="257"/>
      <c r="I85" s="257"/>
      <c r="J85" s="257"/>
      <c r="K85" s="257"/>
      <c r="L85" s="257"/>
      <c r="M85" s="257"/>
      <c r="N85" s="257"/>
      <c r="O85" s="257"/>
      <c r="P85" s="257"/>
      <c r="Q85" s="257"/>
      <c r="R85" s="257"/>
      <c r="S85" s="257"/>
      <c r="T85" s="257"/>
      <c r="U85" s="257"/>
      <c r="V85" s="257"/>
      <c r="W85" s="257"/>
      <c r="X85" s="257"/>
      <c r="Y85" s="257"/>
      <c r="Z85" s="257"/>
      <c r="AA85" s="257"/>
      <c r="AB85" s="257"/>
      <c r="AC85" s="257"/>
      <c r="AD85" s="257"/>
      <c r="AE85" s="257"/>
      <c r="AF85" s="257"/>
      <c r="AG85" s="302">
        <f t="shared" si="65"/>
        <v>5.5544077603159213E-3</v>
      </c>
      <c r="AH85" s="302">
        <f t="shared" si="65"/>
        <v>7.5477689633412903E-3</v>
      </c>
      <c r="AI85" s="302">
        <f t="shared" si="65"/>
        <v>5.6681642365074923E-3</v>
      </c>
      <c r="AJ85" s="302">
        <f t="shared" si="65"/>
        <v>6.2881198184527257E-3</v>
      </c>
      <c r="AK85" s="302">
        <f t="shared" si="65"/>
        <v>7.2949824849638731E-3</v>
      </c>
      <c r="AL85" s="302">
        <f t="shared" si="65"/>
        <v>7.0789578539045281E-3</v>
      </c>
      <c r="AM85" s="302">
        <f t="shared" si="65"/>
        <v>9.3683767706001196E-3</v>
      </c>
      <c r="AN85" s="302">
        <f t="shared" si="65"/>
        <v>1.0826888321672529E-2</v>
      </c>
      <c r="AO85" s="302">
        <f t="shared" si="65"/>
        <v>1.1328890070090272E-2</v>
      </c>
      <c r="AP85" s="302">
        <f t="shared" si="65"/>
        <v>6.4851057552812973E-3</v>
      </c>
      <c r="AQ85" s="302">
        <f t="shared" si="65"/>
        <v>7.3046851828555458E-3</v>
      </c>
      <c r="AR85" s="302">
        <f t="shared" si="65"/>
        <v>1.1112141248663252E-2</v>
      </c>
      <c r="AS85" s="302">
        <f t="shared" si="68"/>
        <v>7.9676257920065496E-3</v>
      </c>
      <c r="AT85" s="302"/>
      <c r="AU85" s="302">
        <f t="shared" si="66"/>
        <v>9.0648364047190878E-3</v>
      </c>
      <c r="AV85" s="334"/>
      <c r="AW85" s="334"/>
    </row>
    <row r="86" spans="2:49" x14ac:dyDescent="0.3">
      <c r="B86" s="256">
        <f t="shared" si="67"/>
        <v>6</v>
      </c>
      <c r="C86" s="257" t="s">
        <v>97</v>
      </c>
      <c r="D86" s="257" t="s">
        <v>51</v>
      </c>
      <c r="E86" s="257"/>
      <c r="F86" s="257"/>
      <c r="G86" s="257"/>
      <c r="H86" s="257"/>
      <c r="I86" s="257"/>
      <c r="J86" s="257"/>
      <c r="K86" s="257"/>
      <c r="L86" s="257"/>
      <c r="M86" s="257"/>
      <c r="N86" s="257"/>
      <c r="O86" s="257"/>
      <c r="P86" s="257"/>
      <c r="Q86" s="257"/>
      <c r="R86" s="257"/>
      <c r="S86" s="257"/>
      <c r="T86" s="257"/>
      <c r="U86" s="257"/>
      <c r="V86" s="257"/>
      <c r="W86" s="257"/>
      <c r="X86" s="257"/>
      <c r="Y86" s="257"/>
      <c r="Z86" s="257"/>
      <c r="AA86" s="257"/>
      <c r="AB86" s="257"/>
      <c r="AC86" s="257"/>
      <c r="AD86" s="257"/>
      <c r="AE86" s="257"/>
      <c r="AF86" s="257"/>
      <c r="AG86" s="302">
        <f t="shared" si="65"/>
        <v>4.7315213091921092E-3</v>
      </c>
      <c r="AH86" s="302">
        <f t="shared" si="65"/>
        <v>7.8481384235393054E-3</v>
      </c>
      <c r="AI86" s="302">
        <f t="shared" si="65"/>
        <v>5.5808521678297543E-3</v>
      </c>
      <c r="AJ86" s="302">
        <f t="shared" si="65"/>
        <v>5.1630009006661867E-3</v>
      </c>
      <c r="AK86" s="302">
        <f t="shared" si="65"/>
        <v>6.601116707322969E-3</v>
      </c>
      <c r="AL86" s="302">
        <f t="shared" si="65"/>
        <v>8.9618863885001492E-3</v>
      </c>
      <c r="AM86" s="302">
        <f t="shared" si="65"/>
        <v>9.5387337374451837E-3</v>
      </c>
      <c r="AN86" s="302">
        <f t="shared" si="65"/>
        <v>1.202172557924075E-2</v>
      </c>
      <c r="AO86" s="302">
        <f t="shared" si="65"/>
        <v>1.1060360884727871E-2</v>
      </c>
      <c r="AP86" s="302">
        <f t="shared" si="65"/>
        <v>8.728617424121142E-3</v>
      </c>
      <c r="AQ86" s="302">
        <f t="shared" si="65"/>
        <v>9.1107116073900728E-3</v>
      </c>
      <c r="AR86" s="302">
        <f t="shared" si="65"/>
        <v>1.4928365647460046E-2</v>
      </c>
      <c r="AS86" s="302">
        <f t="shared" si="68"/>
        <v>8.6351934380595897E-3</v>
      </c>
      <c r="AT86" s="302"/>
      <c r="AU86" s="302">
        <f t="shared" si="66"/>
        <v>7.2464455453545027E-3</v>
      </c>
      <c r="AV86" s="334"/>
      <c r="AW86" s="334"/>
    </row>
    <row r="87" spans="2:49" x14ac:dyDescent="0.3">
      <c r="B87" s="256">
        <f t="shared" si="67"/>
        <v>7</v>
      </c>
      <c r="C87" s="262" t="s">
        <v>97</v>
      </c>
      <c r="D87" s="262" t="s">
        <v>40</v>
      </c>
      <c r="E87" s="262"/>
      <c r="F87" s="262"/>
      <c r="G87" s="262"/>
      <c r="H87" s="262"/>
      <c r="I87" s="262"/>
      <c r="J87" s="262"/>
      <c r="K87" s="262"/>
      <c r="L87" s="262"/>
      <c r="M87" s="262"/>
      <c r="N87" s="262"/>
      <c r="O87" s="262"/>
      <c r="P87" s="262"/>
      <c r="Q87" s="262"/>
      <c r="R87" s="262"/>
      <c r="S87" s="262"/>
      <c r="T87" s="262"/>
      <c r="U87" s="262"/>
      <c r="V87" s="262"/>
      <c r="W87" s="262"/>
      <c r="X87" s="262"/>
      <c r="Y87" s="262"/>
      <c r="Z87" s="262"/>
      <c r="AA87" s="262"/>
      <c r="AB87" s="262"/>
      <c r="AC87" s="262"/>
      <c r="AD87" s="262"/>
      <c r="AE87" s="262"/>
      <c r="AF87" s="262"/>
      <c r="AG87" s="304">
        <f t="shared" si="65"/>
        <v>0</v>
      </c>
      <c r="AH87" s="304">
        <f t="shared" si="65"/>
        <v>0</v>
      </c>
      <c r="AI87" s="304">
        <f t="shared" si="65"/>
        <v>0</v>
      </c>
      <c r="AJ87" s="304">
        <f t="shared" si="65"/>
        <v>0</v>
      </c>
      <c r="AK87" s="304">
        <f t="shared" si="65"/>
        <v>0</v>
      </c>
      <c r="AL87" s="304">
        <f t="shared" si="65"/>
        <v>0</v>
      </c>
      <c r="AM87" s="304">
        <f t="shared" si="65"/>
        <v>0</v>
      </c>
      <c r="AN87" s="304">
        <f t="shared" si="65"/>
        <v>0</v>
      </c>
      <c r="AO87" s="304">
        <f t="shared" si="65"/>
        <v>0</v>
      </c>
      <c r="AP87" s="304">
        <f t="shared" si="65"/>
        <v>0</v>
      </c>
      <c r="AQ87" s="304">
        <f t="shared" si="65"/>
        <v>0</v>
      </c>
      <c r="AR87" s="304">
        <f t="shared" si="65"/>
        <v>0</v>
      </c>
      <c r="AS87" s="304">
        <f t="shared" si="68"/>
        <v>0</v>
      </c>
      <c r="AT87" s="304"/>
      <c r="AU87" s="304">
        <f t="shared" si="66"/>
        <v>1.6735510831349951E-3</v>
      </c>
      <c r="AV87" s="334"/>
      <c r="AW87" s="334"/>
    </row>
    <row r="88" spans="2:49" x14ac:dyDescent="0.3">
      <c r="B88" s="270" t="s">
        <v>173</v>
      </c>
      <c r="C88" s="271"/>
      <c r="D88" s="270"/>
      <c r="E88" s="270"/>
      <c r="F88" s="270"/>
      <c r="G88" s="270"/>
      <c r="H88" s="270"/>
      <c r="I88" s="270"/>
      <c r="J88" s="270"/>
      <c r="K88" s="270"/>
      <c r="L88" s="270"/>
      <c r="M88" s="270"/>
      <c r="N88" s="270"/>
      <c r="O88" s="270"/>
      <c r="P88" s="270"/>
      <c r="Q88" s="270"/>
      <c r="R88" s="270"/>
      <c r="S88" s="270"/>
      <c r="T88" s="270"/>
      <c r="U88" s="270"/>
      <c r="V88" s="270"/>
      <c r="W88" s="270"/>
      <c r="X88" s="270"/>
      <c r="Y88" s="270"/>
      <c r="Z88" s="270"/>
      <c r="AA88" s="270"/>
      <c r="AB88" s="270"/>
      <c r="AC88" s="270"/>
      <c r="AD88" s="270"/>
      <c r="AE88" s="270"/>
      <c r="AF88" s="270"/>
      <c r="AG88" s="305">
        <f t="shared" ref="AG88:AN88" si="69">AG68+AG80</f>
        <v>0.99999999999999978</v>
      </c>
      <c r="AH88" s="305">
        <f t="shared" si="69"/>
        <v>0.99999999999999989</v>
      </c>
      <c r="AI88" s="305">
        <f t="shared" si="69"/>
        <v>1.0000000000000004</v>
      </c>
      <c r="AJ88" s="305">
        <f t="shared" si="69"/>
        <v>1</v>
      </c>
      <c r="AK88" s="305">
        <f t="shared" si="69"/>
        <v>1</v>
      </c>
      <c r="AL88" s="305">
        <f t="shared" si="69"/>
        <v>1.0000000000000002</v>
      </c>
      <c r="AM88" s="305">
        <f t="shared" si="69"/>
        <v>1</v>
      </c>
      <c r="AN88" s="305">
        <f t="shared" si="69"/>
        <v>1</v>
      </c>
      <c r="AO88" s="305">
        <f t="shared" si="65"/>
        <v>1</v>
      </c>
      <c r="AP88" s="305">
        <f t="shared" si="65"/>
        <v>1</v>
      </c>
      <c r="AQ88" s="305">
        <f t="shared" si="65"/>
        <v>1</v>
      </c>
      <c r="AR88" s="305">
        <f t="shared" si="65"/>
        <v>1</v>
      </c>
      <c r="AS88" s="305">
        <f>AS68+AS80</f>
        <v>1</v>
      </c>
      <c r="AT88" s="305"/>
      <c r="AU88" s="305">
        <f>AU68+AU80</f>
        <v>0.99999999999999989</v>
      </c>
      <c r="AV88" s="336"/>
      <c r="AW88" s="336"/>
    </row>
  </sheetData>
  <sheetProtection selectLockedCells="1" selectUnlockedCells="1"/>
  <mergeCells count="30">
    <mergeCell ref="B32:D32"/>
    <mergeCell ref="BA32:BD32"/>
    <mergeCell ref="BA33:BD33"/>
    <mergeCell ref="B61:D61"/>
    <mergeCell ref="B62:D62"/>
    <mergeCell ref="B31:D31"/>
    <mergeCell ref="BA31:BD31"/>
    <mergeCell ref="BA20:BD20"/>
    <mergeCell ref="BA21:BD21"/>
    <mergeCell ref="BA22:BD22"/>
    <mergeCell ref="BA23:BD23"/>
    <mergeCell ref="BA24:BD24"/>
    <mergeCell ref="BA25:BD25"/>
    <mergeCell ref="BA26:BD26"/>
    <mergeCell ref="BA27:BD27"/>
    <mergeCell ref="BA28:BD28"/>
    <mergeCell ref="BA29:BD29"/>
    <mergeCell ref="BA30:BD30"/>
    <mergeCell ref="BA19:BD19"/>
    <mergeCell ref="BA8:BD8"/>
    <mergeCell ref="BA9:BD9"/>
    <mergeCell ref="BA10:BD10"/>
    <mergeCell ref="BA11:BD11"/>
    <mergeCell ref="BA12:BD12"/>
    <mergeCell ref="BA13:BD13"/>
    <mergeCell ref="BA14:BD14"/>
    <mergeCell ref="BA15:BD15"/>
    <mergeCell ref="BA16:BD16"/>
    <mergeCell ref="BA17:BD17"/>
    <mergeCell ref="BA18:BD18"/>
  </mergeCells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08A53B88-95B3-44D5-B894-2C24C5B3061E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AX39</xm:sqref>
        </x14:conditionalFormatting>
        <x14:conditionalFormatting xmlns:xm="http://schemas.microsoft.com/office/excel/2006/main">
          <x14:cfRule type="iconSet" priority="4" id="{E634B32D-9287-47AD-8A43-513F28DBE333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AX40:AX50</xm:sqref>
        </x14:conditionalFormatting>
        <x14:conditionalFormatting xmlns:xm="http://schemas.microsoft.com/office/excel/2006/main">
          <x14:cfRule type="iconSet" priority="5" id="{E0F94FD0-D040-412C-84D9-247D356A33BA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AX51:AX58</xm:sqref>
        </x14:conditionalFormatting>
        <x14:conditionalFormatting xmlns:xm="http://schemas.microsoft.com/office/excel/2006/main">
          <x14:cfRule type="iconSet" priority="8" id="{D0706C36-8219-4E7B-9D02-255E397C198A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NoIcons" iconId="0"/>
              <x14:cfIcon iconSet="3TrafficLights1" iconId="2"/>
            </x14:iconSet>
          </x14:cfRule>
          <xm:sqref>AX60</xm:sqref>
        </x14:conditionalFormatting>
        <x14:conditionalFormatting xmlns:xm="http://schemas.microsoft.com/office/excel/2006/main">
          <x14:cfRule type="iconSet" priority="3" id="{6EF50DDB-0DC8-47C7-A62A-7605683D5C25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AX61:AX62</xm:sqref>
        </x14:conditionalFormatting>
        <x14:conditionalFormatting xmlns:xm="http://schemas.microsoft.com/office/excel/2006/main">
          <x14:cfRule type="iconSet" priority="9" id="{722BEF58-B821-41AC-9807-BB1B5B395C4D}">
            <x14:iconSet iconSet="3Sign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AY9:AY29</xm:sqref>
        </x14:conditionalFormatting>
        <x14:conditionalFormatting xmlns:xm="http://schemas.microsoft.com/office/excel/2006/main">
          <x14:cfRule type="iconSet" priority="7" id="{E5E83C9B-4D99-43EB-9FEC-6685438C399F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AZ39:AZ59 AZ61:AZ62</xm:sqref>
        </x14:conditionalFormatting>
        <x14:conditionalFormatting xmlns:xm="http://schemas.microsoft.com/office/excel/2006/main">
          <x14:cfRule type="iconSet" priority="1" id="{CDE8CD39-705D-4602-9919-29A70CA34D74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NoIcons" iconId="0"/>
              <x14:cfIcon iconSet="3TrafficLights1" iconId="2"/>
            </x14:iconSet>
          </x14:cfRule>
          <xm:sqref>AZ60</xm:sqref>
        </x14:conditionalFormatting>
        <x14:conditionalFormatting xmlns:xm="http://schemas.microsoft.com/office/excel/2006/main">
          <x14:cfRule type="iconSet" priority="6" id="{18033488-C3B6-4367-A628-582613EA3364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BC39:BC62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0089F-A461-4FC9-95B5-8A1289019594}">
  <sheetPr>
    <tabColor rgb="FF00B050"/>
  </sheetPr>
  <dimension ref="O4:AQ91"/>
  <sheetViews>
    <sheetView topLeftCell="A40" zoomScale="60" zoomScaleNormal="60" workbookViewId="0">
      <selection activeCell="P100" sqref="P100"/>
    </sheetView>
  </sheetViews>
  <sheetFormatPr defaultRowHeight="14.4" x14ac:dyDescent="0.3"/>
  <cols>
    <col min="1" max="14" width="12.44140625" customWidth="1"/>
    <col min="15" max="15" width="20.5546875" customWidth="1"/>
    <col min="24" max="28" width="8.5546875" customWidth="1"/>
  </cols>
  <sheetData>
    <row r="4" spans="15:43" ht="31.2" x14ac:dyDescent="0.3">
      <c r="O4" s="94" t="s">
        <v>59</v>
      </c>
      <c r="P4" s="120" t="s">
        <v>171</v>
      </c>
      <c r="Q4" s="120" t="s">
        <v>186</v>
      </c>
      <c r="R4" s="96">
        <v>2</v>
      </c>
      <c r="S4" s="96">
        <v>3</v>
      </c>
      <c r="T4" s="95">
        <v>4</v>
      </c>
      <c r="U4" s="95">
        <v>5</v>
      </c>
      <c r="V4" s="95">
        <v>6</v>
      </c>
      <c r="W4" s="95">
        <v>7</v>
      </c>
      <c r="X4" s="95">
        <v>8</v>
      </c>
      <c r="Y4" s="95">
        <v>9</v>
      </c>
      <c r="Z4" s="95">
        <v>10</v>
      </c>
      <c r="AA4" s="95">
        <v>11</v>
      </c>
      <c r="AB4" s="95">
        <v>12</v>
      </c>
      <c r="AC4" s="96" t="s">
        <v>185</v>
      </c>
      <c r="AD4" s="120" t="s">
        <v>251</v>
      </c>
      <c r="AE4" s="96">
        <v>2</v>
      </c>
      <c r="AF4" s="96">
        <v>3</v>
      </c>
      <c r="AG4" s="95">
        <v>4</v>
      </c>
      <c r="AH4" s="95">
        <v>5</v>
      </c>
      <c r="AI4" s="95">
        <v>6</v>
      </c>
      <c r="AJ4" s="95">
        <v>7</v>
      </c>
      <c r="AK4" s="95">
        <v>8</v>
      </c>
      <c r="AL4" s="95">
        <v>9</v>
      </c>
      <c r="AM4" s="95">
        <v>10</v>
      </c>
      <c r="AN4" s="95">
        <v>11</v>
      </c>
      <c r="AO4" s="95">
        <v>12</v>
      </c>
      <c r="AP4" s="96" t="s">
        <v>250</v>
      </c>
      <c r="AQ4" s="96" t="s">
        <v>254</v>
      </c>
    </row>
    <row r="5" spans="15:43" ht="15.6" x14ac:dyDescent="0.3">
      <c r="O5" s="141" t="s">
        <v>182</v>
      </c>
      <c r="P5" s="142">
        <f>'18 KMP- Tháng (Tâm)'!Q63</f>
        <v>19.760467905924752</v>
      </c>
      <c r="Q5" s="142">
        <f>'18 KMP- Tháng (Tâm)'!R63</f>
        <v>17.948177509556348</v>
      </c>
      <c r="R5" s="142">
        <f>'18 KMP- Tháng (Tâm)'!S63</f>
        <v>19.396253595809295</v>
      </c>
      <c r="S5" s="142">
        <f>'18 KMP- Tháng (Tâm)'!T63</f>
        <v>19.383062338985635</v>
      </c>
      <c r="T5" s="142">
        <f>'18 KMP- Tháng (Tâm)'!U63</f>
        <v>19.937223798176124</v>
      </c>
      <c r="U5" s="142">
        <f>'18 KMP- Tháng (Tâm)'!V63</f>
        <v>19.122937523781076</v>
      </c>
      <c r="V5" s="142">
        <f>'18 KMP- Tháng (Tâm)'!W63</f>
        <v>18.628787451937896</v>
      </c>
      <c r="W5" s="142">
        <f>'18 KMP- Tháng (Tâm)'!X63</f>
        <v>19.143955212370578</v>
      </c>
      <c r="X5" s="142">
        <f>'18 KMP- Tháng (Tâm)'!Y63</f>
        <v>18.69607359042805</v>
      </c>
      <c r="Y5" s="142">
        <f>'18 KMP- Tháng (Tâm)'!Z63</f>
        <v>19.616423624724003</v>
      </c>
      <c r="Z5" s="142">
        <f>'18 KMP- Tháng (Tâm)'!AA63</f>
        <v>19.368928154266165</v>
      </c>
      <c r="AA5" s="142">
        <f>'18 KMP- Tháng (Tâm)'!AB63</f>
        <v>18.911342412100201</v>
      </c>
      <c r="AB5" s="142">
        <f>'18 KMP- Tháng (Tâm)'!AC63</f>
        <v>18.660515558360363</v>
      </c>
      <c r="AC5" s="143">
        <f>'18 KMP- Tháng (Tâm)'!AD63</f>
        <v>19.06531599293432</v>
      </c>
      <c r="AD5" s="143">
        <f>'18 KMP- Tháng (Tâm)'!BF63</f>
        <v>19.575337209777519</v>
      </c>
      <c r="AE5" s="143">
        <f>'18 KMP- Tháng (Tâm)'!BG63</f>
        <v>18.521581012658768</v>
      </c>
      <c r="AF5" s="143">
        <f>'18 KMP- Tháng (Tâm)'!BH63</f>
        <v>19.19105057386151</v>
      </c>
      <c r="AG5" s="143">
        <f>'18 KMP- Tháng (Tâm)'!BI63</f>
        <v>18.446340251474307</v>
      </c>
      <c r="AH5" s="143">
        <f>'18 KMP- Tháng (Tâm)'!BJ63</f>
        <v>19.589332330935022</v>
      </c>
      <c r="AI5" s="143">
        <f>'18 KMP- Tháng (Tâm)'!BK63</f>
        <v>0</v>
      </c>
      <c r="AJ5" s="143">
        <f>'18 KMP- Tháng (Tâm)'!BL63</f>
        <v>0</v>
      </c>
      <c r="AK5" s="143">
        <f>'18 KMP- Tháng (Tâm)'!BM63</f>
        <v>0</v>
      </c>
      <c r="AL5" s="143">
        <f>'18 KMP- Tháng (Tâm)'!BN63</f>
        <v>0</v>
      </c>
      <c r="AM5" s="143">
        <f>'18 KMP- Tháng (Tâm)'!BO63</f>
        <v>0</v>
      </c>
      <c r="AN5" s="143">
        <f>'18 KMP- Tháng (Tâm)'!BP63</f>
        <v>0</v>
      </c>
      <c r="AO5" s="143">
        <f>'18 KMP- Tháng (Tâm)'!BQ63</f>
        <v>0</v>
      </c>
      <c r="AP5" s="143">
        <f>'18 KMP- Tháng (Tâm)'!BR63</f>
        <v>19.076772942025617</v>
      </c>
      <c r="AQ5" s="143">
        <f>'18 KMP- Tháng (Tâm)'!BE63</f>
        <v>18.443916461714945</v>
      </c>
    </row>
    <row r="6" spans="15:43" ht="31.2" x14ac:dyDescent="0.3">
      <c r="O6" s="141" t="s">
        <v>209</v>
      </c>
      <c r="P6" s="142">
        <f>'18 KMP- Tháng (Tâm)'!Q64</f>
        <v>4.9017272604390136</v>
      </c>
      <c r="Q6" s="142">
        <f>'18 KMP- Tháng (Tâm)'!R64</f>
        <v>4.8780339976517411</v>
      </c>
      <c r="R6" s="142">
        <f>'18 KMP- Tháng (Tâm)'!S64</f>
        <v>7.551524532815403</v>
      </c>
      <c r="S6" s="142">
        <f>'18 KMP- Tháng (Tâm)'!T64</f>
        <v>4.9229263528772549</v>
      </c>
      <c r="T6" s="142">
        <f>'18 KMP- Tháng (Tâm)'!U64</f>
        <v>5.8158763961429862</v>
      </c>
      <c r="U6" s="142">
        <f>'18 KMP- Tháng (Tâm)'!V64</f>
        <v>5.8819685079050785</v>
      </c>
      <c r="V6" s="142">
        <f>'18 KMP- Tháng (Tâm)'!W64</f>
        <v>7.1338659179749406</v>
      </c>
      <c r="W6" s="142">
        <f>'18 KMP- Tháng (Tâm)'!X64</f>
        <v>11.779626940788017</v>
      </c>
      <c r="X6" s="142">
        <f>'18 KMP- Tháng (Tâm)'!Y64</f>
        <v>10.50149758576169</v>
      </c>
      <c r="Y6" s="142">
        <f>'18 KMP- Tháng (Tâm)'!Z64</f>
        <v>8.9191817107551081</v>
      </c>
      <c r="Z6" s="142">
        <f>'18 KMP- Tháng (Tâm)'!AA64</f>
        <v>5.9470098169503949</v>
      </c>
      <c r="AA6" s="142">
        <f>'18 KMP- Tháng (Tâm)'!AB64</f>
        <v>5.5693888864892784</v>
      </c>
      <c r="AB6" s="142">
        <f>'18 KMP- Tháng (Tâm)'!AC64</f>
        <v>8.1066994498543039</v>
      </c>
      <c r="AC6" s="143">
        <f>'18 KMP- Tháng (Tâm)'!AD64</f>
        <v>6.6789089803874866</v>
      </c>
      <c r="AD6" s="143">
        <f>'18 KMP- Tháng (Tâm)'!BF64</f>
        <v>9.2754693560213006</v>
      </c>
      <c r="AE6" s="143">
        <f>'18 KMP- Tháng (Tâm)'!BG64</f>
        <v>12.673245003588978</v>
      </c>
      <c r="AF6" s="143">
        <f>'18 KMP- Tháng (Tâm)'!BH64</f>
        <v>5.8044003260669683</v>
      </c>
      <c r="AG6" s="143">
        <f>'18 KMP- Tháng (Tâm)'!BI64</f>
        <v>6.6580628942448463</v>
      </c>
      <c r="AH6" s="143">
        <f>'18 KMP- Tháng (Tâm)'!BJ64</f>
        <v>8.0844349165887763</v>
      </c>
      <c r="AI6" s="143">
        <f>'18 KMP- Tháng (Tâm)'!BK64</f>
        <v>0</v>
      </c>
      <c r="AJ6" s="143">
        <f>'18 KMP- Tháng (Tâm)'!BL64</f>
        <v>0</v>
      </c>
      <c r="AK6" s="143">
        <f>'18 KMP- Tháng (Tâm)'!BM64</f>
        <v>0</v>
      </c>
      <c r="AL6" s="143">
        <f>'18 KMP- Tháng (Tâm)'!BN64</f>
        <v>0</v>
      </c>
      <c r="AM6" s="143">
        <f>'18 KMP- Tháng (Tâm)'!BO64</f>
        <v>0</v>
      </c>
      <c r="AN6" s="143">
        <f>'18 KMP- Tháng (Tâm)'!BP64</f>
        <v>0</v>
      </c>
      <c r="AO6" s="143">
        <f>'18 KMP- Tháng (Tâm)'!BQ64</f>
        <v>0</v>
      </c>
      <c r="AP6" s="143">
        <f>'18 KMP- Tháng (Tâm)'!BR64</f>
        <v>7.8324762002343356</v>
      </c>
      <c r="AQ6" s="143">
        <f>'18 KMP- Tháng (Tâm)'!BE64</f>
        <v>7.2271605825349923</v>
      </c>
    </row>
    <row r="7" spans="15:43" x14ac:dyDescent="0.3">
      <c r="O7" s="145" t="s">
        <v>200</v>
      </c>
      <c r="P7" s="144">
        <f>SUM(P5:P6)</f>
        <v>24.662195166363766</v>
      </c>
      <c r="Q7" s="144">
        <f>SUM(Q5:Q6)</f>
        <v>22.82621150720809</v>
      </c>
      <c r="R7" s="144">
        <f t="shared" ref="R7:AB7" si="0">SUM(R5:R6)</f>
        <v>26.947778128624698</v>
      </c>
      <c r="S7" s="144">
        <f t="shared" si="0"/>
        <v>24.30598869186289</v>
      </c>
      <c r="T7" s="144">
        <f t="shared" si="0"/>
        <v>25.75310019431911</v>
      </c>
      <c r="U7" s="144">
        <f t="shared" si="0"/>
        <v>25.004906031686154</v>
      </c>
      <c r="V7" s="144">
        <f t="shared" si="0"/>
        <v>25.762653369912837</v>
      </c>
      <c r="W7" s="144">
        <f t="shared" si="0"/>
        <v>30.923582153158595</v>
      </c>
      <c r="X7" s="144">
        <f t="shared" si="0"/>
        <v>29.19757117618974</v>
      </c>
      <c r="Y7" s="144">
        <f t="shared" si="0"/>
        <v>28.535605335479111</v>
      </c>
      <c r="Z7" s="144">
        <f t="shared" si="0"/>
        <v>25.31593797121656</v>
      </c>
      <c r="AA7" s="144">
        <f t="shared" si="0"/>
        <v>24.480731298589479</v>
      </c>
      <c r="AB7" s="144">
        <f t="shared" si="0"/>
        <v>26.767215008214666</v>
      </c>
      <c r="AC7" s="144">
        <f t="shared" ref="AC7:AD7" si="1">SUM(AC5:AC6)</f>
        <v>25.744224973321806</v>
      </c>
      <c r="AD7" s="144">
        <f t="shared" si="1"/>
        <v>28.85080656579882</v>
      </c>
      <c r="AE7" s="144">
        <f t="shared" ref="AE7:AQ7" si="2">SUM(AE5:AE6)</f>
        <v>31.194826016247745</v>
      </c>
      <c r="AF7" s="144">
        <f t="shared" si="2"/>
        <v>24.995450899928478</v>
      </c>
      <c r="AG7" s="144">
        <f t="shared" si="2"/>
        <v>25.104403145719154</v>
      </c>
      <c r="AH7" s="144">
        <f t="shared" si="2"/>
        <v>27.673767247523799</v>
      </c>
      <c r="AI7" s="144">
        <f t="shared" si="2"/>
        <v>0</v>
      </c>
      <c r="AJ7" s="144">
        <f t="shared" si="2"/>
        <v>0</v>
      </c>
      <c r="AK7" s="144">
        <f t="shared" si="2"/>
        <v>0</v>
      </c>
      <c r="AL7" s="144">
        <f t="shared" si="2"/>
        <v>0</v>
      </c>
      <c r="AM7" s="144">
        <f t="shared" si="2"/>
        <v>0</v>
      </c>
      <c r="AN7" s="144">
        <f t="shared" si="2"/>
        <v>0</v>
      </c>
      <c r="AO7" s="144">
        <f t="shared" si="2"/>
        <v>0</v>
      </c>
      <c r="AP7" s="144">
        <f t="shared" si="2"/>
        <v>26.909249142259952</v>
      </c>
      <c r="AQ7" s="144">
        <f t="shared" si="2"/>
        <v>25.671077044249937</v>
      </c>
    </row>
    <row r="90" ht="15.6" customHeight="1" x14ac:dyDescent="0.3"/>
    <row r="91" ht="15.6" customHeight="1" x14ac:dyDescent="0.3"/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E3C36-D9C9-49EF-80A8-3BBEFB5C72D0}">
  <sheetPr>
    <tabColor rgb="FFFFC000"/>
  </sheetPr>
  <dimension ref="A1:AI92"/>
  <sheetViews>
    <sheetView zoomScale="90" zoomScaleNormal="90" workbookViewId="0">
      <pane xSplit="4" ySplit="4" topLeftCell="E23" activePane="bottomRight" state="frozen"/>
      <selection activeCell="AH23" sqref="AH23"/>
      <selection pane="topRight" activeCell="AH23" sqref="AH23"/>
      <selection pane="bottomLeft" activeCell="AH23" sqref="AH23"/>
      <selection pane="bottomRight" activeCell="AH23" sqref="AH23"/>
    </sheetView>
  </sheetViews>
  <sheetFormatPr defaultRowHeight="14.4" x14ac:dyDescent="0.3"/>
  <cols>
    <col min="1" max="1" width="8" hidden="1" customWidth="1"/>
    <col min="2" max="2" width="4.44140625" customWidth="1"/>
    <col min="3" max="3" width="10.44140625" hidden="1" customWidth="1"/>
    <col min="4" max="4" width="23.5546875" bestFit="1" customWidth="1"/>
    <col min="5" max="5" width="9.44140625" customWidth="1"/>
    <col min="6" max="17" width="9.44140625" hidden="1" customWidth="1"/>
    <col min="18" max="18" width="10.5546875" bestFit="1" customWidth="1"/>
    <col min="19" max="25" width="10.5546875" customWidth="1"/>
    <col min="26" max="30" width="10.5546875" hidden="1" customWidth="1"/>
    <col min="31" max="31" width="10.5546875" customWidth="1"/>
    <col min="32" max="32" width="11.21875" hidden="1" customWidth="1"/>
    <col min="33" max="35" width="10.5546875" customWidth="1"/>
  </cols>
  <sheetData>
    <row r="1" spans="1:33" hidden="1" x14ac:dyDescent="0.3">
      <c r="C1" s="13" t="s">
        <v>117</v>
      </c>
    </row>
    <row r="2" spans="1:33" ht="21" x14ac:dyDescent="0.4">
      <c r="D2" s="104" t="s">
        <v>188</v>
      </c>
      <c r="E2" s="105"/>
      <c r="F2" s="105"/>
      <c r="G2" s="105"/>
      <c r="H2" s="105"/>
      <c r="I2" s="105"/>
      <c r="J2" s="105"/>
      <c r="K2" s="105">
        <v>6</v>
      </c>
      <c r="L2" s="105">
        <v>7</v>
      </c>
      <c r="M2" s="105">
        <v>8</v>
      </c>
      <c r="N2" s="105">
        <v>9</v>
      </c>
      <c r="O2" s="105">
        <v>10</v>
      </c>
      <c r="P2" s="105">
        <v>11</v>
      </c>
      <c r="Q2" s="105">
        <v>12</v>
      </c>
    </row>
    <row r="3" spans="1:33" ht="21" x14ac:dyDescent="0.4">
      <c r="C3" s="104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</row>
    <row r="4" spans="1:33" s="89" customFormat="1" x14ac:dyDescent="0.3">
      <c r="A4" s="105">
        <v>1</v>
      </c>
      <c r="B4" s="2" t="s">
        <v>57</v>
      </c>
      <c r="C4" s="2" t="s">
        <v>58</v>
      </c>
      <c r="D4" s="2" t="s">
        <v>59</v>
      </c>
      <c r="E4" s="307" t="s">
        <v>171</v>
      </c>
      <c r="F4" s="307" t="s">
        <v>72</v>
      </c>
      <c r="G4" s="307" t="s">
        <v>73</v>
      </c>
      <c r="H4" s="307" t="s">
        <v>74</v>
      </c>
      <c r="I4" s="307" t="s">
        <v>75</v>
      </c>
      <c r="J4" s="307" t="s">
        <v>76</v>
      </c>
      <c r="K4" s="307" t="s">
        <v>77</v>
      </c>
      <c r="L4" s="307" t="s">
        <v>78</v>
      </c>
      <c r="M4" s="307" t="s">
        <v>79</v>
      </c>
      <c r="N4" s="307" t="s">
        <v>80</v>
      </c>
      <c r="O4" s="307" t="s">
        <v>81</v>
      </c>
      <c r="P4" s="307" t="s">
        <v>82</v>
      </c>
      <c r="Q4" s="307" t="s">
        <v>83</v>
      </c>
      <c r="R4" s="307" t="s">
        <v>185</v>
      </c>
      <c r="S4" s="307" t="s">
        <v>229</v>
      </c>
      <c r="T4" s="307">
        <v>2</v>
      </c>
      <c r="U4" s="307">
        <v>3</v>
      </c>
      <c r="V4" s="307">
        <v>4</v>
      </c>
      <c r="W4" s="307">
        <v>5</v>
      </c>
      <c r="X4" s="307">
        <v>6</v>
      </c>
      <c r="Y4" s="307">
        <v>7</v>
      </c>
      <c r="Z4" s="307">
        <v>8</v>
      </c>
      <c r="AA4" s="307">
        <v>9</v>
      </c>
      <c r="AB4" s="307">
        <v>10</v>
      </c>
      <c r="AC4" s="307">
        <v>11</v>
      </c>
      <c r="AD4" s="307">
        <v>12</v>
      </c>
      <c r="AE4" s="307" t="s">
        <v>250</v>
      </c>
    </row>
    <row r="5" spans="1:33" s="12" customFormat="1" x14ac:dyDescent="0.3">
      <c r="A5" s="105">
        <v>2</v>
      </c>
      <c r="B5" s="81" t="s">
        <v>162</v>
      </c>
      <c r="D5" s="77" t="s">
        <v>163</v>
      </c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9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</row>
    <row r="6" spans="1:33" x14ac:dyDescent="0.3">
      <c r="A6" s="105">
        <v>3</v>
      </c>
      <c r="B6" s="3">
        <v>1</v>
      </c>
      <c r="C6" s="3" t="s">
        <v>96</v>
      </c>
      <c r="D6" s="3" t="s">
        <v>261</v>
      </c>
      <c r="E6" s="5">
        <v>0</v>
      </c>
      <c r="F6" s="5">
        <v>77545.176166999998</v>
      </c>
      <c r="G6" s="5">
        <v>52831.455825999998</v>
      </c>
      <c r="H6" s="5">
        <v>82776.449640999999</v>
      </c>
      <c r="I6" s="5">
        <v>76199.373762000003</v>
      </c>
      <c r="J6" s="5">
        <v>72132.059999999983</v>
      </c>
      <c r="K6" s="5">
        <v>54341.497199999998</v>
      </c>
      <c r="L6" s="5">
        <v>25562.460345</v>
      </c>
      <c r="M6" s="5">
        <v>31711.750999000004</v>
      </c>
      <c r="N6" s="5">
        <v>45976.629767499995</v>
      </c>
      <c r="O6" s="5">
        <v>71469.634072000001</v>
      </c>
      <c r="P6" s="5">
        <v>76332.750492681487</v>
      </c>
      <c r="Q6" s="5">
        <v>52113.421965652393</v>
      </c>
      <c r="R6" s="5">
        <f>AVERAGE(F6:Q6)</f>
        <v>59916.055019819491</v>
      </c>
      <c r="S6" s="5">
        <v>28382.922272554384</v>
      </c>
      <c r="T6" s="5">
        <v>47871.987882134286</v>
      </c>
      <c r="U6" s="5">
        <v>83465.587205556541</v>
      </c>
      <c r="V6" s="5">
        <v>72928.262429603972</v>
      </c>
      <c r="W6" s="5"/>
      <c r="X6" s="5"/>
      <c r="Y6" s="5"/>
      <c r="Z6" s="5"/>
      <c r="AA6" s="5"/>
      <c r="AB6" s="5"/>
      <c r="AC6" s="5"/>
      <c r="AD6" s="5"/>
      <c r="AE6" s="42">
        <f>AVERAGE(S6:AD6)</f>
        <v>58162.189947462291</v>
      </c>
    </row>
    <row r="7" spans="1:33" x14ac:dyDescent="0.3">
      <c r="A7" s="105">
        <v>4</v>
      </c>
      <c r="B7" s="3">
        <f>B6+1</f>
        <v>2</v>
      </c>
      <c r="C7" s="3" t="s">
        <v>96</v>
      </c>
      <c r="D7" s="3" t="s">
        <v>25</v>
      </c>
      <c r="E7" s="5">
        <v>2544.0756940228393</v>
      </c>
      <c r="F7" s="5">
        <v>4908.147944584025</v>
      </c>
      <c r="G7" s="5">
        <v>3953.2516112461226</v>
      </c>
      <c r="H7" s="5">
        <v>4643.1028493550211</v>
      </c>
      <c r="I7" s="5">
        <v>5025.13427823661</v>
      </c>
      <c r="J7" s="5">
        <v>5095.2758057142855</v>
      </c>
      <c r="K7" s="5">
        <v>4114.1715741939124</v>
      </c>
      <c r="L7" s="5">
        <v>2021.8796939144052</v>
      </c>
      <c r="M7" s="5">
        <v>2917.1160851621316</v>
      </c>
      <c r="N7" s="5">
        <v>4142.9268665863137</v>
      </c>
      <c r="O7" s="5">
        <v>5090.834559053319</v>
      </c>
      <c r="P7" s="5">
        <v>5714.1877953278645</v>
      </c>
      <c r="Q7" s="5">
        <v>4292.5455821395262</v>
      </c>
      <c r="R7" s="5">
        <f t="shared" ref="R7:R26" si="0">AVERAGE(F7:Q7)</f>
        <v>4326.5478871261284</v>
      </c>
      <c r="S7" s="5">
        <v>2784.6126370208522</v>
      </c>
      <c r="T7" s="5">
        <v>3721.902493084498</v>
      </c>
      <c r="U7" s="5">
        <v>5924.0264065359788</v>
      </c>
      <c r="V7" s="5">
        <v>5555.0300797310665</v>
      </c>
      <c r="W7" s="5"/>
      <c r="X7" s="5"/>
      <c r="Y7" s="5"/>
      <c r="Z7" s="5"/>
      <c r="AA7" s="5"/>
      <c r="AB7" s="5"/>
      <c r="AC7" s="5"/>
      <c r="AD7" s="5"/>
      <c r="AE7" s="42">
        <f t="shared" ref="AE7:AE25" si="1">AVERAGE(S7:AD7)</f>
        <v>4496.3929040930989</v>
      </c>
    </row>
    <row r="8" spans="1:33" x14ac:dyDescent="0.3">
      <c r="A8" s="105">
        <v>6</v>
      </c>
      <c r="B8" s="3">
        <f t="shared" ref="B8:B16" si="2">B7+1</f>
        <v>3</v>
      </c>
      <c r="C8" s="3" t="s">
        <v>96</v>
      </c>
      <c r="D8" s="3" t="s">
        <v>166</v>
      </c>
      <c r="E8" s="5">
        <v>439.4797326256683</v>
      </c>
      <c r="F8" s="5">
        <v>455.23457330909173</v>
      </c>
      <c r="G8" s="5">
        <v>362.58031262125343</v>
      </c>
      <c r="H8" s="5">
        <v>580.57750515747489</v>
      </c>
      <c r="I8" s="5">
        <v>1045.4679832909942</v>
      </c>
      <c r="J8" s="5">
        <v>824.95216711076966</v>
      </c>
      <c r="K8" s="5">
        <v>1441.8881473162837</v>
      </c>
      <c r="L8" s="5">
        <v>785.14306673709871</v>
      </c>
      <c r="M8" s="5">
        <v>1835.7068517659122</v>
      </c>
      <c r="N8" s="5">
        <v>1270.3476829584722</v>
      </c>
      <c r="O8" s="5">
        <v>939.00444552350973</v>
      </c>
      <c r="P8" s="5">
        <v>716.11045245295838</v>
      </c>
      <c r="Q8" s="5">
        <v>1641.8683269948931</v>
      </c>
      <c r="R8" s="5">
        <f t="shared" si="0"/>
        <v>991.57345960322584</v>
      </c>
      <c r="S8" s="5">
        <v>1393.4286653974928</v>
      </c>
      <c r="T8" s="5">
        <v>1867.9658168649773</v>
      </c>
      <c r="U8" s="5">
        <v>977.6451235497866</v>
      </c>
      <c r="V8" s="5">
        <v>1169.3221738264315</v>
      </c>
      <c r="W8" s="5"/>
      <c r="X8" s="5"/>
      <c r="Y8" s="5"/>
      <c r="Z8" s="5"/>
      <c r="AA8" s="5"/>
      <c r="AB8" s="5"/>
      <c r="AC8" s="5"/>
      <c r="AD8" s="5"/>
      <c r="AE8" s="42">
        <f t="shared" si="1"/>
        <v>1352.090444909672</v>
      </c>
    </row>
    <row r="9" spans="1:33" x14ac:dyDescent="0.3">
      <c r="A9" s="105">
        <v>7</v>
      </c>
      <c r="B9" s="3">
        <f t="shared" si="2"/>
        <v>4</v>
      </c>
      <c r="C9" s="3" t="s">
        <v>96</v>
      </c>
      <c r="D9" s="3" t="s">
        <v>54</v>
      </c>
      <c r="E9" s="5">
        <v>916.34127907646587</v>
      </c>
      <c r="F9" s="5">
        <v>1665.5748143199999</v>
      </c>
      <c r="G9" s="5">
        <v>1510.136839</v>
      </c>
      <c r="H9" s="5">
        <v>1646.8068490000001</v>
      </c>
      <c r="I9" s="5">
        <v>1034.367769</v>
      </c>
      <c r="J9" s="5">
        <v>905.79884500000003</v>
      </c>
      <c r="K9" s="5">
        <v>578.52189799999996</v>
      </c>
      <c r="L9" s="5">
        <v>952.70195600000011</v>
      </c>
      <c r="M9" s="5">
        <v>452.94584800000001</v>
      </c>
      <c r="N9" s="5">
        <v>1017.6750920000001</v>
      </c>
      <c r="O9" s="5">
        <v>1806.634053</v>
      </c>
      <c r="P9" s="5">
        <v>1644.24737</v>
      </c>
      <c r="Q9" s="5">
        <v>254.646117</v>
      </c>
      <c r="R9" s="5">
        <f t="shared" si="0"/>
        <v>1122.5047875266666</v>
      </c>
      <c r="S9" s="5">
        <v>244.874289</v>
      </c>
      <c r="T9" s="5">
        <v>792.05576699999995</v>
      </c>
      <c r="U9" s="5">
        <v>1496.760037</v>
      </c>
      <c r="V9" s="5">
        <v>1607.109629</v>
      </c>
      <c r="W9" s="5"/>
      <c r="X9" s="5"/>
      <c r="Y9" s="5"/>
      <c r="Z9" s="5"/>
      <c r="AA9" s="5"/>
      <c r="AB9" s="5"/>
      <c r="AC9" s="5"/>
      <c r="AD9" s="5"/>
      <c r="AE9" s="42">
        <f t="shared" si="1"/>
        <v>1035.1999304999999</v>
      </c>
    </row>
    <row r="10" spans="1:33" x14ac:dyDescent="0.3">
      <c r="A10" s="105">
        <v>8</v>
      </c>
      <c r="B10" s="3">
        <f t="shared" si="2"/>
        <v>5</v>
      </c>
      <c r="C10" s="3" t="s">
        <v>96</v>
      </c>
      <c r="D10" s="3" t="s">
        <v>49</v>
      </c>
      <c r="E10" s="5">
        <v>700.76313924635986</v>
      </c>
      <c r="F10" s="5">
        <v>931.16011134187136</v>
      </c>
      <c r="G10" s="5">
        <v>500.0483123263736</v>
      </c>
      <c r="H10" s="5">
        <v>810.95019655356202</v>
      </c>
      <c r="I10" s="5">
        <v>1314.0060897021488</v>
      </c>
      <c r="J10" s="5">
        <v>764.02032679869274</v>
      </c>
      <c r="K10" s="5">
        <v>860.38925119927364</v>
      </c>
      <c r="L10" s="5">
        <v>343.15386908407044</v>
      </c>
      <c r="M10" s="5">
        <v>529.0693296681676</v>
      </c>
      <c r="N10" s="5">
        <v>495.40206646150239</v>
      </c>
      <c r="O10" s="5">
        <v>552.25560229373775</v>
      </c>
      <c r="P10" s="5">
        <v>344.22356236921121</v>
      </c>
      <c r="Q10" s="5">
        <v>647.79595162726002</v>
      </c>
      <c r="R10" s="5">
        <f t="shared" si="0"/>
        <v>674.37288911882263</v>
      </c>
      <c r="S10" s="5">
        <v>591.8407531644034</v>
      </c>
      <c r="T10" s="5">
        <v>592.91259813130375</v>
      </c>
      <c r="U10" s="5">
        <v>616.88545334351966</v>
      </c>
      <c r="V10" s="5">
        <v>885.46278383674655</v>
      </c>
      <c r="W10" s="5"/>
      <c r="X10" s="5"/>
      <c r="Y10" s="5"/>
      <c r="Z10" s="5"/>
      <c r="AA10" s="5"/>
      <c r="AB10" s="5"/>
      <c r="AC10" s="5"/>
      <c r="AD10" s="5"/>
      <c r="AE10" s="42">
        <f t="shared" si="1"/>
        <v>671.77539711899328</v>
      </c>
    </row>
    <row r="11" spans="1:33" x14ac:dyDescent="0.3">
      <c r="A11" s="105">
        <v>9</v>
      </c>
      <c r="B11" s="3">
        <f t="shared" si="2"/>
        <v>6</v>
      </c>
      <c r="C11" s="3" t="s">
        <v>96</v>
      </c>
      <c r="D11" s="3" t="s">
        <v>56</v>
      </c>
      <c r="E11" s="5">
        <v>293.48964049999984</v>
      </c>
      <c r="F11" s="5">
        <v>776.92303600000002</v>
      </c>
      <c r="G11" s="5">
        <v>387.44940700000001</v>
      </c>
      <c r="H11" s="5">
        <v>660.71178099999997</v>
      </c>
      <c r="I11" s="5">
        <v>548.88481100000001</v>
      </c>
      <c r="J11" s="5">
        <v>547.77307200000007</v>
      </c>
      <c r="K11" s="5">
        <v>668.12782800000002</v>
      </c>
      <c r="L11" s="5">
        <v>209.080915</v>
      </c>
      <c r="M11" s="5">
        <v>264.02270099999998</v>
      </c>
      <c r="N11" s="5">
        <v>446.58263399999998</v>
      </c>
      <c r="O11" s="5">
        <v>589.46583800000008</v>
      </c>
      <c r="P11" s="5">
        <v>682.86711100000002</v>
      </c>
      <c r="Q11" s="5">
        <v>503.27445899999998</v>
      </c>
      <c r="R11" s="5">
        <f t="shared" si="0"/>
        <v>523.76363275000006</v>
      </c>
      <c r="S11" s="5">
        <v>236.24669299999999</v>
      </c>
      <c r="T11" s="5">
        <v>391.86989199999999</v>
      </c>
      <c r="U11" s="5">
        <v>666.80127700000003</v>
      </c>
      <c r="V11" s="5">
        <v>559.95951100000002</v>
      </c>
      <c r="W11" s="5"/>
      <c r="X11" s="5"/>
      <c r="Y11" s="5"/>
      <c r="Z11" s="5"/>
      <c r="AA11" s="5"/>
      <c r="AB11" s="5"/>
      <c r="AC11" s="5"/>
      <c r="AD11" s="5"/>
      <c r="AE11" s="42">
        <f t="shared" si="1"/>
        <v>463.71934325000001</v>
      </c>
    </row>
    <row r="12" spans="1:33" x14ac:dyDescent="0.3">
      <c r="A12" s="105">
        <v>10</v>
      </c>
      <c r="B12" s="3">
        <f t="shared" si="2"/>
        <v>7</v>
      </c>
      <c r="C12" s="3" t="s">
        <v>96</v>
      </c>
      <c r="D12" s="3" t="s">
        <v>28</v>
      </c>
      <c r="E12" s="5">
        <v>286.58862850515703</v>
      </c>
      <c r="F12" s="5">
        <v>341.82302655245769</v>
      </c>
      <c r="G12" s="5">
        <v>256.87610208839567</v>
      </c>
      <c r="H12" s="5">
        <v>374.36046325472927</v>
      </c>
      <c r="I12" s="5">
        <v>354.10553139500928</v>
      </c>
      <c r="J12" s="5">
        <v>332.53625829542483</v>
      </c>
      <c r="K12" s="5">
        <v>301.89149991566705</v>
      </c>
      <c r="L12" s="5">
        <v>208.53083758763498</v>
      </c>
      <c r="M12" s="5">
        <v>220.38404517589419</v>
      </c>
      <c r="N12" s="5">
        <v>234.34086376781917</v>
      </c>
      <c r="O12" s="5">
        <v>284.32346715317283</v>
      </c>
      <c r="P12" s="5">
        <v>281.33092507944281</v>
      </c>
      <c r="Q12" s="5">
        <v>255.68729830661763</v>
      </c>
      <c r="R12" s="5">
        <f t="shared" si="0"/>
        <v>287.18252654768878</v>
      </c>
      <c r="S12" s="5">
        <v>150.28129838770775</v>
      </c>
      <c r="T12" s="5">
        <v>196.1425127492015</v>
      </c>
      <c r="U12" s="5">
        <v>255.45563809358094</v>
      </c>
      <c r="V12" s="5">
        <v>213.08850211204211</v>
      </c>
      <c r="W12" s="5"/>
      <c r="X12" s="5"/>
      <c r="Y12" s="5"/>
      <c r="Z12" s="5"/>
      <c r="AA12" s="5"/>
      <c r="AB12" s="5"/>
      <c r="AC12" s="5"/>
      <c r="AD12" s="5"/>
      <c r="AE12" s="42">
        <f t="shared" si="1"/>
        <v>203.74198783563307</v>
      </c>
    </row>
    <row r="13" spans="1:33" x14ac:dyDescent="0.3">
      <c r="A13" s="105">
        <v>11</v>
      </c>
      <c r="B13" s="3">
        <f t="shared" si="2"/>
        <v>8</v>
      </c>
      <c r="C13" s="3" t="s">
        <v>96</v>
      </c>
      <c r="D13" s="3" t="s">
        <v>53</v>
      </c>
      <c r="E13" s="5">
        <v>240.68175233333332</v>
      </c>
      <c r="F13" s="5">
        <v>168.93012999999999</v>
      </c>
      <c r="G13" s="5">
        <v>139.05925400000001</v>
      </c>
      <c r="H13" s="5">
        <v>130.98270099999999</v>
      </c>
      <c r="I13" s="5">
        <v>216.14340999999999</v>
      </c>
      <c r="J13" s="5">
        <v>304.87664899999999</v>
      </c>
      <c r="K13" s="5">
        <v>295.18419499999999</v>
      </c>
      <c r="L13" s="5">
        <v>186.81335799999999</v>
      </c>
      <c r="M13" s="5">
        <v>232.26438399999998</v>
      </c>
      <c r="N13" s="5">
        <v>145.066621</v>
      </c>
      <c r="O13" s="5">
        <v>272.26879300000002</v>
      </c>
      <c r="P13" s="5">
        <v>272.19795499999998</v>
      </c>
      <c r="Q13" s="5">
        <v>306.84791300000001</v>
      </c>
      <c r="R13" s="5">
        <f t="shared" si="0"/>
        <v>222.55294691666668</v>
      </c>
      <c r="S13" s="5">
        <v>210.76331500000003</v>
      </c>
      <c r="T13" s="5">
        <v>188.40178499999999</v>
      </c>
      <c r="U13" s="5">
        <v>282.89573000000001</v>
      </c>
      <c r="V13" s="5">
        <v>195.67146099999999</v>
      </c>
      <c r="W13" s="5"/>
      <c r="X13" s="5"/>
      <c r="Y13" s="5"/>
      <c r="Z13" s="5"/>
      <c r="AA13" s="5"/>
      <c r="AB13" s="5"/>
      <c r="AC13" s="5"/>
      <c r="AD13" s="5"/>
      <c r="AE13" s="42">
        <f t="shared" si="1"/>
        <v>219.43307275000004</v>
      </c>
    </row>
    <row r="14" spans="1:33" x14ac:dyDescent="0.3">
      <c r="A14" s="105">
        <v>12</v>
      </c>
      <c r="B14" s="3">
        <f t="shared" si="2"/>
        <v>9</v>
      </c>
      <c r="C14" s="3" t="s">
        <v>96</v>
      </c>
      <c r="D14" s="3" t="s">
        <v>42</v>
      </c>
      <c r="E14" s="5">
        <v>99.32296274812181</v>
      </c>
      <c r="F14" s="5">
        <v>61.670186620343699</v>
      </c>
      <c r="G14" s="5">
        <v>62.577110375394241</v>
      </c>
      <c r="H14" s="5">
        <v>65.297521626263418</v>
      </c>
      <c r="I14" s="5">
        <v>140.05315645112805</v>
      </c>
      <c r="J14" s="5">
        <v>97.033147257516333</v>
      </c>
      <c r="K14" s="5">
        <v>69.529981437334172</v>
      </c>
      <c r="L14" s="5">
        <v>48.22007668294664</v>
      </c>
      <c r="M14" s="5">
        <v>65.439813245875584</v>
      </c>
      <c r="N14" s="5">
        <v>53.557348791649552</v>
      </c>
      <c r="O14" s="5">
        <v>79.852452242250024</v>
      </c>
      <c r="P14" s="5">
        <v>66.388148530384797</v>
      </c>
      <c r="Q14" s="5">
        <v>63.04760436675592</v>
      </c>
      <c r="R14" s="5">
        <f t="shared" si="0"/>
        <v>72.722212302320216</v>
      </c>
      <c r="S14" s="5">
        <v>39.538444086873568</v>
      </c>
      <c r="T14" s="5">
        <v>46.960133886840083</v>
      </c>
      <c r="U14" s="5">
        <v>61.804724920560268</v>
      </c>
      <c r="V14" s="5">
        <v>89.072377224529134</v>
      </c>
      <c r="W14" s="5"/>
      <c r="X14" s="5"/>
      <c r="Y14" s="5"/>
      <c r="Z14" s="5"/>
      <c r="AA14" s="5"/>
      <c r="AB14" s="5"/>
      <c r="AC14" s="5"/>
      <c r="AD14" s="5"/>
      <c r="AE14" s="42">
        <f t="shared" si="1"/>
        <v>59.343920029700762</v>
      </c>
    </row>
    <row r="15" spans="1:33" x14ac:dyDescent="0.3">
      <c r="A15" s="105">
        <v>13</v>
      </c>
      <c r="B15" s="3">
        <f t="shared" si="2"/>
        <v>10</v>
      </c>
      <c r="C15" s="3" t="s">
        <v>96</v>
      </c>
      <c r="D15" s="3" t="s">
        <v>52</v>
      </c>
      <c r="E15" s="5">
        <v>113.95552974564865</v>
      </c>
      <c r="F15" s="5">
        <v>114.45656908699996</v>
      </c>
      <c r="G15" s="5">
        <v>108.44287016848101</v>
      </c>
      <c r="H15" s="5">
        <v>126.80518507396602</v>
      </c>
      <c r="I15" s="5">
        <v>132.24545756017682</v>
      </c>
      <c r="J15" s="5">
        <v>110.51089464052286</v>
      </c>
      <c r="K15" s="5">
        <v>112.882520919082</v>
      </c>
      <c r="L15" s="5">
        <v>67.461889288607523</v>
      </c>
      <c r="M15" s="5">
        <v>89.527501197788453</v>
      </c>
      <c r="N15" s="5">
        <v>88.545760131874403</v>
      </c>
      <c r="O15" s="5">
        <v>115.9124502345032</v>
      </c>
      <c r="P15" s="5">
        <v>125.27865746504425</v>
      </c>
      <c r="Q15" s="5">
        <v>110.22516102329926</v>
      </c>
      <c r="R15" s="5">
        <f t="shared" si="0"/>
        <v>108.52457639919548</v>
      </c>
      <c r="S15" s="5">
        <v>79.331301024986786</v>
      </c>
      <c r="T15" s="5">
        <v>124.2057133717427</v>
      </c>
      <c r="U15" s="5">
        <v>109.26121847712115</v>
      </c>
      <c r="V15" s="5">
        <v>110.85592676356063</v>
      </c>
      <c r="W15" s="5"/>
      <c r="X15" s="5"/>
      <c r="Y15" s="5"/>
      <c r="Z15" s="5"/>
      <c r="AA15" s="5"/>
      <c r="AB15" s="5"/>
      <c r="AC15" s="5"/>
      <c r="AD15" s="5"/>
      <c r="AE15" s="42">
        <f t="shared" si="1"/>
        <v>105.91353990935281</v>
      </c>
    </row>
    <row r="16" spans="1:33" x14ac:dyDescent="0.3">
      <c r="A16" s="105">
        <v>14</v>
      </c>
      <c r="B16" s="3">
        <f t="shared" si="2"/>
        <v>11</v>
      </c>
      <c r="C16" s="3" t="s">
        <v>96</v>
      </c>
      <c r="D16" s="3" t="s">
        <v>55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29.591062000000001</v>
      </c>
      <c r="N16" s="5">
        <v>0</v>
      </c>
      <c r="O16" s="5">
        <v>0</v>
      </c>
      <c r="P16" s="5">
        <v>0</v>
      </c>
      <c r="Q16" s="5">
        <v>0</v>
      </c>
      <c r="R16" s="5">
        <f t="shared" si="0"/>
        <v>2.4659218333333333</v>
      </c>
      <c r="S16" s="5">
        <v>0</v>
      </c>
      <c r="T16" s="5">
        <v>0</v>
      </c>
      <c r="U16" s="5">
        <v>0</v>
      </c>
      <c r="V16" s="5">
        <v>0</v>
      </c>
      <c r="W16" s="5"/>
      <c r="X16" s="5"/>
      <c r="Y16" s="5"/>
      <c r="Z16" s="5"/>
      <c r="AA16" s="5"/>
      <c r="AB16" s="5"/>
      <c r="AC16" s="5"/>
      <c r="AD16" s="5"/>
      <c r="AE16" s="42">
        <f t="shared" si="1"/>
        <v>0</v>
      </c>
      <c r="AG16" s="12"/>
    </row>
    <row r="17" spans="1:35" s="12" customFormat="1" x14ac:dyDescent="0.3">
      <c r="A17" s="105">
        <v>15</v>
      </c>
      <c r="B17" s="81" t="s">
        <v>164</v>
      </c>
      <c r="D17" s="77" t="s">
        <v>165</v>
      </c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9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</row>
    <row r="18" spans="1:35" x14ac:dyDescent="0.3">
      <c r="A18" s="105">
        <v>16</v>
      </c>
      <c r="B18" s="3">
        <v>1</v>
      </c>
      <c r="C18" s="3" t="s">
        <v>97</v>
      </c>
      <c r="D18" s="3" t="s">
        <v>169</v>
      </c>
      <c r="E18" s="5">
        <v>1162.584892545035</v>
      </c>
      <c r="F18" s="5">
        <v>13806.249279124366</v>
      </c>
      <c r="G18" s="6">
        <v>16017.679633539201</v>
      </c>
      <c r="H18" s="5">
        <v>15418.780131462807</v>
      </c>
      <c r="I18" s="5">
        <v>15439.21396885885</v>
      </c>
      <c r="J18" s="5">
        <v>14352.017717804669</v>
      </c>
      <c r="K18" s="5">
        <v>14406.249212481653</v>
      </c>
      <c r="L18" s="5">
        <v>11195.965107915856</v>
      </c>
      <c r="M18" s="5">
        <v>13954.596670692245</v>
      </c>
      <c r="N18" s="5">
        <v>15047.58362097771</v>
      </c>
      <c r="O18" s="5">
        <v>14945.704506134565</v>
      </c>
      <c r="P18" s="5">
        <v>14391.852820675518</v>
      </c>
      <c r="Q18" s="5">
        <v>1141.1554214613875</v>
      </c>
      <c r="R18" s="5">
        <f t="shared" si="0"/>
        <v>13343.087340927401</v>
      </c>
      <c r="S18" s="5">
        <v>4662.97563257399</v>
      </c>
      <c r="T18" s="5">
        <v>4668.2004507493748</v>
      </c>
      <c r="U18" s="5">
        <v>4885.2926750209435</v>
      </c>
      <c r="V18" s="5">
        <v>4852.0255870863139</v>
      </c>
      <c r="W18" s="5"/>
      <c r="X18" s="5"/>
      <c r="Y18" s="5"/>
      <c r="Z18" s="5"/>
      <c r="AA18" s="5"/>
      <c r="AB18" s="5"/>
      <c r="AC18" s="5"/>
      <c r="AD18" s="5"/>
      <c r="AE18" s="42">
        <f t="shared" si="1"/>
        <v>4767.1235863576558</v>
      </c>
    </row>
    <row r="19" spans="1:35" x14ac:dyDescent="0.3">
      <c r="A19" s="105">
        <v>17</v>
      </c>
      <c r="B19" s="3">
        <f t="shared" ref="B19:B24" si="3">B18+1</f>
        <v>2</v>
      </c>
      <c r="C19" s="3" t="s">
        <v>97</v>
      </c>
      <c r="D19" s="3" t="s">
        <v>48</v>
      </c>
      <c r="E19" s="5">
        <v>6598.4450972155764</v>
      </c>
      <c r="F19" s="5">
        <v>8729.55215327937</v>
      </c>
      <c r="G19" s="5">
        <v>8356.6425056872595</v>
      </c>
      <c r="H19" s="5">
        <v>8636.4051226416323</v>
      </c>
      <c r="I19" s="5">
        <v>9360.2837909068639</v>
      </c>
      <c r="J19" s="5">
        <v>8922.1228769269837</v>
      </c>
      <c r="K19" s="5">
        <v>8851.9924876588775</v>
      </c>
      <c r="L19" s="5">
        <v>6844.4896087377529</v>
      </c>
      <c r="M19" s="5">
        <v>8432.9403938734686</v>
      </c>
      <c r="N19" s="5">
        <v>9752.2052030433952</v>
      </c>
      <c r="O19" s="5">
        <v>10104.133251119576</v>
      </c>
      <c r="P19" s="5">
        <v>10073.078433693388</v>
      </c>
      <c r="Q19" s="5">
        <v>10847.40322931308</v>
      </c>
      <c r="R19" s="5">
        <f t="shared" si="0"/>
        <v>9075.937421406803</v>
      </c>
      <c r="S19" s="5">
        <v>10794.985859711798</v>
      </c>
      <c r="T19" s="5">
        <v>11013.669619947081</v>
      </c>
      <c r="U19" s="5">
        <v>11259.667955742798</v>
      </c>
      <c r="V19" s="5">
        <v>12330.624904259097</v>
      </c>
      <c r="W19" s="5"/>
      <c r="X19" s="5"/>
      <c r="Y19" s="5"/>
      <c r="Z19" s="5"/>
      <c r="AA19" s="5"/>
      <c r="AB19" s="5"/>
      <c r="AC19" s="5"/>
      <c r="AD19" s="5"/>
      <c r="AE19" s="42">
        <f t="shared" si="1"/>
        <v>11349.737084915192</v>
      </c>
    </row>
    <row r="20" spans="1:35" x14ac:dyDescent="0.3">
      <c r="A20" s="105">
        <v>5</v>
      </c>
      <c r="B20" s="3">
        <f t="shared" si="3"/>
        <v>3</v>
      </c>
      <c r="C20" s="3" t="s">
        <v>96</v>
      </c>
      <c r="D20" s="3" t="s">
        <v>16</v>
      </c>
      <c r="E20" s="5">
        <v>2290.5510411717928</v>
      </c>
      <c r="F20" s="5">
        <v>2673.1550931089796</v>
      </c>
      <c r="G20" s="5">
        <v>2867.7015357935561</v>
      </c>
      <c r="H20" s="5">
        <v>2749.1821240827639</v>
      </c>
      <c r="I20" s="5">
        <v>2911.9957199088021</v>
      </c>
      <c r="J20" s="5">
        <v>2767.5834500429505</v>
      </c>
      <c r="K20" s="5">
        <v>2779.4987682640244</v>
      </c>
      <c r="L20" s="5">
        <v>2185.9873594873957</v>
      </c>
      <c r="M20" s="5">
        <v>2864.5384622209199</v>
      </c>
      <c r="N20" s="5">
        <v>3212.4907118063961</v>
      </c>
      <c r="O20" s="5">
        <v>3307.8463956032724</v>
      </c>
      <c r="P20" s="5">
        <v>3244.2177727242706</v>
      </c>
      <c r="Q20" s="5">
        <v>3483.3130213414697</v>
      </c>
      <c r="R20" s="5">
        <f t="shared" si="0"/>
        <v>2920.6258678653999</v>
      </c>
      <c r="S20" s="5">
        <v>3485.0108853204947</v>
      </c>
      <c r="T20" s="5">
        <v>3569.6839116055307</v>
      </c>
      <c r="U20" s="5">
        <v>3797.1477255616728</v>
      </c>
      <c r="V20" s="5">
        <v>3706.3362894071338</v>
      </c>
      <c r="W20" s="5"/>
      <c r="X20" s="5"/>
      <c r="Y20" s="5"/>
      <c r="Z20" s="5"/>
      <c r="AA20" s="5"/>
      <c r="AB20" s="5"/>
      <c r="AC20" s="5"/>
      <c r="AD20" s="5"/>
      <c r="AE20" s="42">
        <f t="shared" si="1"/>
        <v>3639.5447029737084</v>
      </c>
    </row>
    <row r="21" spans="1:35" x14ac:dyDescent="0.3">
      <c r="A21" s="105">
        <v>18</v>
      </c>
      <c r="B21" s="3">
        <f t="shared" si="3"/>
        <v>4</v>
      </c>
      <c r="C21" s="3" t="s">
        <v>97</v>
      </c>
      <c r="D21" s="3" t="s">
        <v>36</v>
      </c>
      <c r="E21" s="5">
        <v>668.53389617194125</v>
      </c>
      <c r="F21" s="5">
        <v>1469.4146822615933</v>
      </c>
      <c r="G21" s="5">
        <v>1313.3297381840284</v>
      </c>
      <c r="H21" s="5">
        <v>1044.4836047493286</v>
      </c>
      <c r="I21" s="5">
        <v>1212.2942758813554</v>
      </c>
      <c r="J21" s="5">
        <v>1610.2850986136318</v>
      </c>
      <c r="K21" s="5">
        <v>1582.6479243996091</v>
      </c>
      <c r="L21" s="5">
        <v>1033.2758839725921</v>
      </c>
      <c r="M21" s="5">
        <v>2266.2508157205257</v>
      </c>
      <c r="N21" s="5">
        <v>3059.2033247889963</v>
      </c>
      <c r="O21" s="5">
        <v>3384.9866227759226</v>
      </c>
      <c r="P21" s="5">
        <v>3036.1933729505581</v>
      </c>
      <c r="Q21" s="5">
        <v>9520.3895337235626</v>
      </c>
      <c r="R21" s="5">
        <f t="shared" si="0"/>
        <v>2544.3962398351418</v>
      </c>
      <c r="S21" s="5">
        <v>3078.504320385553</v>
      </c>
      <c r="T21" s="5">
        <v>2172.5312397637144</v>
      </c>
      <c r="U21" s="5">
        <v>3484.8169150588269</v>
      </c>
      <c r="V21" s="5">
        <v>2024.1034642036259</v>
      </c>
      <c r="W21" s="5"/>
      <c r="X21" s="5"/>
      <c r="Y21" s="5"/>
      <c r="Z21" s="5"/>
      <c r="AA21" s="5"/>
      <c r="AB21" s="5"/>
      <c r="AC21" s="5"/>
      <c r="AD21" s="5"/>
      <c r="AE21" s="42">
        <f t="shared" si="1"/>
        <v>2689.9889848529301</v>
      </c>
    </row>
    <row r="22" spans="1:35" x14ac:dyDescent="0.3">
      <c r="A22" s="105">
        <v>19</v>
      </c>
      <c r="B22" s="3">
        <f t="shared" si="3"/>
        <v>5</v>
      </c>
      <c r="C22" s="3" t="s">
        <v>97</v>
      </c>
      <c r="D22" s="3" t="s">
        <v>12</v>
      </c>
      <c r="E22" s="5">
        <v>466.77260080072864</v>
      </c>
      <c r="F22" s="5">
        <v>630.39037355463813</v>
      </c>
      <c r="G22" s="5">
        <v>651.84140243872719</v>
      </c>
      <c r="H22" s="5">
        <v>749.42051623505984</v>
      </c>
      <c r="I22" s="5">
        <v>791.16587743869263</v>
      </c>
      <c r="J22" s="5">
        <v>808.39774949691878</v>
      </c>
      <c r="K22" s="5">
        <v>656.44586841934279</v>
      </c>
      <c r="L22" s="5">
        <v>443.45114556661667</v>
      </c>
      <c r="M22" s="5">
        <v>673.48505978294997</v>
      </c>
      <c r="N22" s="5">
        <v>891.44277568771304</v>
      </c>
      <c r="O22" s="5">
        <v>752.40289287440316</v>
      </c>
      <c r="P22" s="5">
        <v>865.33497684621352</v>
      </c>
      <c r="Q22" s="5">
        <v>942.43048922811545</v>
      </c>
      <c r="R22" s="5">
        <f t="shared" si="0"/>
        <v>738.01742729744944</v>
      </c>
      <c r="S22" s="5">
        <v>725.91614278831196</v>
      </c>
      <c r="T22" s="5">
        <v>879.63651828085824</v>
      </c>
      <c r="U22" s="5">
        <v>848.43227495594942</v>
      </c>
      <c r="V22" s="5">
        <v>977.85765835448865</v>
      </c>
      <c r="W22" s="5"/>
      <c r="X22" s="5"/>
      <c r="Y22" s="5"/>
      <c r="Z22" s="5"/>
      <c r="AA22" s="5"/>
      <c r="AB22" s="5"/>
      <c r="AC22" s="5"/>
      <c r="AD22" s="5"/>
      <c r="AE22" s="42">
        <f t="shared" si="1"/>
        <v>857.96064859490207</v>
      </c>
    </row>
    <row r="23" spans="1:35" x14ac:dyDescent="0.3">
      <c r="A23" s="105">
        <v>20</v>
      </c>
      <c r="B23" s="3">
        <f t="shared" si="3"/>
        <v>6</v>
      </c>
      <c r="C23" s="3" t="s">
        <v>97</v>
      </c>
      <c r="D23" s="3" t="s">
        <v>51</v>
      </c>
      <c r="E23" s="5">
        <v>373.13880612396957</v>
      </c>
      <c r="F23" s="5">
        <v>479.1034321320343</v>
      </c>
      <c r="G23" s="5">
        <v>614.85575937434521</v>
      </c>
      <c r="H23" s="5">
        <v>633.9358609877213</v>
      </c>
      <c r="I23" s="5">
        <v>580.21791301497422</v>
      </c>
      <c r="J23" s="5">
        <v>646.37778724033615</v>
      </c>
      <c r="K23" s="5">
        <v>713.40106191281484</v>
      </c>
      <c r="L23" s="5">
        <v>375.76875431287692</v>
      </c>
      <c r="M23" s="5">
        <v>665.70932695169961</v>
      </c>
      <c r="N23" s="5">
        <v>826.72487861726972</v>
      </c>
      <c r="O23" s="5">
        <v>922.07913418680755</v>
      </c>
      <c r="P23" s="5">
        <v>1098.9535944975585</v>
      </c>
      <c r="Q23" s="5">
        <v>1304.1890564514445</v>
      </c>
      <c r="R23" s="5">
        <f t="shared" si="0"/>
        <v>738.44304663999026</v>
      </c>
      <c r="S23" s="5">
        <v>825.60840945231882</v>
      </c>
      <c r="T23" s="5">
        <v>1024.0106060179571</v>
      </c>
      <c r="U23" s="5">
        <v>931.90465001871019</v>
      </c>
      <c r="V23" s="5">
        <v>1007.1184028694946</v>
      </c>
      <c r="W23" s="5"/>
      <c r="X23" s="5"/>
      <c r="Y23" s="5"/>
      <c r="Z23" s="5"/>
      <c r="AA23" s="5"/>
      <c r="AB23" s="5"/>
      <c r="AC23" s="5"/>
      <c r="AD23" s="5"/>
      <c r="AE23" s="42">
        <f t="shared" si="1"/>
        <v>947.16051708962016</v>
      </c>
    </row>
    <row r="24" spans="1:35" x14ac:dyDescent="0.3">
      <c r="A24" s="105">
        <v>21</v>
      </c>
      <c r="B24" s="3">
        <f t="shared" si="3"/>
        <v>7</v>
      </c>
      <c r="C24" s="3" t="s">
        <v>97</v>
      </c>
      <c r="D24" s="3" t="s">
        <v>40</v>
      </c>
      <c r="E24" s="5">
        <v>86.1756083365308</v>
      </c>
      <c r="F24" s="5">
        <v>409.50429343935417</v>
      </c>
      <c r="G24" s="5">
        <v>537.13033560439465</v>
      </c>
      <c r="H24" s="5">
        <v>532.80933779342456</v>
      </c>
      <c r="I24" s="5">
        <v>820.99391638952579</v>
      </c>
      <c r="J24" s="5">
        <v>824.57013098562095</v>
      </c>
      <c r="K24" s="5">
        <v>947.25105491399404</v>
      </c>
      <c r="L24" s="5">
        <v>766.3814904450104</v>
      </c>
      <c r="M24" s="5">
        <v>773.16261888212875</v>
      </c>
      <c r="N24" s="5">
        <v>762.60889523198387</v>
      </c>
      <c r="O24" s="5">
        <v>767.6139250731726</v>
      </c>
      <c r="P24" s="5">
        <v>789.51153330223656</v>
      </c>
      <c r="Q24" s="5">
        <v>906.97737827772266</v>
      </c>
      <c r="R24" s="5">
        <f t="shared" si="0"/>
        <v>736.54290919488074</v>
      </c>
      <c r="S24" s="5">
        <v>963.93922799506231</v>
      </c>
      <c r="T24" s="5">
        <v>821.91690932007475</v>
      </c>
      <c r="U24" s="5">
        <v>608.48050638862605</v>
      </c>
      <c r="V24" s="5">
        <v>796.61048312635955</v>
      </c>
      <c r="W24" s="5"/>
      <c r="X24" s="5"/>
      <c r="Y24" s="5"/>
      <c r="Z24" s="5"/>
      <c r="AA24" s="5"/>
      <c r="AB24" s="5"/>
      <c r="AC24" s="5"/>
      <c r="AD24" s="5"/>
      <c r="AE24" s="42">
        <f t="shared" si="1"/>
        <v>797.73678170753067</v>
      </c>
    </row>
    <row r="25" spans="1:35" s="10" customFormat="1" x14ac:dyDescent="0.3">
      <c r="A25" s="105">
        <v>22</v>
      </c>
      <c r="D25" s="11" t="s">
        <v>98</v>
      </c>
      <c r="E25" s="7">
        <f t="shared" ref="E25:Q25" si="4">SUM(E6:E24)</f>
        <v>17280.900301169175</v>
      </c>
      <c r="F25" s="7">
        <f t="shared" si="4"/>
        <v>115166.46586571509</v>
      </c>
      <c r="G25" s="7">
        <f t="shared" si="4"/>
        <v>90471.05855544754</v>
      </c>
      <c r="H25" s="7">
        <f t="shared" si="4"/>
        <v>121581.06139097377</v>
      </c>
      <c r="I25" s="7">
        <f t="shared" si="4"/>
        <v>117125.94771103513</v>
      </c>
      <c r="J25" s="7">
        <f t="shared" si="4"/>
        <v>111046.1919769283</v>
      </c>
      <c r="K25" s="7">
        <f t="shared" si="4"/>
        <v>92721.570474031862</v>
      </c>
      <c r="L25" s="7">
        <f t="shared" si="4"/>
        <v>53230.765357732867</v>
      </c>
      <c r="M25" s="7">
        <f t="shared" si="4"/>
        <v>67978.501968339726</v>
      </c>
      <c r="N25" s="7">
        <f t="shared" si="4"/>
        <v>87423.334113351084</v>
      </c>
      <c r="O25" s="7">
        <f t="shared" si="4"/>
        <v>115384.95246026822</v>
      </c>
      <c r="P25" s="7">
        <f t="shared" si="4"/>
        <v>119678.72497459612</v>
      </c>
      <c r="Q25" s="7">
        <f t="shared" si="4"/>
        <v>88335.218508907536</v>
      </c>
      <c r="R25" s="42">
        <f t="shared" si="0"/>
        <v>98345.316113110617</v>
      </c>
      <c r="S25" s="7">
        <f>SUM(S6:S24)</f>
        <v>58650.780146864228</v>
      </c>
      <c r="T25" s="7">
        <f>SUM(T6:T24)</f>
        <v>79944.053849907446</v>
      </c>
      <c r="U25" s="7">
        <f>SUM(U6:U24)</f>
        <v>119672.86551722464</v>
      </c>
      <c r="V25" s="7">
        <f>SUM(V6:V24)</f>
        <v>109008.51166340486</v>
      </c>
      <c r="W25" s="7"/>
      <c r="X25" s="7"/>
      <c r="Y25" s="7"/>
      <c r="Z25" s="7"/>
      <c r="AA25" s="7"/>
      <c r="AB25" s="7"/>
      <c r="AC25" s="7"/>
      <c r="AD25" s="7"/>
      <c r="AE25" s="42">
        <f t="shared" si="1"/>
        <v>91819.052794350297</v>
      </c>
    </row>
    <row r="26" spans="1:35" s="10" customFormat="1" x14ac:dyDescent="0.3">
      <c r="A26" s="105">
        <v>23</v>
      </c>
      <c r="D26" s="11" t="s">
        <v>99</v>
      </c>
      <c r="E26" s="7">
        <v>1734.8775000000003</v>
      </c>
      <c r="F26" s="7">
        <v>4222.8360000000011</v>
      </c>
      <c r="G26" s="7">
        <v>2787.5269999999996</v>
      </c>
      <c r="H26" s="7">
        <v>4442.018</v>
      </c>
      <c r="I26" s="7">
        <v>4103.0010000000002</v>
      </c>
      <c r="J26" s="7">
        <v>3738.8999999999992</v>
      </c>
      <c r="K26" s="7">
        <v>2969.1000000000008</v>
      </c>
      <c r="L26" s="7">
        <v>1232.223</v>
      </c>
      <c r="M26" s="7">
        <v>1804.2249999999997</v>
      </c>
      <c r="N26" s="7">
        <v>2483.9779999999992</v>
      </c>
      <c r="O26" s="7">
        <v>3922.0985000000001</v>
      </c>
      <c r="P26" s="7">
        <v>4240.2209999999995</v>
      </c>
      <c r="Q26" s="7">
        <v>2915.0120000000002</v>
      </c>
      <c r="R26" s="42">
        <f t="shared" si="0"/>
        <v>3238.4282916666671</v>
      </c>
      <c r="S26" s="7">
        <v>1590.7339999999999</v>
      </c>
      <c r="T26" s="7">
        <v>2618.14</v>
      </c>
      <c r="U26" s="7">
        <v>4353.3959999999997</v>
      </c>
      <c r="V26" s="7">
        <v>3665.8779999999997</v>
      </c>
      <c r="W26" s="7"/>
      <c r="X26" s="7"/>
      <c r="Y26" s="7"/>
      <c r="Z26" s="7"/>
      <c r="AA26" s="7"/>
      <c r="AB26" s="7"/>
      <c r="AC26" s="7"/>
      <c r="AD26" s="7"/>
      <c r="AE26" s="42">
        <f>AVERAGE(S26:AD26)</f>
        <v>3057.0370000000003</v>
      </c>
    </row>
    <row r="27" spans="1:35" s="10" customFormat="1" ht="28.2" x14ac:dyDescent="0.3">
      <c r="A27" s="105">
        <v>24</v>
      </c>
      <c r="D27" s="88" t="s">
        <v>168</v>
      </c>
      <c r="E27" s="7">
        <f t="shared" ref="E27:R27" si="5">E25/E26</f>
        <v>9.9608763737896027</v>
      </c>
      <c r="F27" s="7">
        <f t="shared" si="5"/>
        <v>27.272303699626285</v>
      </c>
      <c r="G27" s="7">
        <f t="shared" si="5"/>
        <v>32.455670763170204</v>
      </c>
      <c r="H27" s="7">
        <f t="shared" si="5"/>
        <v>27.370681836717853</v>
      </c>
      <c r="I27" s="7">
        <f t="shared" si="5"/>
        <v>28.546409740342526</v>
      </c>
      <c r="J27" s="7">
        <f t="shared" si="5"/>
        <v>29.700230542921265</v>
      </c>
      <c r="K27" s="7">
        <f t="shared" si="5"/>
        <v>31.228847285046591</v>
      </c>
      <c r="L27" s="7">
        <f t="shared" si="5"/>
        <v>43.198970768872897</v>
      </c>
      <c r="M27" s="7">
        <f t="shared" si="5"/>
        <v>37.67739720286535</v>
      </c>
      <c r="N27" s="7">
        <f t="shared" si="5"/>
        <v>35.194890660606141</v>
      </c>
      <c r="O27" s="7">
        <f t="shared" si="5"/>
        <v>29.419187830256742</v>
      </c>
      <c r="P27" s="7">
        <f t="shared" si="5"/>
        <v>28.224643237839757</v>
      </c>
      <c r="Q27" s="7">
        <f t="shared" si="5"/>
        <v>30.303552269735949</v>
      </c>
      <c r="R27" s="7">
        <f t="shared" si="5"/>
        <v>30.368224106174942</v>
      </c>
      <c r="S27" s="7">
        <f>S25/S26</f>
        <v>36.870262499490316</v>
      </c>
      <c r="T27" s="7">
        <f>T25/T26</f>
        <v>30.534674940953291</v>
      </c>
      <c r="U27" s="7">
        <f>U25/U26</f>
        <v>27.489542765515623</v>
      </c>
      <c r="V27" s="7">
        <f>V25/V26</f>
        <v>29.735990031148027</v>
      </c>
      <c r="W27" s="7"/>
      <c r="X27" s="7"/>
      <c r="Y27" s="7"/>
      <c r="Z27" s="7"/>
      <c r="AA27" s="7"/>
      <c r="AB27" s="7"/>
      <c r="AC27" s="7"/>
      <c r="AD27" s="7"/>
      <c r="AE27" s="7">
        <f>AE25/AE26</f>
        <v>30.035309613311938</v>
      </c>
    </row>
    <row r="28" spans="1:35" s="90" customFormat="1" ht="15.6" hidden="1" x14ac:dyDescent="0.3">
      <c r="D28" s="103" t="s">
        <v>170</v>
      </c>
      <c r="E28" s="92">
        <v>0</v>
      </c>
      <c r="F28" s="92">
        <v>10956.27253</v>
      </c>
      <c r="G28" s="92">
        <v>12556.27253</v>
      </c>
      <c r="H28" s="92">
        <v>9356.2724500000004</v>
      </c>
      <c r="I28" s="92">
        <v>10956.27253</v>
      </c>
      <c r="J28" s="92">
        <v>10956.27253</v>
      </c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H28" s="124"/>
      <c r="AI28" s="124"/>
    </row>
    <row r="29" spans="1:35" s="90" customFormat="1" ht="41.4" x14ac:dyDescent="0.25">
      <c r="D29" s="88" t="s">
        <v>191</v>
      </c>
      <c r="E29" s="88"/>
      <c r="F29" s="88"/>
      <c r="G29" s="92"/>
      <c r="H29" s="92"/>
      <c r="I29" s="92"/>
      <c r="J29" s="92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H29" s="124"/>
      <c r="AI29" s="124"/>
    </row>
    <row r="30" spans="1:35" s="21" customFormat="1" ht="13.8" x14ac:dyDescent="0.25">
      <c r="D30" s="21" t="s">
        <v>192</v>
      </c>
      <c r="E30" s="65">
        <v>0</v>
      </c>
      <c r="F30" s="65">
        <v>9743.7852276155936</v>
      </c>
      <c r="G30" s="65">
        <v>11959.99479813556</v>
      </c>
      <c r="H30" s="65">
        <v>8487.9519838307151</v>
      </c>
      <c r="I30" s="65">
        <v>9931.4919192099733</v>
      </c>
      <c r="J30" s="65">
        <v>9272.4233624575172</v>
      </c>
      <c r="K30" s="65">
        <v>9307.4607619445596</v>
      </c>
      <c r="L30" s="65">
        <v>7233.3890936540629</v>
      </c>
      <c r="M30" s="65">
        <v>9015.6611235560122</v>
      </c>
      <c r="N30" s="65">
        <v>9721.8083658434462</v>
      </c>
      <c r="O30" s="65">
        <v>10010.155392922405</v>
      </c>
      <c r="P30" s="65">
        <v>9728.4093580971639</v>
      </c>
      <c r="R30" s="7"/>
      <c r="S30" s="65">
        <v>1893.5961072569846</v>
      </c>
      <c r="T30" s="65">
        <v>2045.09956155449</v>
      </c>
      <c r="U30" s="65">
        <v>2031.3777499419318</v>
      </c>
      <c r="V30" s="65">
        <v>1883.0418108094689</v>
      </c>
      <c r="W30" s="65"/>
      <c r="X30" s="65"/>
      <c r="Y30" s="65"/>
      <c r="Z30" s="65"/>
      <c r="AA30" s="65"/>
      <c r="AB30" s="65"/>
      <c r="AC30" s="65"/>
      <c r="AD30" s="65"/>
      <c r="AE30" s="65"/>
    </row>
    <row r="31" spans="1:35" s="21" customFormat="1" ht="13.8" hidden="1" x14ac:dyDescent="0.25">
      <c r="D31" s="21" t="s">
        <v>118</v>
      </c>
      <c r="E31" s="21">
        <v>0</v>
      </c>
      <c r="F31" s="125">
        <f>F28-F30</f>
        <v>1212.4873023844066</v>
      </c>
      <c r="G31" s="125">
        <f t="shared" ref="G31:Q31" si="6">G28-G30</f>
        <v>596.27773186444028</v>
      </c>
      <c r="H31" s="125">
        <f t="shared" si="6"/>
        <v>868.32046616928528</v>
      </c>
      <c r="I31" s="125">
        <f t="shared" si="6"/>
        <v>1024.7806107900269</v>
      </c>
      <c r="J31" s="125">
        <f t="shared" si="6"/>
        <v>1683.849167542483</v>
      </c>
      <c r="K31" s="125">
        <f t="shared" si="6"/>
        <v>-9307.4607619445596</v>
      </c>
      <c r="L31" s="125">
        <f t="shared" si="6"/>
        <v>-7233.3890936540629</v>
      </c>
      <c r="M31" s="125">
        <f t="shared" si="6"/>
        <v>-9015.6611235560122</v>
      </c>
      <c r="N31" s="125">
        <f t="shared" si="6"/>
        <v>-9721.8083658434462</v>
      </c>
      <c r="O31" s="125">
        <f t="shared" si="6"/>
        <v>-10010.155392922405</v>
      </c>
      <c r="P31" s="125">
        <f t="shared" si="6"/>
        <v>-9728.4093580971639</v>
      </c>
      <c r="Q31" s="125">
        <f t="shared" si="6"/>
        <v>0</v>
      </c>
    </row>
    <row r="32" spans="1:35" s="21" customFormat="1" ht="13.8" x14ac:dyDescent="0.25"/>
    <row r="34" spans="2:35" ht="21" x14ac:dyDescent="0.4">
      <c r="B34" s="104" t="s">
        <v>196</v>
      </c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154"/>
    </row>
    <row r="35" spans="2:35" ht="15.6" x14ac:dyDescent="0.3">
      <c r="B35" s="93"/>
      <c r="C35" s="93"/>
      <c r="D35" s="106" t="s">
        <v>194</v>
      </c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</row>
    <row r="36" spans="2:35" ht="31.2" x14ac:dyDescent="0.3">
      <c r="B36" s="94" t="s">
        <v>57</v>
      </c>
      <c r="C36" s="94" t="s">
        <v>58</v>
      </c>
      <c r="D36" s="94" t="s">
        <v>59</v>
      </c>
      <c r="E36" s="96" t="s">
        <v>171</v>
      </c>
      <c r="F36" s="120" t="s">
        <v>186</v>
      </c>
      <c r="G36" s="96">
        <v>2</v>
      </c>
      <c r="H36" s="96">
        <v>3</v>
      </c>
      <c r="I36" s="95">
        <v>4</v>
      </c>
      <c r="J36" s="95">
        <v>5</v>
      </c>
      <c r="K36" s="95">
        <v>6</v>
      </c>
      <c r="L36" s="95">
        <v>7</v>
      </c>
      <c r="M36" s="95">
        <v>8</v>
      </c>
      <c r="N36" s="95">
        <v>9</v>
      </c>
      <c r="O36" s="95">
        <v>10</v>
      </c>
      <c r="P36" s="95">
        <v>11</v>
      </c>
      <c r="Q36" s="95">
        <v>12</v>
      </c>
      <c r="R36" s="96" t="s">
        <v>175</v>
      </c>
      <c r="S36" s="96" t="s">
        <v>229</v>
      </c>
      <c r="T36" s="307">
        <v>2</v>
      </c>
      <c r="U36" s="307">
        <v>3</v>
      </c>
      <c r="V36" s="307">
        <v>4</v>
      </c>
      <c r="W36" s="307">
        <v>5</v>
      </c>
      <c r="X36" s="307">
        <v>6</v>
      </c>
      <c r="Y36" s="307">
        <v>7</v>
      </c>
      <c r="Z36" s="307">
        <v>8</v>
      </c>
      <c r="AA36" s="307">
        <v>9</v>
      </c>
      <c r="AB36" s="307">
        <v>10</v>
      </c>
      <c r="AC36" s="307">
        <v>11</v>
      </c>
      <c r="AD36" s="307">
        <v>12</v>
      </c>
      <c r="AE36" s="307" t="s">
        <v>250</v>
      </c>
      <c r="AF36" s="96" t="s">
        <v>187</v>
      </c>
      <c r="AG36" s="96" t="s">
        <v>180</v>
      </c>
      <c r="AH36" s="96" t="s">
        <v>179</v>
      </c>
      <c r="AI36" s="96" t="s">
        <v>248</v>
      </c>
    </row>
    <row r="37" spans="2:35" ht="15.6" x14ac:dyDescent="0.3">
      <c r="B37" s="112" t="s">
        <v>162</v>
      </c>
      <c r="C37" s="97"/>
      <c r="D37" s="98" t="s">
        <v>163</v>
      </c>
      <c r="E37" s="129">
        <f t="shared" ref="E37:Q37" si="7">SUM(E38:E48)</f>
        <v>3.2478940782871373</v>
      </c>
      <c r="F37" s="129">
        <f t="shared" si="7"/>
        <v>20.594950066451734</v>
      </c>
      <c r="G37" s="129">
        <f t="shared" si="7"/>
        <v>21.564590278345655</v>
      </c>
      <c r="H37" s="129">
        <f t="shared" si="7"/>
        <v>20.669894784987598</v>
      </c>
      <c r="I37" s="129">
        <f t="shared" si="7"/>
        <v>20.962652031680236</v>
      </c>
      <c r="J37" s="129">
        <f t="shared" si="7"/>
        <v>21.694839970530694</v>
      </c>
      <c r="K37" s="129">
        <f t="shared" si="7"/>
        <v>21.145830081836763</v>
      </c>
      <c r="L37" s="129">
        <f t="shared" si="7"/>
        <v>24.659047921759917</v>
      </c>
      <c r="M37" s="129">
        <f t="shared" si="7"/>
        <v>21.254454749388671</v>
      </c>
      <c r="N37" s="129">
        <f t="shared" si="7"/>
        <v>21.687420219984894</v>
      </c>
      <c r="O37" s="129">
        <f t="shared" si="7"/>
        <v>20.703249990407048</v>
      </c>
      <c r="P37" s="129">
        <f t="shared" si="7"/>
        <v>20.324313867108909</v>
      </c>
      <c r="Q37" s="129">
        <f t="shared" si="7"/>
        <v>20.648066072836315</v>
      </c>
      <c r="R37" s="129">
        <f>SUM(R38:R48)</f>
        <v>21.074502725771133</v>
      </c>
      <c r="S37" s="129">
        <f>SUM(S38:S48)</f>
        <v>21.445345147986217</v>
      </c>
      <c r="T37" s="129">
        <f t="shared" ref="T37:AE37" si="8">SUM(T38:T48)</f>
        <v>21.310703245136949</v>
      </c>
      <c r="U37" s="129">
        <f t="shared" si="8"/>
        <v>21.559518779012311</v>
      </c>
      <c r="V37" s="129">
        <f t="shared" si="8"/>
        <v>22.726843303050003</v>
      </c>
      <c r="W37" s="129" t="e">
        <f t="shared" si="8"/>
        <v>#DIV/0!</v>
      </c>
      <c r="X37" s="129" t="e">
        <f t="shared" si="8"/>
        <v>#DIV/0!</v>
      </c>
      <c r="Y37" s="129" t="e">
        <f t="shared" si="8"/>
        <v>#DIV/0!</v>
      </c>
      <c r="Z37" s="129" t="e">
        <f t="shared" si="8"/>
        <v>#DIV/0!</v>
      </c>
      <c r="AA37" s="129" t="e">
        <f t="shared" si="8"/>
        <v>#DIV/0!</v>
      </c>
      <c r="AB37" s="129" t="e">
        <f t="shared" si="8"/>
        <v>#DIV/0!</v>
      </c>
      <c r="AC37" s="129" t="e">
        <f t="shared" si="8"/>
        <v>#DIV/0!</v>
      </c>
      <c r="AD37" s="129" t="e">
        <f t="shared" si="8"/>
        <v>#DIV/0!</v>
      </c>
      <c r="AE37" s="129">
        <f t="shared" si="8"/>
        <v>21.841345226720751</v>
      </c>
      <c r="AF37" s="129">
        <f>SUM(AF38:AF48)</f>
        <v>0</v>
      </c>
      <c r="AG37" s="116">
        <f t="shared" ref="AG37:AG56" si="9">E37/$E$57</f>
        <v>0.32606509270945616</v>
      </c>
      <c r="AH37" s="116">
        <f t="shared" ref="AH37:AH57" si="10">R37/$R$57</f>
        <v>0.69396559548854031</v>
      </c>
      <c r="AI37" s="116">
        <f>AE37/$AE$57</f>
        <v>0.72718894887104679</v>
      </c>
    </row>
    <row r="38" spans="2:35" ht="15.6" x14ac:dyDescent="0.3">
      <c r="B38" s="113">
        <v>1</v>
      </c>
      <c r="C38" s="99" t="s">
        <v>96</v>
      </c>
      <c r="D38" s="99" t="s">
        <v>261</v>
      </c>
      <c r="E38" s="127">
        <f t="shared" ref="E38:Q38" si="11">E6/E$26</f>
        <v>0</v>
      </c>
      <c r="F38" s="127">
        <f t="shared" si="11"/>
        <v>18.363293333437522</v>
      </c>
      <c r="G38" s="127">
        <f t="shared" si="11"/>
        <v>18.952805058390467</v>
      </c>
      <c r="H38" s="127">
        <f t="shared" si="11"/>
        <v>18.634874879165281</v>
      </c>
      <c r="I38" s="127">
        <f t="shared" si="11"/>
        <v>18.571619593073461</v>
      </c>
      <c r="J38" s="127">
        <f t="shared" si="11"/>
        <v>19.292321270962049</v>
      </c>
      <c r="K38" s="127">
        <f t="shared" si="11"/>
        <v>18.30234656966757</v>
      </c>
      <c r="L38" s="127">
        <f t="shared" si="11"/>
        <v>20.744995301175194</v>
      </c>
      <c r="M38" s="127">
        <f t="shared" si="11"/>
        <v>17.576383765328607</v>
      </c>
      <c r="N38" s="127">
        <f t="shared" si="11"/>
        <v>18.509274143128486</v>
      </c>
      <c r="O38" s="127">
        <f t="shared" si="11"/>
        <v>18.222294537477833</v>
      </c>
      <c r="P38" s="127">
        <f t="shared" si="11"/>
        <v>18.002068876287698</v>
      </c>
      <c r="Q38" s="127">
        <f t="shared" si="11"/>
        <v>17.87760117819494</v>
      </c>
      <c r="R38" s="127">
        <f>R6/R$26</f>
        <v>18.501584603247</v>
      </c>
      <c r="S38" s="127">
        <f>S6/S$26</f>
        <v>17.84265771182007</v>
      </c>
      <c r="T38" s="127">
        <f t="shared" ref="T38:AD38" si="12">T6/T$26</f>
        <v>18.284731863893562</v>
      </c>
      <c r="U38" s="127">
        <f t="shared" si="12"/>
        <v>19.172523520845921</v>
      </c>
      <c r="V38" s="127">
        <f t="shared" si="12"/>
        <v>19.89380509378762</v>
      </c>
      <c r="W38" s="127" t="e">
        <f t="shared" si="12"/>
        <v>#DIV/0!</v>
      </c>
      <c r="X38" s="127" t="e">
        <f t="shared" si="12"/>
        <v>#DIV/0!</v>
      </c>
      <c r="Y38" s="127" t="e">
        <f t="shared" si="12"/>
        <v>#DIV/0!</v>
      </c>
      <c r="Z38" s="127" t="e">
        <f t="shared" si="12"/>
        <v>#DIV/0!</v>
      </c>
      <c r="AA38" s="127" t="e">
        <f t="shared" si="12"/>
        <v>#DIV/0!</v>
      </c>
      <c r="AB38" s="127" t="e">
        <f t="shared" si="12"/>
        <v>#DIV/0!</v>
      </c>
      <c r="AC38" s="127" t="e">
        <f t="shared" si="12"/>
        <v>#DIV/0!</v>
      </c>
      <c r="AD38" s="127" t="e">
        <f t="shared" si="12"/>
        <v>#DIV/0!</v>
      </c>
      <c r="AE38" s="127">
        <f>AE6/AE$26</f>
        <v>19.025674189570584</v>
      </c>
      <c r="AF38" s="127"/>
      <c r="AG38" s="107">
        <f t="shared" si="9"/>
        <v>0</v>
      </c>
      <c r="AH38" s="107">
        <f t="shared" si="10"/>
        <v>0.60924157232773357</v>
      </c>
      <c r="AI38" s="107">
        <f>AE38/$AE$57</f>
        <v>0.63344358471797557</v>
      </c>
    </row>
    <row r="39" spans="2:35" ht="15.6" x14ac:dyDescent="0.3">
      <c r="B39" s="114">
        <f>B38+1</f>
        <v>2</v>
      </c>
      <c r="C39" s="101" t="s">
        <v>96</v>
      </c>
      <c r="D39" s="101" t="s">
        <v>25</v>
      </c>
      <c r="E39" s="130">
        <f t="shared" ref="E39:R39" si="13">E7/E$26</f>
        <v>1.4664295859637577</v>
      </c>
      <c r="F39" s="130">
        <f t="shared" si="13"/>
        <v>1.1622871322930901</v>
      </c>
      <c r="G39" s="130">
        <f t="shared" si="13"/>
        <v>1.4181931192939559</v>
      </c>
      <c r="H39" s="130">
        <f t="shared" si="13"/>
        <v>1.0452688056093022</v>
      </c>
      <c r="I39" s="130">
        <f t="shared" si="13"/>
        <v>1.2247460525202432</v>
      </c>
      <c r="J39" s="130">
        <f t="shared" si="13"/>
        <v>1.3627740259740262</v>
      </c>
      <c r="K39" s="130">
        <f t="shared" si="13"/>
        <v>1.3856628521080163</v>
      </c>
      <c r="L39" s="130">
        <f t="shared" si="13"/>
        <v>1.6408391126560737</v>
      </c>
      <c r="M39" s="130">
        <f t="shared" si="13"/>
        <v>1.6168249997434534</v>
      </c>
      <c r="N39" s="130">
        <f t="shared" si="13"/>
        <v>1.6678597260468149</v>
      </c>
      <c r="O39" s="130">
        <f t="shared" si="13"/>
        <v>1.2979874317417879</v>
      </c>
      <c r="P39" s="130">
        <f t="shared" si="13"/>
        <v>1.3476155595021733</v>
      </c>
      <c r="Q39" s="130">
        <f t="shared" si="13"/>
        <v>1.4725653212197842</v>
      </c>
      <c r="R39" s="130">
        <f t="shared" si="13"/>
        <v>1.3360023744417875</v>
      </c>
      <c r="S39" s="130">
        <f t="shared" ref="S39:S48" si="14">S7/S$26</f>
        <v>1.750520600566061</v>
      </c>
      <c r="T39" s="130">
        <f t="shared" ref="T39:AE39" si="15">T7/T$26</f>
        <v>1.4215826858321168</v>
      </c>
      <c r="U39" s="130">
        <f t="shared" si="15"/>
        <v>1.3607828018714538</v>
      </c>
      <c r="V39" s="130">
        <f t="shared" si="15"/>
        <v>1.5153341381603718</v>
      </c>
      <c r="W39" s="130" t="e">
        <f t="shared" si="15"/>
        <v>#DIV/0!</v>
      </c>
      <c r="X39" s="130" t="e">
        <f t="shared" si="15"/>
        <v>#DIV/0!</v>
      </c>
      <c r="Y39" s="130" t="e">
        <f t="shared" si="15"/>
        <v>#DIV/0!</v>
      </c>
      <c r="Z39" s="130" t="e">
        <f t="shared" si="15"/>
        <v>#DIV/0!</v>
      </c>
      <c r="AA39" s="130" t="e">
        <f t="shared" si="15"/>
        <v>#DIV/0!</v>
      </c>
      <c r="AB39" s="130" t="e">
        <f t="shared" si="15"/>
        <v>#DIV/0!</v>
      </c>
      <c r="AC39" s="130" t="e">
        <f t="shared" si="15"/>
        <v>#DIV/0!</v>
      </c>
      <c r="AD39" s="130" t="e">
        <f t="shared" si="15"/>
        <v>#DIV/0!</v>
      </c>
      <c r="AE39" s="130">
        <f t="shared" si="15"/>
        <v>1.4708336549714964</v>
      </c>
      <c r="AF39" s="121"/>
      <c r="AG39" s="118">
        <f t="shared" si="9"/>
        <v>0.14721893244478215</v>
      </c>
      <c r="AH39" s="118">
        <f t="shared" si="10"/>
        <v>4.3993431086743424E-2</v>
      </c>
      <c r="AI39" s="118">
        <f t="shared" ref="AI39:AI56" si="16">AE39/$AE$57</f>
        <v>4.897015126222002E-2</v>
      </c>
    </row>
    <row r="40" spans="2:35" ht="15.6" x14ac:dyDescent="0.3">
      <c r="B40" s="114">
        <f t="shared" ref="B40:B48" si="17">B39+1</f>
        <v>3</v>
      </c>
      <c r="C40" s="101" t="s">
        <v>96</v>
      </c>
      <c r="D40" s="101" t="s">
        <v>166</v>
      </c>
      <c r="E40" s="130">
        <f t="shared" ref="E40:R40" si="18">E8/E$26</f>
        <v>0.25332032528271781</v>
      </c>
      <c r="F40" s="130">
        <f t="shared" si="18"/>
        <v>0.10780304357287179</v>
      </c>
      <c r="G40" s="130">
        <f t="shared" si="18"/>
        <v>0.13007239485797034</v>
      </c>
      <c r="H40" s="130">
        <f t="shared" si="18"/>
        <v>0.13070129503245481</v>
      </c>
      <c r="I40" s="130">
        <f t="shared" si="18"/>
        <v>0.25480568571418682</v>
      </c>
      <c r="J40" s="130">
        <f t="shared" si="18"/>
        <v>0.22064033996918073</v>
      </c>
      <c r="K40" s="130">
        <f t="shared" si="18"/>
        <v>0.48563138571159048</v>
      </c>
      <c r="L40" s="130">
        <f t="shared" si="18"/>
        <v>0.63717611725888801</v>
      </c>
      <c r="M40" s="130">
        <f t="shared" si="18"/>
        <v>1.0174489610585777</v>
      </c>
      <c r="N40" s="130">
        <f t="shared" si="18"/>
        <v>0.51141664014676158</v>
      </c>
      <c r="O40" s="130">
        <f t="shared" si="18"/>
        <v>0.23941378461645207</v>
      </c>
      <c r="P40" s="130">
        <f t="shared" si="18"/>
        <v>0.16888517189386082</v>
      </c>
      <c r="Q40" s="130">
        <f t="shared" si="18"/>
        <v>0.56324582094169529</v>
      </c>
      <c r="R40" s="130">
        <f t="shared" si="18"/>
        <v>0.30618972238934755</v>
      </c>
      <c r="S40" s="130">
        <f t="shared" si="14"/>
        <v>0.87596585312031605</v>
      </c>
      <c r="T40" s="130">
        <f t="shared" ref="T40:AE40" si="19">T8/T$26</f>
        <v>0.71347056187406988</v>
      </c>
      <c r="U40" s="130">
        <f t="shared" si="19"/>
        <v>0.22457068540279512</v>
      </c>
      <c r="V40" s="130">
        <f t="shared" si="19"/>
        <v>0.31897465595593516</v>
      </c>
      <c r="W40" s="130" t="e">
        <f t="shared" si="19"/>
        <v>#DIV/0!</v>
      </c>
      <c r="X40" s="130" t="e">
        <f t="shared" si="19"/>
        <v>#DIV/0!</v>
      </c>
      <c r="Y40" s="130" t="e">
        <f t="shared" si="19"/>
        <v>#DIV/0!</v>
      </c>
      <c r="Z40" s="130" t="e">
        <f t="shared" si="19"/>
        <v>#DIV/0!</v>
      </c>
      <c r="AA40" s="130" t="e">
        <f t="shared" si="19"/>
        <v>#DIV/0!</v>
      </c>
      <c r="AB40" s="130" t="e">
        <f t="shared" si="19"/>
        <v>#DIV/0!</v>
      </c>
      <c r="AC40" s="130" t="e">
        <f t="shared" si="19"/>
        <v>#DIV/0!</v>
      </c>
      <c r="AD40" s="130" t="e">
        <f t="shared" si="19"/>
        <v>#DIV/0!</v>
      </c>
      <c r="AE40" s="130">
        <f t="shared" si="19"/>
        <v>0.44228789017263181</v>
      </c>
      <c r="AF40" s="130"/>
      <c r="AG40" s="118">
        <f t="shared" si="9"/>
        <v>2.5431529895229742E-2</v>
      </c>
      <c r="AH40" s="118">
        <f t="shared" si="10"/>
        <v>1.0082569244708925E-2</v>
      </c>
      <c r="AI40" s="118">
        <f t="shared" si="16"/>
        <v>1.4725597833578038E-2</v>
      </c>
    </row>
    <row r="41" spans="2:35" ht="15.6" x14ac:dyDescent="0.3">
      <c r="B41" s="114">
        <f t="shared" si="17"/>
        <v>4</v>
      </c>
      <c r="C41" s="101" t="s">
        <v>96</v>
      </c>
      <c r="D41" s="101" t="s">
        <v>54</v>
      </c>
      <c r="E41" s="130">
        <f t="shared" ref="E41:R41" si="20">E9/E$26</f>
        <v>0.52818788593227228</v>
      </c>
      <c r="F41" s="130">
        <f t="shared" si="20"/>
        <v>0.39442090915204842</v>
      </c>
      <c r="G41" s="130">
        <f t="shared" si="20"/>
        <v>0.54174787867525598</v>
      </c>
      <c r="H41" s="130">
        <f t="shared" si="20"/>
        <v>0.37073394322130165</v>
      </c>
      <c r="I41" s="130">
        <f t="shared" si="20"/>
        <v>0.25210029658779021</v>
      </c>
      <c r="J41" s="130">
        <f t="shared" si="20"/>
        <v>0.2422634585038381</v>
      </c>
      <c r="K41" s="130">
        <f t="shared" si="20"/>
        <v>0.19484756256104538</v>
      </c>
      <c r="L41" s="130">
        <f t="shared" si="20"/>
        <v>0.77315709575296043</v>
      </c>
      <c r="M41" s="130">
        <f t="shared" si="20"/>
        <v>0.25104731837769684</v>
      </c>
      <c r="N41" s="130">
        <f t="shared" si="20"/>
        <v>0.40969569456734334</v>
      </c>
      <c r="O41" s="130">
        <f t="shared" si="20"/>
        <v>0.46062944441604409</v>
      </c>
      <c r="P41" s="130">
        <f t="shared" si="20"/>
        <v>0.38777397923362961</v>
      </c>
      <c r="Q41" s="130">
        <f t="shared" si="20"/>
        <v>8.7356798874241331E-2</v>
      </c>
      <c r="R41" s="130">
        <f t="shared" si="20"/>
        <v>0.34662023871739522</v>
      </c>
      <c r="S41" s="130">
        <f t="shared" si="14"/>
        <v>0.15393792362519443</v>
      </c>
      <c r="T41" s="130">
        <f t="shared" ref="T41:AE41" si="21">T9/T$26</f>
        <v>0.30252613191044025</v>
      </c>
      <c r="U41" s="130">
        <f t="shared" si="21"/>
        <v>0.34381435481633194</v>
      </c>
      <c r="V41" s="130">
        <f t="shared" si="21"/>
        <v>0.43839692128325058</v>
      </c>
      <c r="W41" s="130" t="e">
        <f t="shared" si="21"/>
        <v>#DIV/0!</v>
      </c>
      <c r="X41" s="130" t="e">
        <f t="shared" si="21"/>
        <v>#DIV/0!</v>
      </c>
      <c r="Y41" s="130" t="e">
        <f t="shared" si="21"/>
        <v>#DIV/0!</v>
      </c>
      <c r="Z41" s="130" t="e">
        <f t="shared" si="21"/>
        <v>#DIV/0!</v>
      </c>
      <c r="AA41" s="130" t="e">
        <f t="shared" si="21"/>
        <v>#DIV/0!</v>
      </c>
      <c r="AB41" s="130" t="e">
        <f t="shared" si="21"/>
        <v>#DIV/0!</v>
      </c>
      <c r="AC41" s="130" t="e">
        <f t="shared" si="21"/>
        <v>#DIV/0!</v>
      </c>
      <c r="AD41" s="130" t="e">
        <f t="shared" si="21"/>
        <v>#DIV/0!</v>
      </c>
      <c r="AE41" s="130">
        <f t="shared" si="21"/>
        <v>0.33862852510453745</v>
      </c>
      <c r="AF41" s="130"/>
      <c r="AG41" s="118">
        <f t="shared" si="9"/>
        <v>5.3026246497959902E-2</v>
      </c>
      <c r="AH41" s="118">
        <f t="shared" si="10"/>
        <v>1.1413912038633667E-2</v>
      </c>
      <c r="AI41" s="118">
        <f t="shared" si="16"/>
        <v>1.1274347741514678E-2</v>
      </c>
    </row>
    <row r="42" spans="2:35" ht="15.6" x14ac:dyDescent="0.3">
      <c r="B42" s="114">
        <f t="shared" si="17"/>
        <v>5</v>
      </c>
      <c r="C42" s="101" t="s">
        <v>96</v>
      </c>
      <c r="D42" s="101" t="s">
        <v>49</v>
      </c>
      <c r="E42" s="130">
        <f t="shared" ref="E42:R42" si="22">E10/E$26</f>
        <v>0.40392658227820682</v>
      </c>
      <c r="F42" s="130">
        <f t="shared" si="22"/>
        <v>0.22050586651763676</v>
      </c>
      <c r="G42" s="130">
        <f t="shared" si="22"/>
        <v>0.1793877915178485</v>
      </c>
      <c r="H42" s="130">
        <f t="shared" si="22"/>
        <v>0.1825634647481307</v>
      </c>
      <c r="I42" s="130">
        <f t="shared" si="22"/>
        <v>0.32025487922185464</v>
      </c>
      <c r="J42" s="130">
        <f t="shared" si="22"/>
        <v>0.20434361090125247</v>
      </c>
      <c r="K42" s="130">
        <f t="shared" si="22"/>
        <v>0.28978116304579615</v>
      </c>
      <c r="L42" s="130">
        <f t="shared" si="22"/>
        <v>0.27848357731033296</v>
      </c>
      <c r="M42" s="130">
        <f t="shared" si="22"/>
        <v>0.29323910802043407</v>
      </c>
      <c r="N42" s="130">
        <f t="shared" si="22"/>
        <v>0.19943899119134814</v>
      </c>
      <c r="O42" s="130">
        <f t="shared" si="22"/>
        <v>0.14080615320949685</v>
      </c>
      <c r="P42" s="130">
        <f t="shared" si="22"/>
        <v>8.1180571099763732E-2</v>
      </c>
      <c r="Q42" s="130">
        <f t="shared" si="22"/>
        <v>0.22222754198859559</v>
      </c>
      <c r="R42" s="130">
        <f t="shared" si="22"/>
        <v>0.20824079719602331</v>
      </c>
      <c r="S42" s="130">
        <f t="shared" si="14"/>
        <v>0.37205513502848586</v>
      </c>
      <c r="T42" s="130">
        <f t="shared" ref="T42:AE42" si="23">T10/T$26</f>
        <v>0.22646329001936633</v>
      </c>
      <c r="U42" s="130">
        <f t="shared" si="23"/>
        <v>0.14170212251389944</v>
      </c>
      <c r="V42" s="130">
        <f t="shared" si="23"/>
        <v>0.24154180358341074</v>
      </c>
      <c r="W42" s="130" t="e">
        <f t="shared" si="23"/>
        <v>#DIV/0!</v>
      </c>
      <c r="X42" s="130" t="e">
        <f t="shared" si="23"/>
        <v>#DIV/0!</v>
      </c>
      <c r="Y42" s="130" t="e">
        <f t="shared" si="23"/>
        <v>#DIV/0!</v>
      </c>
      <c r="Z42" s="130" t="e">
        <f t="shared" si="23"/>
        <v>#DIV/0!</v>
      </c>
      <c r="AA42" s="130" t="e">
        <f t="shared" si="23"/>
        <v>#DIV/0!</v>
      </c>
      <c r="AB42" s="130" t="e">
        <f t="shared" si="23"/>
        <v>#DIV/0!</v>
      </c>
      <c r="AC42" s="130" t="e">
        <f t="shared" si="23"/>
        <v>#DIV/0!</v>
      </c>
      <c r="AD42" s="130" t="e">
        <f t="shared" si="23"/>
        <v>#DIV/0!</v>
      </c>
      <c r="AE42" s="130">
        <f t="shared" si="23"/>
        <v>0.21974722488442019</v>
      </c>
      <c r="AF42" s="130"/>
      <c r="AG42" s="118">
        <f t="shared" si="9"/>
        <v>4.0551309655952855E-2</v>
      </c>
      <c r="AH42" s="118">
        <f t="shared" si="10"/>
        <v>6.8571937716200067E-3</v>
      </c>
      <c r="AI42" s="118">
        <f t="shared" si="16"/>
        <v>7.3162963096949788E-3</v>
      </c>
    </row>
    <row r="43" spans="2:35" ht="15.6" x14ac:dyDescent="0.3">
      <c r="B43" s="114">
        <f t="shared" si="17"/>
        <v>6</v>
      </c>
      <c r="C43" s="101" t="s">
        <v>96</v>
      </c>
      <c r="D43" s="101" t="s">
        <v>56</v>
      </c>
      <c r="E43" s="130">
        <f t="shared" ref="E43:R43" si="24">E11/E$26</f>
        <v>0.16917023853269167</v>
      </c>
      <c r="F43" s="130">
        <f t="shared" si="24"/>
        <v>0.18398134239643685</v>
      </c>
      <c r="G43" s="130">
        <f t="shared" si="24"/>
        <v>0.13899395665046477</v>
      </c>
      <c r="H43" s="130">
        <f t="shared" si="24"/>
        <v>0.14874135606834551</v>
      </c>
      <c r="I43" s="130">
        <f t="shared" si="24"/>
        <v>0.13377642632794873</v>
      </c>
      <c r="J43" s="130">
        <f t="shared" si="24"/>
        <v>0.14650647837599298</v>
      </c>
      <c r="K43" s="130">
        <f t="shared" si="24"/>
        <v>0.22502705466302914</v>
      </c>
      <c r="L43" s="130">
        <f t="shared" si="24"/>
        <v>0.16967782211499055</v>
      </c>
      <c r="M43" s="130">
        <f t="shared" si="24"/>
        <v>0.14633579570175562</v>
      </c>
      <c r="N43" s="130">
        <f t="shared" si="24"/>
        <v>0.1797852613831524</v>
      </c>
      <c r="O43" s="130">
        <f t="shared" si="24"/>
        <v>0.15029348141052554</v>
      </c>
      <c r="P43" s="130">
        <f t="shared" si="24"/>
        <v>0.16104516981544126</v>
      </c>
      <c r="Q43" s="130">
        <f t="shared" si="24"/>
        <v>0.17264918943729904</v>
      </c>
      <c r="R43" s="130">
        <f t="shared" si="24"/>
        <v>0.16173389853892473</v>
      </c>
      <c r="S43" s="130">
        <f t="shared" si="14"/>
        <v>0.14851426637011594</v>
      </c>
      <c r="T43" s="130">
        <f t="shared" ref="T43:AE43" si="25">T11/T$26</f>
        <v>0.14967491883550918</v>
      </c>
      <c r="U43" s="130">
        <f t="shared" si="25"/>
        <v>0.15316807315484282</v>
      </c>
      <c r="V43" s="130">
        <f t="shared" si="25"/>
        <v>0.15274908521232841</v>
      </c>
      <c r="W43" s="130" t="e">
        <f t="shared" si="25"/>
        <v>#DIV/0!</v>
      </c>
      <c r="X43" s="130" t="e">
        <f t="shared" si="25"/>
        <v>#DIV/0!</v>
      </c>
      <c r="Y43" s="130" t="e">
        <f t="shared" si="25"/>
        <v>#DIV/0!</v>
      </c>
      <c r="Z43" s="130" t="e">
        <f t="shared" si="25"/>
        <v>#DIV/0!</v>
      </c>
      <c r="AA43" s="130" t="e">
        <f t="shared" si="25"/>
        <v>#DIV/0!</v>
      </c>
      <c r="AB43" s="130" t="e">
        <f t="shared" si="25"/>
        <v>#DIV/0!</v>
      </c>
      <c r="AC43" s="130" t="e">
        <f t="shared" si="25"/>
        <v>#DIV/0!</v>
      </c>
      <c r="AD43" s="130" t="e">
        <f t="shared" si="25"/>
        <v>#DIV/0!</v>
      </c>
      <c r="AE43" s="130">
        <f t="shared" si="25"/>
        <v>0.151689149738783</v>
      </c>
      <c r="AF43" s="130"/>
      <c r="AG43" s="118">
        <f t="shared" si="9"/>
        <v>1.6983469343905846E-2</v>
      </c>
      <c r="AH43" s="118">
        <f t="shared" si="10"/>
        <v>5.3257608338723537E-3</v>
      </c>
      <c r="AI43" s="118">
        <f t="shared" si="16"/>
        <v>5.0503607817497893E-3</v>
      </c>
    </row>
    <row r="44" spans="2:35" ht="15.6" x14ac:dyDescent="0.3">
      <c r="B44" s="114">
        <f t="shared" si="17"/>
        <v>7</v>
      </c>
      <c r="C44" s="101" t="s">
        <v>96</v>
      </c>
      <c r="D44" s="101" t="s">
        <v>28</v>
      </c>
      <c r="E44" s="130">
        <f t="shared" ref="E44:R44" si="26">E12/E$26</f>
        <v>0.16519242915142826</v>
      </c>
      <c r="F44" s="130">
        <f t="shared" si="26"/>
        <v>8.0946318197641962E-2</v>
      </c>
      <c r="G44" s="130">
        <f t="shared" si="26"/>
        <v>9.2151969142682991E-2</v>
      </c>
      <c r="H44" s="130">
        <f t="shared" si="26"/>
        <v>8.4277115323424912E-2</v>
      </c>
      <c r="I44" s="130">
        <f t="shared" si="26"/>
        <v>8.6304032437479125E-2</v>
      </c>
      <c r="J44" s="130">
        <f t="shared" si="26"/>
        <v>8.8939596751832065E-2</v>
      </c>
      <c r="K44" s="130">
        <f t="shared" si="26"/>
        <v>0.1016777811173982</v>
      </c>
      <c r="L44" s="130">
        <f t="shared" si="26"/>
        <v>0.16923141151206803</v>
      </c>
      <c r="M44" s="130">
        <f t="shared" si="26"/>
        <v>0.12214887011093085</v>
      </c>
      <c r="N44" s="130">
        <f t="shared" si="26"/>
        <v>9.4340957837718065E-2</v>
      </c>
      <c r="O44" s="130">
        <f t="shared" si="26"/>
        <v>7.2492689093140522E-2</v>
      </c>
      <c r="P44" s="130">
        <f t="shared" si="26"/>
        <v>6.6348175031311532E-2</v>
      </c>
      <c r="Q44" s="130">
        <f t="shared" si="26"/>
        <v>8.7713977955019604E-2</v>
      </c>
      <c r="R44" s="130">
        <f t="shared" si="26"/>
        <v>8.867960031311653E-2</v>
      </c>
      <c r="S44" s="130">
        <f t="shared" si="14"/>
        <v>9.4472927835645537E-2</v>
      </c>
      <c r="T44" s="130">
        <f t="shared" ref="T44:AE44" si="27">T12/T$26</f>
        <v>7.4916739650744996E-2</v>
      </c>
      <c r="U44" s="130">
        <f t="shared" si="27"/>
        <v>5.867962346948933E-2</v>
      </c>
      <c r="V44" s="130">
        <f t="shared" si="27"/>
        <v>5.8127548737858192E-2</v>
      </c>
      <c r="W44" s="130" t="e">
        <f t="shared" si="27"/>
        <v>#DIV/0!</v>
      </c>
      <c r="X44" s="130" t="e">
        <f t="shared" si="27"/>
        <v>#DIV/0!</v>
      </c>
      <c r="Y44" s="130" t="e">
        <f t="shared" si="27"/>
        <v>#DIV/0!</v>
      </c>
      <c r="Z44" s="130" t="e">
        <f t="shared" si="27"/>
        <v>#DIV/0!</v>
      </c>
      <c r="AA44" s="130" t="e">
        <f t="shared" si="27"/>
        <v>#DIV/0!</v>
      </c>
      <c r="AB44" s="130" t="e">
        <f t="shared" si="27"/>
        <v>#DIV/0!</v>
      </c>
      <c r="AC44" s="130" t="e">
        <f t="shared" si="27"/>
        <v>#DIV/0!</v>
      </c>
      <c r="AD44" s="130" t="e">
        <f t="shared" si="27"/>
        <v>#DIV/0!</v>
      </c>
      <c r="AE44" s="130">
        <f t="shared" si="27"/>
        <v>6.6646883186442643E-2</v>
      </c>
      <c r="AF44" s="130"/>
      <c r="AG44" s="118">
        <f t="shared" si="9"/>
        <v>1.6584126029924921E-2</v>
      </c>
      <c r="AH44" s="118">
        <f t="shared" si="10"/>
        <v>2.9201444247470773E-3</v>
      </c>
      <c r="AI44" s="118">
        <f t="shared" si="16"/>
        <v>2.2189510960427764E-3</v>
      </c>
    </row>
    <row r="45" spans="2:35" ht="15.6" x14ac:dyDescent="0.3">
      <c r="B45" s="114">
        <f t="shared" si="17"/>
        <v>8</v>
      </c>
      <c r="C45" s="101" t="s">
        <v>96</v>
      </c>
      <c r="D45" s="101" t="s">
        <v>53</v>
      </c>
      <c r="E45" s="121">
        <f t="shared" ref="E45:R45" si="28">E13/E$26</f>
        <v>0.13873126623253415</v>
      </c>
      <c r="F45" s="121">
        <f t="shared" si="28"/>
        <v>4.0003952320194283E-2</v>
      </c>
      <c r="G45" s="121">
        <f t="shared" si="28"/>
        <v>4.9886244689289122E-2</v>
      </c>
      <c r="H45" s="121">
        <f t="shared" si="28"/>
        <v>2.9487206265260517E-2</v>
      </c>
      <c r="I45" s="121">
        <f t="shared" si="28"/>
        <v>5.267934616637919E-2</v>
      </c>
      <c r="J45" s="121">
        <f t="shared" si="28"/>
        <v>8.1541803471609317E-2</v>
      </c>
      <c r="K45" s="121">
        <f t="shared" si="28"/>
        <v>9.9418744737462497E-2</v>
      </c>
      <c r="L45" s="121">
        <f t="shared" si="28"/>
        <v>0.15160677734468517</v>
      </c>
      <c r="M45" s="121">
        <f t="shared" si="28"/>
        <v>0.12873360251631588</v>
      </c>
      <c r="N45" s="121">
        <f t="shared" si="28"/>
        <v>5.840092826909097E-2</v>
      </c>
      <c r="O45" s="121">
        <f t="shared" si="28"/>
        <v>6.9419162471314785E-2</v>
      </c>
      <c r="P45" s="121">
        <f t="shared" si="28"/>
        <v>6.4194284920526548E-2</v>
      </c>
      <c r="Q45" s="121">
        <f t="shared" si="28"/>
        <v>0.10526471692054784</v>
      </c>
      <c r="R45" s="121">
        <f t="shared" si="28"/>
        <v>6.8722518108353461E-2</v>
      </c>
      <c r="S45" s="121">
        <f t="shared" si="14"/>
        <v>0.13249437995290228</v>
      </c>
      <c r="T45" s="121">
        <f t="shared" ref="T45:AE45" si="29">T13/T$26</f>
        <v>7.1960164467904694E-2</v>
      </c>
      <c r="U45" s="121">
        <f t="shared" si="29"/>
        <v>6.4982769773298824E-2</v>
      </c>
      <c r="V45" s="121">
        <f t="shared" si="29"/>
        <v>5.3376424692802106E-2</v>
      </c>
      <c r="W45" s="121" t="e">
        <f t="shared" si="29"/>
        <v>#DIV/0!</v>
      </c>
      <c r="X45" s="121" t="e">
        <f t="shared" si="29"/>
        <v>#DIV/0!</v>
      </c>
      <c r="Y45" s="121" t="e">
        <f t="shared" si="29"/>
        <v>#DIV/0!</v>
      </c>
      <c r="Z45" s="121" t="e">
        <f t="shared" si="29"/>
        <v>#DIV/0!</v>
      </c>
      <c r="AA45" s="121" t="e">
        <f t="shared" si="29"/>
        <v>#DIV/0!</v>
      </c>
      <c r="AB45" s="121" t="e">
        <f t="shared" si="29"/>
        <v>#DIV/0!</v>
      </c>
      <c r="AC45" s="121" t="e">
        <f t="shared" si="29"/>
        <v>#DIV/0!</v>
      </c>
      <c r="AD45" s="121" t="e">
        <f t="shared" si="29"/>
        <v>#DIV/0!</v>
      </c>
      <c r="AE45" s="121">
        <f t="shared" si="29"/>
        <v>7.1779658783979391E-2</v>
      </c>
      <c r="AF45" s="121"/>
      <c r="AG45" s="118">
        <f t="shared" si="9"/>
        <v>1.3927616509485307E-2</v>
      </c>
      <c r="AH45" s="118">
        <f t="shared" si="10"/>
        <v>2.2629745443158707E-3</v>
      </c>
      <c r="AI45" s="118">
        <f t="shared" si="16"/>
        <v>2.3898424790056425E-3</v>
      </c>
    </row>
    <row r="46" spans="2:35" ht="15.6" x14ac:dyDescent="0.3">
      <c r="B46" s="114">
        <f t="shared" si="17"/>
        <v>9</v>
      </c>
      <c r="C46" s="101" t="s">
        <v>96</v>
      </c>
      <c r="D46" s="101" t="s">
        <v>42</v>
      </c>
      <c r="E46" s="121">
        <f t="shared" ref="E46:R46" si="30">E14/E$26</f>
        <v>5.7250706605003407E-2</v>
      </c>
      <c r="F46" s="121">
        <f t="shared" si="30"/>
        <v>1.4603973874510798E-2</v>
      </c>
      <c r="G46" s="121">
        <f t="shared" si="30"/>
        <v>2.244897013567734E-2</v>
      </c>
      <c r="H46" s="121">
        <f t="shared" si="30"/>
        <v>1.469996781333696E-2</v>
      </c>
      <c r="I46" s="121">
        <f t="shared" si="30"/>
        <v>3.4134321793031011E-2</v>
      </c>
      <c r="J46" s="121">
        <f t="shared" si="30"/>
        <v>2.5952324816795408E-2</v>
      </c>
      <c r="K46" s="121">
        <f t="shared" si="30"/>
        <v>2.3417864483289263E-2</v>
      </c>
      <c r="L46" s="121">
        <f t="shared" si="30"/>
        <v>3.9132589379476473E-2</v>
      </c>
      <c r="M46" s="121">
        <f t="shared" si="30"/>
        <v>3.6270317308470724E-2</v>
      </c>
      <c r="N46" s="121">
        <f t="shared" si="30"/>
        <v>2.1561120425241113E-2</v>
      </c>
      <c r="O46" s="121">
        <f t="shared" si="30"/>
        <v>2.0359624380226562E-2</v>
      </c>
      <c r="P46" s="121">
        <f t="shared" si="30"/>
        <v>1.5656766128554336E-2</v>
      </c>
      <c r="Q46" s="121">
        <f t="shared" si="30"/>
        <v>2.1628591706228283E-2</v>
      </c>
      <c r="R46" s="121">
        <f t="shared" si="30"/>
        <v>2.2456020560792937E-2</v>
      </c>
      <c r="S46" s="121">
        <f t="shared" si="14"/>
        <v>2.485547180538894E-2</v>
      </c>
      <c r="T46" s="121">
        <f t="shared" ref="T46:AE46" si="31">T14/T$26</f>
        <v>1.7936448733390915E-2</v>
      </c>
      <c r="U46" s="121">
        <f t="shared" si="31"/>
        <v>1.4196899367886651E-2</v>
      </c>
      <c r="V46" s="121">
        <f t="shared" si="31"/>
        <v>2.4297692728598479E-2</v>
      </c>
      <c r="W46" s="121" t="e">
        <f t="shared" si="31"/>
        <v>#DIV/0!</v>
      </c>
      <c r="X46" s="121" t="e">
        <f t="shared" si="31"/>
        <v>#DIV/0!</v>
      </c>
      <c r="Y46" s="121" t="e">
        <f t="shared" si="31"/>
        <v>#DIV/0!</v>
      </c>
      <c r="Z46" s="121" t="e">
        <f t="shared" si="31"/>
        <v>#DIV/0!</v>
      </c>
      <c r="AA46" s="121" t="e">
        <f t="shared" si="31"/>
        <v>#DIV/0!</v>
      </c>
      <c r="AB46" s="121" t="e">
        <f t="shared" si="31"/>
        <v>#DIV/0!</v>
      </c>
      <c r="AC46" s="121" t="e">
        <f t="shared" si="31"/>
        <v>#DIV/0!</v>
      </c>
      <c r="AD46" s="121" t="e">
        <f t="shared" si="31"/>
        <v>#DIV/0!</v>
      </c>
      <c r="AE46" s="121">
        <f t="shared" si="31"/>
        <v>1.9412234797845349E-2</v>
      </c>
      <c r="AF46" s="121"/>
      <c r="AG46" s="118">
        <f t="shared" si="9"/>
        <v>5.7475571884065529E-3</v>
      </c>
      <c r="AH46" s="118">
        <f t="shared" si="10"/>
        <v>7.3945781229356878E-4</v>
      </c>
      <c r="AI46" s="118">
        <f t="shared" si="16"/>
        <v>6.4631379026110203E-4</v>
      </c>
    </row>
    <row r="47" spans="2:35" ht="15.6" x14ac:dyDescent="0.3">
      <c r="B47" s="114">
        <f t="shared" si="17"/>
        <v>10</v>
      </c>
      <c r="C47" s="101" t="s">
        <v>96</v>
      </c>
      <c r="D47" s="101" t="s">
        <v>52</v>
      </c>
      <c r="E47" s="121">
        <f t="shared" ref="E47:R47" si="32">E15/E$26</f>
        <v>6.5685058308525321E-2</v>
      </c>
      <c r="F47" s="121">
        <f t="shared" si="32"/>
        <v>2.7104194689777185E-2</v>
      </c>
      <c r="G47" s="121">
        <f t="shared" si="32"/>
        <v>3.8902894992041699E-2</v>
      </c>
      <c r="H47" s="121">
        <f t="shared" si="32"/>
        <v>2.854675174075522E-2</v>
      </c>
      <c r="I47" s="121">
        <f t="shared" si="32"/>
        <v>3.2231397837869602E-2</v>
      </c>
      <c r="J47" s="121">
        <f t="shared" si="32"/>
        <v>2.9557060804119632E-2</v>
      </c>
      <c r="K47" s="121">
        <f t="shared" si="32"/>
        <v>3.8019103741565446E-2</v>
      </c>
      <c r="L47" s="121">
        <f t="shared" si="32"/>
        <v>5.4748117255243187E-2</v>
      </c>
      <c r="M47" s="121">
        <f t="shared" si="32"/>
        <v>4.9621029083284217E-2</v>
      </c>
      <c r="N47" s="121">
        <f t="shared" si="32"/>
        <v>3.5646756988940494E-2</v>
      </c>
      <c r="O47" s="121">
        <f t="shared" si="32"/>
        <v>2.9553681590226047E-2</v>
      </c>
      <c r="P47" s="121">
        <f t="shared" si="32"/>
        <v>2.9545313195949989E-2</v>
      </c>
      <c r="Q47" s="121">
        <f t="shared" si="32"/>
        <v>3.7812935597966411E-2</v>
      </c>
      <c r="R47" s="121">
        <f t="shared" si="32"/>
        <v>3.3511495893998315E-2</v>
      </c>
      <c r="S47" s="121">
        <f t="shared" si="14"/>
        <v>4.9870877862035257E-2</v>
      </c>
      <c r="T47" s="121">
        <f t="shared" ref="T47:AE47" si="33">T15/T$26</f>
        <v>4.7440439919844896E-2</v>
      </c>
      <c r="U47" s="121">
        <f t="shared" si="33"/>
        <v>2.5097927796396458E-2</v>
      </c>
      <c r="V47" s="121">
        <f t="shared" si="33"/>
        <v>3.0239938907830714E-2</v>
      </c>
      <c r="W47" s="121" t="e">
        <f t="shared" si="33"/>
        <v>#DIV/0!</v>
      </c>
      <c r="X47" s="121" t="e">
        <f t="shared" si="33"/>
        <v>#DIV/0!</v>
      </c>
      <c r="Y47" s="121" t="e">
        <f t="shared" si="33"/>
        <v>#DIV/0!</v>
      </c>
      <c r="Z47" s="121" t="e">
        <f t="shared" si="33"/>
        <v>#DIV/0!</v>
      </c>
      <c r="AA47" s="121" t="e">
        <f t="shared" si="33"/>
        <v>#DIV/0!</v>
      </c>
      <c r="AB47" s="121" t="e">
        <f t="shared" si="33"/>
        <v>#DIV/0!</v>
      </c>
      <c r="AC47" s="121" t="e">
        <f t="shared" si="33"/>
        <v>#DIV/0!</v>
      </c>
      <c r="AD47" s="121" t="e">
        <f t="shared" si="33"/>
        <v>#DIV/0!</v>
      </c>
      <c r="AE47" s="121">
        <f t="shared" si="33"/>
        <v>3.4645815510035628E-2</v>
      </c>
      <c r="AF47" s="121"/>
      <c r="AG47" s="118">
        <f t="shared" si="9"/>
        <v>6.5943051438089022E-3</v>
      </c>
      <c r="AH47" s="118">
        <f t="shared" si="10"/>
        <v>1.1035052881865502E-3</v>
      </c>
      <c r="AI47" s="118">
        <f t="shared" si="16"/>
        <v>1.1535028590043326E-3</v>
      </c>
    </row>
    <row r="48" spans="2:35" ht="15.6" x14ac:dyDescent="0.3">
      <c r="B48" s="114">
        <f t="shared" si="17"/>
        <v>11</v>
      </c>
      <c r="C48" s="102" t="s">
        <v>96</v>
      </c>
      <c r="D48" s="102" t="s">
        <v>55</v>
      </c>
      <c r="E48" s="131">
        <f t="shared" ref="E48:R48" si="34">E16/E$26</f>
        <v>0</v>
      </c>
      <c r="F48" s="131">
        <f t="shared" si="34"/>
        <v>0</v>
      </c>
      <c r="G48" s="131">
        <f t="shared" si="34"/>
        <v>0</v>
      </c>
      <c r="H48" s="131">
        <f t="shared" si="34"/>
        <v>0</v>
      </c>
      <c r="I48" s="131">
        <f t="shared" si="34"/>
        <v>0</v>
      </c>
      <c r="J48" s="131">
        <f t="shared" si="34"/>
        <v>0</v>
      </c>
      <c r="K48" s="131">
        <f t="shared" si="34"/>
        <v>0</v>
      </c>
      <c r="L48" s="131">
        <f t="shared" si="34"/>
        <v>0</v>
      </c>
      <c r="M48" s="131">
        <f t="shared" si="34"/>
        <v>1.640098213914562E-2</v>
      </c>
      <c r="N48" s="131">
        <f t="shared" si="34"/>
        <v>0</v>
      </c>
      <c r="O48" s="131">
        <f t="shared" si="34"/>
        <v>0</v>
      </c>
      <c r="P48" s="131">
        <f t="shared" si="34"/>
        <v>0</v>
      </c>
      <c r="Q48" s="131">
        <f t="shared" si="34"/>
        <v>0</v>
      </c>
      <c r="R48" s="131">
        <f t="shared" si="34"/>
        <v>7.6145636439713755E-4</v>
      </c>
      <c r="S48" s="521">
        <f t="shared" si="14"/>
        <v>0</v>
      </c>
      <c r="T48" s="521">
        <f t="shared" ref="T48:AE48" si="35">T16/T$26</f>
        <v>0</v>
      </c>
      <c r="U48" s="521">
        <f t="shared" si="35"/>
        <v>0</v>
      </c>
      <c r="V48" s="521">
        <f t="shared" si="35"/>
        <v>0</v>
      </c>
      <c r="W48" s="521" t="e">
        <f t="shared" si="35"/>
        <v>#DIV/0!</v>
      </c>
      <c r="X48" s="521" t="e">
        <f t="shared" si="35"/>
        <v>#DIV/0!</v>
      </c>
      <c r="Y48" s="521" t="e">
        <f t="shared" si="35"/>
        <v>#DIV/0!</v>
      </c>
      <c r="Z48" s="521" t="e">
        <f t="shared" si="35"/>
        <v>#DIV/0!</v>
      </c>
      <c r="AA48" s="521" t="e">
        <f t="shared" si="35"/>
        <v>#DIV/0!</v>
      </c>
      <c r="AB48" s="521" t="e">
        <f t="shared" si="35"/>
        <v>#DIV/0!</v>
      </c>
      <c r="AC48" s="521" t="e">
        <f t="shared" si="35"/>
        <v>#DIV/0!</v>
      </c>
      <c r="AD48" s="521" t="e">
        <f t="shared" si="35"/>
        <v>#DIV/0!</v>
      </c>
      <c r="AE48" s="521">
        <f t="shared" si="35"/>
        <v>0</v>
      </c>
      <c r="AF48" s="132"/>
      <c r="AG48" s="119">
        <f t="shared" si="9"/>
        <v>0</v>
      </c>
      <c r="AH48" s="119">
        <f t="shared" si="10"/>
        <v>2.5074115685358978E-5</v>
      </c>
      <c r="AI48" s="119">
        <f t="shared" si="16"/>
        <v>0</v>
      </c>
    </row>
    <row r="49" spans="2:35" ht="15.6" x14ac:dyDescent="0.3">
      <c r="B49" s="112" t="s">
        <v>164</v>
      </c>
      <c r="C49" s="97"/>
      <c r="D49" s="98" t="s">
        <v>165</v>
      </c>
      <c r="E49" s="129">
        <f t="shared" ref="E49:Q49" si="36">SUM(E50:E56)</f>
        <v>6.7129822955024609</v>
      </c>
      <c r="F49" s="129">
        <f t="shared" si="36"/>
        <v>4.3699504501914674</v>
      </c>
      <c r="G49" s="129">
        <f t="shared" si="36"/>
        <v>6.6005409499122187</v>
      </c>
      <c r="H49" s="129">
        <f t="shared" si="36"/>
        <v>4.7899546364112036</v>
      </c>
      <c r="I49" s="129">
        <f t="shared" si="36"/>
        <v>5.1632143260967016</v>
      </c>
      <c r="J49" s="129">
        <f t="shared" si="36"/>
        <v>5.5254035809071125</v>
      </c>
      <c r="K49" s="129">
        <f t="shared" si="36"/>
        <v>6.9482420989881613</v>
      </c>
      <c r="L49" s="129">
        <f t="shared" si="36"/>
        <v>12.669728009284064</v>
      </c>
      <c r="M49" s="129">
        <f t="shared" si="36"/>
        <v>11.425970832112366</v>
      </c>
      <c r="N49" s="129">
        <f t="shared" si="36"/>
        <v>9.5936642934478584</v>
      </c>
      <c r="O49" s="129">
        <f t="shared" si="36"/>
        <v>6.163693067587495</v>
      </c>
      <c r="P49" s="129">
        <f t="shared" si="36"/>
        <v>5.6060127872091066</v>
      </c>
      <c r="Q49" s="129">
        <f t="shared" si="36"/>
        <v>9.6554861968996306</v>
      </c>
      <c r="R49" s="129">
        <f>SUM(R50:R56)</f>
        <v>9.2937213804038024</v>
      </c>
      <c r="S49" s="129">
        <f>SUM(S50:S56)</f>
        <v>15.424917351504105</v>
      </c>
      <c r="T49" s="129">
        <f t="shared" ref="T49:AE49" si="37">SUM(T50:T56)</f>
        <v>9.223971695816342</v>
      </c>
      <c r="U49" s="129">
        <f t="shared" si="37"/>
        <v>5.9300239865033015</v>
      </c>
      <c r="V49" s="129">
        <f t="shared" si="37"/>
        <v>7.0091467280980204</v>
      </c>
      <c r="W49" s="129" t="e">
        <f t="shared" si="37"/>
        <v>#DIV/0!</v>
      </c>
      <c r="X49" s="129" t="e">
        <f t="shared" si="37"/>
        <v>#DIV/0!</v>
      </c>
      <c r="Y49" s="129" t="e">
        <f t="shared" si="37"/>
        <v>#DIV/0!</v>
      </c>
      <c r="Z49" s="129" t="e">
        <f t="shared" si="37"/>
        <v>#DIV/0!</v>
      </c>
      <c r="AA49" s="129" t="e">
        <f t="shared" si="37"/>
        <v>#DIV/0!</v>
      </c>
      <c r="AB49" s="129" t="e">
        <f t="shared" si="37"/>
        <v>#DIV/0!</v>
      </c>
      <c r="AC49" s="129" t="e">
        <f t="shared" si="37"/>
        <v>#DIV/0!</v>
      </c>
      <c r="AD49" s="129" t="e">
        <f t="shared" si="37"/>
        <v>#DIV/0!</v>
      </c>
      <c r="AE49" s="129">
        <f t="shared" si="37"/>
        <v>8.193964386591178</v>
      </c>
      <c r="AF49" s="129">
        <f>SUM(AF50:AF56)</f>
        <v>0</v>
      </c>
      <c r="AG49" s="116">
        <f t="shared" si="9"/>
        <v>0.67393490729054373</v>
      </c>
      <c r="AH49" s="116">
        <f t="shared" si="10"/>
        <v>0.30603440451145975</v>
      </c>
      <c r="AI49" s="116">
        <f t="shared" si="16"/>
        <v>0.2728110511289531</v>
      </c>
    </row>
    <row r="50" spans="2:35" ht="15.6" x14ac:dyDescent="0.3">
      <c r="B50" s="113">
        <v>1</v>
      </c>
      <c r="C50" s="99" t="s">
        <v>97</v>
      </c>
      <c r="D50" s="99" t="s">
        <v>169</v>
      </c>
      <c r="E50" s="127">
        <f t="shared" ref="E50:Q50" si="38">(E18-E30)/E$26</f>
        <v>0.67012506217011569</v>
      </c>
      <c r="F50" s="127">
        <f t="shared" si="38"/>
        <v>0.9620226907956575</v>
      </c>
      <c r="G50" s="127">
        <f t="shared" si="38"/>
        <v>1.4556575901878768</v>
      </c>
      <c r="H50" s="127">
        <f t="shared" si="38"/>
        <v>1.5602881725450215</v>
      </c>
      <c r="I50" s="127">
        <f t="shared" si="38"/>
        <v>1.342364296194146</v>
      </c>
      <c r="J50" s="127">
        <f t="shared" si="38"/>
        <v>1.3585798912373031</v>
      </c>
      <c r="K50" s="127">
        <f t="shared" si="38"/>
        <v>1.7172841772042342</v>
      </c>
      <c r="L50" s="127">
        <f t="shared" si="38"/>
        <v>3.21579455525647</v>
      </c>
      <c r="M50" s="127">
        <f t="shared" si="38"/>
        <v>2.7374277305414974</v>
      </c>
      <c r="N50" s="127">
        <f t="shared" si="38"/>
        <v>2.1440508954323532</v>
      </c>
      <c r="O50" s="127">
        <f t="shared" si="38"/>
        <v>1.258394992683677</v>
      </c>
      <c r="P50" s="127">
        <f t="shared" si="38"/>
        <v>1.0998114160979711</v>
      </c>
      <c r="Q50" s="127">
        <f t="shared" si="38"/>
        <v>0.39147537693202888</v>
      </c>
      <c r="R50" s="127">
        <f t="shared" ref="R50" si="39">R18/R$26</f>
        <v>4.1202355399570516</v>
      </c>
      <c r="S50" s="127">
        <f t="shared" ref="S50:S56" si="40">S18/S$26</f>
        <v>2.9313358692113138</v>
      </c>
      <c r="T50" s="127">
        <f t="shared" ref="T50:AE50" si="41">T18/T$26</f>
        <v>1.783021706535699</v>
      </c>
      <c r="U50" s="127">
        <f t="shared" si="41"/>
        <v>1.122179713267744</v>
      </c>
      <c r="V50" s="127">
        <f t="shared" si="41"/>
        <v>1.3235643922373614</v>
      </c>
      <c r="W50" s="127" t="e">
        <f t="shared" si="41"/>
        <v>#DIV/0!</v>
      </c>
      <c r="X50" s="127" t="e">
        <f t="shared" si="41"/>
        <v>#DIV/0!</v>
      </c>
      <c r="Y50" s="127" t="e">
        <f t="shared" si="41"/>
        <v>#DIV/0!</v>
      </c>
      <c r="Z50" s="127" t="e">
        <f t="shared" si="41"/>
        <v>#DIV/0!</v>
      </c>
      <c r="AA50" s="127" t="e">
        <f t="shared" si="41"/>
        <v>#DIV/0!</v>
      </c>
      <c r="AB50" s="127" t="e">
        <f t="shared" si="41"/>
        <v>#DIV/0!</v>
      </c>
      <c r="AC50" s="127" t="e">
        <f t="shared" si="41"/>
        <v>#DIV/0!</v>
      </c>
      <c r="AD50" s="127" t="e">
        <f t="shared" si="41"/>
        <v>#DIV/0!</v>
      </c>
      <c r="AE50" s="127">
        <f t="shared" si="41"/>
        <v>1.5593934866858514</v>
      </c>
      <c r="AF50" s="127"/>
      <c r="AG50" s="107">
        <f t="shared" si="9"/>
        <v>6.7275713202649426E-2</v>
      </c>
      <c r="AH50" s="107">
        <f t="shared" si="10"/>
        <v>0.13567588033964956</v>
      </c>
      <c r="AI50" s="107">
        <f t="shared" si="16"/>
        <v>5.1918675277937323E-2</v>
      </c>
    </row>
    <row r="51" spans="2:35" ht="15.6" x14ac:dyDescent="0.3">
      <c r="B51" s="114">
        <f t="shared" ref="B51:B56" si="42">B50+1</f>
        <v>2</v>
      </c>
      <c r="C51" s="101" t="s">
        <v>97</v>
      </c>
      <c r="D51" s="101" t="s">
        <v>48</v>
      </c>
      <c r="E51" s="130">
        <f t="shared" ref="E51:R51" si="43">E19/E$26</f>
        <v>3.8034069248206719</v>
      </c>
      <c r="F51" s="130">
        <f t="shared" si="43"/>
        <v>2.0672250007528987</v>
      </c>
      <c r="G51" s="130">
        <f t="shared" si="43"/>
        <v>2.9978696190879086</v>
      </c>
      <c r="H51" s="130">
        <f t="shared" si="43"/>
        <v>1.9442526173107881</v>
      </c>
      <c r="I51" s="130">
        <f t="shared" si="43"/>
        <v>2.2813262270486563</v>
      </c>
      <c r="J51" s="130">
        <f t="shared" si="43"/>
        <v>2.3862962039442044</v>
      </c>
      <c r="K51" s="130">
        <f t="shared" si="43"/>
        <v>2.9813722972142651</v>
      </c>
      <c r="L51" s="130">
        <f t="shared" si="43"/>
        <v>5.5545867986052473</v>
      </c>
      <c r="M51" s="130">
        <f t="shared" si="43"/>
        <v>4.6739959782585156</v>
      </c>
      <c r="N51" s="130">
        <f t="shared" si="43"/>
        <v>3.9260433075668941</v>
      </c>
      <c r="O51" s="130">
        <f t="shared" si="43"/>
        <v>2.5762058885363475</v>
      </c>
      <c r="P51" s="130">
        <f t="shared" si="43"/>
        <v>2.3756022230193636</v>
      </c>
      <c r="Q51" s="130">
        <f t="shared" si="43"/>
        <v>3.7212207803306057</v>
      </c>
      <c r="R51" s="130">
        <f t="shared" si="43"/>
        <v>2.8025747689895102</v>
      </c>
      <c r="S51" s="130">
        <f t="shared" si="40"/>
        <v>6.7861665493487902</v>
      </c>
      <c r="T51" s="130">
        <f t="shared" ref="T51:AE51" si="44">T19/T$26</f>
        <v>4.2066771142670296</v>
      </c>
      <c r="U51" s="130">
        <f t="shared" si="44"/>
        <v>2.5864102314015995</v>
      </c>
      <c r="V51" s="130">
        <f t="shared" si="44"/>
        <v>3.363621185500199</v>
      </c>
      <c r="W51" s="130" t="e">
        <f t="shared" si="44"/>
        <v>#DIV/0!</v>
      </c>
      <c r="X51" s="130" t="e">
        <f t="shared" si="44"/>
        <v>#DIV/0!</v>
      </c>
      <c r="Y51" s="130" t="e">
        <f t="shared" si="44"/>
        <v>#DIV/0!</v>
      </c>
      <c r="Z51" s="130" t="e">
        <f t="shared" si="44"/>
        <v>#DIV/0!</v>
      </c>
      <c r="AA51" s="130" t="e">
        <f t="shared" si="44"/>
        <v>#DIV/0!</v>
      </c>
      <c r="AB51" s="130" t="e">
        <f t="shared" si="44"/>
        <v>#DIV/0!</v>
      </c>
      <c r="AC51" s="130" t="e">
        <f t="shared" si="44"/>
        <v>#DIV/0!</v>
      </c>
      <c r="AD51" s="130" t="e">
        <f t="shared" si="44"/>
        <v>#DIV/0!</v>
      </c>
      <c r="AE51" s="130">
        <f t="shared" si="44"/>
        <v>3.7126593773366796</v>
      </c>
      <c r="AF51" s="130"/>
      <c r="AG51" s="118">
        <f t="shared" si="9"/>
        <v>0.38183456777244107</v>
      </c>
      <c r="AH51" s="118">
        <f t="shared" si="10"/>
        <v>9.2286422781622177E-2</v>
      </c>
      <c r="AI51" s="118">
        <f t="shared" si="16"/>
        <v>0.12360982540666716</v>
      </c>
    </row>
    <row r="52" spans="2:35" ht="15.6" x14ac:dyDescent="0.3">
      <c r="B52" s="114">
        <f t="shared" si="42"/>
        <v>3</v>
      </c>
      <c r="C52" s="101" t="s">
        <v>96</v>
      </c>
      <c r="D52" s="101" t="s">
        <v>16</v>
      </c>
      <c r="E52" s="130">
        <f t="shared" ref="E52:R52" si="45">E20/E$26</f>
        <v>1.3202955489201931</v>
      </c>
      <c r="F52" s="130">
        <f t="shared" si="45"/>
        <v>0.63302365829716778</v>
      </c>
      <c r="G52" s="130">
        <f t="shared" si="45"/>
        <v>1.0287618867166333</v>
      </c>
      <c r="H52" s="130">
        <f t="shared" si="45"/>
        <v>0.61890386848562162</v>
      </c>
      <c r="I52" s="130">
        <f t="shared" si="45"/>
        <v>0.70972337562403764</v>
      </c>
      <c r="J52" s="130">
        <f t="shared" si="45"/>
        <v>0.74021328466740244</v>
      </c>
      <c r="K52" s="130">
        <f t="shared" si="45"/>
        <v>0.93614185048129861</v>
      </c>
      <c r="L52" s="130">
        <f t="shared" si="45"/>
        <v>1.7740192801849954</v>
      </c>
      <c r="M52" s="130">
        <f t="shared" si="45"/>
        <v>1.5876836105368901</v>
      </c>
      <c r="N52" s="130">
        <f t="shared" si="45"/>
        <v>1.2932846876286332</v>
      </c>
      <c r="O52" s="130">
        <f t="shared" si="45"/>
        <v>0.84338687455281203</v>
      </c>
      <c r="P52" s="130">
        <f t="shared" si="45"/>
        <v>0.76510582177774955</v>
      </c>
      <c r="Q52" s="130">
        <f t="shared" si="45"/>
        <v>1.1949566661617412</v>
      </c>
      <c r="R52" s="130">
        <f t="shared" si="45"/>
        <v>0.9018652274564618</v>
      </c>
      <c r="S52" s="130">
        <f t="shared" si="40"/>
        <v>2.1908193860950322</v>
      </c>
      <c r="T52" s="130">
        <f t="shared" ref="T52:AE52" si="46">T20/T$26</f>
        <v>1.3634427156704878</v>
      </c>
      <c r="U52" s="130">
        <f t="shared" si="46"/>
        <v>0.87222658484587046</v>
      </c>
      <c r="V52" s="130">
        <f t="shared" si="46"/>
        <v>1.0110364527698779</v>
      </c>
      <c r="W52" s="130" t="e">
        <f t="shared" si="46"/>
        <v>#DIV/0!</v>
      </c>
      <c r="X52" s="130" t="e">
        <f t="shared" si="46"/>
        <v>#DIV/0!</v>
      </c>
      <c r="Y52" s="130" t="e">
        <f t="shared" si="46"/>
        <v>#DIV/0!</v>
      </c>
      <c r="Z52" s="130" t="e">
        <f t="shared" si="46"/>
        <v>#DIV/0!</v>
      </c>
      <c r="AA52" s="130" t="e">
        <f t="shared" si="46"/>
        <v>#DIV/0!</v>
      </c>
      <c r="AB52" s="130" t="e">
        <f t="shared" si="46"/>
        <v>#DIV/0!</v>
      </c>
      <c r="AC52" s="130" t="e">
        <f t="shared" si="46"/>
        <v>#DIV/0!</v>
      </c>
      <c r="AD52" s="130" t="e">
        <f t="shared" si="46"/>
        <v>#DIV/0!</v>
      </c>
      <c r="AE52" s="130">
        <f t="shared" si="46"/>
        <v>1.1905465007370561</v>
      </c>
      <c r="AF52" s="130"/>
      <c r="AG52" s="118">
        <f t="shared" si="9"/>
        <v>0.13254813124619563</v>
      </c>
      <c r="AH52" s="118">
        <f t="shared" si="10"/>
        <v>2.9697661091518376E-2</v>
      </c>
      <c r="AI52" s="118">
        <f t="shared" si="16"/>
        <v>3.963822967249836E-2</v>
      </c>
    </row>
    <row r="53" spans="2:35" ht="15.6" x14ac:dyDescent="0.3">
      <c r="B53" s="114">
        <f t="shared" si="42"/>
        <v>4</v>
      </c>
      <c r="C53" s="101" t="s">
        <v>97</v>
      </c>
      <c r="D53" s="101" t="s">
        <v>36</v>
      </c>
      <c r="E53" s="130">
        <f t="shared" ref="E53:R53" si="47">E21/E$26</f>
        <v>0.38534933802066207</v>
      </c>
      <c r="F53" s="130">
        <f t="shared" si="47"/>
        <v>0.34796868319337831</v>
      </c>
      <c r="G53" s="130">
        <f t="shared" si="47"/>
        <v>0.47114511830164468</v>
      </c>
      <c r="H53" s="130">
        <f t="shared" si="47"/>
        <v>0.23513718421432075</v>
      </c>
      <c r="I53" s="130">
        <f t="shared" si="47"/>
        <v>0.29546526454206451</v>
      </c>
      <c r="J53" s="130">
        <f t="shared" si="47"/>
        <v>0.43068418481736132</v>
      </c>
      <c r="K53" s="130">
        <f t="shared" si="47"/>
        <v>0.5330396161798554</v>
      </c>
      <c r="L53" s="130">
        <f t="shared" si="47"/>
        <v>0.83854617546709653</v>
      </c>
      <c r="M53" s="130">
        <f t="shared" si="47"/>
        <v>1.2560799322260394</v>
      </c>
      <c r="N53" s="130">
        <f t="shared" si="47"/>
        <v>1.231574242923648</v>
      </c>
      <c r="O53" s="130">
        <f t="shared" si="47"/>
        <v>0.86305497497727879</v>
      </c>
      <c r="P53" s="130">
        <f t="shared" si="47"/>
        <v>0.7160460204669894</v>
      </c>
      <c r="Q53" s="130">
        <f t="shared" si="47"/>
        <v>3.2659863951584289</v>
      </c>
      <c r="R53" s="130">
        <f t="shared" si="47"/>
        <v>0.7856886151787108</v>
      </c>
      <c r="S53" s="130">
        <f t="shared" si="40"/>
        <v>1.9352728491284861</v>
      </c>
      <c r="T53" s="130">
        <f t="shared" ref="T53:AE53" si="48">T21/T$26</f>
        <v>0.82979949115162466</v>
      </c>
      <c r="U53" s="130">
        <f t="shared" si="48"/>
        <v>0.80048240845970065</v>
      </c>
      <c r="V53" s="130">
        <f t="shared" si="48"/>
        <v>0.55214697930581047</v>
      </c>
      <c r="W53" s="130" t="e">
        <f t="shared" si="48"/>
        <v>#DIV/0!</v>
      </c>
      <c r="X53" s="130" t="e">
        <f t="shared" si="48"/>
        <v>#DIV/0!</v>
      </c>
      <c r="Y53" s="130" t="e">
        <f t="shared" si="48"/>
        <v>#DIV/0!</v>
      </c>
      <c r="Z53" s="130" t="e">
        <f t="shared" si="48"/>
        <v>#DIV/0!</v>
      </c>
      <c r="AA53" s="130" t="e">
        <f t="shared" si="48"/>
        <v>#DIV/0!</v>
      </c>
      <c r="AB53" s="130" t="e">
        <f t="shared" si="48"/>
        <v>#DIV/0!</v>
      </c>
      <c r="AC53" s="130" t="e">
        <f t="shared" si="48"/>
        <v>#DIV/0!</v>
      </c>
      <c r="AD53" s="130" t="e">
        <f t="shared" si="48"/>
        <v>#DIV/0!</v>
      </c>
      <c r="AE53" s="130">
        <f t="shared" si="48"/>
        <v>0.8799334076927855</v>
      </c>
      <c r="AF53" s="130"/>
      <c r="AG53" s="118">
        <f t="shared" si="9"/>
        <v>3.8686288591498356E-2</v>
      </c>
      <c r="AH53" s="118">
        <f t="shared" si="10"/>
        <v>2.5872063260325866E-2</v>
      </c>
      <c r="AI53" s="118">
        <f t="shared" si="16"/>
        <v>2.9296631831715519E-2</v>
      </c>
    </row>
    <row r="54" spans="2:35" ht="15.6" x14ac:dyDescent="0.3">
      <c r="B54" s="114">
        <f t="shared" si="42"/>
        <v>5</v>
      </c>
      <c r="C54" s="101" t="s">
        <v>97</v>
      </c>
      <c r="D54" s="101" t="s">
        <v>12</v>
      </c>
      <c r="E54" s="130">
        <f t="shared" ref="E54:R54" si="49">E22/E$26</f>
        <v>0.26905219578945982</v>
      </c>
      <c r="F54" s="130">
        <f t="shared" si="49"/>
        <v>0.14928128242599001</v>
      </c>
      <c r="G54" s="130">
        <f t="shared" si="49"/>
        <v>0.23384218428690637</v>
      </c>
      <c r="H54" s="130">
        <f t="shared" si="49"/>
        <v>0.16871172431878029</v>
      </c>
      <c r="I54" s="130">
        <f t="shared" si="49"/>
        <v>0.19282614784609914</v>
      </c>
      <c r="J54" s="130">
        <f t="shared" si="49"/>
        <v>0.21621272285884055</v>
      </c>
      <c r="K54" s="130">
        <f t="shared" si="49"/>
        <v>0.22109254266253836</v>
      </c>
      <c r="L54" s="130">
        <f t="shared" si="49"/>
        <v>0.35987897123054569</v>
      </c>
      <c r="M54" s="130">
        <f t="shared" si="49"/>
        <v>0.37328219029386583</v>
      </c>
      <c r="N54" s="130">
        <f t="shared" si="49"/>
        <v>0.35887708171638932</v>
      </c>
      <c r="O54" s="130">
        <f t="shared" si="49"/>
        <v>0.1918368171718286</v>
      </c>
      <c r="P54" s="130">
        <f t="shared" si="49"/>
        <v>0.20407780086137342</v>
      </c>
      <c r="Q54" s="130">
        <f t="shared" si="49"/>
        <v>0.32330243897044519</v>
      </c>
      <c r="R54" s="130">
        <f t="shared" si="49"/>
        <v>0.22789370670845593</v>
      </c>
      <c r="S54" s="130">
        <f t="shared" si="40"/>
        <v>0.45634037041284842</v>
      </c>
      <c r="T54" s="130">
        <f t="shared" ref="T54:AE54" si="50">T22/T$26</f>
        <v>0.33597764759747695</v>
      </c>
      <c r="U54" s="130">
        <f t="shared" si="50"/>
        <v>0.1948897538739755</v>
      </c>
      <c r="V54" s="130">
        <f t="shared" si="50"/>
        <v>0.26674582688089693</v>
      </c>
      <c r="W54" s="130" t="e">
        <f t="shared" si="50"/>
        <v>#DIV/0!</v>
      </c>
      <c r="X54" s="130" t="e">
        <f t="shared" si="50"/>
        <v>#DIV/0!</v>
      </c>
      <c r="Y54" s="130" t="e">
        <f t="shared" si="50"/>
        <v>#DIV/0!</v>
      </c>
      <c r="Z54" s="130" t="e">
        <f t="shared" si="50"/>
        <v>#DIV/0!</v>
      </c>
      <c r="AA54" s="130" t="e">
        <f t="shared" si="50"/>
        <v>#DIV/0!</v>
      </c>
      <c r="AB54" s="130" t="e">
        <f t="shared" si="50"/>
        <v>#DIV/0!</v>
      </c>
      <c r="AC54" s="130" t="e">
        <f t="shared" si="50"/>
        <v>#DIV/0!</v>
      </c>
      <c r="AD54" s="130" t="e">
        <f t="shared" si="50"/>
        <v>#DIV/0!</v>
      </c>
      <c r="AE54" s="130">
        <f t="shared" si="50"/>
        <v>0.28065105152306041</v>
      </c>
      <c r="AF54" s="130"/>
      <c r="AG54" s="118">
        <f t="shared" si="9"/>
        <v>2.701089599881254E-2</v>
      </c>
      <c r="AH54" s="118">
        <f t="shared" si="10"/>
        <v>7.504347501904699E-3</v>
      </c>
      <c r="AI54" s="118">
        <f t="shared" si="16"/>
        <v>9.3440372393788548E-3</v>
      </c>
    </row>
    <row r="55" spans="2:35" ht="15.6" x14ac:dyDescent="0.3">
      <c r="B55" s="114">
        <f t="shared" si="42"/>
        <v>6</v>
      </c>
      <c r="C55" s="101" t="s">
        <v>97</v>
      </c>
      <c r="D55" s="101" t="s">
        <v>51</v>
      </c>
      <c r="E55" s="130">
        <f t="shared" ref="E55:R55" si="51">E23/E$26</f>
        <v>0.21508078012653314</v>
      </c>
      <c r="F55" s="130">
        <f t="shared" si="51"/>
        <v>0.11345537267656954</v>
      </c>
      <c r="G55" s="130">
        <f t="shared" si="51"/>
        <v>0.22057392067389672</v>
      </c>
      <c r="H55" s="130">
        <f t="shared" si="51"/>
        <v>0.14271348314836213</v>
      </c>
      <c r="I55" s="130">
        <f t="shared" si="51"/>
        <v>0.14141305669069401</v>
      </c>
      <c r="J55" s="130">
        <f t="shared" si="51"/>
        <v>0.17287913216195575</v>
      </c>
      <c r="K55" s="130">
        <f t="shared" si="51"/>
        <v>0.24027518841157747</v>
      </c>
      <c r="L55" s="130">
        <f t="shared" si="51"/>
        <v>0.30495190749797474</v>
      </c>
      <c r="M55" s="130">
        <f t="shared" si="51"/>
        <v>0.36897245462827516</v>
      </c>
      <c r="N55" s="130">
        <f t="shared" si="51"/>
        <v>0.33282294715060678</v>
      </c>
      <c r="O55" s="130">
        <f t="shared" si="51"/>
        <v>0.23509841330777581</v>
      </c>
      <c r="P55" s="130">
        <f t="shared" si="51"/>
        <v>0.25917365969782202</v>
      </c>
      <c r="Q55" s="130">
        <f t="shared" si="51"/>
        <v>0.44740435252117122</v>
      </c>
      <c r="R55" s="130">
        <f t="shared" si="51"/>
        <v>0.22802513445803313</v>
      </c>
      <c r="S55" s="130">
        <f t="shared" si="40"/>
        <v>0.5190109782354051</v>
      </c>
      <c r="T55" s="130">
        <f t="shared" ref="T55:AE55" si="52">T23/T$26</f>
        <v>0.39112140909880955</v>
      </c>
      <c r="U55" s="130">
        <f t="shared" si="52"/>
        <v>0.21406383660450606</v>
      </c>
      <c r="V55" s="130">
        <f t="shared" si="52"/>
        <v>0.27472774676884903</v>
      </c>
      <c r="W55" s="130" t="e">
        <f t="shared" si="52"/>
        <v>#DIV/0!</v>
      </c>
      <c r="X55" s="130" t="e">
        <f t="shared" si="52"/>
        <v>#DIV/0!</v>
      </c>
      <c r="Y55" s="130" t="e">
        <f t="shared" si="52"/>
        <v>#DIV/0!</v>
      </c>
      <c r="Z55" s="130" t="e">
        <f t="shared" si="52"/>
        <v>#DIV/0!</v>
      </c>
      <c r="AA55" s="130" t="e">
        <f t="shared" si="52"/>
        <v>#DIV/0!</v>
      </c>
      <c r="AB55" s="130" t="e">
        <f t="shared" si="52"/>
        <v>#DIV/0!</v>
      </c>
      <c r="AC55" s="130" t="e">
        <f t="shared" si="52"/>
        <v>#DIV/0!</v>
      </c>
      <c r="AD55" s="130" t="e">
        <f t="shared" si="52"/>
        <v>#DIV/0!</v>
      </c>
      <c r="AE55" s="130">
        <f t="shared" si="52"/>
        <v>0.30982958894171714</v>
      </c>
      <c r="AF55" s="130"/>
      <c r="AG55" s="118">
        <f t="shared" si="9"/>
        <v>2.1592555921332655E-2</v>
      </c>
      <c r="AH55" s="118">
        <f t="shared" si="10"/>
        <v>7.5086753068207088E-3</v>
      </c>
      <c r="AI55" s="118">
        <f t="shared" si="16"/>
        <v>1.0315511740368336E-2</v>
      </c>
    </row>
    <row r="56" spans="2:35" ht="15.6" x14ac:dyDescent="0.3">
      <c r="B56" s="114">
        <f t="shared" si="42"/>
        <v>7</v>
      </c>
      <c r="C56" s="102" t="s">
        <v>97</v>
      </c>
      <c r="D56" s="102" t="s">
        <v>40</v>
      </c>
      <c r="E56" s="133">
        <f t="shared" ref="E56:R56" si="53">E24/E$26</f>
        <v>4.9672445654826224E-2</v>
      </c>
      <c r="F56" s="133">
        <f t="shared" si="53"/>
        <v>9.6973762049805873E-2</v>
      </c>
      <c r="G56" s="133">
        <f t="shared" si="53"/>
        <v>0.19269063065735137</v>
      </c>
      <c r="H56" s="133">
        <f t="shared" si="53"/>
        <v>0.11994758638830923</v>
      </c>
      <c r="I56" s="133">
        <f t="shared" si="53"/>
        <v>0.20009595815100356</v>
      </c>
      <c r="J56" s="133">
        <f t="shared" si="53"/>
        <v>0.22053816122004363</v>
      </c>
      <c r="K56" s="133">
        <f t="shared" si="53"/>
        <v>0.31903642683439215</v>
      </c>
      <c r="L56" s="133">
        <f t="shared" si="53"/>
        <v>0.62195032104173553</v>
      </c>
      <c r="M56" s="133">
        <f t="shared" si="53"/>
        <v>0.42852893562727978</v>
      </c>
      <c r="N56" s="133">
        <f t="shared" si="53"/>
        <v>0.30701113102933447</v>
      </c>
      <c r="O56" s="133">
        <f t="shared" si="53"/>
        <v>0.19571510635777573</v>
      </c>
      <c r="P56" s="133">
        <f t="shared" si="53"/>
        <v>0.18619584528783681</v>
      </c>
      <c r="Q56" s="133">
        <f t="shared" si="53"/>
        <v>0.31114018682520778</v>
      </c>
      <c r="R56" s="133">
        <f t="shared" si="53"/>
        <v>0.22743838765557989</v>
      </c>
      <c r="S56" s="133">
        <f t="shared" si="40"/>
        <v>0.60597134907222849</v>
      </c>
      <c r="T56" s="133">
        <f t="shared" ref="T56:AE56" si="54">T24/T$26</f>
        <v>0.31393161149521215</v>
      </c>
      <c r="U56" s="133">
        <f t="shared" si="54"/>
        <v>0.13977145804990543</v>
      </c>
      <c r="V56" s="133">
        <f t="shared" si="54"/>
        <v>0.21730414463502593</v>
      </c>
      <c r="W56" s="133" t="e">
        <f t="shared" si="54"/>
        <v>#DIV/0!</v>
      </c>
      <c r="X56" s="133" t="e">
        <f t="shared" si="54"/>
        <v>#DIV/0!</v>
      </c>
      <c r="Y56" s="133" t="e">
        <f t="shared" si="54"/>
        <v>#DIV/0!</v>
      </c>
      <c r="Z56" s="133" t="e">
        <f t="shared" si="54"/>
        <v>#DIV/0!</v>
      </c>
      <c r="AA56" s="133" t="e">
        <f t="shared" si="54"/>
        <v>#DIV/0!</v>
      </c>
      <c r="AB56" s="133" t="e">
        <f t="shared" si="54"/>
        <v>#DIV/0!</v>
      </c>
      <c r="AC56" s="133" t="e">
        <f t="shared" si="54"/>
        <v>#DIV/0!</v>
      </c>
      <c r="AD56" s="133" t="e">
        <f t="shared" si="54"/>
        <v>#DIV/0!</v>
      </c>
      <c r="AE56" s="133">
        <f t="shared" si="54"/>
        <v>0.26095097367402836</v>
      </c>
      <c r="AF56" s="133"/>
      <c r="AG56" s="119">
        <f t="shared" si="9"/>
        <v>4.9867545576141332E-3</v>
      </c>
      <c r="AH56" s="119">
        <f t="shared" si="10"/>
        <v>7.4893542296183731E-3</v>
      </c>
      <c r="AI56" s="119">
        <f t="shared" si="16"/>
        <v>8.6881399603875708E-3</v>
      </c>
    </row>
    <row r="57" spans="2:35" ht="15.6" x14ac:dyDescent="0.3">
      <c r="B57" s="108" t="s">
        <v>173</v>
      </c>
      <c r="C57" s="109"/>
      <c r="D57" s="108"/>
      <c r="E57" s="128">
        <f t="shared" ref="E57:N57" si="55">E37+E49</f>
        <v>9.9608763737895991</v>
      </c>
      <c r="F57" s="128">
        <f t="shared" si="55"/>
        <v>24.964900516643201</v>
      </c>
      <c r="G57" s="128">
        <f t="shared" si="55"/>
        <v>28.165131228257874</v>
      </c>
      <c r="H57" s="128">
        <f t="shared" si="55"/>
        <v>25.4598494213988</v>
      </c>
      <c r="I57" s="128">
        <f t="shared" si="55"/>
        <v>26.125866357776935</v>
      </c>
      <c r="J57" s="128">
        <f t="shared" si="55"/>
        <v>27.220243551437807</v>
      </c>
      <c r="K57" s="128">
        <f t="shared" si="55"/>
        <v>28.094072180824924</v>
      </c>
      <c r="L57" s="128">
        <f t="shared" si="55"/>
        <v>37.328775931043978</v>
      </c>
      <c r="M57" s="128">
        <f t="shared" si="55"/>
        <v>32.680425581501041</v>
      </c>
      <c r="N57" s="128">
        <f t="shared" si="55"/>
        <v>31.281084513432752</v>
      </c>
      <c r="O57" s="128">
        <f t="shared" ref="O57:Q57" si="56">O37+O49</f>
        <v>26.866943057994543</v>
      </c>
      <c r="P57" s="128">
        <f t="shared" si="56"/>
        <v>25.930326654318016</v>
      </c>
      <c r="Q57" s="128">
        <f t="shared" si="56"/>
        <v>30.303552269735945</v>
      </c>
      <c r="R57" s="128">
        <f>R37+R49</f>
        <v>30.368224106174935</v>
      </c>
      <c r="S57" s="128">
        <f>S37+S49</f>
        <v>36.870262499490323</v>
      </c>
      <c r="T57" s="128">
        <f t="shared" ref="T57:AE57" si="57">T37+T49</f>
        <v>30.534674940953291</v>
      </c>
      <c r="U57" s="128">
        <f t="shared" si="57"/>
        <v>27.489542765515612</v>
      </c>
      <c r="V57" s="128">
        <f t="shared" si="57"/>
        <v>29.735990031148024</v>
      </c>
      <c r="W57" s="128" t="e">
        <f t="shared" si="57"/>
        <v>#DIV/0!</v>
      </c>
      <c r="X57" s="128" t="e">
        <f t="shared" si="57"/>
        <v>#DIV/0!</v>
      </c>
      <c r="Y57" s="128" t="e">
        <f t="shared" si="57"/>
        <v>#DIV/0!</v>
      </c>
      <c r="Z57" s="128" t="e">
        <f t="shared" si="57"/>
        <v>#DIV/0!</v>
      </c>
      <c r="AA57" s="128" t="e">
        <f t="shared" si="57"/>
        <v>#DIV/0!</v>
      </c>
      <c r="AB57" s="128" t="e">
        <f t="shared" si="57"/>
        <v>#DIV/0!</v>
      </c>
      <c r="AC57" s="128" t="e">
        <f t="shared" si="57"/>
        <v>#DIV/0!</v>
      </c>
      <c r="AD57" s="128" t="e">
        <f t="shared" si="57"/>
        <v>#DIV/0!</v>
      </c>
      <c r="AE57" s="128">
        <f t="shared" si="57"/>
        <v>30.035309613311931</v>
      </c>
      <c r="AF57" s="128">
        <f>AF37+AF49</f>
        <v>0</v>
      </c>
      <c r="AG57" s="115">
        <f>AG37+AG49</f>
        <v>0.99999999999999989</v>
      </c>
      <c r="AH57" s="115">
        <f t="shared" si="10"/>
        <v>1</v>
      </c>
      <c r="AI57" s="115">
        <f>AI37+AI49</f>
        <v>0.99999999999999989</v>
      </c>
    </row>
    <row r="58" spans="2:35" ht="15.6" x14ac:dyDescent="0.3">
      <c r="B58" s="134" t="s">
        <v>172</v>
      </c>
      <c r="C58" s="135"/>
      <c r="D58" s="135"/>
      <c r="E58" s="136">
        <f t="shared" ref="E58:Q58" si="58">E26</f>
        <v>1734.8775000000003</v>
      </c>
      <c r="F58" s="136">
        <f t="shared" si="58"/>
        <v>4222.8360000000011</v>
      </c>
      <c r="G58" s="136">
        <f t="shared" si="58"/>
        <v>2787.5269999999996</v>
      </c>
      <c r="H58" s="136">
        <f t="shared" si="58"/>
        <v>4442.018</v>
      </c>
      <c r="I58" s="136">
        <f t="shared" si="58"/>
        <v>4103.0010000000002</v>
      </c>
      <c r="J58" s="136">
        <f t="shared" si="58"/>
        <v>3738.8999999999992</v>
      </c>
      <c r="K58" s="136">
        <f t="shared" si="58"/>
        <v>2969.1000000000008</v>
      </c>
      <c r="L58" s="136">
        <f t="shared" si="58"/>
        <v>1232.223</v>
      </c>
      <c r="M58" s="136">
        <f t="shared" si="58"/>
        <v>1804.2249999999997</v>
      </c>
      <c r="N58" s="136">
        <f t="shared" si="58"/>
        <v>2483.9779999999992</v>
      </c>
      <c r="O58" s="136">
        <f t="shared" ref="O58" si="59">O26</f>
        <v>3922.0985000000001</v>
      </c>
      <c r="P58" s="136">
        <f t="shared" si="58"/>
        <v>4240.2209999999995</v>
      </c>
      <c r="Q58" s="136">
        <f t="shared" si="58"/>
        <v>2915.0120000000002</v>
      </c>
      <c r="R58" s="117">
        <f>SUM(F58:Q58)/(12-COUNTIF($F$20:$Q$20,0))</f>
        <v>3238.4282916666671</v>
      </c>
      <c r="S58" s="117">
        <f>S26</f>
        <v>1590.7339999999999</v>
      </c>
      <c r="T58" s="117">
        <f t="shared" ref="T58:AE58" si="60">T26</f>
        <v>2618.14</v>
      </c>
      <c r="U58" s="117">
        <f t="shared" si="60"/>
        <v>4353.3959999999997</v>
      </c>
      <c r="V58" s="117">
        <f t="shared" si="60"/>
        <v>3665.8779999999997</v>
      </c>
      <c r="W58" s="117">
        <f t="shared" si="60"/>
        <v>0</v>
      </c>
      <c r="X58" s="117">
        <f t="shared" si="60"/>
        <v>0</v>
      </c>
      <c r="Y58" s="117">
        <f t="shared" si="60"/>
        <v>0</v>
      </c>
      <c r="Z58" s="117">
        <f t="shared" si="60"/>
        <v>0</v>
      </c>
      <c r="AA58" s="117">
        <f t="shared" si="60"/>
        <v>0</v>
      </c>
      <c r="AB58" s="117">
        <f t="shared" si="60"/>
        <v>0</v>
      </c>
      <c r="AC58" s="117">
        <f t="shared" si="60"/>
        <v>0</v>
      </c>
      <c r="AD58" s="117">
        <f t="shared" si="60"/>
        <v>0</v>
      </c>
      <c r="AE58" s="117">
        <f t="shared" si="60"/>
        <v>3057.0370000000003</v>
      </c>
      <c r="AF58" s="117"/>
      <c r="AG58" s="137"/>
      <c r="AH58" s="100"/>
      <c r="AI58" s="100"/>
    </row>
    <row r="59" spans="2:35" ht="15.6" x14ac:dyDescent="0.3">
      <c r="B59" s="662" t="s">
        <v>182</v>
      </c>
      <c r="C59" s="662"/>
      <c r="D59" s="662"/>
      <c r="E59" s="138">
        <f t="shared" ref="E59:K59" si="61">SUM(E38,E41,E43,E45,E48)</f>
        <v>0.8360893906974981</v>
      </c>
      <c r="F59" s="138">
        <f t="shared" si="61"/>
        <v>18.981699537306202</v>
      </c>
      <c r="G59" s="138">
        <f t="shared" si="61"/>
        <v>19.683433138405476</v>
      </c>
      <c r="H59" s="138">
        <f t="shared" si="61"/>
        <v>19.183837384720192</v>
      </c>
      <c r="I59" s="138">
        <f t="shared" si="61"/>
        <v>19.010175662155579</v>
      </c>
      <c r="J59" s="138">
        <f t="shared" si="61"/>
        <v>19.76263301131349</v>
      </c>
      <c r="K59" s="138">
        <f t="shared" si="61"/>
        <v>18.821639931629107</v>
      </c>
      <c r="L59" s="138">
        <f t="shared" ref="L59:AF59" si="62">SUM(L38,L41,L43,L45,L48)</f>
        <v>21.839436996387832</v>
      </c>
      <c r="M59" s="138">
        <f t="shared" si="62"/>
        <v>18.118901464063523</v>
      </c>
      <c r="N59" s="138">
        <f t="shared" si="62"/>
        <v>19.157156027348073</v>
      </c>
      <c r="O59" s="138">
        <f t="shared" si="62"/>
        <v>18.902636625775717</v>
      </c>
      <c r="P59" s="138">
        <f t="shared" si="62"/>
        <v>18.615082310257293</v>
      </c>
      <c r="Q59" s="138">
        <f t="shared" si="62"/>
        <v>18.242871883427028</v>
      </c>
      <c r="R59" s="138">
        <f t="shared" si="62"/>
        <v>19.079422714976069</v>
      </c>
      <c r="S59" s="138">
        <f t="shared" ref="S59:AD59" si="63">SUM(S38,S41,S43,S45,S48)</f>
        <v>18.277604281768284</v>
      </c>
      <c r="T59" s="138">
        <f t="shared" si="63"/>
        <v>18.808893079107413</v>
      </c>
      <c r="U59" s="138">
        <f t="shared" si="63"/>
        <v>19.734488718590391</v>
      </c>
      <c r="V59" s="138">
        <f t="shared" si="63"/>
        <v>20.538327524976001</v>
      </c>
      <c r="W59" s="138" t="e">
        <f t="shared" si="63"/>
        <v>#DIV/0!</v>
      </c>
      <c r="X59" s="138" t="e">
        <f t="shared" si="63"/>
        <v>#DIV/0!</v>
      </c>
      <c r="Y59" s="138" t="e">
        <f t="shared" si="63"/>
        <v>#DIV/0!</v>
      </c>
      <c r="Z59" s="138" t="e">
        <f t="shared" si="63"/>
        <v>#DIV/0!</v>
      </c>
      <c r="AA59" s="138" t="e">
        <f t="shared" si="63"/>
        <v>#DIV/0!</v>
      </c>
      <c r="AB59" s="138" t="e">
        <f t="shared" si="63"/>
        <v>#DIV/0!</v>
      </c>
      <c r="AC59" s="138" t="e">
        <f t="shared" si="63"/>
        <v>#DIV/0!</v>
      </c>
      <c r="AD59" s="138" t="e">
        <f t="shared" si="63"/>
        <v>#DIV/0!</v>
      </c>
      <c r="AE59" s="138">
        <f t="shared" ref="AE59" si="64">SUM(AE38,AE41,AE43,AE45,AE48)</f>
        <v>19.58777152319788</v>
      </c>
      <c r="AF59" s="138">
        <f t="shared" si="62"/>
        <v>0</v>
      </c>
      <c r="AG59" s="139">
        <f>E59/E57</f>
        <v>8.3937332351351049E-2</v>
      </c>
      <c r="AH59" s="139">
        <f>R59/R57</f>
        <v>0.62826929386024077</v>
      </c>
      <c r="AI59" s="139">
        <f>G59/G57</f>
        <v>0.69885820800498277</v>
      </c>
    </row>
    <row r="60" spans="2:35" ht="15.6" x14ac:dyDescent="0.3">
      <c r="B60" s="663" t="s">
        <v>183</v>
      </c>
      <c r="C60" s="663"/>
      <c r="D60" s="663"/>
      <c r="E60" s="110">
        <f t="shared" ref="E60:J60" si="65">E57-E59</f>
        <v>9.1247869830921005</v>
      </c>
      <c r="F60" s="110">
        <f t="shared" si="65"/>
        <v>5.9832009793369991</v>
      </c>
      <c r="G60" s="110">
        <f t="shared" si="65"/>
        <v>8.4816980898523973</v>
      </c>
      <c r="H60" s="110">
        <f t="shared" si="65"/>
        <v>6.2760120366786083</v>
      </c>
      <c r="I60" s="110">
        <f t="shared" si="65"/>
        <v>7.1156906956213568</v>
      </c>
      <c r="J60" s="110">
        <f t="shared" si="65"/>
        <v>7.4576105401243176</v>
      </c>
      <c r="K60" s="110">
        <f t="shared" ref="K60:P60" si="66">K57-K59</f>
        <v>9.2724322491958162</v>
      </c>
      <c r="L60" s="110">
        <f t="shared" si="66"/>
        <v>15.489338934656146</v>
      </c>
      <c r="M60" s="110">
        <f t="shared" si="66"/>
        <v>14.561524117437518</v>
      </c>
      <c r="N60" s="110">
        <f t="shared" si="66"/>
        <v>12.123928486084679</v>
      </c>
      <c r="O60" s="110">
        <f t="shared" si="66"/>
        <v>7.9643064322188266</v>
      </c>
      <c r="P60" s="110">
        <f t="shared" si="66"/>
        <v>7.3152443440607229</v>
      </c>
      <c r="Q60" s="110">
        <f t="shared" ref="Q60" si="67">Q57-Q59</f>
        <v>12.060680386308917</v>
      </c>
      <c r="R60" s="110">
        <f>R57-R59</f>
        <v>11.288801391198866</v>
      </c>
      <c r="S60" s="110">
        <f>S57-S59</f>
        <v>18.59265821772204</v>
      </c>
      <c r="T60" s="110">
        <f t="shared" ref="T60:AE60" si="68">T57-T59</f>
        <v>11.725781861845878</v>
      </c>
      <c r="U60" s="110">
        <f t="shared" si="68"/>
        <v>7.7550540469252205</v>
      </c>
      <c r="V60" s="110">
        <f t="shared" si="68"/>
        <v>9.1976625061720227</v>
      </c>
      <c r="W60" s="110" t="e">
        <f t="shared" si="68"/>
        <v>#DIV/0!</v>
      </c>
      <c r="X60" s="110" t="e">
        <f t="shared" si="68"/>
        <v>#DIV/0!</v>
      </c>
      <c r="Y60" s="110" t="e">
        <f t="shared" si="68"/>
        <v>#DIV/0!</v>
      </c>
      <c r="Z60" s="110" t="e">
        <f t="shared" si="68"/>
        <v>#DIV/0!</v>
      </c>
      <c r="AA60" s="110" t="e">
        <f t="shared" si="68"/>
        <v>#DIV/0!</v>
      </c>
      <c r="AB60" s="110" t="e">
        <f t="shared" si="68"/>
        <v>#DIV/0!</v>
      </c>
      <c r="AC60" s="110" t="e">
        <f t="shared" si="68"/>
        <v>#DIV/0!</v>
      </c>
      <c r="AD60" s="110" t="e">
        <f t="shared" si="68"/>
        <v>#DIV/0!</v>
      </c>
      <c r="AE60" s="110">
        <f t="shared" si="68"/>
        <v>10.447538090114051</v>
      </c>
      <c r="AF60" s="110">
        <f>AF57-AF59</f>
        <v>0</v>
      </c>
      <c r="AG60" s="111">
        <f>AG57-AG59</f>
        <v>0.91606266764864885</v>
      </c>
      <c r="AH60" s="111">
        <f>AH57-AH59</f>
        <v>0.37173070613975923</v>
      </c>
      <c r="AI60" s="111">
        <f>AI57-AI59</f>
        <v>0.30114179199501712</v>
      </c>
    </row>
    <row r="63" spans="2:35" ht="21" x14ac:dyDescent="0.4">
      <c r="B63" s="104" t="s">
        <v>195</v>
      </c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</row>
    <row r="64" spans="2:35" ht="15.6" x14ac:dyDescent="0.3">
      <c r="B64" s="93"/>
      <c r="C64" s="93"/>
      <c r="D64" s="106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</row>
    <row r="65" spans="2:31" ht="31.2" x14ac:dyDescent="0.3">
      <c r="B65" s="94" t="s">
        <v>57</v>
      </c>
      <c r="C65" s="94" t="s">
        <v>58</v>
      </c>
      <c r="D65" s="94" t="s">
        <v>59</v>
      </c>
      <c r="E65" s="96" t="s">
        <v>171</v>
      </c>
      <c r="F65" s="120" t="s">
        <v>186</v>
      </c>
      <c r="G65" s="96">
        <v>2</v>
      </c>
      <c r="H65" s="96">
        <v>3</v>
      </c>
      <c r="I65" s="95">
        <v>4</v>
      </c>
      <c r="J65" s="95">
        <v>5</v>
      </c>
      <c r="K65" s="95">
        <v>6</v>
      </c>
      <c r="L65" s="95">
        <v>7</v>
      </c>
      <c r="M65" s="95">
        <v>8</v>
      </c>
      <c r="N65" s="95">
        <v>9</v>
      </c>
      <c r="O65" s="95">
        <v>10</v>
      </c>
      <c r="P65" s="95">
        <v>11</v>
      </c>
      <c r="Q65" s="95">
        <v>12</v>
      </c>
      <c r="R65" s="96" t="s">
        <v>175</v>
      </c>
      <c r="S65" s="307" t="s">
        <v>229</v>
      </c>
      <c r="T65" s="307">
        <v>2</v>
      </c>
      <c r="U65" s="307">
        <v>3</v>
      </c>
      <c r="V65" s="307">
        <v>4</v>
      </c>
      <c r="W65" s="307">
        <v>5</v>
      </c>
      <c r="X65" s="307">
        <v>6</v>
      </c>
      <c r="Y65" s="307">
        <v>7</v>
      </c>
      <c r="Z65" s="307">
        <v>8</v>
      </c>
      <c r="AA65" s="307">
        <v>9</v>
      </c>
      <c r="AB65" s="307">
        <v>10</v>
      </c>
      <c r="AC65" s="307">
        <v>11</v>
      </c>
      <c r="AD65" s="307">
        <v>12</v>
      </c>
      <c r="AE65" s="307" t="s">
        <v>250</v>
      </c>
    </row>
    <row r="66" spans="2:31" ht="15.6" x14ac:dyDescent="0.3">
      <c r="B66" s="112" t="s">
        <v>162</v>
      </c>
      <c r="C66" s="97"/>
      <c r="D66" s="98" t="s">
        <v>163</v>
      </c>
      <c r="E66" s="116">
        <f t="shared" ref="E66:Q66" si="69">SUM(E67:E77)</f>
        <v>0.32606509270945611</v>
      </c>
      <c r="F66" s="116">
        <f t="shared" si="69"/>
        <v>0.82495622414845249</v>
      </c>
      <c r="G66" s="116">
        <f t="shared" si="69"/>
        <v>0.76564849293903015</v>
      </c>
      <c r="H66" s="116">
        <f t="shared" si="69"/>
        <v>0.81186241296520434</v>
      </c>
      <c r="I66" s="116">
        <f t="shared" si="69"/>
        <v>0.80237155563035534</v>
      </c>
      <c r="J66" s="116">
        <f t="shared" si="69"/>
        <v>0.79701123649148053</v>
      </c>
      <c r="K66" s="116">
        <f t="shared" si="69"/>
        <v>0.75267942453246217</v>
      </c>
      <c r="L66" s="116">
        <f t="shared" si="69"/>
        <v>0.6605908526792208</v>
      </c>
      <c r="M66" s="116">
        <f t="shared" si="69"/>
        <v>0.65037264268124728</v>
      </c>
      <c r="N66" s="116">
        <f t="shared" si="69"/>
        <v>0.69330781068897607</v>
      </c>
      <c r="O66" s="116">
        <f t="shared" si="69"/>
        <v>0.77058450400245959</v>
      </c>
      <c r="P66" s="116">
        <f t="shared" si="69"/>
        <v>0.78380477569974727</v>
      </c>
      <c r="Q66" s="116">
        <f t="shared" si="69"/>
        <v>0.68137444379606504</v>
      </c>
      <c r="R66" s="116">
        <f>SUM(R67:R77)</f>
        <v>0.69396559548854042</v>
      </c>
      <c r="S66" s="116">
        <f t="shared" ref="S66:AE66" si="70">SUM(S67:S77)</f>
        <v>0.58164340837775885</v>
      </c>
      <c r="T66" s="116">
        <f t="shared" si="70"/>
        <v>0.69791813033368499</v>
      </c>
      <c r="U66" s="116">
        <f t="shared" si="70"/>
        <v>0.78428073405636123</v>
      </c>
      <c r="V66" s="116">
        <f t="shared" si="70"/>
        <v>0.76428742675942418</v>
      </c>
      <c r="W66" s="116" t="e">
        <f t="shared" si="70"/>
        <v>#DIV/0!</v>
      </c>
      <c r="X66" s="116" t="e">
        <f t="shared" si="70"/>
        <v>#DIV/0!</v>
      </c>
      <c r="Y66" s="116" t="e">
        <f t="shared" si="70"/>
        <v>#DIV/0!</v>
      </c>
      <c r="Z66" s="116" t="e">
        <f t="shared" si="70"/>
        <v>#DIV/0!</v>
      </c>
      <c r="AA66" s="116" t="e">
        <f t="shared" si="70"/>
        <v>#DIV/0!</v>
      </c>
      <c r="AB66" s="116" t="e">
        <f t="shared" si="70"/>
        <v>#DIV/0!</v>
      </c>
      <c r="AC66" s="116" t="e">
        <f t="shared" si="70"/>
        <v>#DIV/0!</v>
      </c>
      <c r="AD66" s="116" t="e">
        <f t="shared" si="70"/>
        <v>#DIV/0!</v>
      </c>
      <c r="AE66" s="116">
        <f t="shared" si="70"/>
        <v>0.72718894887104701</v>
      </c>
    </row>
    <row r="67" spans="2:31" ht="15.6" x14ac:dyDescent="0.3">
      <c r="B67" s="113">
        <v>1</v>
      </c>
      <c r="C67" s="99" t="s">
        <v>96</v>
      </c>
      <c r="D67" s="99" t="s">
        <v>261</v>
      </c>
      <c r="E67" s="107">
        <f t="shared" ref="E67:R67" si="71">E38/E$57</f>
        <v>0</v>
      </c>
      <c r="F67" s="107">
        <f t="shared" si="71"/>
        <v>0.7355644506252037</v>
      </c>
      <c r="G67" s="107">
        <f t="shared" si="71"/>
        <v>0.67291733543833998</v>
      </c>
      <c r="H67" s="107">
        <f t="shared" si="71"/>
        <v>0.73193185751926781</v>
      </c>
      <c r="I67" s="107">
        <f t="shared" si="71"/>
        <v>0.7108518178401082</v>
      </c>
      <c r="J67" s="107">
        <f t="shared" si="71"/>
        <v>0.70874903211301366</v>
      </c>
      <c r="K67" s="107">
        <f t="shared" si="71"/>
        <v>0.65146648915351935</v>
      </c>
      <c r="L67" s="107">
        <f t="shared" si="71"/>
        <v>0.55573735767539312</v>
      </c>
      <c r="M67" s="107">
        <f t="shared" si="71"/>
        <v>0.53782603661311645</v>
      </c>
      <c r="N67" s="107">
        <f t="shared" si="71"/>
        <v>0.59170819781456796</v>
      </c>
      <c r="O67" s="107">
        <f t="shared" si="71"/>
        <v>0.67824219890381598</v>
      </c>
      <c r="P67" s="107">
        <f t="shared" si="71"/>
        <v>0.69424767054717862</v>
      </c>
      <c r="Q67" s="107">
        <f t="shared" si="71"/>
        <v>0.58995067703825732</v>
      </c>
      <c r="R67" s="107">
        <f t="shared" si="71"/>
        <v>0.60924157232773357</v>
      </c>
      <c r="S67" s="107">
        <f t="shared" ref="S67:AD67" si="72">S38/S$57</f>
        <v>0.48393085652880063</v>
      </c>
      <c r="T67" s="107">
        <f t="shared" si="72"/>
        <v>0.5988186184805252</v>
      </c>
      <c r="U67" s="107">
        <f t="shared" si="72"/>
        <v>0.69744788716154948</v>
      </c>
      <c r="V67" s="107">
        <f t="shared" si="72"/>
        <v>0.66901438536094293</v>
      </c>
      <c r="W67" s="107" t="e">
        <f t="shared" si="72"/>
        <v>#DIV/0!</v>
      </c>
      <c r="X67" s="107" t="e">
        <f t="shared" si="72"/>
        <v>#DIV/0!</v>
      </c>
      <c r="Y67" s="107" t="e">
        <f t="shared" si="72"/>
        <v>#DIV/0!</v>
      </c>
      <c r="Z67" s="107" t="e">
        <f t="shared" si="72"/>
        <v>#DIV/0!</v>
      </c>
      <c r="AA67" s="107" t="e">
        <f t="shared" si="72"/>
        <v>#DIV/0!</v>
      </c>
      <c r="AB67" s="107" t="e">
        <f t="shared" si="72"/>
        <v>#DIV/0!</v>
      </c>
      <c r="AC67" s="107" t="e">
        <f t="shared" si="72"/>
        <v>#DIV/0!</v>
      </c>
      <c r="AD67" s="107" t="e">
        <f t="shared" si="72"/>
        <v>#DIV/0!</v>
      </c>
      <c r="AE67" s="107">
        <f t="shared" ref="AE67" si="73">AE38/AE$57</f>
        <v>0.63344358471797557</v>
      </c>
    </row>
    <row r="68" spans="2:31" ht="15.6" x14ac:dyDescent="0.3">
      <c r="B68" s="114">
        <f>B67+1</f>
        <v>2</v>
      </c>
      <c r="C68" s="101" t="s">
        <v>96</v>
      </c>
      <c r="D68" s="101" t="s">
        <v>25</v>
      </c>
      <c r="E68" s="118">
        <f t="shared" ref="E68:R68" si="74">E39/E$57</f>
        <v>0.14721893244478215</v>
      </c>
      <c r="F68" s="118">
        <f t="shared" si="74"/>
        <v>4.6556850147199069E-2</v>
      </c>
      <c r="G68" s="118">
        <f t="shared" si="74"/>
        <v>5.0352796434731076E-2</v>
      </c>
      <c r="H68" s="118">
        <f t="shared" si="74"/>
        <v>4.1055576893190976E-2</v>
      </c>
      <c r="I68" s="118">
        <f t="shared" si="74"/>
        <v>4.6878677083781024E-2</v>
      </c>
      <c r="J68" s="118">
        <f t="shared" si="74"/>
        <v>5.0064725666352193E-2</v>
      </c>
      <c r="K68" s="118">
        <f t="shared" si="74"/>
        <v>4.9322250017346157E-2</v>
      </c>
      <c r="L68" s="118">
        <f t="shared" si="74"/>
        <v>4.3956413563818249E-2</v>
      </c>
      <c r="M68" s="118">
        <f t="shared" si="74"/>
        <v>4.947380491454393E-2</v>
      </c>
      <c r="N68" s="118">
        <f t="shared" si="74"/>
        <v>5.3318475110113304E-2</v>
      </c>
      <c r="O68" s="118">
        <f t="shared" si="74"/>
        <v>4.8311690278271459E-2</v>
      </c>
      <c r="P68" s="118">
        <f t="shared" si="74"/>
        <v>5.1970635675650592E-2</v>
      </c>
      <c r="Q68" s="118">
        <f t="shared" si="74"/>
        <v>4.8593818576524776E-2</v>
      </c>
      <c r="R68" s="118">
        <f t="shared" si="74"/>
        <v>4.3993431086743424E-2</v>
      </c>
      <c r="S68" s="118">
        <f t="shared" ref="S68:AD68" si="75">S39/S$57</f>
        <v>4.7477844796745328E-2</v>
      </c>
      <c r="T68" s="118">
        <f t="shared" si="75"/>
        <v>4.6556339262858223E-2</v>
      </c>
      <c r="U68" s="118">
        <f t="shared" si="75"/>
        <v>4.950183469688315E-2</v>
      </c>
      <c r="V68" s="118">
        <f t="shared" si="75"/>
        <v>5.0959599346552142E-2</v>
      </c>
      <c r="W68" s="118" t="e">
        <f t="shared" si="75"/>
        <v>#DIV/0!</v>
      </c>
      <c r="X68" s="118" t="e">
        <f t="shared" si="75"/>
        <v>#DIV/0!</v>
      </c>
      <c r="Y68" s="118" t="e">
        <f t="shared" si="75"/>
        <v>#DIV/0!</v>
      </c>
      <c r="Z68" s="118" t="e">
        <f t="shared" si="75"/>
        <v>#DIV/0!</v>
      </c>
      <c r="AA68" s="118" t="e">
        <f t="shared" si="75"/>
        <v>#DIV/0!</v>
      </c>
      <c r="AB68" s="118" t="e">
        <f t="shared" si="75"/>
        <v>#DIV/0!</v>
      </c>
      <c r="AC68" s="118" t="e">
        <f t="shared" si="75"/>
        <v>#DIV/0!</v>
      </c>
      <c r="AD68" s="118" t="e">
        <f t="shared" si="75"/>
        <v>#DIV/0!</v>
      </c>
      <c r="AE68" s="118">
        <f t="shared" ref="AE68" si="76">AE39/AE$57</f>
        <v>4.897015126222002E-2</v>
      </c>
    </row>
    <row r="69" spans="2:31" ht="15.6" x14ac:dyDescent="0.3">
      <c r="B69" s="114">
        <f t="shared" ref="B69:B77" si="77">B68+1</f>
        <v>3</v>
      </c>
      <c r="C69" s="101" t="s">
        <v>96</v>
      </c>
      <c r="D69" s="101" t="s">
        <v>166</v>
      </c>
      <c r="E69" s="118">
        <f t="shared" ref="E69:R69" si="78">E40/E$57</f>
        <v>2.5431529895229742E-2</v>
      </c>
      <c r="F69" s="118">
        <f t="shared" si="78"/>
        <v>4.3181843845523588E-3</v>
      </c>
      <c r="G69" s="118">
        <f t="shared" si="78"/>
        <v>4.6182065975062681E-3</v>
      </c>
      <c r="H69" s="118">
        <f t="shared" si="78"/>
        <v>5.1336240395279563E-3</v>
      </c>
      <c r="I69" s="118">
        <f t="shared" si="78"/>
        <v>9.7530042535159157E-3</v>
      </c>
      <c r="J69" s="118">
        <f t="shared" si="78"/>
        <v>8.1057445188629194E-3</v>
      </c>
      <c r="K69" s="118">
        <f t="shared" si="78"/>
        <v>1.728590225674187E-2</v>
      </c>
      <c r="L69" s="118">
        <f t="shared" si="78"/>
        <v>1.7069301132078885E-2</v>
      </c>
      <c r="M69" s="118">
        <f t="shared" si="78"/>
        <v>3.1133283699784835E-2</v>
      </c>
      <c r="N69" s="118">
        <f t="shared" si="78"/>
        <v>1.6349069992351084E-2</v>
      </c>
      <c r="O69" s="118">
        <f t="shared" si="78"/>
        <v>8.91109137722358E-3</v>
      </c>
      <c r="P69" s="118">
        <f t="shared" si="78"/>
        <v>6.513036806103537E-3</v>
      </c>
      <c r="Q69" s="118">
        <f t="shared" si="78"/>
        <v>1.8586791935419629E-2</v>
      </c>
      <c r="R69" s="118">
        <f t="shared" si="78"/>
        <v>1.0082569244708925E-2</v>
      </c>
      <c r="S69" s="118">
        <f t="shared" ref="S69:AD69" si="79">S40/S$57</f>
        <v>2.3758058493139965E-2</v>
      </c>
      <c r="T69" s="118">
        <f t="shared" si="79"/>
        <v>2.3365913121844269E-2</v>
      </c>
      <c r="U69" s="118">
        <f t="shared" si="79"/>
        <v>8.1693132300661216E-3</v>
      </c>
      <c r="V69" s="118">
        <f t="shared" si="79"/>
        <v>1.0726888717066887E-2</v>
      </c>
      <c r="W69" s="118" t="e">
        <f t="shared" si="79"/>
        <v>#DIV/0!</v>
      </c>
      <c r="X69" s="118" t="e">
        <f t="shared" si="79"/>
        <v>#DIV/0!</v>
      </c>
      <c r="Y69" s="118" t="e">
        <f t="shared" si="79"/>
        <v>#DIV/0!</v>
      </c>
      <c r="Z69" s="118" t="e">
        <f t="shared" si="79"/>
        <v>#DIV/0!</v>
      </c>
      <c r="AA69" s="118" t="e">
        <f t="shared" si="79"/>
        <v>#DIV/0!</v>
      </c>
      <c r="AB69" s="118" t="e">
        <f t="shared" si="79"/>
        <v>#DIV/0!</v>
      </c>
      <c r="AC69" s="118" t="e">
        <f t="shared" si="79"/>
        <v>#DIV/0!</v>
      </c>
      <c r="AD69" s="118" t="e">
        <f t="shared" si="79"/>
        <v>#DIV/0!</v>
      </c>
      <c r="AE69" s="118">
        <f t="shared" ref="AE69" si="80">AE40/AE$57</f>
        <v>1.4725597833578038E-2</v>
      </c>
    </row>
    <row r="70" spans="2:31" ht="15.6" x14ac:dyDescent="0.3">
      <c r="B70" s="114">
        <f t="shared" si="77"/>
        <v>4</v>
      </c>
      <c r="C70" s="101" t="s">
        <v>96</v>
      </c>
      <c r="D70" s="101" t="s">
        <v>54</v>
      </c>
      <c r="E70" s="118">
        <f t="shared" ref="E70:R70" si="81">E41/E$57</f>
        <v>5.3026246497959902E-2</v>
      </c>
      <c r="F70" s="118">
        <f t="shared" si="81"/>
        <v>1.5799017860660097E-2</v>
      </c>
      <c r="G70" s="118">
        <f t="shared" si="81"/>
        <v>1.9234701031029609E-2</v>
      </c>
      <c r="H70" s="118">
        <f t="shared" si="81"/>
        <v>1.4561513584982271E-2</v>
      </c>
      <c r="I70" s="118">
        <f t="shared" si="81"/>
        <v>9.6494521228670006E-3</v>
      </c>
      <c r="J70" s="118">
        <f t="shared" si="81"/>
        <v>8.9001208988463091E-3</v>
      </c>
      <c r="K70" s="118">
        <f t="shared" si="81"/>
        <v>6.9355400422881699E-3</v>
      </c>
      <c r="L70" s="118">
        <f t="shared" si="81"/>
        <v>2.0712093457904542E-2</v>
      </c>
      <c r="M70" s="118">
        <f t="shared" si="81"/>
        <v>7.6818864476417264E-3</v>
      </c>
      <c r="N70" s="118">
        <f t="shared" si="81"/>
        <v>1.309723434912915E-2</v>
      </c>
      <c r="O70" s="118">
        <f t="shared" si="81"/>
        <v>1.7144840163681327E-2</v>
      </c>
      <c r="P70" s="118">
        <f t="shared" si="81"/>
        <v>1.4954457936574279E-2</v>
      </c>
      <c r="Q70" s="118">
        <f t="shared" si="81"/>
        <v>2.8827247082014299E-3</v>
      </c>
      <c r="R70" s="118">
        <f t="shared" si="81"/>
        <v>1.1413912038633667E-2</v>
      </c>
      <c r="S70" s="118">
        <f t="shared" ref="S70:AD70" si="82">S41/S$57</f>
        <v>4.1751241566919247E-3</v>
      </c>
      <c r="T70" s="118">
        <f t="shared" si="82"/>
        <v>9.9076257564704052E-3</v>
      </c>
      <c r="U70" s="118">
        <f t="shared" si="82"/>
        <v>1.2507096161949682E-2</v>
      </c>
      <c r="V70" s="118">
        <f t="shared" si="82"/>
        <v>1.4742973777702914E-2</v>
      </c>
      <c r="W70" s="118" t="e">
        <f t="shared" si="82"/>
        <v>#DIV/0!</v>
      </c>
      <c r="X70" s="118" t="e">
        <f t="shared" si="82"/>
        <v>#DIV/0!</v>
      </c>
      <c r="Y70" s="118" t="e">
        <f t="shared" si="82"/>
        <v>#DIV/0!</v>
      </c>
      <c r="Z70" s="118" t="e">
        <f t="shared" si="82"/>
        <v>#DIV/0!</v>
      </c>
      <c r="AA70" s="118" t="e">
        <f t="shared" si="82"/>
        <v>#DIV/0!</v>
      </c>
      <c r="AB70" s="118" t="e">
        <f t="shared" si="82"/>
        <v>#DIV/0!</v>
      </c>
      <c r="AC70" s="118" t="e">
        <f t="shared" si="82"/>
        <v>#DIV/0!</v>
      </c>
      <c r="AD70" s="118" t="e">
        <f t="shared" si="82"/>
        <v>#DIV/0!</v>
      </c>
      <c r="AE70" s="118">
        <f t="shared" ref="AE70" si="83">AE41/AE$57</f>
        <v>1.1274347741514678E-2</v>
      </c>
    </row>
    <row r="71" spans="2:31" ht="15.6" x14ac:dyDescent="0.3">
      <c r="B71" s="114">
        <f t="shared" si="77"/>
        <v>5</v>
      </c>
      <c r="C71" s="101" t="s">
        <v>96</v>
      </c>
      <c r="D71" s="101" t="s">
        <v>49</v>
      </c>
      <c r="E71" s="118">
        <f t="shared" ref="E71:R71" si="84">E42/E$57</f>
        <v>4.0551309655952855E-2</v>
      </c>
      <c r="F71" s="118">
        <f t="shared" si="84"/>
        <v>8.8326354984123983E-3</v>
      </c>
      <c r="G71" s="118">
        <f t="shared" si="84"/>
        <v>6.3691445306624395E-3</v>
      </c>
      <c r="H71" s="118">
        <f t="shared" si="84"/>
        <v>7.170641967532124E-3</v>
      </c>
      <c r="I71" s="118">
        <f t="shared" si="84"/>
        <v>1.2258153465082078E-2</v>
      </c>
      <c r="J71" s="118">
        <f t="shared" si="84"/>
        <v>7.5070456484015837E-3</v>
      </c>
      <c r="K71" s="118">
        <f t="shared" si="84"/>
        <v>1.0314672831359093E-2</v>
      </c>
      <c r="L71" s="118">
        <f t="shared" si="84"/>
        <v>7.4602922374086156E-3</v>
      </c>
      <c r="M71" s="118">
        <f t="shared" si="84"/>
        <v>8.9729280694075143E-3</v>
      </c>
      <c r="N71" s="118">
        <f t="shared" si="84"/>
        <v>6.3757057753449971E-3</v>
      </c>
      <c r="O71" s="118">
        <f t="shared" si="84"/>
        <v>5.2408699011850732E-3</v>
      </c>
      <c r="P71" s="118">
        <f t="shared" si="84"/>
        <v>3.1307191838343168E-3</v>
      </c>
      <c r="Q71" s="118">
        <f t="shared" si="84"/>
        <v>7.3333825688328127E-3</v>
      </c>
      <c r="R71" s="118">
        <f t="shared" si="84"/>
        <v>6.8571937716200067E-3</v>
      </c>
      <c r="S71" s="118">
        <f t="shared" ref="S71:AD71" si="85">S42/S$57</f>
        <v>1.0090927208170243E-2</v>
      </c>
      <c r="T71" s="118">
        <f t="shared" si="85"/>
        <v>7.4165941002251306E-3</v>
      </c>
      <c r="U71" s="118">
        <f t="shared" si="85"/>
        <v>5.1547646216821893E-3</v>
      </c>
      <c r="V71" s="118">
        <f t="shared" si="85"/>
        <v>8.122877473741387E-3</v>
      </c>
      <c r="W71" s="118" t="e">
        <f t="shared" si="85"/>
        <v>#DIV/0!</v>
      </c>
      <c r="X71" s="118" t="e">
        <f t="shared" si="85"/>
        <v>#DIV/0!</v>
      </c>
      <c r="Y71" s="118" t="e">
        <f t="shared" si="85"/>
        <v>#DIV/0!</v>
      </c>
      <c r="Z71" s="118" t="e">
        <f t="shared" si="85"/>
        <v>#DIV/0!</v>
      </c>
      <c r="AA71" s="118" t="e">
        <f t="shared" si="85"/>
        <v>#DIV/0!</v>
      </c>
      <c r="AB71" s="118" t="e">
        <f t="shared" si="85"/>
        <v>#DIV/0!</v>
      </c>
      <c r="AC71" s="118" t="e">
        <f t="shared" si="85"/>
        <v>#DIV/0!</v>
      </c>
      <c r="AD71" s="118" t="e">
        <f t="shared" si="85"/>
        <v>#DIV/0!</v>
      </c>
      <c r="AE71" s="118">
        <f t="shared" ref="AE71" si="86">AE42/AE$57</f>
        <v>7.3162963096949788E-3</v>
      </c>
    </row>
    <row r="72" spans="2:31" ht="15.6" x14ac:dyDescent="0.3">
      <c r="B72" s="114">
        <f t="shared" si="77"/>
        <v>6</v>
      </c>
      <c r="C72" s="101" t="s">
        <v>96</v>
      </c>
      <c r="D72" s="101" t="s">
        <v>56</v>
      </c>
      <c r="E72" s="118">
        <f t="shared" ref="E72:R72" si="87">E43/E$57</f>
        <v>1.6983469343905846E-2</v>
      </c>
      <c r="F72" s="118">
        <f t="shared" si="87"/>
        <v>7.369600462608818E-3</v>
      </c>
      <c r="G72" s="118">
        <f t="shared" si="87"/>
        <v>4.9349657036574755E-3</v>
      </c>
      <c r="H72" s="118">
        <f t="shared" si="87"/>
        <v>5.8421930784606129E-3</v>
      </c>
      <c r="I72" s="118">
        <f t="shared" si="87"/>
        <v>5.1204589542014267E-3</v>
      </c>
      <c r="J72" s="118">
        <f t="shared" si="87"/>
        <v>5.3822618485812306E-3</v>
      </c>
      <c r="K72" s="118">
        <f t="shared" si="87"/>
        <v>8.0097699334814518E-3</v>
      </c>
      <c r="L72" s="118">
        <f t="shared" si="87"/>
        <v>4.5454965474472E-3</v>
      </c>
      <c r="M72" s="118">
        <f t="shared" si="87"/>
        <v>4.4777812130020094E-3</v>
      </c>
      <c r="N72" s="118">
        <f t="shared" si="87"/>
        <v>5.7474113886923856E-3</v>
      </c>
      <c r="O72" s="118">
        <f t="shared" si="87"/>
        <v>5.5939926282682958E-3</v>
      </c>
      <c r="P72" s="118">
        <f t="shared" si="87"/>
        <v>6.2106880473340818E-3</v>
      </c>
      <c r="Q72" s="118">
        <f t="shared" si="87"/>
        <v>5.6973251155681571E-3</v>
      </c>
      <c r="R72" s="118">
        <f t="shared" si="87"/>
        <v>5.3257608338723537E-3</v>
      </c>
      <c r="S72" s="118">
        <f t="shared" ref="S72:AD72" si="88">S43/S$57</f>
        <v>4.0280230272884262E-3</v>
      </c>
      <c r="T72" s="118">
        <f t="shared" si="88"/>
        <v>4.9018016116085875E-3</v>
      </c>
      <c r="U72" s="118">
        <f t="shared" si="88"/>
        <v>5.5718668899427913E-3</v>
      </c>
      <c r="V72" s="118">
        <f t="shared" si="88"/>
        <v>5.1368420910931816E-3</v>
      </c>
      <c r="W72" s="118" t="e">
        <f t="shared" si="88"/>
        <v>#DIV/0!</v>
      </c>
      <c r="X72" s="118" t="e">
        <f t="shared" si="88"/>
        <v>#DIV/0!</v>
      </c>
      <c r="Y72" s="118" t="e">
        <f t="shared" si="88"/>
        <v>#DIV/0!</v>
      </c>
      <c r="Z72" s="118" t="e">
        <f t="shared" si="88"/>
        <v>#DIV/0!</v>
      </c>
      <c r="AA72" s="118" t="e">
        <f t="shared" si="88"/>
        <v>#DIV/0!</v>
      </c>
      <c r="AB72" s="118" t="e">
        <f t="shared" si="88"/>
        <v>#DIV/0!</v>
      </c>
      <c r="AC72" s="118" t="e">
        <f t="shared" si="88"/>
        <v>#DIV/0!</v>
      </c>
      <c r="AD72" s="118" t="e">
        <f t="shared" si="88"/>
        <v>#DIV/0!</v>
      </c>
      <c r="AE72" s="118">
        <f t="shared" ref="AE72" si="89">AE43/AE$57</f>
        <v>5.0503607817497893E-3</v>
      </c>
    </row>
    <row r="73" spans="2:31" ht="15.6" x14ac:dyDescent="0.3">
      <c r="B73" s="114">
        <f t="shared" si="77"/>
        <v>7</v>
      </c>
      <c r="C73" s="101" t="s">
        <v>96</v>
      </c>
      <c r="D73" s="101" t="s">
        <v>28</v>
      </c>
      <c r="E73" s="118">
        <f t="shared" ref="E73:R73" si="90">E44/E$57</f>
        <v>1.6584126029924921E-2</v>
      </c>
      <c r="F73" s="118">
        <f t="shared" si="90"/>
        <v>3.2424049975155302E-3</v>
      </c>
      <c r="G73" s="118">
        <f t="shared" si="90"/>
        <v>3.2718459003744172E-3</v>
      </c>
      <c r="H73" s="118">
        <f t="shared" si="90"/>
        <v>3.310196927268182E-3</v>
      </c>
      <c r="I73" s="118">
        <f t="shared" si="90"/>
        <v>3.3033940867491594E-3</v>
      </c>
      <c r="J73" s="118">
        <f t="shared" si="90"/>
        <v>3.2674063545303643E-3</v>
      </c>
      <c r="K73" s="118">
        <f t="shared" si="90"/>
        <v>3.6191898583786096E-3</v>
      </c>
      <c r="L73" s="118">
        <f t="shared" si="90"/>
        <v>4.5335376607227289E-3</v>
      </c>
      <c r="M73" s="118">
        <f t="shared" si="90"/>
        <v>3.737676848984304E-3</v>
      </c>
      <c r="N73" s="118">
        <f t="shared" si="90"/>
        <v>3.0159107110626577E-3</v>
      </c>
      <c r="O73" s="118">
        <f t="shared" si="90"/>
        <v>2.698211290233466E-3</v>
      </c>
      <c r="P73" s="118">
        <f t="shared" si="90"/>
        <v>2.5587095726101461E-3</v>
      </c>
      <c r="Q73" s="118">
        <f t="shared" si="90"/>
        <v>2.8945114148422545E-3</v>
      </c>
      <c r="R73" s="118">
        <f t="shared" si="90"/>
        <v>2.9201444247470773E-3</v>
      </c>
      <c r="S73" s="118">
        <f t="shared" ref="S73:AD73" si="91">S44/S$57</f>
        <v>2.5623068953455779E-3</v>
      </c>
      <c r="T73" s="118">
        <f t="shared" si="91"/>
        <v>2.4534972059016818E-3</v>
      </c>
      <c r="U73" s="118">
        <f t="shared" si="91"/>
        <v>2.1346162055158029E-3</v>
      </c>
      <c r="V73" s="118">
        <f t="shared" si="91"/>
        <v>1.9547877396034375E-3</v>
      </c>
      <c r="W73" s="118" t="e">
        <f t="shared" si="91"/>
        <v>#DIV/0!</v>
      </c>
      <c r="X73" s="118" t="e">
        <f t="shared" si="91"/>
        <v>#DIV/0!</v>
      </c>
      <c r="Y73" s="118" t="e">
        <f t="shared" si="91"/>
        <v>#DIV/0!</v>
      </c>
      <c r="Z73" s="118" t="e">
        <f t="shared" si="91"/>
        <v>#DIV/0!</v>
      </c>
      <c r="AA73" s="118" t="e">
        <f t="shared" si="91"/>
        <v>#DIV/0!</v>
      </c>
      <c r="AB73" s="118" t="e">
        <f t="shared" si="91"/>
        <v>#DIV/0!</v>
      </c>
      <c r="AC73" s="118" t="e">
        <f t="shared" si="91"/>
        <v>#DIV/0!</v>
      </c>
      <c r="AD73" s="118" t="e">
        <f t="shared" si="91"/>
        <v>#DIV/0!</v>
      </c>
      <c r="AE73" s="118">
        <f t="shared" ref="AE73" si="92">AE44/AE$57</f>
        <v>2.2189510960427764E-3</v>
      </c>
    </row>
    <row r="74" spans="2:31" ht="15.6" x14ac:dyDescent="0.3">
      <c r="B74" s="114">
        <f t="shared" si="77"/>
        <v>8</v>
      </c>
      <c r="C74" s="101" t="s">
        <v>96</v>
      </c>
      <c r="D74" s="101" t="s">
        <v>53</v>
      </c>
      <c r="E74" s="118">
        <f t="shared" ref="E74:R74" si="93">E45/E$57</f>
        <v>1.3927616509485307E-2</v>
      </c>
      <c r="F74" s="118">
        <f t="shared" si="93"/>
        <v>1.6024078403006287E-3</v>
      </c>
      <c r="G74" s="118">
        <f t="shared" si="93"/>
        <v>1.7712058319557416E-3</v>
      </c>
      <c r="H74" s="118">
        <f t="shared" si="93"/>
        <v>1.1581846293433596E-3</v>
      </c>
      <c r="I74" s="118">
        <f t="shared" si="93"/>
        <v>2.01636743620171E-3</v>
      </c>
      <c r="J74" s="118">
        <f t="shared" si="93"/>
        <v>2.9956309287799219E-3</v>
      </c>
      <c r="K74" s="118">
        <f t="shared" si="93"/>
        <v>3.5387801418592098E-3</v>
      </c>
      <c r="L74" s="118">
        <f t="shared" si="93"/>
        <v>4.0613916091098885E-3</v>
      </c>
      <c r="M74" s="118">
        <f t="shared" si="93"/>
        <v>3.9391654247362779E-3</v>
      </c>
      <c r="N74" s="118">
        <f t="shared" si="93"/>
        <v>1.8669726186767083E-3</v>
      </c>
      <c r="O74" s="118">
        <f t="shared" si="93"/>
        <v>2.5838132131916799E-3</v>
      </c>
      <c r="P74" s="118">
        <f t="shared" si="93"/>
        <v>2.4756450536205133E-3</v>
      </c>
      <c r="Q74" s="118">
        <f t="shared" si="93"/>
        <v>3.4736758246548989E-3</v>
      </c>
      <c r="R74" s="118">
        <f t="shared" si="93"/>
        <v>2.2629745443158707E-3</v>
      </c>
      <c r="S74" s="118">
        <f t="shared" ref="S74:AD74" si="94">S45/S$57</f>
        <v>3.5935296081695601E-3</v>
      </c>
      <c r="T74" s="118">
        <f t="shared" si="94"/>
        <v>2.3566703954457785E-3</v>
      </c>
      <c r="U74" s="118">
        <f t="shared" si="94"/>
        <v>2.3639087171292194E-3</v>
      </c>
      <c r="V74" s="118">
        <f t="shared" si="94"/>
        <v>1.7950108483656023E-3</v>
      </c>
      <c r="W74" s="118" t="e">
        <f t="shared" si="94"/>
        <v>#DIV/0!</v>
      </c>
      <c r="X74" s="118" t="e">
        <f t="shared" si="94"/>
        <v>#DIV/0!</v>
      </c>
      <c r="Y74" s="118" t="e">
        <f t="shared" si="94"/>
        <v>#DIV/0!</v>
      </c>
      <c r="Z74" s="118" t="e">
        <f t="shared" si="94"/>
        <v>#DIV/0!</v>
      </c>
      <c r="AA74" s="118" t="e">
        <f t="shared" si="94"/>
        <v>#DIV/0!</v>
      </c>
      <c r="AB74" s="118" t="e">
        <f t="shared" si="94"/>
        <v>#DIV/0!</v>
      </c>
      <c r="AC74" s="118" t="e">
        <f t="shared" si="94"/>
        <v>#DIV/0!</v>
      </c>
      <c r="AD74" s="118" t="e">
        <f t="shared" si="94"/>
        <v>#DIV/0!</v>
      </c>
      <c r="AE74" s="118">
        <f t="shared" ref="AE74" si="95">AE45/AE$57</f>
        <v>2.3898424790056425E-3</v>
      </c>
    </row>
    <row r="75" spans="2:31" ht="15.6" x14ac:dyDescent="0.3">
      <c r="B75" s="114">
        <f t="shared" si="77"/>
        <v>9</v>
      </c>
      <c r="C75" s="101" t="s">
        <v>96</v>
      </c>
      <c r="D75" s="101" t="s">
        <v>42</v>
      </c>
      <c r="E75" s="118">
        <f t="shared" ref="E75:R75" si="96">E46/E$57</f>
        <v>5.7475571884065529E-3</v>
      </c>
      <c r="F75" s="118">
        <f t="shared" si="96"/>
        <v>5.8498025516964727E-4</v>
      </c>
      <c r="G75" s="118">
        <f t="shared" si="96"/>
        <v>7.9704830606840734E-4</v>
      </c>
      <c r="H75" s="118">
        <f t="shared" si="96"/>
        <v>5.7737842710812559E-4</v>
      </c>
      <c r="I75" s="118">
        <f t="shared" si="96"/>
        <v>1.3065335834449823E-3</v>
      </c>
      <c r="J75" s="118">
        <f t="shared" si="96"/>
        <v>9.5342000771424305E-4</v>
      </c>
      <c r="K75" s="118">
        <f t="shared" si="96"/>
        <v>8.3355180169547235E-4</v>
      </c>
      <c r="L75" s="118">
        <f t="shared" si="96"/>
        <v>1.0483223305196134E-3</v>
      </c>
      <c r="M75" s="118">
        <f t="shared" si="96"/>
        <v>1.1098483775254678E-3</v>
      </c>
      <c r="N75" s="118">
        <f t="shared" si="96"/>
        <v>6.8927023345313732E-4</v>
      </c>
      <c r="O75" s="118">
        <f t="shared" si="96"/>
        <v>7.5779460046044721E-4</v>
      </c>
      <c r="P75" s="118">
        <f t="shared" si="96"/>
        <v>6.0380134570912208E-4</v>
      </c>
      <c r="Q75" s="118">
        <f t="shared" si="96"/>
        <v>7.1373123235551113E-4</v>
      </c>
      <c r="R75" s="118">
        <f t="shared" si="96"/>
        <v>7.3945781229356878E-4</v>
      </c>
      <c r="S75" s="118">
        <f t="shared" ref="S75:AD75" si="97">S46/S$57</f>
        <v>6.741333020271426E-4</v>
      </c>
      <c r="T75" s="118">
        <f t="shared" si="97"/>
        <v>5.8741246691100155E-4</v>
      </c>
      <c r="U75" s="118">
        <f t="shared" si="97"/>
        <v>5.1644727193120212E-4</v>
      </c>
      <c r="V75" s="118">
        <f t="shared" si="97"/>
        <v>8.1711396537149071E-4</v>
      </c>
      <c r="W75" s="118" t="e">
        <f t="shared" si="97"/>
        <v>#DIV/0!</v>
      </c>
      <c r="X75" s="118" t="e">
        <f t="shared" si="97"/>
        <v>#DIV/0!</v>
      </c>
      <c r="Y75" s="118" t="e">
        <f t="shared" si="97"/>
        <v>#DIV/0!</v>
      </c>
      <c r="Z75" s="118" t="e">
        <f t="shared" si="97"/>
        <v>#DIV/0!</v>
      </c>
      <c r="AA75" s="118" t="e">
        <f t="shared" si="97"/>
        <v>#DIV/0!</v>
      </c>
      <c r="AB75" s="118" t="e">
        <f t="shared" si="97"/>
        <v>#DIV/0!</v>
      </c>
      <c r="AC75" s="118" t="e">
        <f t="shared" si="97"/>
        <v>#DIV/0!</v>
      </c>
      <c r="AD75" s="118" t="e">
        <f t="shared" si="97"/>
        <v>#DIV/0!</v>
      </c>
      <c r="AE75" s="118">
        <f t="shared" ref="AE75" si="98">AE46/AE$57</f>
        <v>6.4631379026110203E-4</v>
      </c>
    </row>
    <row r="76" spans="2:31" ht="15.6" x14ac:dyDescent="0.3">
      <c r="B76" s="114">
        <f t="shared" si="77"/>
        <v>10</v>
      </c>
      <c r="C76" s="101" t="s">
        <v>96</v>
      </c>
      <c r="D76" s="101" t="s">
        <v>52</v>
      </c>
      <c r="E76" s="118">
        <f t="shared" ref="E76:R76" si="99">E47/E$57</f>
        <v>6.5943051438089022E-3</v>
      </c>
      <c r="F76" s="118">
        <f t="shared" si="99"/>
        <v>1.0856920768303399E-3</v>
      </c>
      <c r="G76" s="118">
        <f t="shared" si="99"/>
        <v>1.3812431647046864E-3</v>
      </c>
      <c r="H76" s="118">
        <f t="shared" si="99"/>
        <v>1.1212458985229467E-3</v>
      </c>
      <c r="I76" s="118">
        <f t="shared" si="99"/>
        <v>1.2336968044037791E-3</v>
      </c>
      <c r="J76" s="118">
        <f t="shared" si="99"/>
        <v>1.0858485063980404E-3</v>
      </c>
      <c r="K76" s="118">
        <f t="shared" si="99"/>
        <v>1.3532784957929547E-3</v>
      </c>
      <c r="L76" s="118">
        <f t="shared" si="99"/>
        <v>1.466646464817847E-3</v>
      </c>
      <c r="M76" s="118">
        <f t="shared" si="99"/>
        <v>1.5183715695358787E-3</v>
      </c>
      <c r="N76" s="118">
        <f t="shared" si="99"/>
        <v>1.1395626955847081E-3</v>
      </c>
      <c r="O76" s="118">
        <f t="shared" si="99"/>
        <v>1.1000016461281789E-3</v>
      </c>
      <c r="P76" s="118">
        <f t="shared" si="99"/>
        <v>1.1394115311320226E-3</v>
      </c>
      <c r="Q76" s="118">
        <f t="shared" si="99"/>
        <v>1.2478053814083724E-3</v>
      </c>
      <c r="R76" s="118">
        <f t="shared" si="99"/>
        <v>1.1035052881865502E-3</v>
      </c>
      <c r="S76" s="118">
        <f t="shared" ref="S76:AD76" si="100">S47/S$57</f>
        <v>1.3526043613799779E-3</v>
      </c>
      <c r="T76" s="118">
        <f t="shared" si="100"/>
        <v>1.5536579318949123E-3</v>
      </c>
      <c r="U76" s="118">
        <f t="shared" si="100"/>
        <v>9.1299909971149736E-4</v>
      </c>
      <c r="V76" s="118">
        <f t="shared" si="100"/>
        <v>1.0169474389840328E-3</v>
      </c>
      <c r="W76" s="118" t="e">
        <f t="shared" si="100"/>
        <v>#DIV/0!</v>
      </c>
      <c r="X76" s="118" t="e">
        <f t="shared" si="100"/>
        <v>#DIV/0!</v>
      </c>
      <c r="Y76" s="118" t="e">
        <f t="shared" si="100"/>
        <v>#DIV/0!</v>
      </c>
      <c r="Z76" s="118" t="e">
        <f t="shared" si="100"/>
        <v>#DIV/0!</v>
      </c>
      <c r="AA76" s="118" t="e">
        <f t="shared" si="100"/>
        <v>#DIV/0!</v>
      </c>
      <c r="AB76" s="118" t="e">
        <f t="shared" si="100"/>
        <v>#DIV/0!</v>
      </c>
      <c r="AC76" s="118" t="e">
        <f t="shared" si="100"/>
        <v>#DIV/0!</v>
      </c>
      <c r="AD76" s="118" t="e">
        <f t="shared" si="100"/>
        <v>#DIV/0!</v>
      </c>
      <c r="AE76" s="118">
        <f t="shared" ref="AE76" si="101">AE47/AE$57</f>
        <v>1.1535028590043326E-3</v>
      </c>
    </row>
    <row r="77" spans="2:31" ht="15.6" x14ac:dyDescent="0.3">
      <c r="B77" s="114">
        <f t="shared" si="77"/>
        <v>11</v>
      </c>
      <c r="C77" s="102" t="s">
        <v>96</v>
      </c>
      <c r="D77" s="102" t="s">
        <v>55</v>
      </c>
      <c r="E77" s="119">
        <f t="shared" ref="E77:R77" si="102">E48/E$57</f>
        <v>0</v>
      </c>
      <c r="F77" s="119">
        <f t="shared" si="102"/>
        <v>0</v>
      </c>
      <c r="G77" s="119">
        <f t="shared" si="102"/>
        <v>0</v>
      </c>
      <c r="H77" s="119">
        <f t="shared" si="102"/>
        <v>0</v>
      </c>
      <c r="I77" s="119">
        <f t="shared" si="102"/>
        <v>0</v>
      </c>
      <c r="J77" s="119">
        <f t="shared" si="102"/>
        <v>0</v>
      </c>
      <c r="K77" s="119">
        <f t="shared" si="102"/>
        <v>0</v>
      </c>
      <c r="L77" s="119">
        <f t="shared" si="102"/>
        <v>0</v>
      </c>
      <c r="M77" s="119">
        <f t="shared" si="102"/>
        <v>5.0185950296894233E-4</v>
      </c>
      <c r="N77" s="119">
        <f t="shared" si="102"/>
        <v>0</v>
      </c>
      <c r="O77" s="119">
        <f t="shared" si="102"/>
        <v>0</v>
      </c>
      <c r="P77" s="119">
        <f t="shared" si="102"/>
        <v>0</v>
      </c>
      <c r="Q77" s="119">
        <f t="shared" si="102"/>
        <v>0</v>
      </c>
      <c r="R77" s="119">
        <f t="shared" si="102"/>
        <v>2.5074115685358978E-5</v>
      </c>
      <c r="S77" s="119">
        <f t="shared" ref="S77:AD77" si="103">S48/S$57</f>
        <v>0</v>
      </c>
      <c r="T77" s="119">
        <f t="shared" si="103"/>
        <v>0</v>
      </c>
      <c r="U77" s="119">
        <f t="shared" si="103"/>
        <v>0</v>
      </c>
      <c r="V77" s="119">
        <f t="shared" si="103"/>
        <v>0</v>
      </c>
      <c r="W77" s="119" t="e">
        <f t="shared" si="103"/>
        <v>#DIV/0!</v>
      </c>
      <c r="X77" s="119" t="e">
        <f t="shared" si="103"/>
        <v>#DIV/0!</v>
      </c>
      <c r="Y77" s="119" t="e">
        <f t="shared" si="103"/>
        <v>#DIV/0!</v>
      </c>
      <c r="Z77" s="119" t="e">
        <f t="shared" si="103"/>
        <v>#DIV/0!</v>
      </c>
      <c r="AA77" s="119" t="e">
        <f t="shared" si="103"/>
        <v>#DIV/0!</v>
      </c>
      <c r="AB77" s="119" t="e">
        <f t="shared" si="103"/>
        <v>#DIV/0!</v>
      </c>
      <c r="AC77" s="119" t="e">
        <f t="shared" si="103"/>
        <v>#DIV/0!</v>
      </c>
      <c r="AD77" s="119" t="e">
        <f t="shared" si="103"/>
        <v>#DIV/0!</v>
      </c>
      <c r="AE77" s="119">
        <f t="shared" ref="AE77" si="104">AE48/AE$57</f>
        <v>0</v>
      </c>
    </row>
    <row r="78" spans="2:31" ht="15.6" x14ac:dyDescent="0.3">
      <c r="B78" s="112" t="s">
        <v>164</v>
      </c>
      <c r="C78" s="97"/>
      <c r="D78" s="98" t="s">
        <v>165</v>
      </c>
      <c r="E78" s="116">
        <f t="shared" ref="E78:Q78" si="105">SUM(E79:E85)</f>
        <v>0.67393490729054384</v>
      </c>
      <c r="F78" s="116">
        <f t="shared" si="105"/>
        <v>0.17504377585154721</v>
      </c>
      <c r="G78" s="116">
        <f t="shared" si="105"/>
        <v>0.23435150706096985</v>
      </c>
      <c r="H78" s="116">
        <f t="shared" si="105"/>
        <v>0.18813758703479547</v>
      </c>
      <c r="I78" s="116">
        <f t="shared" si="105"/>
        <v>0.19762844436964513</v>
      </c>
      <c r="J78" s="116">
        <f t="shared" si="105"/>
        <v>0.20298876350851944</v>
      </c>
      <c r="K78" s="116">
        <f t="shared" si="105"/>
        <v>0.24732057546753772</v>
      </c>
      <c r="L78" s="116">
        <f t="shared" si="105"/>
        <v>0.33940914732077931</v>
      </c>
      <c r="M78" s="116">
        <f t="shared" si="105"/>
        <v>0.34962735731875239</v>
      </c>
      <c r="N78" s="116">
        <f t="shared" si="105"/>
        <v>0.30669218931102404</v>
      </c>
      <c r="O78" s="116">
        <f t="shared" si="105"/>
        <v>0.22941549599754052</v>
      </c>
      <c r="P78" s="116">
        <f t="shared" si="105"/>
        <v>0.21619522430025276</v>
      </c>
      <c r="Q78" s="116">
        <f t="shared" si="105"/>
        <v>0.31862555620393485</v>
      </c>
      <c r="R78" s="116">
        <f>SUM(R79:R85)</f>
        <v>0.3060344045114598</v>
      </c>
      <c r="S78" s="116">
        <f t="shared" ref="S78:AE78" si="106">SUM(S79:S85)</f>
        <v>0.41835659162224109</v>
      </c>
      <c r="T78" s="116">
        <f t="shared" si="106"/>
        <v>0.30208186966631478</v>
      </c>
      <c r="U78" s="116">
        <f t="shared" si="106"/>
        <v>0.21571926594363905</v>
      </c>
      <c r="V78" s="116">
        <f t="shared" si="106"/>
        <v>0.23571257324057615</v>
      </c>
      <c r="W78" s="116" t="e">
        <f t="shared" si="106"/>
        <v>#DIV/0!</v>
      </c>
      <c r="X78" s="116" t="e">
        <f t="shared" si="106"/>
        <v>#DIV/0!</v>
      </c>
      <c r="Y78" s="116" t="e">
        <f t="shared" si="106"/>
        <v>#DIV/0!</v>
      </c>
      <c r="Z78" s="116" t="e">
        <f t="shared" si="106"/>
        <v>#DIV/0!</v>
      </c>
      <c r="AA78" s="116" t="e">
        <f t="shared" si="106"/>
        <v>#DIV/0!</v>
      </c>
      <c r="AB78" s="116" t="e">
        <f t="shared" si="106"/>
        <v>#DIV/0!</v>
      </c>
      <c r="AC78" s="116" t="e">
        <f t="shared" si="106"/>
        <v>#DIV/0!</v>
      </c>
      <c r="AD78" s="116" t="e">
        <f t="shared" si="106"/>
        <v>#DIV/0!</v>
      </c>
      <c r="AE78" s="116">
        <f t="shared" si="106"/>
        <v>0.27281105112895315</v>
      </c>
    </row>
    <row r="79" spans="2:31" ht="15.6" x14ac:dyDescent="0.3">
      <c r="B79" s="113">
        <v>1</v>
      </c>
      <c r="C79" s="99" t="s">
        <v>97</v>
      </c>
      <c r="D79" s="99" t="s">
        <v>169</v>
      </c>
      <c r="E79" s="107">
        <f t="shared" ref="E79:R79" si="107">E50/E$57</f>
        <v>6.7275713202649426E-2</v>
      </c>
      <c r="F79" s="107">
        <f t="shared" si="107"/>
        <v>3.8535009989497521E-2</v>
      </c>
      <c r="G79" s="107">
        <f t="shared" si="107"/>
        <v>5.1682968504241374E-2</v>
      </c>
      <c r="H79" s="107">
        <f t="shared" si="107"/>
        <v>6.1284265539827257E-2</v>
      </c>
      <c r="I79" s="107">
        <f t="shared" si="107"/>
        <v>5.1380661518027011E-2</v>
      </c>
      <c r="J79" s="107">
        <f t="shared" si="107"/>
        <v>4.9910644211173534E-2</v>
      </c>
      <c r="K79" s="107">
        <f t="shared" si="107"/>
        <v>6.1126210759020333E-2</v>
      </c>
      <c r="L79" s="107">
        <f t="shared" si="107"/>
        <v>8.61478705113954E-2</v>
      </c>
      <c r="M79" s="107">
        <f t="shared" si="107"/>
        <v>8.3763527611189839E-2</v>
      </c>
      <c r="N79" s="107">
        <f t="shared" si="107"/>
        <v>6.8541450169723267E-2</v>
      </c>
      <c r="O79" s="107">
        <f t="shared" si="107"/>
        <v>4.6838041453667663E-2</v>
      </c>
      <c r="P79" s="107">
        <f t="shared" si="107"/>
        <v>4.2414098008087618E-2</v>
      </c>
      <c r="Q79" s="107">
        <f t="shared" si="107"/>
        <v>1.2918464919473946E-2</v>
      </c>
      <c r="R79" s="107">
        <f t="shared" si="107"/>
        <v>0.13567588033964956</v>
      </c>
      <c r="S79" s="107">
        <f t="shared" ref="S79:AD79" si="108">S50/S$57</f>
        <v>7.950406833289661E-2</v>
      </c>
      <c r="T79" s="107">
        <f t="shared" si="108"/>
        <v>5.8393341667583941E-2</v>
      </c>
      <c r="U79" s="107">
        <f t="shared" si="108"/>
        <v>4.0822058149161643E-2</v>
      </c>
      <c r="V79" s="107">
        <f t="shared" si="108"/>
        <v>4.4510520445122111E-2</v>
      </c>
      <c r="W79" s="107" t="e">
        <f t="shared" si="108"/>
        <v>#DIV/0!</v>
      </c>
      <c r="X79" s="107" t="e">
        <f t="shared" si="108"/>
        <v>#DIV/0!</v>
      </c>
      <c r="Y79" s="107" t="e">
        <f t="shared" si="108"/>
        <v>#DIV/0!</v>
      </c>
      <c r="Z79" s="107" t="e">
        <f t="shared" si="108"/>
        <v>#DIV/0!</v>
      </c>
      <c r="AA79" s="107" t="e">
        <f t="shared" si="108"/>
        <v>#DIV/0!</v>
      </c>
      <c r="AB79" s="107" t="e">
        <f t="shared" si="108"/>
        <v>#DIV/0!</v>
      </c>
      <c r="AC79" s="107" t="e">
        <f t="shared" si="108"/>
        <v>#DIV/0!</v>
      </c>
      <c r="AD79" s="107" t="e">
        <f t="shared" si="108"/>
        <v>#DIV/0!</v>
      </c>
      <c r="AE79" s="107">
        <f t="shared" ref="AE79" si="109">AE50/AE$57</f>
        <v>5.1918675277937323E-2</v>
      </c>
    </row>
    <row r="80" spans="2:31" ht="15.6" x14ac:dyDescent="0.3">
      <c r="B80" s="114">
        <f t="shared" ref="B80:B85" si="110">B79+1</f>
        <v>2</v>
      </c>
      <c r="C80" s="101" t="s">
        <v>97</v>
      </c>
      <c r="D80" s="101" t="s">
        <v>48</v>
      </c>
      <c r="E80" s="118">
        <f t="shared" ref="E80:R80" si="111">E51/E$57</f>
        <v>0.38183456777244107</v>
      </c>
      <c r="F80" s="118">
        <f t="shared" si="111"/>
        <v>8.2805256899572022E-2</v>
      </c>
      <c r="G80" s="118">
        <f t="shared" si="111"/>
        <v>0.10643904318401214</v>
      </c>
      <c r="H80" s="118">
        <f t="shared" si="111"/>
        <v>7.6365440546425981E-2</v>
      </c>
      <c r="I80" s="118">
        <f t="shared" si="111"/>
        <v>8.7320596217073179E-2</v>
      </c>
      <c r="J80" s="118">
        <f t="shared" si="111"/>
        <v>8.7666232649052003E-2</v>
      </c>
      <c r="K80" s="118">
        <f t="shared" si="111"/>
        <v>0.10612104496724203</v>
      </c>
      <c r="L80" s="118">
        <f t="shared" si="111"/>
        <v>0.14880173967841923</v>
      </c>
      <c r="M80" s="118">
        <f t="shared" si="111"/>
        <v>0.14302127022801869</v>
      </c>
      <c r="N80" s="118">
        <f t="shared" si="111"/>
        <v>0.12550854193948963</v>
      </c>
      <c r="O80" s="118">
        <f t="shared" si="111"/>
        <v>9.5887570200130015E-2</v>
      </c>
      <c r="P80" s="118">
        <f t="shared" si="111"/>
        <v>9.1614820541559561E-2</v>
      </c>
      <c r="Q80" s="118">
        <f t="shared" si="111"/>
        <v>0.12279817056454388</v>
      </c>
      <c r="R80" s="118">
        <f t="shared" si="111"/>
        <v>9.2286422781622177E-2</v>
      </c>
      <c r="S80" s="118">
        <f t="shared" ref="S80:AD80" si="112">S51/S$57</f>
        <v>0.18405528166344351</v>
      </c>
      <c r="T80" s="118">
        <f t="shared" si="112"/>
        <v>0.13776721456513719</v>
      </c>
      <c r="U80" s="118">
        <f t="shared" si="112"/>
        <v>9.4087058975973012E-2</v>
      </c>
      <c r="V80" s="118">
        <f t="shared" si="112"/>
        <v>0.11311616603236865</v>
      </c>
      <c r="W80" s="118" t="e">
        <f t="shared" si="112"/>
        <v>#DIV/0!</v>
      </c>
      <c r="X80" s="118" t="e">
        <f t="shared" si="112"/>
        <v>#DIV/0!</v>
      </c>
      <c r="Y80" s="118" t="e">
        <f t="shared" si="112"/>
        <v>#DIV/0!</v>
      </c>
      <c r="Z80" s="118" t="e">
        <f t="shared" si="112"/>
        <v>#DIV/0!</v>
      </c>
      <c r="AA80" s="118" t="e">
        <f t="shared" si="112"/>
        <v>#DIV/0!</v>
      </c>
      <c r="AB80" s="118" t="e">
        <f t="shared" si="112"/>
        <v>#DIV/0!</v>
      </c>
      <c r="AC80" s="118" t="e">
        <f t="shared" si="112"/>
        <v>#DIV/0!</v>
      </c>
      <c r="AD80" s="118" t="e">
        <f t="shared" si="112"/>
        <v>#DIV/0!</v>
      </c>
      <c r="AE80" s="118">
        <f t="shared" ref="AE80" si="113">AE51/AE$57</f>
        <v>0.12360982540666716</v>
      </c>
    </row>
    <row r="81" spans="2:31" ht="15.6" x14ac:dyDescent="0.3">
      <c r="B81" s="114">
        <f t="shared" si="110"/>
        <v>3</v>
      </c>
      <c r="C81" s="101" t="s">
        <v>96</v>
      </c>
      <c r="D81" s="101" t="s">
        <v>16</v>
      </c>
      <c r="E81" s="118">
        <f t="shared" ref="E81:R81" si="114">E52/E$57</f>
        <v>0.13254813124619563</v>
      </c>
      <c r="F81" s="118">
        <f t="shared" si="114"/>
        <v>2.5356546399019443E-2</v>
      </c>
      <c r="G81" s="118">
        <f t="shared" si="114"/>
        <v>3.6526081784574962E-2</v>
      </c>
      <c r="H81" s="118">
        <f t="shared" si="114"/>
        <v>2.4309015275064346E-2</v>
      </c>
      <c r="I81" s="118">
        <f t="shared" si="114"/>
        <v>2.7165544135640613E-2</v>
      </c>
      <c r="J81" s="118">
        <f t="shared" si="114"/>
        <v>2.7193484998347985E-2</v>
      </c>
      <c r="K81" s="118">
        <f t="shared" si="114"/>
        <v>3.3321685957660649E-2</v>
      </c>
      <c r="L81" s="118">
        <f t="shared" si="114"/>
        <v>4.7524175008097601E-2</v>
      </c>
      <c r="M81" s="118">
        <f t="shared" si="114"/>
        <v>4.8582097151011652E-2</v>
      </c>
      <c r="N81" s="118">
        <f t="shared" si="114"/>
        <v>4.1343984959129845E-2</v>
      </c>
      <c r="O81" s="118">
        <f t="shared" si="114"/>
        <v>3.1391248075089563E-2</v>
      </c>
      <c r="P81" s="118">
        <f t="shared" si="114"/>
        <v>2.9506216098914483E-2</v>
      </c>
      <c r="Q81" s="118">
        <f t="shared" si="114"/>
        <v>3.9432890755686761E-2</v>
      </c>
      <c r="R81" s="118">
        <f t="shared" si="114"/>
        <v>2.9697661091518376E-2</v>
      </c>
      <c r="S81" s="118">
        <f t="shared" ref="S81:AD81" si="115">S52/S$57</f>
        <v>5.9419685068022421E-2</v>
      </c>
      <c r="T81" s="118">
        <f t="shared" si="115"/>
        <v>4.4652275431359849E-2</v>
      </c>
      <c r="U81" s="118">
        <f t="shared" si="115"/>
        <v>3.172939587558507E-2</v>
      </c>
      <c r="V81" s="118">
        <f t="shared" si="115"/>
        <v>3.4000430176053718E-2</v>
      </c>
      <c r="W81" s="118" t="e">
        <f t="shared" si="115"/>
        <v>#DIV/0!</v>
      </c>
      <c r="X81" s="118" t="e">
        <f t="shared" si="115"/>
        <v>#DIV/0!</v>
      </c>
      <c r="Y81" s="118" t="e">
        <f t="shared" si="115"/>
        <v>#DIV/0!</v>
      </c>
      <c r="Z81" s="118" t="e">
        <f t="shared" si="115"/>
        <v>#DIV/0!</v>
      </c>
      <c r="AA81" s="118" t="e">
        <f t="shared" si="115"/>
        <v>#DIV/0!</v>
      </c>
      <c r="AB81" s="118" t="e">
        <f t="shared" si="115"/>
        <v>#DIV/0!</v>
      </c>
      <c r="AC81" s="118" t="e">
        <f t="shared" si="115"/>
        <v>#DIV/0!</v>
      </c>
      <c r="AD81" s="118" t="e">
        <f t="shared" si="115"/>
        <v>#DIV/0!</v>
      </c>
      <c r="AE81" s="118">
        <f t="shared" ref="AE81" si="116">AE52/AE$57</f>
        <v>3.963822967249836E-2</v>
      </c>
    </row>
    <row r="82" spans="2:31" ht="15.6" x14ac:dyDescent="0.3">
      <c r="B82" s="114">
        <f t="shared" si="110"/>
        <v>4</v>
      </c>
      <c r="C82" s="101" t="s">
        <v>97</v>
      </c>
      <c r="D82" s="101" t="s">
        <v>36</v>
      </c>
      <c r="E82" s="118">
        <f t="shared" ref="E82:R82" si="117">E53/E$57</f>
        <v>3.8686288591498356E-2</v>
      </c>
      <c r="F82" s="118">
        <f t="shared" si="117"/>
        <v>1.3938316435965771E-2</v>
      </c>
      <c r="G82" s="118">
        <f t="shared" si="117"/>
        <v>1.6727957504737212E-2</v>
      </c>
      <c r="H82" s="118">
        <f t="shared" si="117"/>
        <v>9.2356078122241298E-3</v>
      </c>
      <c r="I82" s="118">
        <f t="shared" si="117"/>
        <v>1.130930015854241E-2</v>
      </c>
      <c r="J82" s="118">
        <f t="shared" si="117"/>
        <v>1.5822201737596579E-2</v>
      </c>
      <c r="K82" s="118">
        <f t="shared" si="117"/>
        <v>1.8973383877886933E-2</v>
      </c>
      <c r="L82" s="118">
        <f t="shared" si="117"/>
        <v>2.246380050114986E-2</v>
      </c>
      <c r="M82" s="118">
        <f t="shared" si="117"/>
        <v>3.8435237910030499E-2</v>
      </c>
      <c r="N82" s="118">
        <f t="shared" si="117"/>
        <v>3.9371213053523903E-2</v>
      </c>
      <c r="O82" s="118">
        <f t="shared" si="117"/>
        <v>3.2123303835285708E-2</v>
      </c>
      <c r="P82" s="118">
        <f t="shared" si="117"/>
        <v>2.7614230627046526E-2</v>
      </c>
      <c r="Q82" s="118">
        <f t="shared" si="117"/>
        <v>0.10777569461452736</v>
      </c>
      <c r="R82" s="118">
        <f t="shared" si="117"/>
        <v>2.5872063260325866E-2</v>
      </c>
      <c r="S82" s="118">
        <f t="shared" ref="S82:AD82" si="118">S53/S$57</f>
        <v>5.248871903624875E-2</v>
      </c>
      <c r="T82" s="118">
        <f t="shared" si="118"/>
        <v>2.7175645156080983E-2</v>
      </c>
      <c r="U82" s="118">
        <f t="shared" si="118"/>
        <v>2.9119524296485195E-2</v>
      </c>
      <c r="V82" s="118">
        <f t="shared" si="118"/>
        <v>1.8568306578238842E-2</v>
      </c>
      <c r="W82" s="118" t="e">
        <f t="shared" si="118"/>
        <v>#DIV/0!</v>
      </c>
      <c r="X82" s="118" t="e">
        <f t="shared" si="118"/>
        <v>#DIV/0!</v>
      </c>
      <c r="Y82" s="118" t="e">
        <f t="shared" si="118"/>
        <v>#DIV/0!</v>
      </c>
      <c r="Z82" s="118" t="e">
        <f t="shared" si="118"/>
        <v>#DIV/0!</v>
      </c>
      <c r="AA82" s="118" t="e">
        <f t="shared" si="118"/>
        <v>#DIV/0!</v>
      </c>
      <c r="AB82" s="118" t="e">
        <f t="shared" si="118"/>
        <v>#DIV/0!</v>
      </c>
      <c r="AC82" s="118" t="e">
        <f t="shared" si="118"/>
        <v>#DIV/0!</v>
      </c>
      <c r="AD82" s="118" t="e">
        <f t="shared" si="118"/>
        <v>#DIV/0!</v>
      </c>
      <c r="AE82" s="118">
        <f t="shared" ref="AE82" si="119">AE53/AE$57</f>
        <v>2.9296631831715519E-2</v>
      </c>
    </row>
    <row r="83" spans="2:31" ht="15.6" x14ac:dyDescent="0.3">
      <c r="B83" s="114">
        <f t="shared" si="110"/>
        <v>5</v>
      </c>
      <c r="C83" s="101" t="s">
        <v>97</v>
      </c>
      <c r="D83" s="101" t="s">
        <v>12</v>
      </c>
      <c r="E83" s="118">
        <f t="shared" ref="E83:R83" si="120">E54/E$57</f>
        <v>2.701089599881254E-2</v>
      </c>
      <c r="F83" s="118">
        <f t="shared" si="120"/>
        <v>5.9796465972884426E-3</v>
      </c>
      <c r="G83" s="118">
        <f t="shared" si="120"/>
        <v>8.3025419761685402E-3</v>
      </c>
      <c r="H83" s="118">
        <f t="shared" si="120"/>
        <v>6.6265798169638599E-3</v>
      </c>
      <c r="I83" s="118">
        <f t="shared" si="120"/>
        <v>7.3806604231021113E-3</v>
      </c>
      <c r="J83" s="118">
        <f t="shared" si="120"/>
        <v>7.9430855366986568E-3</v>
      </c>
      <c r="K83" s="118">
        <f t="shared" si="120"/>
        <v>7.8697221691286495E-3</v>
      </c>
      <c r="L83" s="118">
        <f t="shared" si="120"/>
        <v>9.6407921838995297E-3</v>
      </c>
      <c r="M83" s="118">
        <f t="shared" si="120"/>
        <v>1.1422194896542736E-2</v>
      </c>
      <c r="N83" s="118">
        <f t="shared" si="120"/>
        <v>1.147265471445787E-2</v>
      </c>
      <c r="O83" s="118">
        <f t="shared" si="120"/>
        <v>7.1402547270723281E-3</v>
      </c>
      <c r="P83" s="118">
        <f t="shared" si="120"/>
        <v>7.8702364062733319E-3</v>
      </c>
      <c r="Q83" s="118">
        <f t="shared" si="120"/>
        <v>1.0668796717054398E-2</v>
      </c>
      <c r="R83" s="118">
        <f t="shared" si="120"/>
        <v>7.504347501904699E-3</v>
      </c>
      <c r="S83" s="118">
        <f t="shared" ref="S83:AD83" si="121">S54/S$57</f>
        <v>1.2376922198998629E-2</v>
      </c>
      <c r="T83" s="118">
        <f t="shared" si="121"/>
        <v>1.1003151277921799E-2</v>
      </c>
      <c r="U83" s="118">
        <f t="shared" si="121"/>
        <v>7.0895960524471101E-3</v>
      </c>
      <c r="V83" s="118">
        <f t="shared" si="121"/>
        <v>8.9704706855727526E-3</v>
      </c>
      <c r="W83" s="118" t="e">
        <f t="shared" si="121"/>
        <v>#DIV/0!</v>
      </c>
      <c r="X83" s="118" t="e">
        <f t="shared" si="121"/>
        <v>#DIV/0!</v>
      </c>
      <c r="Y83" s="118" t="e">
        <f t="shared" si="121"/>
        <v>#DIV/0!</v>
      </c>
      <c r="Z83" s="118" t="e">
        <f t="shared" si="121"/>
        <v>#DIV/0!</v>
      </c>
      <c r="AA83" s="118" t="e">
        <f t="shared" si="121"/>
        <v>#DIV/0!</v>
      </c>
      <c r="AB83" s="118" t="e">
        <f t="shared" si="121"/>
        <v>#DIV/0!</v>
      </c>
      <c r="AC83" s="118" t="e">
        <f t="shared" si="121"/>
        <v>#DIV/0!</v>
      </c>
      <c r="AD83" s="118" t="e">
        <f t="shared" si="121"/>
        <v>#DIV/0!</v>
      </c>
      <c r="AE83" s="118">
        <f t="shared" ref="AE83" si="122">AE54/AE$57</f>
        <v>9.3440372393788548E-3</v>
      </c>
    </row>
    <row r="84" spans="2:31" ht="15.6" x14ac:dyDescent="0.3">
      <c r="B84" s="114">
        <f t="shared" si="110"/>
        <v>6</v>
      </c>
      <c r="C84" s="101" t="s">
        <v>97</v>
      </c>
      <c r="D84" s="101" t="s">
        <v>51</v>
      </c>
      <c r="E84" s="118">
        <f t="shared" ref="E84:R84" si="123">E55/E$57</f>
        <v>2.1592555921332655E-2</v>
      </c>
      <c r="F84" s="118">
        <f t="shared" si="123"/>
        <v>4.5445954251222796E-3</v>
      </c>
      <c r="G84" s="118">
        <f t="shared" si="123"/>
        <v>7.8314536824382521E-3</v>
      </c>
      <c r="H84" s="118">
        <f t="shared" si="123"/>
        <v>5.6054331188782518E-3</v>
      </c>
      <c r="I84" s="118">
        <f t="shared" si="123"/>
        <v>5.4127604709498685E-3</v>
      </c>
      <c r="J84" s="118">
        <f t="shared" si="123"/>
        <v>6.3511236347047325E-3</v>
      </c>
      <c r="K84" s="118">
        <f t="shared" si="123"/>
        <v>8.5525226412557151E-3</v>
      </c>
      <c r="L84" s="118">
        <f t="shared" si="123"/>
        <v>8.1693519246733605E-3</v>
      </c>
      <c r="M84" s="118">
        <f t="shared" si="123"/>
        <v>1.1290319757559533E-2</v>
      </c>
      <c r="N84" s="118">
        <f t="shared" si="123"/>
        <v>1.063975090146525E-2</v>
      </c>
      <c r="O84" s="118">
        <f t="shared" si="123"/>
        <v>8.7504712687370579E-3</v>
      </c>
      <c r="P84" s="118">
        <f t="shared" si="123"/>
        <v>9.9950017272406183E-3</v>
      </c>
      <c r="Q84" s="118">
        <f t="shared" si="123"/>
        <v>1.4764089323217478E-2</v>
      </c>
      <c r="R84" s="118">
        <f t="shared" si="123"/>
        <v>7.5086753068207088E-3</v>
      </c>
      <c r="S84" s="118">
        <f t="shared" ref="S84:AD84" si="124">S55/S$57</f>
        <v>1.4076682482056634E-2</v>
      </c>
      <c r="T84" s="118">
        <f t="shared" si="124"/>
        <v>1.2809090316341804E-2</v>
      </c>
      <c r="U84" s="118">
        <f t="shared" si="124"/>
        <v>7.7871006597112075E-3</v>
      </c>
      <c r="V84" s="118">
        <f t="shared" si="124"/>
        <v>9.2388969219143417E-3</v>
      </c>
      <c r="W84" s="118" t="e">
        <f t="shared" si="124"/>
        <v>#DIV/0!</v>
      </c>
      <c r="X84" s="118" t="e">
        <f t="shared" si="124"/>
        <v>#DIV/0!</v>
      </c>
      <c r="Y84" s="118" t="e">
        <f t="shared" si="124"/>
        <v>#DIV/0!</v>
      </c>
      <c r="Z84" s="118" t="e">
        <f t="shared" si="124"/>
        <v>#DIV/0!</v>
      </c>
      <c r="AA84" s="118" t="e">
        <f t="shared" si="124"/>
        <v>#DIV/0!</v>
      </c>
      <c r="AB84" s="118" t="e">
        <f t="shared" si="124"/>
        <v>#DIV/0!</v>
      </c>
      <c r="AC84" s="118" t="e">
        <f t="shared" si="124"/>
        <v>#DIV/0!</v>
      </c>
      <c r="AD84" s="118" t="e">
        <f t="shared" si="124"/>
        <v>#DIV/0!</v>
      </c>
      <c r="AE84" s="118">
        <f t="shared" ref="AE84" si="125">AE55/AE$57</f>
        <v>1.0315511740368336E-2</v>
      </c>
    </row>
    <row r="85" spans="2:31" ht="15.6" x14ac:dyDescent="0.3">
      <c r="B85" s="114">
        <f t="shared" si="110"/>
        <v>7</v>
      </c>
      <c r="C85" s="102" t="s">
        <v>97</v>
      </c>
      <c r="D85" s="102" t="s">
        <v>40</v>
      </c>
      <c r="E85" s="119">
        <f t="shared" ref="E85:R85" si="126">E56/E$57</f>
        <v>4.9867545576141332E-3</v>
      </c>
      <c r="F85" s="119">
        <f t="shared" si="126"/>
        <v>3.8844041050817308E-3</v>
      </c>
      <c r="G85" s="119">
        <f t="shared" si="126"/>
        <v>6.8414604247973906E-3</v>
      </c>
      <c r="H85" s="119">
        <f t="shared" si="126"/>
        <v>4.7112449254116265E-3</v>
      </c>
      <c r="I85" s="119">
        <f t="shared" si="126"/>
        <v>7.6589214463098796E-3</v>
      </c>
      <c r="J85" s="119">
        <f t="shared" si="126"/>
        <v>8.1019907409459798E-3</v>
      </c>
      <c r="K85" s="119">
        <f t="shared" si="126"/>
        <v>1.1356005095343366E-2</v>
      </c>
      <c r="L85" s="119">
        <f t="shared" si="126"/>
        <v>1.6661417513144299E-2</v>
      </c>
      <c r="M85" s="119">
        <f t="shared" si="126"/>
        <v>1.3112709764399497E-2</v>
      </c>
      <c r="N85" s="119">
        <f t="shared" si="126"/>
        <v>9.8145935732342482E-3</v>
      </c>
      <c r="O85" s="119">
        <f t="shared" si="126"/>
        <v>7.2846064375581658E-3</v>
      </c>
      <c r="P85" s="119">
        <f t="shared" si="126"/>
        <v>7.1806208911306089E-3</v>
      </c>
      <c r="Q85" s="119">
        <f t="shared" si="126"/>
        <v>1.0267449309431041E-2</v>
      </c>
      <c r="R85" s="119">
        <f t="shared" si="126"/>
        <v>7.4893542296183731E-3</v>
      </c>
      <c r="S85" s="119">
        <f t="shared" ref="S85:AD85" si="127">S56/S$57</f>
        <v>1.6435232840574573E-2</v>
      </c>
      <c r="T85" s="119">
        <f t="shared" si="127"/>
        <v>1.0281151251889215E-2</v>
      </c>
      <c r="U85" s="119">
        <f t="shared" si="127"/>
        <v>5.084531934275837E-3</v>
      </c>
      <c r="V85" s="119">
        <f t="shared" si="127"/>
        <v>7.3077824013057227E-3</v>
      </c>
      <c r="W85" s="119" t="e">
        <f t="shared" si="127"/>
        <v>#DIV/0!</v>
      </c>
      <c r="X85" s="119" t="e">
        <f t="shared" si="127"/>
        <v>#DIV/0!</v>
      </c>
      <c r="Y85" s="119" t="e">
        <f t="shared" si="127"/>
        <v>#DIV/0!</v>
      </c>
      <c r="Z85" s="119" t="e">
        <f t="shared" si="127"/>
        <v>#DIV/0!</v>
      </c>
      <c r="AA85" s="119" t="e">
        <f t="shared" si="127"/>
        <v>#DIV/0!</v>
      </c>
      <c r="AB85" s="119" t="e">
        <f t="shared" si="127"/>
        <v>#DIV/0!</v>
      </c>
      <c r="AC85" s="119" t="e">
        <f t="shared" si="127"/>
        <v>#DIV/0!</v>
      </c>
      <c r="AD85" s="119" t="e">
        <f t="shared" si="127"/>
        <v>#DIV/0!</v>
      </c>
      <c r="AE85" s="119">
        <f t="shared" ref="AE85" si="128">AE56/AE$57</f>
        <v>8.6881399603875708E-3</v>
      </c>
    </row>
    <row r="86" spans="2:31" ht="15.6" x14ac:dyDescent="0.3">
      <c r="B86" s="108" t="s">
        <v>173</v>
      </c>
      <c r="C86" s="109"/>
      <c r="D86" s="108"/>
      <c r="E86" s="115">
        <f t="shared" ref="E86:Q86" si="129">E66+E78</f>
        <v>1</v>
      </c>
      <c r="F86" s="115">
        <f t="shared" si="129"/>
        <v>0.99999999999999967</v>
      </c>
      <c r="G86" s="115">
        <f t="shared" si="129"/>
        <v>1</v>
      </c>
      <c r="H86" s="115">
        <f t="shared" si="129"/>
        <v>0.99999999999999978</v>
      </c>
      <c r="I86" s="115">
        <f t="shared" si="129"/>
        <v>1.0000000000000004</v>
      </c>
      <c r="J86" s="115">
        <f t="shared" si="129"/>
        <v>1</v>
      </c>
      <c r="K86" s="115">
        <f t="shared" si="129"/>
        <v>0.99999999999999989</v>
      </c>
      <c r="L86" s="115">
        <f t="shared" si="129"/>
        <v>1</v>
      </c>
      <c r="M86" s="115">
        <f t="shared" si="129"/>
        <v>0.99999999999999967</v>
      </c>
      <c r="N86" s="115">
        <f t="shared" si="129"/>
        <v>1</v>
      </c>
      <c r="O86" s="115">
        <f t="shared" si="129"/>
        <v>1</v>
      </c>
      <c r="P86" s="115">
        <f t="shared" si="129"/>
        <v>1</v>
      </c>
      <c r="Q86" s="115">
        <f t="shared" si="129"/>
        <v>0.99999999999999989</v>
      </c>
      <c r="R86" s="115">
        <f>R66+R78</f>
        <v>1.0000000000000002</v>
      </c>
      <c r="S86" s="115">
        <f t="shared" ref="S86:AD86" si="130">S66+S78</f>
        <v>1</v>
      </c>
      <c r="T86" s="115">
        <f t="shared" si="130"/>
        <v>0.99999999999999978</v>
      </c>
      <c r="U86" s="115">
        <f t="shared" si="130"/>
        <v>1.0000000000000002</v>
      </c>
      <c r="V86" s="115">
        <f t="shared" si="130"/>
        <v>1.0000000000000004</v>
      </c>
      <c r="W86" s="115" t="e">
        <f t="shared" si="130"/>
        <v>#DIV/0!</v>
      </c>
      <c r="X86" s="115" t="e">
        <f t="shared" si="130"/>
        <v>#DIV/0!</v>
      </c>
      <c r="Y86" s="115" t="e">
        <f t="shared" si="130"/>
        <v>#DIV/0!</v>
      </c>
      <c r="Z86" s="115" t="e">
        <f t="shared" si="130"/>
        <v>#DIV/0!</v>
      </c>
      <c r="AA86" s="115" t="e">
        <f t="shared" si="130"/>
        <v>#DIV/0!</v>
      </c>
      <c r="AB86" s="115" t="e">
        <f t="shared" si="130"/>
        <v>#DIV/0!</v>
      </c>
      <c r="AC86" s="115" t="e">
        <f t="shared" si="130"/>
        <v>#DIV/0!</v>
      </c>
      <c r="AD86" s="115" t="e">
        <f t="shared" si="130"/>
        <v>#DIV/0!</v>
      </c>
      <c r="AE86" s="115">
        <f t="shared" ref="AE86" si="131">AE66+AE78</f>
        <v>1.0000000000000002</v>
      </c>
    </row>
    <row r="90" spans="2:31" ht="31.2" x14ac:dyDescent="0.3">
      <c r="B90" s="94" t="s">
        <v>57</v>
      </c>
      <c r="C90" s="94" t="s">
        <v>58</v>
      </c>
      <c r="D90" s="94" t="s">
        <v>59</v>
      </c>
      <c r="E90" s="96" t="s">
        <v>171</v>
      </c>
      <c r="F90" s="120" t="s">
        <v>186</v>
      </c>
      <c r="G90" s="96">
        <v>2</v>
      </c>
      <c r="H90" s="96">
        <v>3</v>
      </c>
      <c r="I90" s="95">
        <v>4</v>
      </c>
      <c r="J90" s="95">
        <v>5</v>
      </c>
      <c r="K90" s="95">
        <v>6</v>
      </c>
      <c r="L90" s="95">
        <v>7</v>
      </c>
      <c r="M90" s="95">
        <v>8</v>
      </c>
      <c r="N90" s="95">
        <v>9</v>
      </c>
      <c r="O90" s="95">
        <v>10</v>
      </c>
      <c r="P90" s="95">
        <v>11</v>
      </c>
      <c r="Q90" s="95">
        <v>12</v>
      </c>
      <c r="R90" s="96" t="s">
        <v>175</v>
      </c>
      <c r="S90" s="522" t="s">
        <v>229</v>
      </c>
      <c r="T90" s="522">
        <v>2</v>
      </c>
      <c r="U90" s="522">
        <v>3</v>
      </c>
      <c r="V90" s="522">
        <v>4</v>
      </c>
      <c r="W90" s="522">
        <v>5</v>
      </c>
      <c r="X90" s="522">
        <v>6</v>
      </c>
      <c r="Y90" s="522">
        <v>7</v>
      </c>
      <c r="Z90" s="522">
        <v>8</v>
      </c>
      <c r="AA90" s="522">
        <v>9</v>
      </c>
      <c r="AB90" s="522">
        <v>10</v>
      </c>
      <c r="AC90" s="522">
        <v>11</v>
      </c>
      <c r="AD90" s="522">
        <v>12</v>
      </c>
      <c r="AE90" s="522" t="s">
        <v>250</v>
      </c>
    </row>
    <row r="91" spans="2:31" ht="15.6" x14ac:dyDescent="0.3">
      <c r="B91" s="662" t="s">
        <v>182</v>
      </c>
      <c r="C91" s="662"/>
      <c r="D91" s="662"/>
      <c r="E91" s="140">
        <f>E59/E$57</f>
        <v>8.3937332351351049E-2</v>
      </c>
      <c r="F91" s="140">
        <f t="shared" ref="F91:R91" si="132">F59/F$57</f>
        <v>0.76033547678877333</v>
      </c>
      <c r="G91" s="140">
        <f t="shared" si="132"/>
        <v>0.69885820800498277</v>
      </c>
      <c r="H91" s="140">
        <f t="shared" si="132"/>
        <v>0.75349374881205422</v>
      </c>
      <c r="I91" s="140">
        <f t="shared" si="132"/>
        <v>0.72763809635337828</v>
      </c>
      <c r="J91" s="140">
        <f t="shared" si="132"/>
        <v>0.72602704578922117</v>
      </c>
      <c r="K91" s="140">
        <f t="shared" si="132"/>
        <v>0.66995057927114821</v>
      </c>
      <c r="L91" s="140">
        <f t="shared" si="132"/>
        <v>0.58505633928985479</v>
      </c>
      <c r="M91" s="140">
        <f t="shared" si="132"/>
        <v>0.55442672920146552</v>
      </c>
      <c r="N91" s="140">
        <f t="shared" si="132"/>
        <v>0.61241981617106622</v>
      </c>
      <c r="O91" s="140">
        <f t="shared" si="132"/>
        <v>0.70356484490895721</v>
      </c>
      <c r="P91" s="140">
        <f t="shared" si="132"/>
        <v>0.71788846158470743</v>
      </c>
      <c r="Q91" s="140">
        <f t="shared" si="132"/>
        <v>0.60200440268668176</v>
      </c>
      <c r="R91" s="140">
        <f t="shared" si="132"/>
        <v>0.62826929386024077</v>
      </c>
      <c r="S91" s="523">
        <f t="shared" ref="S91:AE91" si="133">S59/S$57</f>
        <v>0.4957275333209506</v>
      </c>
      <c r="T91" s="523">
        <f t="shared" si="133"/>
        <v>0.61598471624404982</v>
      </c>
      <c r="U91" s="523">
        <f t="shared" si="133"/>
        <v>0.71789075893057108</v>
      </c>
      <c r="V91" s="523">
        <f t="shared" si="133"/>
        <v>0.69068921207810463</v>
      </c>
      <c r="W91" s="523" t="e">
        <f t="shared" si="133"/>
        <v>#DIV/0!</v>
      </c>
      <c r="X91" s="523" t="e">
        <f t="shared" si="133"/>
        <v>#DIV/0!</v>
      </c>
      <c r="Y91" s="523" t="e">
        <f t="shared" si="133"/>
        <v>#DIV/0!</v>
      </c>
      <c r="Z91" s="523" t="e">
        <f t="shared" si="133"/>
        <v>#DIV/0!</v>
      </c>
      <c r="AA91" s="523" t="e">
        <f t="shared" si="133"/>
        <v>#DIV/0!</v>
      </c>
      <c r="AB91" s="523" t="e">
        <f t="shared" si="133"/>
        <v>#DIV/0!</v>
      </c>
      <c r="AC91" s="523" t="e">
        <f t="shared" si="133"/>
        <v>#DIV/0!</v>
      </c>
      <c r="AD91" s="523" t="e">
        <f t="shared" si="133"/>
        <v>#DIV/0!</v>
      </c>
      <c r="AE91" s="523">
        <f t="shared" si="133"/>
        <v>0.65215813572024561</v>
      </c>
    </row>
    <row r="92" spans="2:31" ht="15.6" x14ac:dyDescent="0.3">
      <c r="B92" s="663" t="s">
        <v>183</v>
      </c>
      <c r="C92" s="663"/>
      <c r="D92" s="663"/>
      <c r="E92" s="140">
        <f>E60/E$57</f>
        <v>0.91606266764864885</v>
      </c>
      <c r="F92" s="140">
        <f t="shared" ref="F92:R92" si="134">F60/F$57</f>
        <v>0.23966452321122667</v>
      </c>
      <c r="G92" s="140">
        <f t="shared" si="134"/>
        <v>0.30114179199501723</v>
      </c>
      <c r="H92" s="140">
        <f t="shared" si="134"/>
        <v>0.24650625118794575</v>
      </c>
      <c r="I92" s="140">
        <f t="shared" si="134"/>
        <v>0.27236190364662166</v>
      </c>
      <c r="J92" s="140">
        <f t="shared" si="134"/>
        <v>0.27397295421077883</v>
      </c>
      <c r="K92" s="140">
        <f t="shared" si="134"/>
        <v>0.33004942072885179</v>
      </c>
      <c r="L92" s="140">
        <f t="shared" si="134"/>
        <v>0.41494366071014516</v>
      </c>
      <c r="M92" s="140">
        <f t="shared" si="134"/>
        <v>0.44557327079853454</v>
      </c>
      <c r="N92" s="140">
        <f t="shared" si="134"/>
        <v>0.38758018382893378</v>
      </c>
      <c r="O92" s="140">
        <f t="shared" si="134"/>
        <v>0.29643515509104273</v>
      </c>
      <c r="P92" s="140">
        <f t="shared" si="134"/>
        <v>0.28211153841529263</v>
      </c>
      <c r="Q92" s="140">
        <f t="shared" si="134"/>
        <v>0.39799559731331818</v>
      </c>
      <c r="R92" s="140">
        <f t="shared" si="134"/>
        <v>0.37173070613975923</v>
      </c>
      <c r="S92" s="523">
        <f t="shared" ref="S92:AE92" si="135">S60/S$57</f>
        <v>0.50427246667904946</v>
      </c>
      <c r="T92" s="523">
        <f t="shared" si="135"/>
        <v>0.38401528375595012</v>
      </c>
      <c r="U92" s="523">
        <f t="shared" si="135"/>
        <v>0.28210924106942897</v>
      </c>
      <c r="V92" s="523">
        <f t="shared" si="135"/>
        <v>0.30931078792189542</v>
      </c>
      <c r="W92" s="523" t="e">
        <f t="shared" si="135"/>
        <v>#DIV/0!</v>
      </c>
      <c r="X92" s="523" t="e">
        <f t="shared" si="135"/>
        <v>#DIV/0!</v>
      </c>
      <c r="Y92" s="523" t="e">
        <f t="shared" si="135"/>
        <v>#DIV/0!</v>
      </c>
      <c r="Z92" s="523" t="e">
        <f t="shared" si="135"/>
        <v>#DIV/0!</v>
      </c>
      <c r="AA92" s="523" t="e">
        <f t="shared" si="135"/>
        <v>#DIV/0!</v>
      </c>
      <c r="AB92" s="523" t="e">
        <f t="shared" si="135"/>
        <v>#DIV/0!</v>
      </c>
      <c r="AC92" s="523" t="e">
        <f t="shared" si="135"/>
        <v>#DIV/0!</v>
      </c>
      <c r="AD92" s="523" t="e">
        <f t="shared" si="135"/>
        <v>#DIV/0!</v>
      </c>
      <c r="AE92" s="523">
        <f t="shared" si="135"/>
        <v>0.34784186427975439</v>
      </c>
    </row>
  </sheetData>
  <mergeCells count="4">
    <mergeCell ref="B59:D59"/>
    <mergeCell ref="B60:D60"/>
    <mergeCell ref="B91:D91"/>
    <mergeCell ref="B92:D92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3CA1E-BCB5-4FEE-B64F-CD38C76220C0}">
  <sheetPr>
    <tabColor rgb="FFFFC000"/>
  </sheetPr>
  <dimension ref="A1:AI81"/>
  <sheetViews>
    <sheetView zoomScaleNormal="100" workbookViewId="0">
      <pane xSplit="4" ySplit="3" topLeftCell="R4" activePane="bottomRight" state="frozen"/>
      <selection activeCell="AH13" sqref="AH13"/>
      <selection pane="topRight" activeCell="AH13" sqref="AH13"/>
      <selection pane="bottomLeft" activeCell="AH13" sqref="AH13"/>
      <selection pane="bottomRight" activeCell="AH23" sqref="AH23"/>
    </sheetView>
  </sheetViews>
  <sheetFormatPr defaultRowHeight="14.4" x14ac:dyDescent="0.3"/>
  <cols>
    <col min="1" max="1" width="4.44140625" hidden="1" customWidth="1"/>
    <col min="2" max="2" width="4.44140625" customWidth="1"/>
    <col min="3" max="3" width="10.44140625" hidden="1" customWidth="1"/>
    <col min="4" max="4" width="23.5546875" bestFit="1" customWidth="1"/>
    <col min="5" max="17" width="7.77734375" hidden="1" customWidth="1"/>
    <col min="18" max="25" width="7.77734375" customWidth="1"/>
    <col min="26" max="30" width="7.77734375" hidden="1" customWidth="1"/>
    <col min="31" max="31" width="8.77734375" customWidth="1"/>
    <col min="32" max="32" width="0" hidden="1" customWidth="1"/>
    <col min="35" max="35" width="9.21875" customWidth="1"/>
  </cols>
  <sheetData>
    <row r="1" spans="1:31" x14ac:dyDescent="0.3">
      <c r="D1" s="13" t="s">
        <v>118</v>
      </c>
    </row>
    <row r="2" spans="1:31" x14ac:dyDescent="0.3">
      <c r="F2" s="105"/>
      <c r="G2" s="105"/>
      <c r="H2" s="105"/>
      <c r="I2" s="105"/>
      <c r="J2" s="105"/>
      <c r="K2" s="105"/>
      <c r="L2" s="105">
        <v>7</v>
      </c>
      <c r="M2" s="105">
        <v>8</v>
      </c>
      <c r="N2" s="105">
        <v>9</v>
      </c>
      <c r="O2" s="105">
        <v>10</v>
      </c>
      <c r="P2" s="105">
        <v>11</v>
      </c>
      <c r="Q2" s="105">
        <v>12</v>
      </c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</row>
    <row r="3" spans="1:31" s="89" customFormat="1" x14ac:dyDescent="0.3">
      <c r="A3" s="105">
        <v>1</v>
      </c>
      <c r="B3" s="74" t="s">
        <v>57</v>
      </c>
      <c r="C3" s="74" t="s">
        <v>58</v>
      </c>
      <c r="D3" s="74" t="s">
        <v>59</v>
      </c>
      <c r="E3" s="74" t="s">
        <v>171</v>
      </c>
      <c r="F3" s="76" t="s">
        <v>72</v>
      </c>
      <c r="G3" s="76" t="s">
        <v>73</v>
      </c>
      <c r="H3" s="76" t="s">
        <v>74</v>
      </c>
      <c r="I3" s="76" t="s">
        <v>75</v>
      </c>
      <c r="J3" s="76" t="s">
        <v>76</v>
      </c>
      <c r="K3" s="76" t="s">
        <v>77</v>
      </c>
      <c r="L3" s="76" t="s">
        <v>78</v>
      </c>
      <c r="M3" s="76" t="s">
        <v>79</v>
      </c>
      <c r="N3" s="76" t="s">
        <v>80</v>
      </c>
      <c r="O3" s="76" t="s">
        <v>81</v>
      </c>
      <c r="P3" s="76" t="s">
        <v>82</v>
      </c>
      <c r="Q3" s="76" t="s">
        <v>83</v>
      </c>
      <c r="R3" s="76" t="s">
        <v>185</v>
      </c>
      <c r="S3" s="76" t="s">
        <v>229</v>
      </c>
      <c r="T3" s="76">
        <v>2</v>
      </c>
      <c r="U3" s="76">
        <v>3</v>
      </c>
      <c r="V3" s="76">
        <v>4</v>
      </c>
      <c r="W3" s="76">
        <v>5</v>
      </c>
      <c r="X3" s="76">
        <v>6</v>
      </c>
      <c r="Y3" s="76">
        <v>7</v>
      </c>
      <c r="Z3" s="76">
        <v>8</v>
      </c>
      <c r="AA3" s="76">
        <v>9</v>
      </c>
      <c r="AB3" s="76">
        <v>10</v>
      </c>
      <c r="AC3" s="76">
        <v>11</v>
      </c>
      <c r="AD3" s="76">
        <v>12</v>
      </c>
      <c r="AE3" s="76" t="s">
        <v>250</v>
      </c>
    </row>
    <row r="4" spans="1:31" s="12" customFormat="1" x14ac:dyDescent="0.3">
      <c r="A4" s="105">
        <v>2</v>
      </c>
      <c r="B4" s="81" t="s">
        <v>162</v>
      </c>
      <c r="C4" s="77" t="s">
        <v>163</v>
      </c>
      <c r="D4" s="77"/>
      <c r="E4" s="77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</row>
    <row r="5" spans="1:31" x14ac:dyDescent="0.3">
      <c r="A5" s="105">
        <v>3</v>
      </c>
      <c r="B5" s="3">
        <v>1</v>
      </c>
      <c r="C5" s="3" t="s">
        <v>96</v>
      </c>
      <c r="D5" s="3" t="s">
        <v>261</v>
      </c>
      <c r="E5" s="126">
        <v>0</v>
      </c>
      <c r="F5" s="5">
        <v>9669.5562090000003</v>
      </c>
      <c r="G5" s="5">
        <v>2770.8608000000004</v>
      </c>
      <c r="H5" s="5">
        <v>9640.6678449999981</v>
      </c>
      <c r="I5" s="5">
        <v>7415.648506999999</v>
      </c>
      <c r="J5" s="5">
        <v>12959.9771</v>
      </c>
      <c r="K5" s="5">
        <v>8507.887539000003</v>
      </c>
      <c r="L5" s="5">
        <v>7712.6165700000001</v>
      </c>
      <c r="M5" s="5">
        <v>7957.0451679999996</v>
      </c>
      <c r="N5" s="5">
        <v>6250.8351554000001</v>
      </c>
      <c r="O5" s="5">
        <v>8769.1359200000006</v>
      </c>
      <c r="P5" s="5">
        <v>11147.77336903461</v>
      </c>
      <c r="Q5" s="5">
        <v>8565.9155420273073</v>
      </c>
      <c r="R5" s="5">
        <f>AVERAGE(F5:Q5)</f>
        <v>8447.3266437051589</v>
      </c>
      <c r="S5" s="5">
        <v>5307.2314091755552</v>
      </c>
      <c r="T5" s="5">
        <v>7112.7750845959836</v>
      </c>
      <c r="U5" s="5">
        <v>10027.978410793301</v>
      </c>
      <c r="V5" s="5">
        <v>8865.9092319088195</v>
      </c>
      <c r="W5" s="5"/>
      <c r="X5" s="5"/>
      <c r="Y5" s="5"/>
      <c r="Z5" s="5"/>
      <c r="AA5" s="5"/>
      <c r="AB5" s="5"/>
      <c r="AC5" s="5"/>
      <c r="AD5" s="5"/>
      <c r="AE5" s="42">
        <f>AVERAGE(S5:AD5)</f>
        <v>7828.473534118415</v>
      </c>
    </row>
    <row r="6" spans="1:31" x14ac:dyDescent="0.3">
      <c r="A6" s="105">
        <v>4</v>
      </c>
      <c r="B6" s="3">
        <f>B5+1</f>
        <v>2</v>
      </c>
      <c r="C6" s="3" t="s">
        <v>96</v>
      </c>
      <c r="D6" s="3" t="s">
        <v>25</v>
      </c>
      <c r="E6" s="126">
        <v>323.01838806049415</v>
      </c>
      <c r="F6" s="5">
        <v>610.75515541597599</v>
      </c>
      <c r="G6" s="5">
        <v>197.09338875387758</v>
      </c>
      <c r="H6" s="5">
        <v>474.99105064497905</v>
      </c>
      <c r="I6" s="5">
        <v>518.51828676339028</v>
      </c>
      <c r="J6" s="5">
        <v>925.28949428571457</v>
      </c>
      <c r="K6" s="5">
        <v>728.82332580608761</v>
      </c>
      <c r="L6" s="5">
        <v>1040.6218060855947</v>
      </c>
      <c r="M6" s="5">
        <v>627.90611483786836</v>
      </c>
      <c r="N6" s="5">
        <v>526.06413941368612</v>
      </c>
      <c r="O6" s="5">
        <v>481.16394094668078</v>
      </c>
      <c r="P6" s="5">
        <v>721.21150467213522</v>
      </c>
      <c r="Q6" s="5">
        <v>594.37168786047368</v>
      </c>
      <c r="R6" s="5">
        <f t="shared" ref="R6:R27" si="0">AVERAGE(F6:Q6)</f>
        <v>620.56749129053878</v>
      </c>
      <c r="S6" s="5">
        <v>435.87437797914743</v>
      </c>
      <c r="T6" s="5">
        <v>482.09564991550235</v>
      </c>
      <c r="U6" s="5">
        <v>637.55940146402088</v>
      </c>
      <c r="V6" s="5">
        <v>640.03319526893426</v>
      </c>
      <c r="W6" s="5"/>
      <c r="X6" s="5"/>
      <c r="Y6" s="5"/>
      <c r="Z6" s="5"/>
      <c r="AA6" s="5"/>
      <c r="AB6" s="5"/>
      <c r="AC6" s="5"/>
      <c r="AD6" s="5"/>
      <c r="AE6" s="42">
        <f t="shared" ref="AE6:AE25" si="1">AVERAGE(S6:AD6)</f>
        <v>548.89065615690129</v>
      </c>
    </row>
    <row r="7" spans="1:31" x14ac:dyDescent="0.3">
      <c r="A7" s="105">
        <v>6</v>
      </c>
      <c r="B7" s="3">
        <f t="shared" ref="B7:B15" si="2">B6+1</f>
        <v>3</v>
      </c>
      <c r="C7" s="3" t="s">
        <v>96</v>
      </c>
      <c r="D7" s="3" t="s">
        <v>166</v>
      </c>
      <c r="E7" s="126">
        <v>7.5180477076650565</v>
      </c>
      <c r="F7" s="5">
        <v>19.905530690908229</v>
      </c>
      <c r="G7" s="5">
        <v>7.243187378746585</v>
      </c>
      <c r="H7" s="5">
        <v>8.1524948425251029</v>
      </c>
      <c r="I7" s="5">
        <v>7.9891387090057044</v>
      </c>
      <c r="J7" s="5">
        <v>7.3785128892304028</v>
      </c>
      <c r="K7" s="5">
        <v>14.613812683716194</v>
      </c>
      <c r="L7" s="5">
        <v>14.403673262901254</v>
      </c>
      <c r="M7" s="5">
        <v>25.060754234087923</v>
      </c>
      <c r="N7" s="5">
        <v>14.671498041527812</v>
      </c>
      <c r="O7" s="5">
        <v>28.321362476490304</v>
      </c>
      <c r="P7" s="5">
        <v>37.932949547041595</v>
      </c>
      <c r="Q7" s="5">
        <v>40.086278005107005</v>
      </c>
      <c r="R7" s="5">
        <f t="shared" si="0"/>
        <v>18.813266063440675</v>
      </c>
      <c r="S7" s="5">
        <v>12.948206602507058</v>
      </c>
      <c r="T7" s="5">
        <v>28.529209135022615</v>
      </c>
      <c r="U7" s="5">
        <v>33.692530450213425</v>
      </c>
      <c r="V7" s="5">
        <v>22.779053173568691</v>
      </c>
      <c r="W7" s="5"/>
      <c r="X7" s="5"/>
      <c r="Y7" s="5"/>
      <c r="Z7" s="5"/>
      <c r="AA7" s="5"/>
      <c r="AB7" s="5"/>
      <c r="AC7" s="5"/>
      <c r="AD7" s="5"/>
      <c r="AE7" s="42">
        <f t="shared" si="1"/>
        <v>24.487249840327948</v>
      </c>
    </row>
    <row r="8" spans="1:31" x14ac:dyDescent="0.3">
      <c r="A8" s="105">
        <v>7</v>
      </c>
      <c r="B8" s="3">
        <f t="shared" si="2"/>
        <v>4</v>
      </c>
      <c r="C8" s="3" t="s">
        <v>96</v>
      </c>
      <c r="D8" s="3" t="s">
        <v>54</v>
      </c>
      <c r="E8" s="126">
        <v>50.312190166666667</v>
      </c>
      <c r="F8" s="5">
        <v>64.042685000000006</v>
      </c>
      <c r="G8" s="5">
        <v>7.3138459999999998</v>
      </c>
      <c r="H8" s="5">
        <v>120.98595300000001</v>
      </c>
      <c r="I8" s="5">
        <v>11.485238000000001</v>
      </c>
      <c r="J8" s="5">
        <v>66.225380000000001</v>
      </c>
      <c r="K8" s="5">
        <v>12.673625000000001</v>
      </c>
      <c r="L8" s="5">
        <v>125.26359200000002</v>
      </c>
      <c r="M8" s="5">
        <v>95.680999999999997</v>
      </c>
      <c r="N8" s="5">
        <v>54.220112</v>
      </c>
      <c r="O8" s="5">
        <v>86.870660000000001</v>
      </c>
      <c r="P8" s="5">
        <v>76.427878000000007</v>
      </c>
      <c r="Q8" s="5">
        <v>67.006164999999996</v>
      </c>
      <c r="R8" s="5">
        <f t="shared" si="0"/>
        <v>65.683011166666674</v>
      </c>
      <c r="S8" s="5">
        <v>88.127313000000001</v>
      </c>
      <c r="T8" s="5">
        <v>88.891142000000002</v>
      </c>
      <c r="U8" s="5">
        <v>73.682073000000003</v>
      </c>
      <c r="V8" s="5">
        <v>30.512768999999999</v>
      </c>
      <c r="W8" s="5"/>
      <c r="X8" s="5"/>
      <c r="Y8" s="5"/>
      <c r="Z8" s="5"/>
      <c r="AA8" s="5"/>
      <c r="AB8" s="5"/>
      <c r="AC8" s="5"/>
      <c r="AD8" s="5"/>
      <c r="AE8" s="42">
        <f t="shared" si="1"/>
        <v>70.303324250000003</v>
      </c>
    </row>
    <row r="9" spans="1:31" x14ac:dyDescent="0.3">
      <c r="A9" s="105">
        <v>8</v>
      </c>
      <c r="B9" s="3">
        <f t="shared" si="2"/>
        <v>5</v>
      </c>
      <c r="C9" s="3" t="s">
        <v>96</v>
      </c>
      <c r="D9" s="3" t="s">
        <v>49</v>
      </c>
      <c r="E9" s="126">
        <v>201.56791554133866</v>
      </c>
      <c r="F9" s="5">
        <v>118.42357265812871</v>
      </c>
      <c r="G9" s="5">
        <v>9.1813556736264008</v>
      </c>
      <c r="H9" s="5">
        <v>42.886294446438001</v>
      </c>
      <c r="I9" s="5">
        <v>22.048397297851324</v>
      </c>
      <c r="J9" s="5">
        <v>202.30603920130721</v>
      </c>
      <c r="K9" s="5">
        <v>52.46595580072642</v>
      </c>
      <c r="L9" s="5">
        <v>177.60429591592964</v>
      </c>
      <c r="M9" s="5">
        <v>35.415202331832447</v>
      </c>
      <c r="N9" s="5">
        <v>99.724873538497619</v>
      </c>
      <c r="O9" s="5">
        <v>65.211278706262249</v>
      </c>
      <c r="P9" s="5">
        <v>47.32710463078881</v>
      </c>
      <c r="Q9" s="5">
        <v>65.168916372739915</v>
      </c>
      <c r="R9" s="5">
        <f t="shared" si="0"/>
        <v>78.146940547844039</v>
      </c>
      <c r="S9" s="5">
        <v>60.085832835596612</v>
      </c>
      <c r="T9" s="5">
        <v>57.12674286869629</v>
      </c>
      <c r="U9" s="5">
        <v>73.806842656480399</v>
      </c>
      <c r="V9" s="5">
        <v>115.65883816325351</v>
      </c>
      <c r="W9" s="5"/>
      <c r="X9" s="5"/>
      <c r="Y9" s="5"/>
      <c r="Z9" s="5"/>
      <c r="AA9" s="5"/>
      <c r="AB9" s="5"/>
      <c r="AC9" s="5"/>
      <c r="AD9" s="5"/>
      <c r="AE9" s="42">
        <f t="shared" si="1"/>
        <v>76.669564131006695</v>
      </c>
    </row>
    <row r="10" spans="1:31" x14ac:dyDescent="0.3">
      <c r="A10" s="105">
        <v>9</v>
      </c>
      <c r="B10" s="3">
        <f t="shared" si="2"/>
        <v>6</v>
      </c>
      <c r="C10" s="3" t="s">
        <v>96</v>
      </c>
      <c r="D10" s="3" t="s">
        <v>56</v>
      </c>
      <c r="E10" s="126">
        <v>87.982019750000006</v>
      </c>
      <c r="F10" s="5">
        <v>137.10714899999999</v>
      </c>
      <c r="G10" s="5">
        <v>39.876287000000005</v>
      </c>
      <c r="H10" s="5">
        <v>100.417382</v>
      </c>
      <c r="I10" s="5">
        <v>127.24527799999998</v>
      </c>
      <c r="J10" s="5">
        <v>145.26237399999999</v>
      </c>
      <c r="K10" s="5">
        <v>114.84347099999998</v>
      </c>
      <c r="L10" s="5">
        <v>112.36982099999999</v>
      </c>
      <c r="M10" s="5">
        <v>97.615588000000002</v>
      </c>
      <c r="N10" s="5">
        <v>69.804575</v>
      </c>
      <c r="O10" s="5">
        <v>117.72641200000001</v>
      </c>
      <c r="P10" s="5">
        <v>141.65364500000001</v>
      </c>
      <c r="Q10" s="5">
        <v>108.96037800000002</v>
      </c>
      <c r="R10" s="5">
        <f t="shared" si="0"/>
        <v>109.40686333333333</v>
      </c>
      <c r="S10" s="5">
        <v>64.294326999999996</v>
      </c>
      <c r="T10" s="5">
        <v>115.75129600000002</v>
      </c>
      <c r="U10" s="5">
        <v>123.24428499999999</v>
      </c>
      <c r="V10" s="5">
        <v>102.46235</v>
      </c>
      <c r="W10" s="5"/>
      <c r="X10" s="5"/>
      <c r="Y10" s="5"/>
      <c r="Z10" s="5"/>
      <c r="AA10" s="5"/>
      <c r="AB10" s="5"/>
      <c r="AC10" s="5"/>
      <c r="AD10" s="5"/>
      <c r="AE10" s="42">
        <f t="shared" si="1"/>
        <v>101.43806450000001</v>
      </c>
    </row>
    <row r="11" spans="1:31" x14ac:dyDescent="0.3">
      <c r="A11" s="105">
        <v>10</v>
      </c>
      <c r="B11" s="3">
        <f t="shared" si="2"/>
        <v>7</v>
      </c>
      <c r="C11" s="3" t="s">
        <v>96</v>
      </c>
      <c r="D11" s="3" t="s">
        <v>28</v>
      </c>
      <c r="E11" s="126">
        <v>36.387831161509666</v>
      </c>
      <c r="F11" s="5">
        <v>42.535428447542301</v>
      </c>
      <c r="G11" s="5">
        <v>12.806819911604371</v>
      </c>
      <c r="H11" s="5">
        <v>38.297206745270742</v>
      </c>
      <c r="I11" s="5">
        <v>36.538365604990659</v>
      </c>
      <c r="J11" s="5">
        <v>60.387762704575174</v>
      </c>
      <c r="K11" s="5">
        <v>53.479920084332946</v>
      </c>
      <c r="L11" s="5">
        <v>107.32673041236505</v>
      </c>
      <c r="M11" s="5">
        <v>47.437429824105841</v>
      </c>
      <c r="N11" s="5">
        <v>29.756336232180811</v>
      </c>
      <c r="O11" s="5">
        <v>26.87303984682719</v>
      </c>
      <c r="P11" s="5">
        <v>35.507950920557185</v>
      </c>
      <c r="Q11" s="5">
        <v>35.404001693382362</v>
      </c>
      <c r="R11" s="5">
        <f t="shared" si="0"/>
        <v>43.862582702311215</v>
      </c>
      <c r="S11" s="5">
        <v>23.523475612292231</v>
      </c>
      <c r="T11" s="5">
        <v>25.406214250798545</v>
      </c>
      <c r="U11" s="5">
        <v>27.492811906419018</v>
      </c>
      <c r="V11" s="5">
        <v>24.551390887957901</v>
      </c>
      <c r="W11" s="5"/>
      <c r="X11" s="5"/>
      <c r="Y11" s="5"/>
      <c r="Z11" s="5"/>
      <c r="AA11" s="5"/>
      <c r="AB11" s="5"/>
      <c r="AC11" s="5"/>
      <c r="AD11" s="5"/>
      <c r="AE11" s="42">
        <f t="shared" si="1"/>
        <v>25.243473164366925</v>
      </c>
    </row>
    <row r="12" spans="1:31" x14ac:dyDescent="0.3">
      <c r="A12" s="105">
        <v>11</v>
      </c>
      <c r="B12" s="3">
        <f t="shared" si="2"/>
        <v>8</v>
      </c>
      <c r="C12" s="3" t="s">
        <v>96</v>
      </c>
      <c r="D12" s="3" t="s">
        <v>53</v>
      </c>
      <c r="E12" s="126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f t="shared" si="0"/>
        <v>0</v>
      </c>
      <c r="S12" s="5">
        <v>0</v>
      </c>
      <c r="T12" s="5">
        <v>0</v>
      </c>
      <c r="U12" s="5">
        <v>0</v>
      </c>
      <c r="V12" s="5">
        <v>0</v>
      </c>
      <c r="W12" s="5"/>
      <c r="X12" s="5"/>
      <c r="Y12" s="5"/>
      <c r="Z12" s="5"/>
      <c r="AA12" s="5"/>
      <c r="AB12" s="5"/>
      <c r="AC12" s="5"/>
      <c r="AD12" s="5"/>
      <c r="AE12" s="42">
        <f t="shared" si="1"/>
        <v>0</v>
      </c>
    </row>
    <row r="13" spans="1:31" x14ac:dyDescent="0.3">
      <c r="A13" s="105">
        <v>12</v>
      </c>
      <c r="B13" s="3">
        <f t="shared" si="2"/>
        <v>9</v>
      </c>
      <c r="C13" s="3" t="s">
        <v>96</v>
      </c>
      <c r="D13" s="3" t="s">
        <v>42</v>
      </c>
      <c r="E13" s="126">
        <v>12.610923251878207</v>
      </c>
      <c r="F13" s="5">
        <v>7.6740523796563096</v>
      </c>
      <c r="G13" s="5">
        <v>3.1198456246057593</v>
      </c>
      <c r="H13" s="5">
        <v>6.6799593737365814</v>
      </c>
      <c r="I13" s="5">
        <v>14.451379548871953</v>
      </c>
      <c r="J13" s="5">
        <v>17.620979742483662</v>
      </c>
      <c r="K13" s="5">
        <v>12.317199562665827</v>
      </c>
      <c r="L13" s="5">
        <v>24.817927317053364</v>
      </c>
      <c r="M13" s="5">
        <v>14.085849754124421</v>
      </c>
      <c r="N13" s="5">
        <v>6.8006512083504465</v>
      </c>
      <c r="O13" s="5">
        <v>7.5473127577499852</v>
      </c>
      <c r="P13" s="5">
        <v>8.3791254696151967</v>
      </c>
      <c r="Q13" s="5">
        <v>8.7299506332440906</v>
      </c>
      <c r="R13" s="5">
        <f t="shared" si="0"/>
        <v>11.018686114346467</v>
      </c>
      <c r="S13" s="5">
        <v>6.1889379131264288</v>
      </c>
      <c r="T13" s="5">
        <v>6.0827161131599254</v>
      </c>
      <c r="U13" s="5">
        <v>6.6515880794397244</v>
      </c>
      <c r="V13" s="5">
        <v>10.262640775470869</v>
      </c>
      <c r="W13" s="5"/>
      <c r="X13" s="5"/>
      <c r="Y13" s="5"/>
      <c r="Z13" s="5"/>
      <c r="AA13" s="5"/>
      <c r="AB13" s="5"/>
      <c r="AC13" s="5"/>
      <c r="AD13" s="5"/>
      <c r="AE13" s="42">
        <f t="shared" si="1"/>
        <v>7.2964707202992365</v>
      </c>
    </row>
    <row r="14" spans="1:31" x14ac:dyDescent="0.3">
      <c r="A14" s="105">
        <v>13</v>
      </c>
      <c r="B14" s="3">
        <f t="shared" si="2"/>
        <v>10</v>
      </c>
      <c r="C14" s="3" t="s">
        <v>96</v>
      </c>
      <c r="D14" s="3" t="s">
        <v>52</v>
      </c>
      <c r="E14" s="126">
        <v>14.468803587684706</v>
      </c>
      <c r="F14" s="5">
        <v>14.242630913000044</v>
      </c>
      <c r="G14" s="5">
        <v>5.4065298315189967</v>
      </c>
      <c r="H14" s="5">
        <v>12.972214926033987</v>
      </c>
      <c r="I14" s="5">
        <v>13.645742439823177</v>
      </c>
      <c r="J14" s="5">
        <v>20.068505359477129</v>
      </c>
      <c r="K14" s="5">
        <v>19.997079080918009</v>
      </c>
      <c r="L14" s="5">
        <v>34.721310711392483</v>
      </c>
      <c r="M14" s="5">
        <v>19.270698802211552</v>
      </c>
      <c r="N14" s="5">
        <v>11.24343986812559</v>
      </c>
      <c r="O14" s="5">
        <v>10.955549765496796</v>
      </c>
      <c r="P14" s="5">
        <v>15.811942534955733</v>
      </c>
      <c r="Q14" s="5">
        <v>15.262438976700741</v>
      </c>
      <c r="R14" s="5">
        <f t="shared" si="0"/>
        <v>16.133173600804518</v>
      </c>
      <c r="S14" s="5">
        <v>12.417698975013192</v>
      </c>
      <c r="T14" s="5">
        <v>16.088286628257318</v>
      </c>
      <c r="U14" s="5">
        <v>11.758981522878853</v>
      </c>
      <c r="V14" s="5">
        <v>12.772473236439366</v>
      </c>
      <c r="W14" s="5"/>
      <c r="X14" s="5"/>
      <c r="Y14" s="5"/>
      <c r="Z14" s="5"/>
      <c r="AA14" s="5"/>
      <c r="AB14" s="5"/>
      <c r="AC14" s="5"/>
      <c r="AD14" s="5"/>
      <c r="AE14" s="42">
        <f t="shared" si="1"/>
        <v>13.259360090647183</v>
      </c>
    </row>
    <row r="15" spans="1:31" x14ac:dyDescent="0.3">
      <c r="A15" s="105">
        <v>14</v>
      </c>
      <c r="B15" s="3">
        <f t="shared" si="2"/>
        <v>11</v>
      </c>
      <c r="C15" s="3" t="s">
        <v>96</v>
      </c>
      <c r="D15" s="3" t="s">
        <v>55</v>
      </c>
      <c r="E15" s="126">
        <v>30.554300666666666</v>
      </c>
      <c r="F15" s="5">
        <v>22.973268999999998</v>
      </c>
      <c r="G15" s="5">
        <v>0</v>
      </c>
      <c r="H15" s="5">
        <v>23.045940000000002</v>
      </c>
      <c r="I15" s="5">
        <v>0</v>
      </c>
      <c r="J15" s="5">
        <v>0</v>
      </c>
      <c r="K15" s="5">
        <v>10.511874000000001</v>
      </c>
      <c r="L15" s="5">
        <v>20.243397999999999</v>
      </c>
      <c r="M15" s="5">
        <v>0</v>
      </c>
      <c r="N15" s="5">
        <v>0.11293499999999999</v>
      </c>
      <c r="O15" s="5">
        <v>40.229782999999998</v>
      </c>
      <c r="P15" s="5">
        <v>11.25</v>
      </c>
      <c r="Q15" s="5">
        <v>7.5</v>
      </c>
      <c r="R15" s="5">
        <f t="shared" si="0"/>
        <v>11.322266583333333</v>
      </c>
      <c r="S15" s="5">
        <v>69.350499999999997</v>
      </c>
      <c r="T15" s="5">
        <v>24.741619999999998</v>
      </c>
      <c r="U15" s="5">
        <v>27.060865</v>
      </c>
      <c r="V15" s="5">
        <v>59.404617999999999</v>
      </c>
      <c r="W15" s="5"/>
      <c r="X15" s="5"/>
      <c r="Y15" s="5"/>
      <c r="Z15" s="5"/>
      <c r="AA15" s="5"/>
      <c r="AB15" s="5"/>
      <c r="AC15" s="5"/>
      <c r="AD15" s="5"/>
      <c r="AE15" s="42">
        <f t="shared" si="1"/>
        <v>45.13940075</v>
      </c>
    </row>
    <row r="16" spans="1:31" s="12" customFormat="1" x14ac:dyDescent="0.3">
      <c r="A16" s="105">
        <v>15</v>
      </c>
      <c r="B16" s="81" t="s">
        <v>164</v>
      </c>
      <c r="C16" s="77" t="s">
        <v>165</v>
      </c>
      <c r="D16" s="77"/>
      <c r="E16" s="77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</row>
    <row r="17" spans="1:35" x14ac:dyDescent="0.3">
      <c r="A17" s="105">
        <v>16</v>
      </c>
      <c r="B17" s="3">
        <v>1</v>
      </c>
      <c r="C17" s="3" t="s">
        <v>97</v>
      </c>
      <c r="D17" s="3" t="s">
        <v>169</v>
      </c>
      <c r="E17" s="126">
        <v>147.61207728829808</v>
      </c>
      <c r="F17" s="5">
        <v>1718.0080998756359</v>
      </c>
      <c r="G17" s="5">
        <v>798.57774546080134</v>
      </c>
      <c r="H17" s="5">
        <v>1577.3466175371932</v>
      </c>
      <c r="I17" s="5">
        <v>1593.0946981411494</v>
      </c>
      <c r="J17" s="5">
        <v>2606.2909491953324</v>
      </c>
      <c r="K17" s="5">
        <v>2552.059454518348</v>
      </c>
      <c r="L17" s="5">
        <v>5762.3435590841464</v>
      </c>
      <c r="M17" s="5">
        <v>3003.711996307758</v>
      </c>
      <c r="N17" s="5">
        <v>1910.7250460222904</v>
      </c>
      <c r="O17" s="5">
        <v>1412.6041608654355</v>
      </c>
      <c r="P17" s="5">
        <v>1816.4558463244823</v>
      </c>
      <c r="Q17" s="5">
        <v>158.01124553861251</v>
      </c>
      <c r="R17" s="5">
        <f t="shared" si="0"/>
        <v>2075.769118239265</v>
      </c>
      <c r="S17" s="5">
        <v>729.89383742600944</v>
      </c>
      <c r="T17" s="5">
        <v>604.66901925062541</v>
      </c>
      <c r="U17" s="5">
        <v>525.76812797905643</v>
      </c>
      <c r="V17" s="5">
        <v>559.03521591368656</v>
      </c>
      <c r="W17" s="5"/>
      <c r="X17" s="5"/>
      <c r="Y17" s="5"/>
      <c r="Z17" s="5"/>
      <c r="AA17" s="5"/>
      <c r="AB17" s="5"/>
      <c r="AC17" s="5"/>
      <c r="AD17" s="5"/>
      <c r="AE17" s="42">
        <f t="shared" si="1"/>
        <v>604.84155014234443</v>
      </c>
    </row>
    <row r="18" spans="1:35" x14ac:dyDescent="0.3">
      <c r="A18" s="105">
        <v>17</v>
      </c>
      <c r="B18" s="3">
        <f t="shared" ref="B18:B23" si="3">B17+1</f>
        <v>2</v>
      </c>
      <c r="C18" s="3" t="s">
        <v>97</v>
      </c>
      <c r="D18" s="3" t="s">
        <v>48</v>
      </c>
      <c r="E18" s="126">
        <v>837.79704511775867</v>
      </c>
      <c r="F18" s="5">
        <v>1086.2791917206309</v>
      </c>
      <c r="G18" s="5">
        <v>416.62893031274217</v>
      </c>
      <c r="H18" s="5">
        <v>883.50727435836825</v>
      </c>
      <c r="I18" s="5">
        <v>965.84052209313552</v>
      </c>
      <c r="J18" s="5">
        <v>1620.2354650730163</v>
      </c>
      <c r="K18" s="5">
        <v>1568.1258033411241</v>
      </c>
      <c r="L18" s="5">
        <v>3522.7245022622465</v>
      </c>
      <c r="M18" s="5">
        <v>1815.1813931265317</v>
      </c>
      <c r="N18" s="5">
        <v>1238.3239199566044</v>
      </c>
      <c r="O18" s="5">
        <v>954.99952288042402</v>
      </c>
      <c r="P18" s="5">
        <v>1271.3652953066112</v>
      </c>
      <c r="Q18" s="5">
        <v>1501.9967156869202</v>
      </c>
      <c r="R18" s="5">
        <f t="shared" si="0"/>
        <v>1403.767378009863</v>
      </c>
      <c r="S18" s="5">
        <v>1689.7351122882005</v>
      </c>
      <c r="T18" s="5">
        <v>1426.5935830529206</v>
      </c>
      <c r="U18" s="5">
        <v>1211.795267257203</v>
      </c>
      <c r="V18" s="5">
        <v>1420.6960437409043</v>
      </c>
      <c r="W18" s="5"/>
      <c r="X18" s="5"/>
      <c r="Y18" s="5"/>
      <c r="Z18" s="5"/>
      <c r="AA18" s="5"/>
      <c r="AB18" s="5"/>
      <c r="AC18" s="5"/>
      <c r="AD18" s="5"/>
      <c r="AE18" s="42">
        <f t="shared" si="1"/>
        <v>1437.2050015848072</v>
      </c>
    </row>
    <row r="19" spans="1:35" x14ac:dyDescent="0.3">
      <c r="A19" s="105">
        <v>5</v>
      </c>
      <c r="B19" s="3">
        <f t="shared" si="3"/>
        <v>3</v>
      </c>
      <c r="C19" s="3" t="s">
        <v>96</v>
      </c>
      <c r="D19" s="3" t="s">
        <v>16</v>
      </c>
      <c r="E19" s="126">
        <v>290.8286521615409</v>
      </c>
      <c r="F19" s="5">
        <v>332.6393728910208</v>
      </c>
      <c r="G19" s="5">
        <v>142.97218320644413</v>
      </c>
      <c r="H19" s="5">
        <v>281.24229591723616</v>
      </c>
      <c r="I19" s="5">
        <v>300.47416609119756</v>
      </c>
      <c r="J19" s="5">
        <v>502.58631495704964</v>
      </c>
      <c r="K19" s="5">
        <v>492.38674173597565</v>
      </c>
      <c r="L19" s="5">
        <v>1125.0848015126044</v>
      </c>
      <c r="M19" s="5">
        <v>616.58883777908034</v>
      </c>
      <c r="N19" s="5">
        <v>407.91841519360372</v>
      </c>
      <c r="O19" s="5">
        <v>312.64351439672743</v>
      </c>
      <c r="P19" s="5">
        <v>409.46627327572895</v>
      </c>
      <c r="Q19" s="5">
        <v>482.32047865853019</v>
      </c>
      <c r="R19" s="5">
        <f t="shared" si="0"/>
        <v>450.52694963459982</v>
      </c>
      <c r="S19" s="5">
        <v>545.50745467950469</v>
      </c>
      <c r="T19" s="5">
        <v>462.37887439446979</v>
      </c>
      <c r="U19" s="5">
        <v>408.65908843832659</v>
      </c>
      <c r="V19" s="5">
        <v>427.03247759286603</v>
      </c>
      <c r="W19" s="5"/>
      <c r="X19" s="5"/>
      <c r="Y19" s="5"/>
      <c r="Z19" s="5"/>
      <c r="AA19" s="5"/>
      <c r="AB19" s="5"/>
      <c r="AC19" s="5"/>
      <c r="AD19" s="5"/>
      <c r="AE19" s="42">
        <f t="shared" si="1"/>
        <v>460.89447377629176</v>
      </c>
    </row>
    <row r="20" spans="1:35" x14ac:dyDescent="0.3">
      <c r="A20" s="105">
        <v>18</v>
      </c>
      <c r="B20" s="3">
        <f t="shared" si="3"/>
        <v>4</v>
      </c>
      <c r="C20" s="3" t="s">
        <v>97</v>
      </c>
      <c r="D20" s="3" t="s">
        <v>36</v>
      </c>
      <c r="E20" s="126">
        <v>84.882985994725516</v>
      </c>
      <c r="F20" s="5">
        <v>182.84953973840683</v>
      </c>
      <c r="G20" s="5">
        <v>65.477392815971115</v>
      </c>
      <c r="H20" s="5">
        <v>106.85103925067159</v>
      </c>
      <c r="I20" s="5">
        <v>125.09053811864473</v>
      </c>
      <c r="J20" s="5">
        <v>292.42379438636794</v>
      </c>
      <c r="K20" s="5">
        <v>280.36524560039118</v>
      </c>
      <c r="L20" s="5">
        <v>531.80682302740809</v>
      </c>
      <c r="M20" s="5">
        <v>487.8080622794742</v>
      </c>
      <c r="N20" s="5">
        <v>388.45415721100363</v>
      </c>
      <c r="O20" s="5">
        <v>319.93447922407734</v>
      </c>
      <c r="P20" s="5">
        <v>383.21064504944161</v>
      </c>
      <c r="Q20" s="5">
        <v>1318.2504152764361</v>
      </c>
      <c r="R20" s="5">
        <f t="shared" si="0"/>
        <v>373.54351099819115</v>
      </c>
      <c r="S20" s="5">
        <v>481.87713361444577</v>
      </c>
      <c r="T20" s="5">
        <v>281.40658223628583</v>
      </c>
      <c r="U20" s="5">
        <v>375.04521994117289</v>
      </c>
      <c r="V20" s="5">
        <v>233.21087179637448</v>
      </c>
      <c r="W20" s="5"/>
      <c r="X20" s="5"/>
      <c r="Y20" s="5"/>
      <c r="Z20" s="5"/>
      <c r="AA20" s="5"/>
      <c r="AB20" s="5"/>
      <c r="AC20" s="5"/>
      <c r="AD20" s="5"/>
      <c r="AE20" s="42">
        <f t="shared" si="1"/>
        <v>342.88495189706975</v>
      </c>
    </row>
    <row r="21" spans="1:35" x14ac:dyDescent="0.3">
      <c r="A21" s="105">
        <v>19</v>
      </c>
      <c r="B21" s="3">
        <f t="shared" si="3"/>
        <v>5</v>
      </c>
      <c r="C21" s="3" t="s">
        <v>97</v>
      </c>
      <c r="D21" s="3" t="s">
        <v>12</v>
      </c>
      <c r="E21" s="126">
        <v>59.265584532604827</v>
      </c>
      <c r="F21" s="5">
        <v>78.443880445361941</v>
      </c>
      <c r="G21" s="5">
        <v>32.498217561272817</v>
      </c>
      <c r="H21" s="5">
        <v>76.665981764940142</v>
      </c>
      <c r="I21" s="5">
        <v>81.636420561307304</v>
      </c>
      <c r="J21" s="5">
        <v>146.80303350308128</v>
      </c>
      <c r="K21" s="5">
        <v>116.28903958065725</v>
      </c>
      <c r="L21" s="5">
        <v>228.23560343338332</v>
      </c>
      <c r="M21" s="5">
        <v>144.96693821705003</v>
      </c>
      <c r="N21" s="5">
        <v>113.19438931228696</v>
      </c>
      <c r="O21" s="5">
        <v>71.113908125596851</v>
      </c>
      <c r="P21" s="5">
        <v>109.21754115378639</v>
      </c>
      <c r="Q21" s="5">
        <v>130.49459577188469</v>
      </c>
      <c r="R21" s="5">
        <f t="shared" si="0"/>
        <v>110.79662911921741</v>
      </c>
      <c r="S21" s="5">
        <v>113.627383211688</v>
      </c>
      <c r="T21" s="5">
        <v>113.93875571914195</v>
      </c>
      <c r="U21" s="5">
        <v>91.310527044050488</v>
      </c>
      <c r="V21" s="5">
        <v>112.66570164551132</v>
      </c>
      <c r="W21" s="5"/>
      <c r="X21" s="5"/>
      <c r="Y21" s="5"/>
      <c r="Z21" s="5"/>
      <c r="AA21" s="5"/>
      <c r="AB21" s="5"/>
      <c r="AC21" s="5"/>
      <c r="AD21" s="5"/>
      <c r="AE21" s="42">
        <f t="shared" si="1"/>
        <v>107.88559190509794</v>
      </c>
    </row>
    <row r="22" spans="1:35" x14ac:dyDescent="0.3">
      <c r="A22" s="105">
        <v>20</v>
      </c>
      <c r="B22" s="3">
        <f t="shared" si="3"/>
        <v>6</v>
      </c>
      <c r="C22" s="3" t="s">
        <v>97</v>
      </c>
      <c r="D22" s="3" t="s">
        <v>51</v>
      </c>
      <c r="E22" s="126">
        <v>47.377008459363793</v>
      </c>
      <c r="F22" s="5">
        <v>59.618188867965713</v>
      </c>
      <c r="G22" s="5">
        <v>30.6542606256548</v>
      </c>
      <c r="H22" s="5">
        <v>64.851861012278718</v>
      </c>
      <c r="I22" s="5">
        <v>59.869762985025744</v>
      </c>
      <c r="J22" s="5">
        <v>117.3806087596639</v>
      </c>
      <c r="K22" s="5">
        <v>126.37862208718521</v>
      </c>
      <c r="L22" s="5">
        <v>193.4008046871231</v>
      </c>
      <c r="M22" s="5">
        <v>143.29322004830041</v>
      </c>
      <c r="N22" s="5">
        <v>104.97658438273018</v>
      </c>
      <c r="O22" s="5">
        <v>87.150981813192487</v>
      </c>
      <c r="P22" s="5">
        <v>138.70352250244159</v>
      </c>
      <c r="Q22" s="5">
        <v>180.58586354855561</v>
      </c>
      <c r="R22" s="5">
        <f t="shared" si="0"/>
        <v>108.90535677667646</v>
      </c>
      <c r="S22" s="5">
        <v>129.23217654768112</v>
      </c>
      <c r="T22" s="5">
        <v>132.63943898204286</v>
      </c>
      <c r="U22" s="5">
        <v>100.29404498128962</v>
      </c>
      <c r="V22" s="5">
        <v>116.03703313050552</v>
      </c>
      <c r="W22" s="5"/>
      <c r="X22" s="5"/>
      <c r="Y22" s="5"/>
      <c r="Z22" s="5"/>
      <c r="AA22" s="5"/>
      <c r="AB22" s="5"/>
      <c r="AC22" s="5"/>
      <c r="AD22" s="5"/>
      <c r="AE22" s="42">
        <f t="shared" si="1"/>
        <v>119.55067341037977</v>
      </c>
    </row>
    <row r="23" spans="1:35" x14ac:dyDescent="0.3">
      <c r="A23" s="105">
        <v>21</v>
      </c>
      <c r="B23" s="3">
        <f t="shared" si="3"/>
        <v>7</v>
      </c>
      <c r="C23" s="3" t="s">
        <v>97</v>
      </c>
      <c r="D23" s="3" t="s">
        <v>40</v>
      </c>
      <c r="E23" s="126">
        <v>10.941618663469201</v>
      </c>
      <c r="F23" s="5">
        <v>50.957481560645839</v>
      </c>
      <c r="G23" s="5">
        <v>26.779180395605415</v>
      </c>
      <c r="H23" s="5">
        <v>54.506582206575473</v>
      </c>
      <c r="I23" s="5">
        <v>84.714225610474074</v>
      </c>
      <c r="J23" s="5">
        <v>149.73989801437912</v>
      </c>
      <c r="K23" s="5">
        <v>167.80502508600597</v>
      </c>
      <c r="L23" s="5">
        <v>394.44151555498973</v>
      </c>
      <c r="M23" s="5">
        <v>166.42242611787134</v>
      </c>
      <c r="N23" s="5">
        <v>96.835209768016142</v>
      </c>
      <c r="O23" s="5">
        <v>72.551589926827447</v>
      </c>
      <c r="P23" s="5">
        <v>99.647547697763358</v>
      </c>
      <c r="Q23" s="5">
        <v>125.58554472227731</v>
      </c>
      <c r="R23" s="5">
        <f t="shared" si="0"/>
        <v>124.16551888845261</v>
      </c>
      <c r="S23" s="5">
        <v>150.88504800493766</v>
      </c>
      <c r="T23" s="5">
        <v>106.46237167992531</v>
      </c>
      <c r="U23" s="5">
        <v>65.486282611373881</v>
      </c>
      <c r="V23" s="5">
        <v>91.782968873640527</v>
      </c>
      <c r="W23" s="5"/>
      <c r="X23" s="5"/>
      <c r="Y23" s="5"/>
      <c r="Z23" s="5"/>
      <c r="AA23" s="5"/>
      <c r="AB23" s="5"/>
      <c r="AC23" s="5"/>
      <c r="AD23" s="5"/>
      <c r="AE23" s="42">
        <f t="shared" si="1"/>
        <v>103.65416779246935</v>
      </c>
    </row>
    <row r="24" spans="1:35" s="10" customFormat="1" x14ac:dyDescent="0.3">
      <c r="A24" s="105">
        <v>22</v>
      </c>
      <c r="D24" s="11" t="s">
        <v>98</v>
      </c>
      <c r="E24" s="7">
        <f t="shared" ref="E24:Q24" si="4">SUM(E5:E23)</f>
        <v>2243.1253921116654</v>
      </c>
      <c r="F24" s="7">
        <f t="shared" si="4"/>
        <v>14216.01143760488</v>
      </c>
      <c r="G24" s="7">
        <f t="shared" si="4"/>
        <v>4566.4899705524713</v>
      </c>
      <c r="H24" s="7">
        <f t="shared" si="4"/>
        <v>13514.067993026245</v>
      </c>
      <c r="I24" s="7">
        <f t="shared" si="4"/>
        <v>11378.290666964866</v>
      </c>
      <c r="J24" s="7">
        <f t="shared" si="4"/>
        <v>19839.97621207168</v>
      </c>
      <c r="K24" s="7">
        <f t="shared" si="4"/>
        <v>14831.023733968135</v>
      </c>
      <c r="L24" s="7">
        <f t="shared" si="4"/>
        <v>21128.026734267136</v>
      </c>
      <c r="M24" s="7">
        <f t="shared" si="4"/>
        <v>15297.490679660299</v>
      </c>
      <c r="N24" s="7">
        <f t="shared" si="4"/>
        <v>11323.661437548903</v>
      </c>
      <c r="O24" s="7">
        <f t="shared" si="4"/>
        <v>12865.033416731789</v>
      </c>
      <c r="P24" s="7">
        <f t="shared" si="4"/>
        <v>16471.342141119963</v>
      </c>
      <c r="Q24" s="7">
        <f t="shared" si="4"/>
        <v>13405.650217772172</v>
      </c>
      <c r="R24" s="7">
        <f t="shared" si="0"/>
        <v>14069.755386774044</v>
      </c>
      <c r="S24" s="7">
        <f>SUM(S5:S23)</f>
        <v>9920.8002248657012</v>
      </c>
      <c r="T24" s="7">
        <f>SUM(T5:T23)</f>
        <v>11085.576586822835</v>
      </c>
      <c r="U24" s="7">
        <f>SUM(U5:U23)</f>
        <v>13821.286348125223</v>
      </c>
      <c r="V24" s="7">
        <f>SUM(V5:V23)</f>
        <v>12844.806873107935</v>
      </c>
      <c r="W24" s="7"/>
      <c r="X24" s="7"/>
      <c r="Y24" s="7"/>
      <c r="Z24" s="7"/>
      <c r="AA24" s="7"/>
      <c r="AB24" s="7"/>
      <c r="AC24" s="7"/>
      <c r="AD24" s="7"/>
      <c r="AE24" s="42">
        <f t="shared" si="1"/>
        <v>11918.117508230423</v>
      </c>
    </row>
    <row r="25" spans="1:35" s="10" customFormat="1" x14ac:dyDescent="0.3">
      <c r="A25" s="105">
        <v>23</v>
      </c>
      <c r="D25" s="11" t="s">
        <v>99</v>
      </c>
      <c r="E25" s="7">
        <v>220.27541666666662</v>
      </c>
      <c r="F25" s="7">
        <v>525.47699999999998</v>
      </c>
      <c r="G25" s="7">
        <v>138.97500000000002</v>
      </c>
      <c r="H25" s="7">
        <v>454.42</v>
      </c>
      <c r="I25" s="7">
        <v>423.36799999999999</v>
      </c>
      <c r="J25" s="7">
        <v>678.97500000000002</v>
      </c>
      <c r="K25" s="7">
        <v>525.97449999999992</v>
      </c>
      <c r="L25" s="7">
        <v>634.20100000000002</v>
      </c>
      <c r="M25" s="7">
        <v>388.35750000000007</v>
      </c>
      <c r="N25" s="7">
        <v>315.41269999999992</v>
      </c>
      <c r="O25" s="7">
        <v>370.7</v>
      </c>
      <c r="P25" s="7">
        <v>535.17600000000004</v>
      </c>
      <c r="Q25" s="7">
        <v>403.63009999999997</v>
      </c>
      <c r="R25" s="7">
        <f t="shared" si="0"/>
        <v>449.55556666666672</v>
      </c>
      <c r="S25" s="7">
        <v>248.99699999999999</v>
      </c>
      <c r="T25" s="7">
        <v>339.12599999999998</v>
      </c>
      <c r="U25" s="7">
        <v>468.524</v>
      </c>
      <c r="V25" s="7">
        <v>422.37099999999998</v>
      </c>
      <c r="W25" s="7"/>
      <c r="X25" s="7"/>
      <c r="Y25" s="7"/>
      <c r="Z25" s="7"/>
      <c r="AA25" s="7"/>
      <c r="AB25" s="7"/>
      <c r="AC25" s="7"/>
      <c r="AD25" s="7"/>
      <c r="AE25" s="42">
        <f t="shared" si="1"/>
        <v>369.75450000000001</v>
      </c>
    </row>
    <row r="26" spans="1:35" s="10" customFormat="1" ht="28.2" x14ac:dyDescent="0.3">
      <c r="A26" s="105">
        <v>24</v>
      </c>
      <c r="D26" s="88" t="s">
        <v>168</v>
      </c>
      <c r="E26" s="7">
        <f t="shared" ref="E26:Q26" si="5">E24/E25</f>
        <v>10.18327612793075</v>
      </c>
      <c r="F26" s="7">
        <f t="shared" si="5"/>
        <v>27.053536953291736</v>
      </c>
      <c r="G26" s="7">
        <f t="shared" si="5"/>
        <v>32.858355607501139</v>
      </c>
      <c r="H26" s="7">
        <f t="shared" si="5"/>
        <v>29.739157592153173</v>
      </c>
      <c r="I26" s="7">
        <f t="shared" si="5"/>
        <v>26.875651128486012</v>
      </c>
      <c r="J26" s="7">
        <f t="shared" si="5"/>
        <v>29.220481184243425</v>
      </c>
      <c r="K26" s="7">
        <f t="shared" si="5"/>
        <v>28.197229588065841</v>
      </c>
      <c r="L26" s="7">
        <f t="shared" si="5"/>
        <v>33.314401481970442</v>
      </c>
      <c r="M26" s="7">
        <f t="shared" si="5"/>
        <v>39.390228538550936</v>
      </c>
      <c r="N26" s="7">
        <f t="shared" si="5"/>
        <v>35.901095414195133</v>
      </c>
      <c r="O26" s="7">
        <f t="shared" si="5"/>
        <v>34.704703039470701</v>
      </c>
      <c r="P26" s="7">
        <f t="shared" si="5"/>
        <v>30.777430492249209</v>
      </c>
      <c r="Q26" s="7">
        <f t="shared" si="5"/>
        <v>33.212711880932993</v>
      </c>
      <c r="R26" s="7">
        <f>R24/R25</f>
        <v>31.297032958789689</v>
      </c>
      <c r="S26" s="7">
        <f>S24/S25</f>
        <v>39.843051220961307</v>
      </c>
      <c r="T26" s="7">
        <f>T24/T25</f>
        <v>32.688666120624298</v>
      </c>
      <c r="U26" s="7">
        <f>U24/U25</f>
        <v>29.499633632695918</v>
      </c>
      <c r="V26" s="7">
        <f>V24/V25</f>
        <v>30.411195070466331</v>
      </c>
      <c r="W26" s="7"/>
      <c r="X26" s="7"/>
      <c r="Y26" s="7"/>
      <c r="Z26" s="7"/>
      <c r="AA26" s="7"/>
      <c r="AB26" s="7"/>
      <c r="AC26" s="7"/>
      <c r="AD26" s="7"/>
      <c r="AE26" s="7">
        <f>AE24/AE25</f>
        <v>32.232515109972759</v>
      </c>
    </row>
    <row r="27" spans="1:35" s="12" customFormat="1" ht="15.6" x14ac:dyDescent="0.3">
      <c r="D27" s="103" t="s">
        <v>170</v>
      </c>
      <c r="E27" s="87">
        <v>0</v>
      </c>
      <c r="F27" s="87">
        <v>1212.4873023844066</v>
      </c>
      <c r="G27" s="87">
        <v>596.27773186444028</v>
      </c>
      <c r="H27" s="87">
        <v>868.32046616928528</v>
      </c>
      <c r="I27" s="87">
        <v>1024.7806107900269</v>
      </c>
      <c r="J27" s="87">
        <v>1683.849167542483</v>
      </c>
      <c r="K27" s="87">
        <v>1648.8117680554406</v>
      </c>
      <c r="L27" s="87">
        <v>3722.8834363459373</v>
      </c>
      <c r="M27" s="87">
        <v>1940.611406443988</v>
      </c>
      <c r="N27" s="87">
        <v>1234.464164156554</v>
      </c>
      <c r="O27" s="157">
        <v>946.11713707759554</v>
      </c>
      <c r="P27" s="87">
        <v>1227.8631719028363</v>
      </c>
      <c r="R27" s="12">
        <f t="shared" si="0"/>
        <v>1464.2242147939085</v>
      </c>
      <c r="S27" s="157">
        <v>296.40389274301538</v>
      </c>
      <c r="T27" s="157">
        <v>264.90043844550996</v>
      </c>
      <c r="U27" s="157">
        <v>218.62225005806818</v>
      </c>
      <c r="V27" s="157">
        <v>216.95818919053113</v>
      </c>
      <c r="AE27" s="42">
        <f>AVERAGE(S27:AD27)</f>
        <v>249.22119260928116</v>
      </c>
    </row>
    <row r="28" spans="1:35" x14ac:dyDescent="0.3">
      <c r="F28" s="123"/>
      <c r="G28" s="123"/>
      <c r="H28" s="123"/>
      <c r="I28" s="123"/>
      <c r="J28" s="123"/>
      <c r="K28" s="9"/>
      <c r="L28" s="9"/>
      <c r="M28" s="9"/>
      <c r="N28" s="9"/>
      <c r="O28" s="9"/>
      <c r="P28" s="9"/>
      <c r="Q28" s="9">
        <f>Q24+'KMP- PET'!Q25</f>
        <v>101740.86872667971</v>
      </c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spans="1:35" ht="21" x14ac:dyDescent="0.4">
      <c r="B29" s="104" t="s">
        <v>197</v>
      </c>
      <c r="C29" s="93"/>
      <c r="D29" s="93"/>
      <c r="F29" s="123"/>
      <c r="G29" s="123"/>
      <c r="H29" s="123"/>
      <c r="I29" s="123"/>
      <c r="J29" s="123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spans="1:35" ht="15.6" x14ac:dyDescent="0.3">
      <c r="B30" s="93"/>
      <c r="C30" s="93"/>
      <c r="D30" s="106" t="s">
        <v>193</v>
      </c>
      <c r="F30" s="123"/>
      <c r="G30" s="123"/>
      <c r="H30" s="123"/>
      <c r="I30" s="123"/>
      <c r="J30" s="123"/>
    </row>
    <row r="31" spans="1:35" s="524" customFormat="1" ht="26.4" x14ac:dyDescent="0.3">
      <c r="B31" s="525" t="s">
        <v>57</v>
      </c>
      <c r="C31" s="525" t="s">
        <v>58</v>
      </c>
      <c r="D31" s="525" t="s">
        <v>59</v>
      </c>
      <c r="E31" s="526" t="s">
        <v>171</v>
      </c>
      <c r="F31" s="527" t="s">
        <v>186</v>
      </c>
      <c r="G31" s="526">
        <v>2</v>
      </c>
      <c r="H31" s="526">
        <v>3</v>
      </c>
      <c r="I31" s="528">
        <v>4</v>
      </c>
      <c r="J31" s="528">
        <v>5</v>
      </c>
      <c r="K31" s="528">
        <v>6</v>
      </c>
      <c r="L31" s="528">
        <v>7</v>
      </c>
      <c r="M31" s="528">
        <v>8</v>
      </c>
      <c r="N31" s="528">
        <v>9</v>
      </c>
      <c r="O31" s="528">
        <v>10</v>
      </c>
      <c r="P31" s="528">
        <v>11</v>
      </c>
      <c r="Q31" s="528">
        <v>12</v>
      </c>
      <c r="R31" s="528" t="s">
        <v>185</v>
      </c>
      <c r="S31" s="526" t="s">
        <v>229</v>
      </c>
      <c r="T31" s="526">
        <v>2</v>
      </c>
      <c r="U31" s="526">
        <v>3</v>
      </c>
      <c r="V31" s="528">
        <v>4</v>
      </c>
      <c r="W31" s="528">
        <v>5</v>
      </c>
      <c r="X31" s="528">
        <v>6</v>
      </c>
      <c r="Y31" s="528">
        <v>7</v>
      </c>
      <c r="Z31" s="528">
        <v>8</v>
      </c>
      <c r="AA31" s="528">
        <v>9</v>
      </c>
      <c r="AB31" s="528">
        <v>10</v>
      </c>
      <c r="AC31" s="528">
        <v>11</v>
      </c>
      <c r="AD31" s="528">
        <v>12</v>
      </c>
      <c r="AE31" s="528" t="s">
        <v>250</v>
      </c>
      <c r="AF31" s="526" t="s">
        <v>187</v>
      </c>
      <c r="AG31" s="526" t="s">
        <v>180</v>
      </c>
      <c r="AH31" s="526" t="s">
        <v>179</v>
      </c>
      <c r="AI31" s="526" t="s">
        <v>248</v>
      </c>
    </row>
    <row r="32" spans="1:35" ht="15.6" x14ac:dyDescent="0.3">
      <c r="B32" s="112" t="s">
        <v>162</v>
      </c>
      <c r="C32" s="97"/>
      <c r="D32" s="98" t="s">
        <v>163</v>
      </c>
      <c r="E32" s="129">
        <f t="shared" ref="E32:Q32" si="6">SUM(E33:E43)</f>
        <v>3.4702938324282844</v>
      </c>
      <c r="F32" s="129">
        <f t="shared" si="6"/>
        <v>20.376183320117178</v>
      </c>
      <c r="G32" s="129">
        <f t="shared" si="6"/>
        <v>21.967275122676597</v>
      </c>
      <c r="H32" s="129">
        <f t="shared" si="6"/>
        <v>23.03837054042291</v>
      </c>
      <c r="I32" s="129">
        <f t="shared" si="6"/>
        <v>19.291893419823726</v>
      </c>
      <c r="J32" s="129">
        <f t="shared" si="6"/>
        <v>21.215090611852848</v>
      </c>
      <c r="K32" s="129">
        <f t="shared" si="6"/>
        <v>18.114212384856017</v>
      </c>
      <c r="L32" s="129">
        <f t="shared" si="6"/>
        <v>14.774478634857465</v>
      </c>
      <c r="M32" s="129">
        <f t="shared" si="6"/>
        <v>22.967286085074264</v>
      </c>
      <c r="N32" s="129">
        <f t="shared" si="6"/>
        <v>22.393624973573893</v>
      </c>
      <c r="O32" s="129">
        <f t="shared" si="6"/>
        <v>25.988765199621014</v>
      </c>
      <c r="P32" s="129">
        <f t="shared" si="6"/>
        <v>22.877101121518347</v>
      </c>
      <c r="Q32" s="129">
        <f t="shared" si="6"/>
        <v>23.557225684033366</v>
      </c>
      <c r="R32" s="129">
        <f>SUM(R33:R43)</f>
        <v>20.959101885827934</v>
      </c>
      <c r="S32" s="129">
        <f>SUM(S33:S43)</f>
        <v>24.418133869457218</v>
      </c>
      <c r="T32" s="129">
        <f t="shared" ref="T32:AE32" si="7">SUM(T33:T43)</f>
        <v>23.464694424807949</v>
      </c>
      <c r="U32" s="129">
        <f t="shared" si="7"/>
        <v>23.569609646192628</v>
      </c>
      <c r="V32" s="129">
        <f t="shared" si="7"/>
        <v>23.402048342368307</v>
      </c>
      <c r="W32" s="129" t="e">
        <f t="shared" si="7"/>
        <v>#DIV/0!</v>
      </c>
      <c r="X32" s="129" t="e">
        <f t="shared" si="7"/>
        <v>#DIV/0!</v>
      </c>
      <c r="Y32" s="129" t="e">
        <f t="shared" si="7"/>
        <v>#DIV/0!</v>
      </c>
      <c r="Z32" s="129" t="e">
        <f t="shared" si="7"/>
        <v>#DIV/0!</v>
      </c>
      <c r="AA32" s="129" t="e">
        <f t="shared" si="7"/>
        <v>#DIV/0!</v>
      </c>
      <c r="AB32" s="129" t="e">
        <f t="shared" si="7"/>
        <v>#DIV/0!</v>
      </c>
      <c r="AC32" s="129" t="e">
        <f t="shared" si="7"/>
        <v>#DIV/0!</v>
      </c>
      <c r="AD32" s="129" t="e">
        <f t="shared" si="7"/>
        <v>#DIV/0!</v>
      </c>
      <c r="AE32" s="129">
        <f t="shared" si="7"/>
        <v>23.640553658500348</v>
      </c>
      <c r="AF32" s="129">
        <f>SUM(AF33:AF43)</f>
        <v>0</v>
      </c>
      <c r="AG32" s="116">
        <f>E32/E$52</f>
        <v>0.34078363277510892</v>
      </c>
      <c r="AH32" s="116">
        <f>R32/R$52</f>
        <v>0.66968335028517845</v>
      </c>
      <c r="AI32" s="116">
        <f t="shared" ref="AI32" si="8">AE32/AE$52</f>
        <v>0.73343806953450974</v>
      </c>
    </row>
    <row r="33" spans="2:35" ht="15.6" x14ac:dyDescent="0.3">
      <c r="B33" s="113">
        <v>1</v>
      </c>
      <c r="C33" s="99" t="s">
        <v>96</v>
      </c>
      <c r="D33" s="99" t="s">
        <v>261</v>
      </c>
      <c r="E33" s="127">
        <f t="shared" ref="E33:S33" si="9">E5/E$25</f>
        <v>0</v>
      </c>
      <c r="F33" s="127">
        <f t="shared" si="9"/>
        <v>18.40148324094109</v>
      </c>
      <c r="G33" s="127">
        <f t="shared" si="9"/>
        <v>19.937836301493075</v>
      </c>
      <c r="H33" s="127">
        <f t="shared" si="9"/>
        <v>21.215324688614054</v>
      </c>
      <c r="I33" s="127">
        <f t="shared" si="9"/>
        <v>17.515845569339202</v>
      </c>
      <c r="J33" s="127">
        <f t="shared" si="9"/>
        <v>19.087561544975884</v>
      </c>
      <c r="K33" s="127">
        <f t="shared" si="9"/>
        <v>16.175475311065469</v>
      </c>
      <c r="L33" s="127">
        <f t="shared" si="9"/>
        <v>12.161154854691178</v>
      </c>
      <c r="M33" s="127">
        <f t="shared" si="9"/>
        <v>20.488970003154307</v>
      </c>
      <c r="N33" s="127">
        <f t="shared" si="9"/>
        <v>19.817956459584543</v>
      </c>
      <c r="O33" s="127">
        <f t="shared" si="9"/>
        <v>23.655613487995687</v>
      </c>
      <c r="P33" s="127">
        <f t="shared" si="9"/>
        <v>20.830107047092188</v>
      </c>
      <c r="Q33" s="127">
        <f t="shared" si="9"/>
        <v>21.222192155707187</v>
      </c>
      <c r="R33" s="127">
        <f>R5/R$25</f>
        <v>18.790394936803491</v>
      </c>
      <c r="S33" s="127">
        <f t="shared" si="9"/>
        <v>21.314439166638778</v>
      </c>
      <c r="T33" s="127">
        <f t="shared" ref="T33:AE33" si="10">T5/T$25</f>
        <v>20.973841830458248</v>
      </c>
      <c r="U33" s="127">
        <f t="shared" si="10"/>
        <v>21.403339873289951</v>
      </c>
      <c r="V33" s="127">
        <f t="shared" si="10"/>
        <v>20.990809577146205</v>
      </c>
      <c r="W33" s="127" t="e">
        <f t="shared" si="10"/>
        <v>#DIV/0!</v>
      </c>
      <c r="X33" s="127" t="e">
        <f t="shared" si="10"/>
        <v>#DIV/0!</v>
      </c>
      <c r="Y33" s="127" t="e">
        <f t="shared" si="10"/>
        <v>#DIV/0!</v>
      </c>
      <c r="Z33" s="127" t="e">
        <f t="shared" si="10"/>
        <v>#DIV/0!</v>
      </c>
      <c r="AA33" s="127" t="e">
        <f t="shared" si="10"/>
        <v>#DIV/0!</v>
      </c>
      <c r="AB33" s="127" t="e">
        <f t="shared" si="10"/>
        <v>#DIV/0!</v>
      </c>
      <c r="AC33" s="127" t="e">
        <f t="shared" si="10"/>
        <v>#DIV/0!</v>
      </c>
      <c r="AD33" s="127" t="e">
        <f t="shared" si="10"/>
        <v>#DIV/0!</v>
      </c>
      <c r="AE33" s="127">
        <f t="shared" si="10"/>
        <v>21.172084542901885</v>
      </c>
      <c r="AF33" s="127"/>
      <c r="AG33" s="529">
        <f>E33/E$52</f>
        <v>0</v>
      </c>
      <c r="AH33" s="529">
        <f>R33/R$52</f>
        <v>0.60038901967306957</v>
      </c>
      <c r="AI33" s="529">
        <f>AE33/AE$52</f>
        <v>0.65685487063810355</v>
      </c>
    </row>
    <row r="34" spans="2:35" ht="15.6" x14ac:dyDescent="0.3">
      <c r="B34" s="114">
        <f>B33+1</f>
        <v>2</v>
      </c>
      <c r="C34" s="101" t="s">
        <v>96</v>
      </c>
      <c r="D34" s="101" t="s">
        <v>25</v>
      </c>
      <c r="E34" s="130">
        <f t="shared" ref="E34:R34" si="11">E6/E$25</f>
        <v>1.4664295859637577</v>
      </c>
      <c r="F34" s="130">
        <f t="shared" si="11"/>
        <v>1.1622871322930899</v>
      </c>
      <c r="G34" s="130">
        <f t="shared" si="11"/>
        <v>1.4181931192939561</v>
      </c>
      <c r="H34" s="130">
        <f t="shared" si="11"/>
        <v>1.045268805609302</v>
      </c>
      <c r="I34" s="130">
        <f t="shared" si="11"/>
        <v>1.2247460525202432</v>
      </c>
      <c r="J34" s="130">
        <f t="shared" si="11"/>
        <v>1.3627740259740264</v>
      </c>
      <c r="K34" s="130">
        <f t="shared" si="11"/>
        <v>1.3856628521080161</v>
      </c>
      <c r="L34" s="130">
        <f t="shared" si="11"/>
        <v>1.6408391126560737</v>
      </c>
      <c r="M34" s="130">
        <f t="shared" si="11"/>
        <v>1.6168249997434534</v>
      </c>
      <c r="N34" s="130">
        <f t="shared" si="11"/>
        <v>1.6678597260468151</v>
      </c>
      <c r="O34" s="130">
        <f t="shared" si="11"/>
        <v>1.2979874317417879</v>
      </c>
      <c r="P34" s="130">
        <f t="shared" si="11"/>
        <v>1.3476155595021735</v>
      </c>
      <c r="Q34" s="130">
        <f t="shared" si="11"/>
        <v>1.4725653212197845</v>
      </c>
      <c r="R34" s="130">
        <f t="shared" si="11"/>
        <v>1.380402195643754</v>
      </c>
      <c r="S34" s="130">
        <f t="shared" ref="S34:AE34" si="12">S6/S$25</f>
        <v>1.7505206005660607</v>
      </c>
      <c r="T34" s="130">
        <f t="shared" si="12"/>
        <v>1.4215826858321166</v>
      </c>
      <c r="U34" s="130">
        <f t="shared" si="12"/>
        <v>1.3607828018714534</v>
      </c>
      <c r="V34" s="130">
        <f t="shared" si="12"/>
        <v>1.5153341381603715</v>
      </c>
      <c r="W34" s="130" t="e">
        <f t="shared" si="12"/>
        <v>#DIV/0!</v>
      </c>
      <c r="X34" s="130" t="e">
        <f t="shared" si="12"/>
        <v>#DIV/0!</v>
      </c>
      <c r="Y34" s="130" t="e">
        <f t="shared" si="12"/>
        <v>#DIV/0!</v>
      </c>
      <c r="Z34" s="130" t="e">
        <f t="shared" si="12"/>
        <v>#DIV/0!</v>
      </c>
      <c r="AA34" s="130" t="e">
        <f t="shared" si="12"/>
        <v>#DIV/0!</v>
      </c>
      <c r="AB34" s="130" t="e">
        <f t="shared" si="12"/>
        <v>#DIV/0!</v>
      </c>
      <c r="AC34" s="130" t="e">
        <f t="shared" si="12"/>
        <v>#DIV/0!</v>
      </c>
      <c r="AD34" s="130" t="e">
        <f t="shared" si="12"/>
        <v>#DIV/0!</v>
      </c>
      <c r="AE34" s="130">
        <f t="shared" si="12"/>
        <v>1.484473227930698</v>
      </c>
      <c r="AF34" s="130"/>
      <c r="AG34" s="140">
        <f t="shared" ref="AG34:AG52" si="13">E34/E$52</f>
        <v>0.14400371428028222</v>
      </c>
      <c r="AH34" s="140">
        <f t="shared" ref="AH34:AH52" si="14">R34/R$52</f>
        <v>4.4106487584985962E-2</v>
      </c>
      <c r="AI34" s="140">
        <f t="shared" ref="AI34:AI55" si="15">AE34/AE$52</f>
        <v>4.6055147197352916E-2</v>
      </c>
    </row>
    <row r="35" spans="2:35" ht="15.6" x14ac:dyDescent="0.3">
      <c r="B35" s="114">
        <f t="shared" ref="B35:B43" si="16">B34+1</f>
        <v>3</v>
      </c>
      <c r="C35" s="101" t="s">
        <v>96</v>
      </c>
      <c r="D35" s="101" t="s">
        <v>166</v>
      </c>
      <c r="E35" s="130">
        <f t="shared" ref="E35:R35" si="17">E7/E$25</f>
        <v>3.4130216714295433E-2</v>
      </c>
      <c r="F35" s="130">
        <f t="shared" si="17"/>
        <v>3.7880879069699017E-2</v>
      </c>
      <c r="G35" s="130">
        <f t="shared" si="17"/>
        <v>5.2118635572920194E-2</v>
      </c>
      <c r="H35" s="130">
        <f t="shared" si="17"/>
        <v>1.794044021505458E-2</v>
      </c>
      <c r="I35" s="130">
        <f t="shared" si="17"/>
        <v>1.8870435906836854E-2</v>
      </c>
      <c r="J35" s="130">
        <f t="shared" si="17"/>
        <v>1.086713485655643E-2</v>
      </c>
      <c r="K35" s="130">
        <f t="shared" si="17"/>
        <v>2.7784260802978463E-2</v>
      </c>
      <c r="L35" s="130">
        <f t="shared" si="17"/>
        <v>2.2711527201788161E-2</v>
      </c>
      <c r="M35" s="130">
        <f t="shared" si="17"/>
        <v>6.4530115252281514E-2</v>
      </c>
      <c r="N35" s="130">
        <f t="shared" si="17"/>
        <v>4.6515241908546535E-2</v>
      </c>
      <c r="O35" s="130">
        <f t="shared" si="17"/>
        <v>7.6399682968681701E-2</v>
      </c>
      <c r="P35" s="130">
        <f t="shared" si="17"/>
        <v>7.0879392100994046E-2</v>
      </c>
      <c r="Q35" s="130">
        <f t="shared" si="17"/>
        <v>9.9314392076079089E-2</v>
      </c>
      <c r="R35" s="130">
        <f t="shared" si="17"/>
        <v>4.1848588825038849E-2</v>
      </c>
      <c r="S35" s="130">
        <f t="shared" ref="S35:S40" si="18">S7/S$25</f>
        <v>5.2001456252513317E-2</v>
      </c>
      <c r="T35" s="130">
        <f t="shared" ref="T35:AE35" si="19">T7/T$25</f>
        <v>8.4125691144361137E-2</v>
      </c>
      <c r="U35" s="130">
        <f t="shared" si="19"/>
        <v>7.1912069499563358E-2</v>
      </c>
      <c r="V35" s="130">
        <f t="shared" si="19"/>
        <v>5.3931385378183379E-2</v>
      </c>
      <c r="W35" s="130" t="e">
        <f t="shared" si="19"/>
        <v>#DIV/0!</v>
      </c>
      <c r="X35" s="130" t="e">
        <f t="shared" si="19"/>
        <v>#DIV/0!</v>
      </c>
      <c r="Y35" s="130" t="e">
        <f t="shared" si="19"/>
        <v>#DIV/0!</v>
      </c>
      <c r="Z35" s="130" t="e">
        <f t="shared" si="19"/>
        <v>#DIV/0!</v>
      </c>
      <c r="AA35" s="130" t="e">
        <f t="shared" si="19"/>
        <v>#DIV/0!</v>
      </c>
      <c r="AB35" s="130" t="e">
        <f t="shared" si="19"/>
        <v>#DIV/0!</v>
      </c>
      <c r="AC35" s="130" t="e">
        <f t="shared" si="19"/>
        <v>#DIV/0!</v>
      </c>
      <c r="AD35" s="130" t="e">
        <f t="shared" si="19"/>
        <v>#DIV/0!</v>
      </c>
      <c r="AE35" s="130">
        <f t="shared" si="19"/>
        <v>6.6225697970756128E-2</v>
      </c>
      <c r="AF35" s="130"/>
      <c r="AG35" s="140">
        <f t="shared" si="13"/>
        <v>3.351594937181649E-3</v>
      </c>
      <c r="AH35" s="140">
        <f t="shared" si="14"/>
        <v>1.3371423700177232E-3</v>
      </c>
      <c r="AI35" s="140">
        <f t="shared" si="15"/>
        <v>2.0546239641803759E-3</v>
      </c>
    </row>
    <row r="36" spans="2:35" ht="15.6" x14ac:dyDescent="0.3">
      <c r="B36" s="114">
        <f t="shared" si="16"/>
        <v>4</v>
      </c>
      <c r="C36" s="101" t="s">
        <v>96</v>
      </c>
      <c r="D36" s="101" t="s">
        <v>54</v>
      </c>
      <c r="E36" s="130">
        <f t="shared" ref="E36:R36" si="20">E8/E$25</f>
        <v>0.22840583360603492</v>
      </c>
      <c r="F36" s="130">
        <f t="shared" si="20"/>
        <v>0.12187533422014667</v>
      </c>
      <c r="G36" s="130">
        <f t="shared" si="20"/>
        <v>5.2627062421298783E-2</v>
      </c>
      <c r="H36" s="130">
        <f t="shared" si="20"/>
        <v>0.26624257955195635</v>
      </c>
      <c r="I36" s="130">
        <f t="shared" si="20"/>
        <v>2.7128261937605112E-2</v>
      </c>
      <c r="J36" s="130">
        <f t="shared" si="20"/>
        <v>9.753728782355757E-2</v>
      </c>
      <c r="K36" s="130">
        <f t="shared" si="20"/>
        <v>2.4095512234908731E-2</v>
      </c>
      <c r="L36" s="130">
        <f t="shared" si="20"/>
        <v>0.19751402473348356</v>
      </c>
      <c r="M36" s="130">
        <f t="shared" si="20"/>
        <v>0.24637350894472226</v>
      </c>
      <c r="N36" s="130">
        <f t="shared" si="20"/>
        <v>0.17190212061847862</v>
      </c>
      <c r="O36" s="130">
        <f t="shared" si="20"/>
        <v>0.23434221742649045</v>
      </c>
      <c r="P36" s="130">
        <f t="shared" si="20"/>
        <v>0.14280886661584227</v>
      </c>
      <c r="Q36" s="130">
        <f t="shared" si="20"/>
        <v>0.16600884076782182</v>
      </c>
      <c r="R36" s="130">
        <f t="shared" si="20"/>
        <v>0.14610654619113825</v>
      </c>
      <c r="S36" s="130">
        <f t="shared" si="18"/>
        <v>0.35392921601465083</v>
      </c>
      <c r="T36" s="130">
        <f t="shared" ref="T36:AE36" si="21">T8/T$25</f>
        <v>0.26211833359872144</v>
      </c>
      <c r="U36" s="130">
        <f t="shared" si="21"/>
        <v>0.15726424473452802</v>
      </c>
      <c r="V36" s="130">
        <f t="shared" si="21"/>
        <v>7.2241628805007924E-2</v>
      </c>
      <c r="W36" s="130" t="e">
        <f t="shared" si="21"/>
        <v>#DIV/0!</v>
      </c>
      <c r="X36" s="130" t="e">
        <f t="shared" si="21"/>
        <v>#DIV/0!</v>
      </c>
      <c r="Y36" s="130" t="e">
        <f t="shared" si="21"/>
        <v>#DIV/0!</v>
      </c>
      <c r="Z36" s="130" t="e">
        <f t="shared" si="21"/>
        <v>#DIV/0!</v>
      </c>
      <c r="AA36" s="130" t="e">
        <f t="shared" si="21"/>
        <v>#DIV/0!</v>
      </c>
      <c r="AB36" s="130" t="e">
        <f t="shared" si="21"/>
        <v>#DIV/0!</v>
      </c>
      <c r="AC36" s="130" t="e">
        <f t="shared" si="21"/>
        <v>#DIV/0!</v>
      </c>
      <c r="AD36" s="130" t="e">
        <f t="shared" si="21"/>
        <v>#DIV/0!</v>
      </c>
      <c r="AE36" s="130">
        <f t="shared" si="21"/>
        <v>0.19013514169536816</v>
      </c>
      <c r="AF36" s="130"/>
      <c r="AG36" s="140">
        <f t="shared" si="13"/>
        <v>2.2429504094420277E-2</v>
      </c>
      <c r="AH36" s="140">
        <f t="shared" si="14"/>
        <v>4.6683833059678135E-3</v>
      </c>
      <c r="AI36" s="140">
        <f t="shared" si="15"/>
        <v>5.8988614771963649E-3</v>
      </c>
    </row>
    <row r="37" spans="2:35" ht="15.6" x14ac:dyDescent="0.3">
      <c r="B37" s="114">
        <f t="shared" si="16"/>
        <v>5</v>
      </c>
      <c r="C37" s="101" t="s">
        <v>96</v>
      </c>
      <c r="D37" s="101" t="s">
        <v>49</v>
      </c>
      <c r="E37" s="130">
        <f t="shared" ref="E37:R37" si="22">E9/E$25</f>
        <v>0.91507222454316262</v>
      </c>
      <c r="F37" s="130">
        <f t="shared" si="22"/>
        <v>0.22536395057848146</v>
      </c>
      <c r="G37" s="130">
        <f t="shared" si="22"/>
        <v>6.6064800673692387E-2</v>
      </c>
      <c r="H37" s="130">
        <f t="shared" si="22"/>
        <v>9.4375895529329693E-2</v>
      </c>
      <c r="I37" s="130">
        <f t="shared" si="22"/>
        <v>5.2078563561372908E-2</v>
      </c>
      <c r="J37" s="130">
        <f t="shared" si="22"/>
        <v>0.29795800905969616</v>
      </c>
      <c r="K37" s="130">
        <f t="shared" si="22"/>
        <v>9.974999890817221E-2</v>
      </c>
      <c r="L37" s="130">
        <f t="shared" si="22"/>
        <v>0.28004417513679358</v>
      </c>
      <c r="M37" s="130">
        <f t="shared" si="22"/>
        <v>9.11922708633989E-2</v>
      </c>
      <c r="N37" s="130">
        <f t="shared" si="22"/>
        <v>0.31617266374656966</v>
      </c>
      <c r="O37" s="130">
        <f t="shared" si="22"/>
        <v>0.17591388914556852</v>
      </c>
      <c r="P37" s="130">
        <f t="shared" si="22"/>
        <v>8.8432785907418876E-2</v>
      </c>
      <c r="Q37" s="130">
        <f t="shared" si="22"/>
        <v>0.1614570280381466</v>
      </c>
      <c r="R37" s="130">
        <f t="shared" si="22"/>
        <v>0.17383154907252629</v>
      </c>
      <c r="S37" s="130">
        <f t="shared" si="18"/>
        <v>0.24131147297194994</v>
      </c>
      <c r="T37" s="130">
        <f t="shared" ref="T37:AE37" si="23">T9/T$25</f>
        <v>0.16845285489374537</v>
      </c>
      <c r="U37" s="130">
        <f t="shared" si="23"/>
        <v>0.15753054839555797</v>
      </c>
      <c r="V37" s="130">
        <f t="shared" si="23"/>
        <v>0.27383233736040946</v>
      </c>
      <c r="W37" s="130" t="e">
        <f t="shared" si="23"/>
        <v>#DIV/0!</v>
      </c>
      <c r="X37" s="130" t="e">
        <f t="shared" si="23"/>
        <v>#DIV/0!</v>
      </c>
      <c r="Y37" s="130" t="e">
        <f t="shared" si="23"/>
        <v>#DIV/0!</v>
      </c>
      <c r="Z37" s="130" t="e">
        <f t="shared" si="23"/>
        <v>#DIV/0!</v>
      </c>
      <c r="AA37" s="130" t="e">
        <f t="shared" si="23"/>
        <v>#DIV/0!</v>
      </c>
      <c r="AB37" s="130" t="e">
        <f t="shared" si="23"/>
        <v>#DIV/0!</v>
      </c>
      <c r="AC37" s="130" t="e">
        <f t="shared" si="23"/>
        <v>#DIV/0!</v>
      </c>
      <c r="AD37" s="130" t="e">
        <f t="shared" si="23"/>
        <v>#DIV/0!</v>
      </c>
      <c r="AE37" s="130">
        <f t="shared" si="23"/>
        <v>0.20735261945698211</v>
      </c>
      <c r="AF37" s="130"/>
      <c r="AG37" s="140">
        <f t="shared" si="13"/>
        <v>8.9860297712373471E-2</v>
      </c>
      <c r="AH37" s="140">
        <f t="shared" si="14"/>
        <v>5.5542501201765243E-3</v>
      </c>
      <c r="AI37" s="140">
        <f t="shared" si="15"/>
        <v>6.4330263632708887E-3</v>
      </c>
    </row>
    <row r="38" spans="2:35" ht="15.6" x14ac:dyDescent="0.3">
      <c r="B38" s="114">
        <f t="shared" si="16"/>
        <v>6</v>
      </c>
      <c r="C38" s="101" t="s">
        <v>96</v>
      </c>
      <c r="D38" s="101" t="s">
        <v>56</v>
      </c>
      <c r="E38" s="130">
        <f t="shared" ref="E38:R38" si="24">E10/E$25</f>
        <v>0.39941824231407286</v>
      </c>
      <c r="F38" s="130">
        <f t="shared" si="24"/>
        <v>0.26091941036429755</v>
      </c>
      <c r="G38" s="130">
        <f t="shared" si="24"/>
        <v>0.28693136895125021</v>
      </c>
      <c r="H38" s="130">
        <f t="shared" si="24"/>
        <v>0.22097923066766428</v>
      </c>
      <c r="I38" s="130">
        <f t="shared" si="24"/>
        <v>0.30055478449008899</v>
      </c>
      <c r="J38" s="130">
        <f t="shared" si="24"/>
        <v>0.21394362679038254</v>
      </c>
      <c r="K38" s="130">
        <f t="shared" si="24"/>
        <v>0.21834418018364007</v>
      </c>
      <c r="L38" s="130">
        <f t="shared" si="24"/>
        <v>0.17718329204778924</v>
      </c>
      <c r="M38" s="130">
        <f t="shared" si="24"/>
        <v>0.25135497061341672</v>
      </c>
      <c r="N38" s="130">
        <f t="shared" si="24"/>
        <v>0.22131187171600897</v>
      </c>
      <c r="O38" s="130">
        <f t="shared" si="24"/>
        <v>0.31757866738602647</v>
      </c>
      <c r="P38" s="130">
        <f t="shared" si="24"/>
        <v>0.26468609392050468</v>
      </c>
      <c r="Q38" s="130">
        <f t="shared" si="24"/>
        <v>0.26995107153802461</v>
      </c>
      <c r="R38" s="130">
        <f t="shared" si="24"/>
        <v>0.24336671914565694</v>
      </c>
      <c r="S38" s="130">
        <f t="shared" si="18"/>
        <v>0.25821325959750518</v>
      </c>
      <c r="T38" s="130">
        <f t="shared" ref="T38:AE38" si="25">T10/T$25</f>
        <v>0.3413223875491706</v>
      </c>
      <c r="U38" s="130">
        <f t="shared" si="25"/>
        <v>0.2630479655257788</v>
      </c>
      <c r="V38" s="130">
        <f t="shared" si="25"/>
        <v>0.24258850631317019</v>
      </c>
      <c r="W38" s="130" t="e">
        <f t="shared" si="25"/>
        <v>#DIV/0!</v>
      </c>
      <c r="X38" s="130" t="e">
        <f t="shared" si="25"/>
        <v>#DIV/0!</v>
      </c>
      <c r="Y38" s="130" t="e">
        <f t="shared" si="25"/>
        <v>#DIV/0!</v>
      </c>
      <c r="Z38" s="130" t="e">
        <f t="shared" si="25"/>
        <v>#DIV/0!</v>
      </c>
      <c r="AA38" s="130" t="e">
        <f t="shared" si="25"/>
        <v>#DIV/0!</v>
      </c>
      <c r="AB38" s="130" t="e">
        <f t="shared" si="25"/>
        <v>#DIV/0!</v>
      </c>
      <c r="AC38" s="130" t="e">
        <f t="shared" si="25"/>
        <v>#DIV/0!</v>
      </c>
      <c r="AD38" s="130" t="e">
        <f t="shared" si="25"/>
        <v>#DIV/0!</v>
      </c>
      <c r="AE38" s="130">
        <f t="shared" si="25"/>
        <v>0.27433895868745345</v>
      </c>
      <c r="AF38" s="130"/>
      <c r="AG38" s="140">
        <f t="shared" si="13"/>
        <v>3.9222960989788572E-2</v>
      </c>
      <c r="AH38" s="140">
        <f t="shared" si="14"/>
        <v>7.7760316598097208E-3</v>
      </c>
      <c r="AI38" s="140">
        <f t="shared" si="15"/>
        <v>8.5112488973152663E-3</v>
      </c>
    </row>
    <row r="39" spans="2:35" ht="15.6" x14ac:dyDescent="0.3">
      <c r="B39" s="114">
        <f t="shared" si="16"/>
        <v>7</v>
      </c>
      <c r="C39" s="101" t="s">
        <v>96</v>
      </c>
      <c r="D39" s="101" t="s">
        <v>28</v>
      </c>
      <c r="E39" s="130">
        <f t="shared" ref="E39:R39" si="26">E11/E$25</f>
        <v>0.16519242915142826</v>
      </c>
      <c r="F39" s="130">
        <f t="shared" si="26"/>
        <v>8.0946318197641962E-2</v>
      </c>
      <c r="G39" s="130">
        <f t="shared" si="26"/>
        <v>9.2151969142682991E-2</v>
      </c>
      <c r="H39" s="130">
        <f t="shared" si="26"/>
        <v>8.4277115323424898E-2</v>
      </c>
      <c r="I39" s="130">
        <f t="shared" si="26"/>
        <v>8.6304032437479125E-2</v>
      </c>
      <c r="J39" s="130">
        <f t="shared" si="26"/>
        <v>8.8939596751832065E-2</v>
      </c>
      <c r="K39" s="130">
        <f t="shared" si="26"/>
        <v>0.10167778111739818</v>
      </c>
      <c r="L39" s="130">
        <f t="shared" si="26"/>
        <v>0.16923141151206803</v>
      </c>
      <c r="M39" s="130">
        <f t="shared" si="26"/>
        <v>0.12214887011093087</v>
      </c>
      <c r="N39" s="130">
        <f t="shared" si="26"/>
        <v>9.4340957837718065E-2</v>
      </c>
      <c r="O39" s="130">
        <f t="shared" si="26"/>
        <v>7.2492689093140522E-2</v>
      </c>
      <c r="P39" s="130">
        <f t="shared" si="26"/>
        <v>6.6348175031311532E-2</v>
      </c>
      <c r="Q39" s="130">
        <f t="shared" si="26"/>
        <v>8.7713977955019617E-2</v>
      </c>
      <c r="R39" s="130">
        <f t="shared" si="26"/>
        <v>9.7568767811152771E-2</v>
      </c>
      <c r="S39" s="130">
        <f t="shared" si="18"/>
        <v>9.4472927835645537E-2</v>
      </c>
      <c r="T39" s="130">
        <f t="shared" ref="T39:AE39" si="27">T11/T$25</f>
        <v>7.4916739650744996E-2</v>
      </c>
      <c r="U39" s="130">
        <f t="shared" si="27"/>
        <v>5.867962346948933E-2</v>
      </c>
      <c r="V39" s="130">
        <f t="shared" si="27"/>
        <v>5.8127548737858192E-2</v>
      </c>
      <c r="W39" s="130" t="e">
        <f t="shared" si="27"/>
        <v>#DIV/0!</v>
      </c>
      <c r="X39" s="130" t="e">
        <f t="shared" si="27"/>
        <v>#DIV/0!</v>
      </c>
      <c r="Y39" s="130" t="e">
        <f t="shared" si="27"/>
        <v>#DIV/0!</v>
      </c>
      <c r="Z39" s="130" t="e">
        <f t="shared" si="27"/>
        <v>#DIV/0!</v>
      </c>
      <c r="AA39" s="130" t="e">
        <f t="shared" si="27"/>
        <v>#DIV/0!</v>
      </c>
      <c r="AB39" s="130" t="e">
        <f t="shared" si="27"/>
        <v>#DIV/0!</v>
      </c>
      <c r="AC39" s="130" t="e">
        <f t="shared" si="27"/>
        <v>#DIV/0!</v>
      </c>
      <c r="AD39" s="130" t="e">
        <f t="shared" si="27"/>
        <v>#DIV/0!</v>
      </c>
      <c r="AE39" s="130">
        <f t="shared" si="27"/>
        <v>6.8270901812870224E-2</v>
      </c>
      <c r="AF39" s="130"/>
      <c r="AG39" s="140">
        <f t="shared" si="13"/>
        <v>1.6221933597414445E-2</v>
      </c>
      <c r="AH39" s="140">
        <f t="shared" si="14"/>
        <v>3.1175085491211342E-3</v>
      </c>
      <c r="AI39" s="140">
        <f t="shared" si="15"/>
        <v>2.1180755389376095E-3</v>
      </c>
    </row>
    <row r="40" spans="2:35" ht="15.6" hidden="1" x14ac:dyDescent="0.3">
      <c r="B40" s="114">
        <f t="shared" si="16"/>
        <v>8</v>
      </c>
      <c r="C40" s="101" t="s">
        <v>96</v>
      </c>
      <c r="D40" s="101" t="s">
        <v>53</v>
      </c>
      <c r="E40" s="130">
        <f t="shared" ref="E40:R40" si="28">E12/E$25</f>
        <v>0</v>
      </c>
      <c r="F40" s="130">
        <f t="shared" si="28"/>
        <v>0</v>
      </c>
      <c r="G40" s="130">
        <f t="shared" si="28"/>
        <v>0</v>
      </c>
      <c r="H40" s="130">
        <f t="shared" si="28"/>
        <v>0</v>
      </c>
      <c r="I40" s="130">
        <f t="shared" si="28"/>
        <v>0</v>
      </c>
      <c r="J40" s="130">
        <f t="shared" si="28"/>
        <v>0</v>
      </c>
      <c r="K40" s="130">
        <f t="shared" si="28"/>
        <v>0</v>
      </c>
      <c r="L40" s="130">
        <f t="shared" si="28"/>
        <v>0</v>
      </c>
      <c r="M40" s="130">
        <f t="shared" si="28"/>
        <v>0</v>
      </c>
      <c r="N40" s="130">
        <f t="shared" si="28"/>
        <v>0</v>
      </c>
      <c r="O40" s="130">
        <f t="shared" si="28"/>
        <v>0</v>
      </c>
      <c r="P40" s="130">
        <f t="shared" si="28"/>
        <v>0</v>
      </c>
      <c r="Q40" s="130">
        <f t="shared" si="28"/>
        <v>0</v>
      </c>
      <c r="R40" s="130">
        <f t="shared" si="28"/>
        <v>0</v>
      </c>
      <c r="S40" s="130">
        <f t="shared" si="18"/>
        <v>0</v>
      </c>
      <c r="T40" s="130">
        <f t="shared" ref="T40:AE40" si="29">T12/T$25</f>
        <v>0</v>
      </c>
      <c r="U40" s="130">
        <f t="shared" si="29"/>
        <v>0</v>
      </c>
      <c r="V40" s="130">
        <f t="shared" si="29"/>
        <v>0</v>
      </c>
      <c r="W40" s="130" t="e">
        <f t="shared" si="29"/>
        <v>#DIV/0!</v>
      </c>
      <c r="X40" s="130" t="e">
        <f t="shared" si="29"/>
        <v>#DIV/0!</v>
      </c>
      <c r="Y40" s="130" t="e">
        <f t="shared" si="29"/>
        <v>#DIV/0!</v>
      </c>
      <c r="Z40" s="130" t="e">
        <f t="shared" si="29"/>
        <v>#DIV/0!</v>
      </c>
      <c r="AA40" s="130" t="e">
        <f t="shared" si="29"/>
        <v>#DIV/0!</v>
      </c>
      <c r="AB40" s="130" t="e">
        <f t="shared" si="29"/>
        <v>#DIV/0!</v>
      </c>
      <c r="AC40" s="130" t="e">
        <f t="shared" si="29"/>
        <v>#DIV/0!</v>
      </c>
      <c r="AD40" s="130" t="e">
        <f t="shared" si="29"/>
        <v>#DIV/0!</v>
      </c>
      <c r="AE40" s="130">
        <f t="shared" si="29"/>
        <v>0</v>
      </c>
      <c r="AF40" s="130"/>
      <c r="AG40" s="140">
        <f t="shared" si="13"/>
        <v>0</v>
      </c>
      <c r="AH40" s="140">
        <f t="shared" si="14"/>
        <v>0</v>
      </c>
      <c r="AI40" s="140">
        <f t="shared" si="15"/>
        <v>0</v>
      </c>
    </row>
    <row r="41" spans="2:35" ht="15.6" x14ac:dyDescent="0.3">
      <c r="B41" s="114">
        <f t="shared" si="16"/>
        <v>9</v>
      </c>
      <c r="C41" s="101" t="s">
        <v>96</v>
      </c>
      <c r="D41" s="101" t="s">
        <v>42</v>
      </c>
      <c r="E41" s="121">
        <f t="shared" ref="E41:R41" si="30">E13/E$25</f>
        <v>5.72507066050034E-2</v>
      </c>
      <c r="F41" s="121">
        <f t="shared" si="30"/>
        <v>1.4603973874510796E-2</v>
      </c>
      <c r="G41" s="121">
        <f t="shared" si="30"/>
        <v>2.2448970135677343E-2</v>
      </c>
      <c r="H41" s="121">
        <f t="shared" si="30"/>
        <v>1.469996781333696E-2</v>
      </c>
      <c r="I41" s="121">
        <f t="shared" si="30"/>
        <v>3.4134321793031011E-2</v>
      </c>
      <c r="J41" s="121">
        <f t="shared" si="30"/>
        <v>2.5952324816795408E-2</v>
      </c>
      <c r="K41" s="121">
        <f t="shared" si="30"/>
        <v>2.3417864483289263E-2</v>
      </c>
      <c r="L41" s="121">
        <f t="shared" si="30"/>
        <v>3.913258937947648E-2</v>
      </c>
      <c r="M41" s="121">
        <f t="shared" si="30"/>
        <v>3.6270317308470724E-2</v>
      </c>
      <c r="N41" s="121">
        <f t="shared" si="30"/>
        <v>2.1561120425241116E-2</v>
      </c>
      <c r="O41" s="121">
        <f t="shared" si="30"/>
        <v>2.0359624380226558E-2</v>
      </c>
      <c r="P41" s="121">
        <f t="shared" si="30"/>
        <v>1.5656766128554336E-2</v>
      </c>
      <c r="Q41" s="121">
        <f t="shared" si="30"/>
        <v>2.162859170622828E-2</v>
      </c>
      <c r="R41" s="121">
        <f t="shared" si="30"/>
        <v>2.4510176119154865E-2</v>
      </c>
      <c r="S41" s="121">
        <f t="shared" ref="S41:AE41" si="31">S13/S$25</f>
        <v>2.4855471805388937E-2</v>
      </c>
      <c r="T41" s="121">
        <f t="shared" si="31"/>
        <v>1.7936448733390911E-2</v>
      </c>
      <c r="U41" s="121">
        <f t="shared" si="31"/>
        <v>1.4196899367886649E-2</v>
      </c>
      <c r="V41" s="121">
        <f t="shared" si="31"/>
        <v>2.4297692728598483E-2</v>
      </c>
      <c r="W41" s="121" t="e">
        <f t="shared" si="31"/>
        <v>#DIV/0!</v>
      </c>
      <c r="X41" s="121" t="e">
        <f t="shared" si="31"/>
        <v>#DIV/0!</v>
      </c>
      <c r="Y41" s="121" t="e">
        <f t="shared" si="31"/>
        <v>#DIV/0!</v>
      </c>
      <c r="Z41" s="121" t="e">
        <f t="shared" si="31"/>
        <v>#DIV/0!</v>
      </c>
      <c r="AA41" s="121" t="e">
        <f t="shared" si="31"/>
        <v>#DIV/0!</v>
      </c>
      <c r="AB41" s="121" t="e">
        <f t="shared" si="31"/>
        <v>#DIV/0!</v>
      </c>
      <c r="AC41" s="121" t="e">
        <f t="shared" si="31"/>
        <v>#DIV/0!</v>
      </c>
      <c r="AD41" s="121" t="e">
        <f t="shared" si="31"/>
        <v>#DIV/0!</v>
      </c>
      <c r="AE41" s="121">
        <f t="shared" si="31"/>
        <v>1.9733284436833726E-2</v>
      </c>
      <c r="AF41" s="121"/>
      <c r="AG41" s="140">
        <f t="shared" si="13"/>
        <v>5.6220322306664988E-3</v>
      </c>
      <c r="AH41" s="140">
        <f t="shared" si="14"/>
        <v>7.8314695681947204E-4</v>
      </c>
      <c r="AI41" s="140">
        <f t="shared" si="15"/>
        <v>6.1221671251860288E-4</v>
      </c>
    </row>
    <row r="42" spans="2:35" ht="15.6" x14ac:dyDescent="0.3">
      <c r="B42" s="114">
        <f t="shared" si="16"/>
        <v>10</v>
      </c>
      <c r="C42" s="101" t="s">
        <v>96</v>
      </c>
      <c r="D42" s="101" t="s">
        <v>52</v>
      </c>
      <c r="E42" s="121">
        <f t="shared" ref="E42:R42" si="32">E14/E$25</f>
        <v>6.5685058308525321E-2</v>
      </c>
      <c r="F42" s="121">
        <f t="shared" si="32"/>
        <v>2.7104194689777181E-2</v>
      </c>
      <c r="G42" s="121">
        <f t="shared" si="32"/>
        <v>3.8902894992041706E-2</v>
      </c>
      <c r="H42" s="121">
        <f t="shared" si="32"/>
        <v>2.8546751740755216E-2</v>
      </c>
      <c r="I42" s="121">
        <f t="shared" si="32"/>
        <v>3.2231397837869602E-2</v>
      </c>
      <c r="J42" s="121">
        <f t="shared" si="32"/>
        <v>2.9557060804119635E-2</v>
      </c>
      <c r="K42" s="121">
        <f t="shared" si="32"/>
        <v>3.801910374156544E-2</v>
      </c>
      <c r="L42" s="121">
        <f t="shared" si="32"/>
        <v>5.4748117255243187E-2</v>
      </c>
      <c r="M42" s="121">
        <f t="shared" si="32"/>
        <v>4.962102908328421E-2</v>
      </c>
      <c r="N42" s="121">
        <f t="shared" si="32"/>
        <v>3.5646756988940501E-2</v>
      </c>
      <c r="O42" s="121">
        <f t="shared" si="32"/>
        <v>2.955368159022605E-2</v>
      </c>
      <c r="P42" s="121">
        <f t="shared" si="32"/>
        <v>2.9545313195949989E-2</v>
      </c>
      <c r="Q42" s="121">
        <f t="shared" si="32"/>
        <v>3.7812935597966411E-2</v>
      </c>
      <c r="R42" s="121">
        <f t="shared" si="32"/>
        <v>3.5886939895834566E-2</v>
      </c>
      <c r="S42" s="121">
        <f t="shared" ref="S42:AE42" si="33">S14/S$25</f>
        <v>4.9870877862035257E-2</v>
      </c>
      <c r="T42" s="121">
        <f t="shared" si="33"/>
        <v>4.7440439919844896E-2</v>
      </c>
      <c r="U42" s="121">
        <f t="shared" si="33"/>
        <v>2.5097927796396458E-2</v>
      </c>
      <c r="V42" s="121">
        <f t="shared" si="33"/>
        <v>3.0239938907830714E-2</v>
      </c>
      <c r="W42" s="121" t="e">
        <f t="shared" si="33"/>
        <v>#DIV/0!</v>
      </c>
      <c r="X42" s="121" t="e">
        <f t="shared" si="33"/>
        <v>#DIV/0!</v>
      </c>
      <c r="Y42" s="121" t="e">
        <f t="shared" si="33"/>
        <v>#DIV/0!</v>
      </c>
      <c r="Z42" s="121" t="e">
        <f t="shared" si="33"/>
        <v>#DIV/0!</v>
      </c>
      <c r="AA42" s="121" t="e">
        <f t="shared" si="33"/>
        <v>#DIV/0!</v>
      </c>
      <c r="AB42" s="121" t="e">
        <f t="shared" si="33"/>
        <v>#DIV/0!</v>
      </c>
      <c r="AC42" s="121" t="e">
        <f t="shared" si="33"/>
        <v>#DIV/0!</v>
      </c>
      <c r="AD42" s="121" t="e">
        <f t="shared" si="33"/>
        <v>#DIV/0!</v>
      </c>
      <c r="AE42" s="121">
        <f t="shared" si="33"/>
        <v>3.5859901882592866E-2</v>
      </c>
      <c r="AF42" s="121"/>
      <c r="AG42" s="140">
        <f t="shared" si="13"/>
        <v>6.4502874598837577E-3</v>
      </c>
      <c r="AH42" s="140">
        <f t="shared" si="14"/>
        <v>1.1466562962402418E-3</v>
      </c>
      <c r="AI42" s="140">
        <f t="shared" si="15"/>
        <v>1.1125381237003678E-3</v>
      </c>
    </row>
    <row r="43" spans="2:35" ht="15.6" x14ac:dyDescent="0.3">
      <c r="B43" s="114">
        <f t="shared" si="16"/>
        <v>11</v>
      </c>
      <c r="C43" s="102" t="s">
        <v>96</v>
      </c>
      <c r="D43" s="102" t="s">
        <v>55</v>
      </c>
      <c r="E43" s="122">
        <f t="shared" ref="E43:R43" si="34">E15/E$25</f>
        <v>0.1387095352220043</v>
      </c>
      <c r="F43" s="122">
        <f t="shared" si="34"/>
        <v>4.3718885888440404E-2</v>
      </c>
      <c r="G43" s="122">
        <f t="shared" si="34"/>
        <v>0</v>
      </c>
      <c r="H43" s="122">
        <f t="shared" si="34"/>
        <v>5.0715065358038817E-2</v>
      </c>
      <c r="I43" s="122">
        <f t="shared" si="34"/>
        <v>0</v>
      </c>
      <c r="J43" s="122">
        <f t="shared" si="34"/>
        <v>0</v>
      </c>
      <c r="K43" s="122">
        <f t="shared" si="34"/>
        <v>1.9985520210580556E-2</v>
      </c>
      <c r="L43" s="122">
        <f t="shared" si="34"/>
        <v>3.1919530243566314E-2</v>
      </c>
      <c r="M43" s="122">
        <f t="shared" si="34"/>
        <v>0</v>
      </c>
      <c r="N43" s="122">
        <f t="shared" si="34"/>
        <v>3.5805470103137895E-4</v>
      </c>
      <c r="O43" s="122">
        <f t="shared" si="34"/>
        <v>0.10852382789317506</v>
      </c>
      <c r="P43" s="122">
        <f t="shared" si="34"/>
        <v>2.1021122023409118E-2</v>
      </c>
      <c r="Q43" s="122">
        <f t="shared" si="34"/>
        <v>1.8581369427106652E-2</v>
      </c>
      <c r="R43" s="122">
        <f t="shared" si="34"/>
        <v>2.5185466320181253E-2</v>
      </c>
      <c r="S43" s="122">
        <f t="shared" ref="S43:AE43" si="35">S15/S$25</f>
        <v>0.27851941991268969</v>
      </c>
      <c r="T43" s="122">
        <f t="shared" si="35"/>
        <v>7.2957013027606252E-2</v>
      </c>
      <c r="U43" s="122">
        <f t="shared" si="35"/>
        <v>5.7757692242019619E-2</v>
      </c>
      <c r="V43" s="122">
        <f t="shared" si="35"/>
        <v>0.14064558883067257</v>
      </c>
      <c r="W43" s="122" t="e">
        <f t="shared" si="35"/>
        <v>#DIV/0!</v>
      </c>
      <c r="X43" s="122" t="e">
        <f t="shared" si="35"/>
        <v>#DIV/0!</v>
      </c>
      <c r="Y43" s="122" t="e">
        <f t="shared" si="35"/>
        <v>#DIV/0!</v>
      </c>
      <c r="Z43" s="122" t="e">
        <f t="shared" si="35"/>
        <v>#DIV/0!</v>
      </c>
      <c r="AA43" s="122" t="e">
        <f t="shared" si="35"/>
        <v>#DIV/0!</v>
      </c>
      <c r="AB43" s="122" t="e">
        <f t="shared" si="35"/>
        <v>#DIV/0!</v>
      </c>
      <c r="AC43" s="122" t="e">
        <f t="shared" si="35"/>
        <v>#DIV/0!</v>
      </c>
      <c r="AD43" s="122" t="e">
        <f t="shared" si="35"/>
        <v>#DIV/0!</v>
      </c>
      <c r="AE43" s="122">
        <f t="shared" si="35"/>
        <v>0.12207938172490125</v>
      </c>
      <c r="AF43" s="122"/>
      <c r="AG43" s="530">
        <f t="shared" si="13"/>
        <v>1.3621307473098076E-2</v>
      </c>
      <c r="AH43" s="530">
        <f t="shared" si="14"/>
        <v>8.0472376897018215E-4</v>
      </c>
      <c r="AI43" s="530">
        <f t="shared" si="15"/>
        <v>3.7874606219335878E-3</v>
      </c>
    </row>
    <row r="44" spans="2:35" ht="15.6" x14ac:dyDescent="0.3">
      <c r="B44" s="112" t="s">
        <v>164</v>
      </c>
      <c r="C44" s="97"/>
      <c r="D44" s="98" t="s">
        <v>165</v>
      </c>
      <c r="E44" s="129">
        <f t="shared" ref="E44:Q44" si="36">SUM(E45:E51)</f>
        <v>6.7129822955024618</v>
      </c>
      <c r="F44" s="129">
        <f t="shared" si="36"/>
        <v>4.3699504501914674</v>
      </c>
      <c r="G44" s="129">
        <f t="shared" si="36"/>
        <v>6.6005409499122241</v>
      </c>
      <c r="H44" s="129">
        <f t="shared" si="36"/>
        <v>4.7899546364112018</v>
      </c>
      <c r="I44" s="129">
        <f t="shared" si="36"/>
        <v>5.1632143260966998</v>
      </c>
      <c r="J44" s="129">
        <f t="shared" si="36"/>
        <v>5.5254035809071143</v>
      </c>
      <c r="K44" s="129">
        <f t="shared" si="36"/>
        <v>6.9482420989881595</v>
      </c>
      <c r="L44" s="129">
        <f t="shared" si="36"/>
        <v>12.669728009284066</v>
      </c>
      <c r="M44" s="129">
        <f t="shared" si="36"/>
        <v>11.425970832112366</v>
      </c>
      <c r="N44" s="129">
        <f t="shared" si="36"/>
        <v>9.5936642934478602</v>
      </c>
      <c r="O44" s="129">
        <f t="shared" si="36"/>
        <v>6.1636930675874986</v>
      </c>
      <c r="P44" s="129">
        <f t="shared" si="36"/>
        <v>5.606012787209103</v>
      </c>
      <c r="Q44" s="129">
        <f t="shared" si="36"/>
        <v>9.6554861968996306</v>
      </c>
      <c r="R44" s="129">
        <f>SUM(R45:R51)</f>
        <v>10.337931072961759</v>
      </c>
      <c r="S44" s="129">
        <f>SUM(S45:S51)</f>
        <v>15.424917351504105</v>
      </c>
      <c r="T44" s="129">
        <f t="shared" ref="T44:AE44" si="37">SUM(T45:T51)</f>
        <v>9.223971695816342</v>
      </c>
      <c r="U44" s="129">
        <f t="shared" si="37"/>
        <v>5.9300239865033015</v>
      </c>
      <c r="V44" s="129">
        <f t="shared" si="37"/>
        <v>7.0091467280980204</v>
      </c>
      <c r="W44" s="129" t="e">
        <f t="shared" si="37"/>
        <v>#DIV/0!</v>
      </c>
      <c r="X44" s="129" t="e">
        <f t="shared" si="37"/>
        <v>#DIV/0!</v>
      </c>
      <c r="Y44" s="129" t="e">
        <f t="shared" si="37"/>
        <v>#DIV/0!</v>
      </c>
      <c r="Z44" s="129" t="e">
        <f t="shared" si="37"/>
        <v>#DIV/0!</v>
      </c>
      <c r="AA44" s="129" t="e">
        <f t="shared" si="37"/>
        <v>#DIV/0!</v>
      </c>
      <c r="AB44" s="129" t="e">
        <f t="shared" si="37"/>
        <v>#DIV/0!</v>
      </c>
      <c r="AC44" s="129" t="e">
        <f t="shared" si="37"/>
        <v>#DIV/0!</v>
      </c>
      <c r="AD44" s="129" t="e">
        <f t="shared" si="37"/>
        <v>#DIV/0!</v>
      </c>
      <c r="AE44" s="129">
        <f t="shared" si="37"/>
        <v>8.5919614514724234</v>
      </c>
      <c r="AF44" s="129">
        <f>SUM(AF45:AF51)</f>
        <v>0</v>
      </c>
      <c r="AG44" s="116">
        <f t="shared" si="13"/>
        <v>0.65921636722489108</v>
      </c>
      <c r="AH44" s="116">
        <f t="shared" si="14"/>
        <v>0.3303166497148215</v>
      </c>
      <c r="AI44" s="116">
        <f t="shared" si="15"/>
        <v>0.26656193046549015</v>
      </c>
    </row>
    <row r="45" spans="2:35" ht="15.6" x14ac:dyDescent="0.3">
      <c r="B45" s="113">
        <v>1</v>
      </c>
      <c r="C45" s="99" t="s">
        <v>97</v>
      </c>
      <c r="D45" s="99" t="s">
        <v>169</v>
      </c>
      <c r="E45" s="127">
        <f t="shared" ref="E45:Q45" si="38">(E17-E27)/E$25</f>
        <v>0.67012506217011558</v>
      </c>
      <c r="F45" s="127">
        <f t="shared" si="38"/>
        <v>0.96202269079565683</v>
      </c>
      <c r="G45" s="127">
        <f t="shared" si="38"/>
        <v>1.4556575901878828</v>
      </c>
      <c r="H45" s="127">
        <f t="shared" si="38"/>
        <v>1.5602881725450197</v>
      </c>
      <c r="I45" s="127">
        <f t="shared" si="38"/>
        <v>1.3423642961941442</v>
      </c>
      <c r="J45" s="127">
        <f t="shared" si="38"/>
        <v>1.3585798912373053</v>
      </c>
      <c r="K45" s="127">
        <f t="shared" si="38"/>
        <v>1.7172841772042327</v>
      </c>
      <c r="L45" s="127">
        <f t="shared" si="38"/>
        <v>3.2157945552564708</v>
      </c>
      <c r="M45" s="127">
        <f t="shared" si="38"/>
        <v>2.7374277305414978</v>
      </c>
      <c r="N45" s="127">
        <f t="shared" si="38"/>
        <v>2.1440508954323541</v>
      </c>
      <c r="O45" s="127">
        <f t="shared" si="38"/>
        <v>1.2583949926836793</v>
      </c>
      <c r="P45" s="127">
        <f t="shared" si="38"/>
        <v>1.0998114160979677</v>
      </c>
      <c r="Q45" s="127">
        <f t="shared" si="38"/>
        <v>0.39147537693202894</v>
      </c>
      <c r="R45" s="127">
        <f t="shared" ref="R45:R51" si="39">R17/R$25</f>
        <v>4.6173805245712627</v>
      </c>
      <c r="S45" s="127">
        <f t="shared" ref="S45:AE45" si="40">S17/S$25</f>
        <v>2.9313358692113138</v>
      </c>
      <c r="T45" s="127">
        <f t="shared" si="40"/>
        <v>1.783021706535699</v>
      </c>
      <c r="U45" s="127">
        <f t="shared" si="40"/>
        <v>1.1221797132677438</v>
      </c>
      <c r="V45" s="127">
        <f t="shared" si="40"/>
        <v>1.3235643922373614</v>
      </c>
      <c r="W45" s="127" t="e">
        <f t="shared" si="40"/>
        <v>#DIV/0!</v>
      </c>
      <c r="X45" s="127" t="e">
        <f t="shared" si="40"/>
        <v>#DIV/0!</v>
      </c>
      <c r="Y45" s="127" t="e">
        <f t="shared" si="40"/>
        <v>#DIV/0!</v>
      </c>
      <c r="Z45" s="127" t="e">
        <f t="shared" si="40"/>
        <v>#DIV/0!</v>
      </c>
      <c r="AA45" s="127" t="e">
        <f t="shared" si="40"/>
        <v>#DIV/0!</v>
      </c>
      <c r="AB45" s="127" t="e">
        <f t="shared" si="40"/>
        <v>#DIV/0!</v>
      </c>
      <c r="AC45" s="127" t="e">
        <f t="shared" si="40"/>
        <v>#DIV/0!</v>
      </c>
      <c r="AD45" s="127" t="e">
        <f t="shared" si="40"/>
        <v>#DIV/0!</v>
      </c>
      <c r="AE45" s="127">
        <f t="shared" si="40"/>
        <v>1.6357922625481081</v>
      </c>
      <c r="AF45" s="127"/>
      <c r="AG45" s="529">
        <f t="shared" si="13"/>
        <v>6.5806431422604048E-2</v>
      </c>
      <c r="AH45" s="529">
        <f t="shared" si="14"/>
        <v>0.14753412985349729</v>
      </c>
      <c r="AI45" s="529">
        <f t="shared" si="15"/>
        <v>5.0749755548613461E-2</v>
      </c>
    </row>
    <row r="46" spans="2:35" ht="15.6" x14ac:dyDescent="0.3">
      <c r="B46" s="114">
        <f t="shared" ref="B46:B51" si="41">B45+1</f>
        <v>2</v>
      </c>
      <c r="C46" s="101" t="s">
        <v>97</v>
      </c>
      <c r="D46" s="101" t="s">
        <v>48</v>
      </c>
      <c r="E46" s="130">
        <f t="shared" ref="E46:S46" si="42">E18/E$25</f>
        <v>3.8034069248206719</v>
      </c>
      <c r="F46" s="130">
        <f t="shared" si="42"/>
        <v>2.0672250007528987</v>
      </c>
      <c r="G46" s="130">
        <f t="shared" si="42"/>
        <v>2.9978696190879086</v>
      </c>
      <c r="H46" s="130">
        <f t="shared" si="42"/>
        <v>1.9442526173107879</v>
      </c>
      <c r="I46" s="130">
        <f t="shared" si="42"/>
        <v>2.2813262270486563</v>
      </c>
      <c r="J46" s="130">
        <f t="shared" si="42"/>
        <v>2.3862962039442044</v>
      </c>
      <c r="K46" s="130">
        <f t="shared" si="42"/>
        <v>2.9813722972142647</v>
      </c>
      <c r="L46" s="130">
        <f t="shared" si="42"/>
        <v>5.5545867986052473</v>
      </c>
      <c r="M46" s="130">
        <f t="shared" si="42"/>
        <v>4.6739959782585156</v>
      </c>
      <c r="N46" s="130">
        <f t="shared" si="42"/>
        <v>3.926043307566895</v>
      </c>
      <c r="O46" s="130">
        <f t="shared" si="42"/>
        <v>2.5762058885363475</v>
      </c>
      <c r="P46" s="130">
        <f t="shared" si="42"/>
        <v>2.3756022230193641</v>
      </c>
      <c r="Q46" s="130">
        <f t="shared" si="42"/>
        <v>3.7212207803306057</v>
      </c>
      <c r="R46" s="130">
        <f t="shared" si="39"/>
        <v>3.1225670019357552</v>
      </c>
      <c r="S46" s="130">
        <f t="shared" si="42"/>
        <v>6.7861665493487902</v>
      </c>
      <c r="T46" s="130">
        <f t="shared" ref="T46:AE46" si="43">T18/T$25</f>
        <v>4.2066771142670296</v>
      </c>
      <c r="U46" s="130">
        <f t="shared" si="43"/>
        <v>2.5864102314015995</v>
      </c>
      <c r="V46" s="130">
        <f t="shared" si="43"/>
        <v>3.3636211855001985</v>
      </c>
      <c r="W46" s="130" t="e">
        <f t="shared" si="43"/>
        <v>#DIV/0!</v>
      </c>
      <c r="X46" s="130" t="e">
        <f t="shared" si="43"/>
        <v>#DIV/0!</v>
      </c>
      <c r="Y46" s="130" t="e">
        <f t="shared" si="43"/>
        <v>#DIV/0!</v>
      </c>
      <c r="Z46" s="130" t="e">
        <f t="shared" si="43"/>
        <v>#DIV/0!</v>
      </c>
      <c r="AA46" s="130" t="e">
        <f t="shared" si="43"/>
        <v>#DIV/0!</v>
      </c>
      <c r="AB46" s="130" t="e">
        <f t="shared" si="43"/>
        <v>#DIV/0!</v>
      </c>
      <c r="AC46" s="130" t="e">
        <f t="shared" si="43"/>
        <v>#DIV/0!</v>
      </c>
      <c r="AD46" s="130" t="e">
        <f t="shared" si="43"/>
        <v>#DIV/0!</v>
      </c>
      <c r="AE46" s="130">
        <f t="shared" si="43"/>
        <v>3.8869168639862588</v>
      </c>
      <c r="AF46" s="130"/>
      <c r="AG46" s="140">
        <f t="shared" si="13"/>
        <v>0.37349541316950702</v>
      </c>
      <c r="AH46" s="140">
        <f t="shared" si="14"/>
        <v>9.9771981773716031E-2</v>
      </c>
      <c r="AI46" s="140">
        <f t="shared" si="15"/>
        <v>0.12058993382069781</v>
      </c>
    </row>
    <row r="47" spans="2:35" ht="15.6" x14ac:dyDescent="0.3">
      <c r="B47" s="114">
        <f t="shared" si="41"/>
        <v>3</v>
      </c>
      <c r="C47" s="101" t="s">
        <v>96</v>
      </c>
      <c r="D47" s="101" t="s">
        <v>16</v>
      </c>
      <c r="E47" s="130">
        <f t="shared" ref="E47:S47" si="44">E19/E$25</f>
        <v>1.3202955489201933</v>
      </c>
      <c r="F47" s="130">
        <f t="shared" si="44"/>
        <v>0.63302365829716778</v>
      </c>
      <c r="G47" s="130">
        <f t="shared" si="44"/>
        <v>1.0287618867166333</v>
      </c>
      <c r="H47" s="130">
        <f t="shared" si="44"/>
        <v>0.61890386848562162</v>
      </c>
      <c r="I47" s="130">
        <f t="shared" si="44"/>
        <v>0.70972337562403764</v>
      </c>
      <c r="J47" s="130">
        <f t="shared" si="44"/>
        <v>0.74021328466740255</v>
      </c>
      <c r="K47" s="130">
        <f t="shared" si="44"/>
        <v>0.9361418504812985</v>
      </c>
      <c r="L47" s="130">
        <f t="shared" si="44"/>
        <v>1.7740192801849954</v>
      </c>
      <c r="M47" s="130">
        <f t="shared" si="44"/>
        <v>1.5876836105368899</v>
      </c>
      <c r="N47" s="130">
        <f t="shared" si="44"/>
        <v>1.2932846876286332</v>
      </c>
      <c r="O47" s="130">
        <f t="shared" si="44"/>
        <v>0.84338687455281203</v>
      </c>
      <c r="P47" s="130">
        <f t="shared" si="44"/>
        <v>0.76510582177774955</v>
      </c>
      <c r="Q47" s="130">
        <f t="shared" si="44"/>
        <v>1.1949566661617412</v>
      </c>
      <c r="R47" s="130">
        <f t="shared" si="39"/>
        <v>1.0021607628510434</v>
      </c>
      <c r="S47" s="130">
        <f t="shared" si="44"/>
        <v>2.1908193860950322</v>
      </c>
      <c r="T47" s="130">
        <f t="shared" ref="T47:AE47" si="45">T19/T$25</f>
        <v>1.3634427156704878</v>
      </c>
      <c r="U47" s="130">
        <f t="shared" si="45"/>
        <v>0.87222658484587046</v>
      </c>
      <c r="V47" s="130">
        <f t="shared" si="45"/>
        <v>1.0110364527698779</v>
      </c>
      <c r="W47" s="130" t="e">
        <f t="shared" si="45"/>
        <v>#DIV/0!</v>
      </c>
      <c r="X47" s="130" t="e">
        <f t="shared" si="45"/>
        <v>#DIV/0!</v>
      </c>
      <c r="Y47" s="130" t="e">
        <f t="shared" si="45"/>
        <v>#DIV/0!</v>
      </c>
      <c r="Z47" s="130" t="e">
        <f t="shared" si="45"/>
        <v>#DIV/0!</v>
      </c>
      <c r="AA47" s="130" t="e">
        <f t="shared" si="45"/>
        <v>#DIV/0!</v>
      </c>
      <c r="AB47" s="130" t="e">
        <f t="shared" si="45"/>
        <v>#DIV/0!</v>
      </c>
      <c r="AC47" s="130" t="e">
        <f t="shared" si="45"/>
        <v>#DIV/0!</v>
      </c>
      <c r="AD47" s="130" t="e">
        <f t="shared" si="45"/>
        <v>#DIV/0!</v>
      </c>
      <c r="AE47" s="130">
        <f t="shared" si="45"/>
        <v>1.2464878014366065</v>
      </c>
      <c r="AF47" s="130"/>
      <c r="AG47" s="140">
        <f t="shared" si="13"/>
        <v>0.12965331906289759</v>
      </c>
      <c r="AH47" s="140">
        <f t="shared" si="14"/>
        <v>3.202095112883821E-2</v>
      </c>
      <c r="AI47" s="140">
        <f t="shared" si="15"/>
        <v>3.8671751093073775E-2</v>
      </c>
    </row>
    <row r="48" spans="2:35" ht="15.6" x14ac:dyDescent="0.3">
      <c r="B48" s="114">
        <f t="shared" si="41"/>
        <v>4</v>
      </c>
      <c r="C48" s="101" t="s">
        <v>97</v>
      </c>
      <c r="D48" s="101" t="s">
        <v>36</v>
      </c>
      <c r="E48" s="130">
        <f t="shared" ref="E48:S48" si="46">E20/E$25</f>
        <v>0.38534933802066218</v>
      </c>
      <c r="F48" s="130">
        <f t="shared" si="46"/>
        <v>0.34796868319337826</v>
      </c>
      <c r="G48" s="130">
        <f t="shared" si="46"/>
        <v>0.47114511830164491</v>
      </c>
      <c r="H48" s="130">
        <f t="shared" si="46"/>
        <v>0.23513718421432064</v>
      </c>
      <c r="I48" s="130">
        <f t="shared" si="46"/>
        <v>0.2954652645420644</v>
      </c>
      <c r="J48" s="130">
        <f t="shared" si="46"/>
        <v>0.43068418481736137</v>
      </c>
      <c r="K48" s="130">
        <f t="shared" si="46"/>
        <v>0.53303961617985518</v>
      </c>
      <c r="L48" s="130">
        <f t="shared" si="46"/>
        <v>0.83854617546709653</v>
      </c>
      <c r="M48" s="130">
        <f t="shared" si="46"/>
        <v>1.2560799322260394</v>
      </c>
      <c r="N48" s="130">
        <f t="shared" si="46"/>
        <v>1.231574242923648</v>
      </c>
      <c r="O48" s="130">
        <f t="shared" si="46"/>
        <v>0.86305497497727901</v>
      </c>
      <c r="P48" s="130">
        <f t="shared" si="46"/>
        <v>0.71604602046698951</v>
      </c>
      <c r="Q48" s="130">
        <f t="shared" si="46"/>
        <v>3.2659863951584289</v>
      </c>
      <c r="R48" s="130">
        <f t="shared" si="39"/>
        <v>0.83091732968165766</v>
      </c>
      <c r="S48" s="130">
        <f t="shared" si="46"/>
        <v>1.9352728491284867</v>
      </c>
      <c r="T48" s="130">
        <f t="shared" ref="T48:AE48" si="47">T20/T$25</f>
        <v>0.82979949115162466</v>
      </c>
      <c r="U48" s="130">
        <f t="shared" si="47"/>
        <v>0.80048240845970087</v>
      </c>
      <c r="V48" s="130">
        <f t="shared" si="47"/>
        <v>0.55214697930581047</v>
      </c>
      <c r="W48" s="130" t="e">
        <f t="shared" si="47"/>
        <v>#DIV/0!</v>
      </c>
      <c r="X48" s="130" t="e">
        <f t="shared" si="47"/>
        <v>#DIV/0!</v>
      </c>
      <c r="Y48" s="130" t="e">
        <f t="shared" si="47"/>
        <v>#DIV/0!</v>
      </c>
      <c r="Z48" s="130" t="e">
        <f t="shared" si="47"/>
        <v>#DIV/0!</v>
      </c>
      <c r="AA48" s="130" t="e">
        <f t="shared" si="47"/>
        <v>#DIV/0!</v>
      </c>
      <c r="AB48" s="130" t="e">
        <f t="shared" si="47"/>
        <v>#DIV/0!</v>
      </c>
      <c r="AC48" s="130" t="e">
        <f t="shared" si="47"/>
        <v>#DIV/0!</v>
      </c>
      <c r="AD48" s="130" t="e">
        <f t="shared" si="47"/>
        <v>#DIV/0!</v>
      </c>
      <c r="AE48" s="130">
        <f t="shared" si="47"/>
        <v>0.92733138311249697</v>
      </c>
      <c r="AF48" s="130"/>
      <c r="AG48" s="140">
        <f t="shared" si="13"/>
        <v>3.7841391432343066E-2</v>
      </c>
      <c r="AH48" s="140">
        <f t="shared" si="14"/>
        <v>2.6549396256692014E-2</v>
      </c>
      <c r="AI48" s="140">
        <f t="shared" si="15"/>
        <v>2.8770059672618586E-2</v>
      </c>
    </row>
    <row r="49" spans="2:35" ht="15.6" x14ac:dyDescent="0.3">
      <c r="B49" s="114">
        <f t="shared" si="41"/>
        <v>5</v>
      </c>
      <c r="C49" s="101" t="s">
        <v>97</v>
      </c>
      <c r="D49" s="101" t="s">
        <v>12</v>
      </c>
      <c r="E49" s="130">
        <f t="shared" ref="E49:S49" si="48">E21/E$25</f>
        <v>0.26905219578945982</v>
      </c>
      <c r="F49" s="130">
        <f t="shared" si="48"/>
        <v>0.14928128242599001</v>
      </c>
      <c r="G49" s="130">
        <f t="shared" si="48"/>
        <v>0.23384218428690637</v>
      </c>
      <c r="H49" s="130">
        <f t="shared" si="48"/>
        <v>0.16871172431878029</v>
      </c>
      <c r="I49" s="130">
        <f t="shared" si="48"/>
        <v>0.19282614784609914</v>
      </c>
      <c r="J49" s="130">
        <f t="shared" si="48"/>
        <v>0.21621272285884058</v>
      </c>
      <c r="K49" s="130">
        <f t="shared" si="48"/>
        <v>0.22109254266253833</v>
      </c>
      <c r="L49" s="130">
        <f t="shared" si="48"/>
        <v>0.35987897123054569</v>
      </c>
      <c r="M49" s="130">
        <f t="shared" si="48"/>
        <v>0.37328219029386583</v>
      </c>
      <c r="N49" s="130">
        <f t="shared" si="48"/>
        <v>0.35887708171638932</v>
      </c>
      <c r="O49" s="130">
        <f t="shared" si="48"/>
        <v>0.19183681717182857</v>
      </c>
      <c r="P49" s="130">
        <f t="shared" si="48"/>
        <v>0.20407780086137342</v>
      </c>
      <c r="Q49" s="130">
        <f t="shared" si="48"/>
        <v>0.32330243897044519</v>
      </c>
      <c r="R49" s="130">
        <f t="shared" si="39"/>
        <v>0.24645814073829525</v>
      </c>
      <c r="S49" s="130">
        <f t="shared" si="48"/>
        <v>0.45634037041284836</v>
      </c>
      <c r="T49" s="130">
        <f t="shared" ref="T49:AE49" si="49">T21/T$25</f>
        <v>0.33597764759747695</v>
      </c>
      <c r="U49" s="130">
        <f t="shared" si="49"/>
        <v>0.19488975387397547</v>
      </c>
      <c r="V49" s="130">
        <f t="shared" si="49"/>
        <v>0.26674582688089693</v>
      </c>
      <c r="W49" s="130" t="e">
        <f t="shared" si="49"/>
        <v>#DIV/0!</v>
      </c>
      <c r="X49" s="130" t="e">
        <f t="shared" si="49"/>
        <v>#DIV/0!</v>
      </c>
      <c r="Y49" s="130" t="e">
        <f t="shared" si="49"/>
        <v>#DIV/0!</v>
      </c>
      <c r="Z49" s="130" t="e">
        <f t="shared" si="49"/>
        <v>#DIV/0!</v>
      </c>
      <c r="AA49" s="130" t="e">
        <f t="shared" si="49"/>
        <v>#DIV/0!</v>
      </c>
      <c r="AB49" s="130" t="e">
        <f t="shared" si="49"/>
        <v>#DIV/0!</v>
      </c>
      <c r="AC49" s="130" t="e">
        <f t="shared" si="49"/>
        <v>#DIV/0!</v>
      </c>
      <c r="AD49" s="130" t="e">
        <f t="shared" si="49"/>
        <v>#DIV/0!</v>
      </c>
      <c r="AE49" s="130">
        <f t="shared" si="49"/>
        <v>0.29177627832818243</v>
      </c>
      <c r="AF49" s="130"/>
      <c r="AG49" s="140">
        <f t="shared" si="13"/>
        <v>2.6420985978324006E-2</v>
      </c>
      <c r="AH49" s="140">
        <f t="shared" si="14"/>
        <v>7.8748084862491127E-3</v>
      </c>
      <c r="AI49" s="140">
        <f t="shared" si="15"/>
        <v>9.0522342836940623E-3</v>
      </c>
    </row>
    <row r="50" spans="2:35" ht="15.6" x14ac:dyDescent="0.3">
      <c r="B50" s="114">
        <f t="shared" si="41"/>
        <v>6</v>
      </c>
      <c r="C50" s="101" t="s">
        <v>97</v>
      </c>
      <c r="D50" s="101" t="s">
        <v>51</v>
      </c>
      <c r="E50" s="130">
        <f t="shared" ref="E50:S50" si="50">E22/E$25</f>
        <v>0.21508078012653312</v>
      </c>
      <c r="F50" s="130">
        <f t="shared" si="50"/>
        <v>0.11345537267656951</v>
      </c>
      <c r="G50" s="130">
        <f t="shared" si="50"/>
        <v>0.2205739206738967</v>
      </c>
      <c r="H50" s="130">
        <f t="shared" si="50"/>
        <v>0.14271348314836213</v>
      </c>
      <c r="I50" s="130">
        <f t="shared" si="50"/>
        <v>0.14141305669069401</v>
      </c>
      <c r="J50" s="130">
        <f t="shared" si="50"/>
        <v>0.17287913216195575</v>
      </c>
      <c r="K50" s="130">
        <f t="shared" si="50"/>
        <v>0.24027518841157741</v>
      </c>
      <c r="L50" s="130">
        <f t="shared" si="50"/>
        <v>0.30495190749797474</v>
      </c>
      <c r="M50" s="130">
        <f t="shared" si="50"/>
        <v>0.36897245462827521</v>
      </c>
      <c r="N50" s="130">
        <f t="shared" si="50"/>
        <v>0.33282294715060684</v>
      </c>
      <c r="O50" s="130">
        <f t="shared" si="50"/>
        <v>0.23509841330777581</v>
      </c>
      <c r="P50" s="130">
        <f t="shared" si="50"/>
        <v>0.25917365969782197</v>
      </c>
      <c r="Q50" s="130">
        <f t="shared" si="50"/>
        <v>0.44740435252117128</v>
      </c>
      <c r="R50" s="130">
        <f t="shared" si="39"/>
        <v>0.24225115836998817</v>
      </c>
      <c r="S50" s="130">
        <f t="shared" si="50"/>
        <v>0.51901097823540498</v>
      </c>
      <c r="T50" s="130">
        <f t="shared" ref="T50:AE50" si="51">T22/T$25</f>
        <v>0.39112140909880949</v>
      </c>
      <c r="U50" s="130">
        <f t="shared" si="51"/>
        <v>0.21406383660450609</v>
      </c>
      <c r="V50" s="130">
        <f t="shared" si="51"/>
        <v>0.27472774676884903</v>
      </c>
      <c r="W50" s="130" t="e">
        <f t="shared" si="51"/>
        <v>#DIV/0!</v>
      </c>
      <c r="X50" s="130" t="e">
        <f t="shared" si="51"/>
        <v>#DIV/0!</v>
      </c>
      <c r="Y50" s="130" t="e">
        <f t="shared" si="51"/>
        <v>#DIV/0!</v>
      </c>
      <c r="Z50" s="130" t="e">
        <f t="shared" si="51"/>
        <v>#DIV/0!</v>
      </c>
      <c r="AA50" s="130" t="e">
        <f t="shared" si="51"/>
        <v>#DIV/0!</v>
      </c>
      <c r="AB50" s="130" t="e">
        <f t="shared" si="51"/>
        <v>#DIV/0!</v>
      </c>
      <c r="AC50" s="130" t="e">
        <f t="shared" si="51"/>
        <v>#DIV/0!</v>
      </c>
      <c r="AD50" s="130" t="e">
        <f t="shared" si="51"/>
        <v>#DIV/0!</v>
      </c>
      <c r="AE50" s="130">
        <f t="shared" si="51"/>
        <v>0.32332445828348205</v>
      </c>
      <c r="AF50" s="130"/>
      <c r="AG50" s="140">
        <f t="shared" si="13"/>
        <v>2.1120980853755734E-2</v>
      </c>
      <c r="AH50" s="140">
        <f t="shared" si="14"/>
        <v>7.7403873616061917E-3</v>
      </c>
      <c r="AI50" s="140">
        <f t="shared" si="15"/>
        <v>1.0031003078113663E-2</v>
      </c>
    </row>
    <row r="51" spans="2:35" ht="15.6" x14ac:dyDescent="0.3">
      <c r="B51" s="114">
        <f t="shared" si="41"/>
        <v>7</v>
      </c>
      <c r="C51" s="102" t="s">
        <v>97</v>
      </c>
      <c r="D51" s="102" t="s">
        <v>40</v>
      </c>
      <c r="E51" s="133">
        <f t="shared" ref="E51:S51" si="52">E23/E$25</f>
        <v>4.9672445654826231E-2</v>
      </c>
      <c r="F51" s="133">
        <f t="shared" si="52"/>
        <v>9.6973762049805873E-2</v>
      </c>
      <c r="G51" s="133">
        <f t="shared" si="52"/>
        <v>0.1926906306573514</v>
      </c>
      <c r="H51" s="133">
        <f t="shared" si="52"/>
        <v>0.11994758638830921</v>
      </c>
      <c r="I51" s="133">
        <f t="shared" si="52"/>
        <v>0.20009595815100356</v>
      </c>
      <c r="J51" s="133">
        <f t="shared" si="52"/>
        <v>0.22053816122004363</v>
      </c>
      <c r="K51" s="133">
        <f t="shared" si="52"/>
        <v>0.31903642683439215</v>
      </c>
      <c r="L51" s="133">
        <f t="shared" si="52"/>
        <v>0.62195032104173553</v>
      </c>
      <c r="M51" s="133">
        <f t="shared" si="52"/>
        <v>0.42852893562727978</v>
      </c>
      <c r="N51" s="133">
        <f t="shared" si="52"/>
        <v>0.30701113102933447</v>
      </c>
      <c r="O51" s="133">
        <f t="shared" si="52"/>
        <v>0.1957151063577757</v>
      </c>
      <c r="P51" s="133">
        <f t="shared" si="52"/>
        <v>0.18619584528783681</v>
      </c>
      <c r="Q51" s="133">
        <f t="shared" si="52"/>
        <v>0.31114018682520783</v>
      </c>
      <c r="R51" s="133">
        <f t="shared" si="39"/>
        <v>0.27619615481375626</v>
      </c>
      <c r="S51" s="133">
        <f t="shared" si="52"/>
        <v>0.60597134907222849</v>
      </c>
      <c r="T51" s="133">
        <f t="shared" ref="T51:AE51" si="53">T23/T$25</f>
        <v>0.31393161149521215</v>
      </c>
      <c r="U51" s="133">
        <f t="shared" si="53"/>
        <v>0.1397714580499054</v>
      </c>
      <c r="V51" s="133">
        <f t="shared" si="53"/>
        <v>0.21730414463502593</v>
      </c>
      <c r="W51" s="133" t="e">
        <f t="shared" si="53"/>
        <v>#DIV/0!</v>
      </c>
      <c r="X51" s="133" t="e">
        <f t="shared" si="53"/>
        <v>#DIV/0!</v>
      </c>
      <c r="Y51" s="133" t="e">
        <f t="shared" si="53"/>
        <v>#DIV/0!</v>
      </c>
      <c r="Z51" s="133" t="e">
        <f t="shared" si="53"/>
        <v>#DIV/0!</v>
      </c>
      <c r="AA51" s="133" t="e">
        <f t="shared" si="53"/>
        <v>#DIV/0!</v>
      </c>
      <c r="AB51" s="133" t="e">
        <f t="shared" si="53"/>
        <v>#DIV/0!</v>
      </c>
      <c r="AC51" s="133" t="e">
        <f t="shared" si="53"/>
        <v>#DIV/0!</v>
      </c>
      <c r="AD51" s="133" t="e">
        <f t="shared" si="53"/>
        <v>#DIV/0!</v>
      </c>
      <c r="AE51" s="133">
        <f t="shared" si="53"/>
        <v>0.2803324037772883</v>
      </c>
      <c r="AF51" s="133"/>
      <c r="AG51" s="530">
        <f t="shared" si="13"/>
        <v>4.8778453054596415E-3</v>
      </c>
      <c r="AH51" s="530">
        <f t="shared" si="14"/>
        <v>8.8249948542226675E-3</v>
      </c>
      <c r="AI51" s="530">
        <f t="shared" si="15"/>
        <v>8.6971929686787981E-3</v>
      </c>
    </row>
    <row r="52" spans="2:35" ht="15.6" x14ac:dyDescent="0.3">
      <c r="B52" s="108" t="s">
        <v>173</v>
      </c>
      <c r="C52" s="109"/>
      <c r="D52" s="108"/>
      <c r="E52" s="128">
        <f t="shared" ref="E52:Q52" si="54">E32+E44</f>
        <v>10.183276127930746</v>
      </c>
      <c r="F52" s="128">
        <f t="shared" si="54"/>
        <v>24.746133770308646</v>
      </c>
      <c r="G52" s="128">
        <f t="shared" si="54"/>
        <v>28.567816072588819</v>
      </c>
      <c r="H52" s="128">
        <f t="shared" si="54"/>
        <v>27.828325176834113</v>
      </c>
      <c r="I52" s="128">
        <f t="shared" si="54"/>
        <v>24.455107745920426</v>
      </c>
      <c r="J52" s="128">
        <f t="shared" si="54"/>
        <v>26.740494192759961</v>
      </c>
      <c r="K52" s="128">
        <f t="shared" si="54"/>
        <v>25.062454483844178</v>
      </c>
      <c r="L52" s="128">
        <f t="shared" si="54"/>
        <v>27.444206644141531</v>
      </c>
      <c r="M52" s="128">
        <f t="shared" si="54"/>
        <v>34.393256917186633</v>
      </c>
      <c r="N52" s="128">
        <f t="shared" si="54"/>
        <v>31.987289267021751</v>
      </c>
      <c r="O52" s="128">
        <f t="shared" si="54"/>
        <v>32.152458267208516</v>
      </c>
      <c r="P52" s="128">
        <f t="shared" si="54"/>
        <v>28.48311390872745</v>
      </c>
      <c r="Q52" s="128">
        <f t="shared" si="54"/>
        <v>33.212711880933</v>
      </c>
      <c r="R52" s="128">
        <f>R32+R44</f>
        <v>31.297032958789693</v>
      </c>
      <c r="S52" s="128">
        <f>S32+S44</f>
        <v>39.843051220961321</v>
      </c>
      <c r="T52" s="128">
        <f>T32+T44</f>
        <v>32.688666120624291</v>
      </c>
      <c r="U52" s="128">
        <f>U32+U44</f>
        <v>29.499633632695929</v>
      </c>
      <c r="V52" s="128">
        <f t="shared" ref="V52:AE52" si="55">V32+V44</f>
        <v>30.411195070466327</v>
      </c>
      <c r="W52" s="128" t="e">
        <f t="shared" si="55"/>
        <v>#DIV/0!</v>
      </c>
      <c r="X52" s="128" t="e">
        <f t="shared" si="55"/>
        <v>#DIV/0!</v>
      </c>
      <c r="Y52" s="128" t="e">
        <f t="shared" si="55"/>
        <v>#DIV/0!</v>
      </c>
      <c r="Z52" s="128" t="e">
        <f t="shared" si="55"/>
        <v>#DIV/0!</v>
      </c>
      <c r="AA52" s="128" t="e">
        <f t="shared" si="55"/>
        <v>#DIV/0!</v>
      </c>
      <c r="AB52" s="128" t="e">
        <f t="shared" si="55"/>
        <v>#DIV/0!</v>
      </c>
      <c r="AC52" s="128" t="e">
        <f t="shared" si="55"/>
        <v>#DIV/0!</v>
      </c>
      <c r="AD52" s="128" t="e">
        <f t="shared" si="55"/>
        <v>#DIV/0!</v>
      </c>
      <c r="AE52" s="128">
        <f t="shared" si="55"/>
        <v>32.232515109972773</v>
      </c>
      <c r="AF52" s="128">
        <f>AF32+AF44</f>
        <v>0</v>
      </c>
      <c r="AG52" s="115">
        <f t="shared" si="13"/>
        <v>1</v>
      </c>
      <c r="AH52" s="115">
        <f t="shared" si="14"/>
        <v>1</v>
      </c>
      <c r="AI52" s="115">
        <f t="shared" si="15"/>
        <v>1</v>
      </c>
    </row>
    <row r="53" spans="2:35" ht="15.6" x14ac:dyDescent="0.3">
      <c r="B53" s="134" t="s">
        <v>172</v>
      </c>
      <c r="C53" s="135"/>
      <c r="D53" s="135"/>
      <c r="E53" s="136">
        <f t="shared" ref="E53:U53" si="56">E25</f>
        <v>220.27541666666662</v>
      </c>
      <c r="F53" s="136">
        <f t="shared" si="56"/>
        <v>525.47699999999998</v>
      </c>
      <c r="G53" s="136">
        <f t="shared" si="56"/>
        <v>138.97500000000002</v>
      </c>
      <c r="H53" s="136">
        <f t="shared" si="56"/>
        <v>454.42</v>
      </c>
      <c r="I53" s="136">
        <f t="shared" si="56"/>
        <v>423.36799999999999</v>
      </c>
      <c r="J53" s="136">
        <f t="shared" si="56"/>
        <v>678.97500000000002</v>
      </c>
      <c r="K53" s="136">
        <f t="shared" si="56"/>
        <v>525.97449999999992</v>
      </c>
      <c r="L53" s="136">
        <f t="shared" si="56"/>
        <v>634.20100000000002</v>
      </c>
      <c r="M53" s="136">
        <f t="shared" si="56"/>
        <v>388.35750000000007</v>
      </c>
      <c r="N53" s="136">
        <f t="shared" si="56"/>
        <v>315.41269999999992</v>
      </c>
      <c r="O53" s="136">
        <f t="shared" si="56"/>
        <v>370.7</v>
      </c>
      <c r="P53" s="136">
        <f t="shared" si="56"/>
        <v>535.17600000000004</v>
      </c>
      <c r="Q53" s="136">
        <f t="shared" si="56"/>
        <v>403.63009999999997</v>
      </c>
      <c r="R53" s="136">
        <f>R25</f>
        <v>449.55556666666672</v>
      </c>
      <c r="S53" s="136">
        <f t="shared" si="56"/>
        <v>248.99699999999999</v>
      </c>
      <c r="T53" s="136">
        <f t="shared" si="56"/>
        <v>339.12599999999998</v>
      </c>
      <c r="U53" s="136">
        <f t="shared" si="56"/>
        <v>468.524</v>
      </c>
      <c r="V53" s="136"/>
      <c r="W53" s="136"/>
      <c r="X53" s="136"/>
      <c r="Y53" s="136"/>
      <c r="Z53" s="136"/>
      <c r="AA53" s="136"/>
      <c r="AB53" s="136"/>
      <c r="AC53" s="136"/>
      <c r="AD53" s="136"/>
      <c r="AE53" s="136">
        <f>AE27</f>
        <v>249.22119260928116</v>
      </c>
      <c r="AF53" s="136">
        <f t="shared" ref="AF53" si="57">AF25</f>
        <v>0</v>
      </c>
      <c r="AG53" s="531"/>
      <c r="AH53" s="531"/>
      <c r="AI53" s="531"/>
    </row>
    <row r="54" spans="2:35" ht="15.6" x14ac:dyDescent="0.3">
      <c r="B54" s="662" t="s">
        <v>182</v>
      </c>
      <c r="C54" s="662"/>
      <c r="D54" s="662"/>
      <c r="E54" s="138">
        <f t="shared" ref="E54:K54" si="58">SUM(E33,E36,E38,E40,E43)</f>
        <v>0.76653361114211216</v>
      </c>
      <c r="F54" s="138">
        <f t="shared" si="58"/>
        <v>18.827996871413976</v>
      </c>
      <c r="G54" s="138">
        <f t="shared" si="58"/>
        <v>20.277394732865623</v>
      </c>
      <c r="H54" s="138">
        <f t="shared" si="58"/>
        <v>21.75326156419171</v>
      </c>
      <c r="I54" s="138">
        <f t="shared" si="58"/>
        <v>17.843528615766896</v>
      </c>
      <c r="J54" s="138">
        <f t="shared" si="58"/>
        <v>19.399042459589822</v>
      </c>
      <c r="K54" s="138">
        <f t="shared" si="58"/>
        <v>16.437900523694598</v>
      </c>
      <c r="L54" s="138">
        <f t="shared" ref="L54:S54" si="59">SUM(L33,L36,L38,L40,L43)</f>
        <v>12.567771701716017</v>
      </c>
      <c r="M54" s="138">
        <f t="shared" si="59"/>
        <v>20.986698482712445</v>
      </c>
      <c r="N54" s="138">
        <f t="shared" si="59"/>
        <v>20.211528506620063</v>
      </c>
      <c r="O54" s="138">
        <f t="shared" si="59"/>
        <v>24.316058200701381</v>
      </c>
      <c r="P54" s="138">
        <f t="shared" si="59"/>
        <v>21.258623129651944</v>
      </c>
      <c r="Q54" s="138">
        <f t="shared" si="59"/>
        <v>21.676733437440141</v>
      </c>
      <c r="R54" s="138">
        <f t="shared" si="59"/>
        <v>19.205053668460469</v>
      </c>
      <c r="S54" s="138">
        <f t="shared" si="59"/>
        <v>22.205101062163624</v>
      </c>
      <c r="T54" s="138">
        <f>E54/E52</f>
        <v>7.5273772557306926E-2</v>
      </c>
      <c r="U54" s="138">
        <f>R54/R52</f>
        <v>0.61363815840781732</v>
      </c>
      <c r="V54" s="138">
        <f t="shared" ref="V54:AD54" si="60">S54/S52</f>
        <v>0.55731427141507628</v>
      </c>
      <c r="W54" s="138">
        <f t="shared" si="60"/>
        <v>2.3027483678758729E-3</v>
      </c>
      <c r="X54" s="138">
        <f t="shared" si="60"/>
        <v>2.0801551844619903E-2</v>
      </c>
      <c r="Y54" s="138">
        <f t="shared" si="60"/>
        <v>1.8325957599617949E-2</v>
      </c>
      <c r="Z54" s="138" t="e">
        <f t="shared" si="60"/>
        <v>#DIV/0!</v>
      </c>
      <c r="AA54" s="138" t="e">
        <f t="shared" si="60"/>
        <v>#DIV/0!</v>
      </c>
      <c r="AB54" s="138" t="e">
        <f t="shared" si="60"/>
        <v>#DIV/0!</v>
      </c>
      <c r="AC54" s="138" t="e">
        <f t="shared" si="60"/>
        <v>#DIV/0!</v>
      </c>
      <c r="AD54" s="138" t="e">
        <f t="shared" si="60"/>
        <v>#DIV/0!</v>
      </c>
      <c r="AE54" s="138">
        <f>SUM(AE33,AE36,AE38,AE40,AE43)</f>
        <v>21.75863802500961</v>
      </c>
      <c r="AF54" s="138">
        <f t="shared" ref="AF54" si="61">SUM(AF33,AF36,AF38,AF40,AF43)</f>
        <v>0</v>
      </c>
      <c r="AG54" s="532">
        <f>R54/R52</f>
        <v>0.61363815840781732</v>
      </c>
      <c r="AH54" s="532">
        <f>AE54/AE52</f>
        <v>0.67505244163454892</v>
      </c>
      <c r="AI54" s="532">
        <f t="shared" si="15"/>
        <v>0.67505244163454892</v>
      </c>
    </row>
    <row r="55" spans="2:35" ht="15.6" x14ac:dyDescent="0.3">
      <c r="B55" s="663" t="s">
        <v>183</v>
      </c>
      <c r="C55" s="663"/>
      <c r="D55" s="663"/>
      <c r="E55" s="110">
        <f t="shared" ref="E55:J55" si="62">E52-E54</f>
        <v>9.4167425167886343</v>
      </c>
      <c r="F55" s="110">
        <f t="shared" si="62"/>
        <v>5.9181368988946694</v>
      </c>
      <c r="G55" s="110">
        <f t="shared" si="62"/>
        <v>8.2904213397231956</v>
      </c>
      <c r="H55" s="110">
        <f t="shared" si="62"/>
        <v>6.0750636126424027</v>
      </c>
      <c r="I55" s="110">
        <f t="shared" si="62"/>
        <v>6.6115791301535296</v>
      </c>
      <c r="J55" s="110">
        <f t="shared" si="62"/>
        <v>7.341451733170139</v>
      </c>
      <c r="K55" s="110">
        <f t="shared" ref="K55:P55" si="63">K52-K54</f>
        <v>8.62455396014958</v>
      </c>
      <c r="L55" s="110">
        <f t="shared" si="63"/>
        <v>14.876434942425513</v>
      </c>
      <c r="M55" s="110">
        <f t="shared" si="63"/>
        <v>13.406558434474189</v>
      </c>
      <c r="N55" s="110">
        <f t="shared" si="63"/>
        <v>11.775760760401688</v>
      </c>
      <c r="O55" s="110">
        <f t="shared" si="63"/>
        <v>7.8364000665071352</v>
      </c>
      <c r="P55" s="110">
        <f t="shared" si="63"/>
        <v>7.2244907790755057</v>
      </c>
      <c r="Q55" s="110">
        <f t="shared" ref="Q55" si="64">Q52-Q54</f>
        <v>11.535978443492859</v>
      </c>
      <c r="R55" s="110">
        <f>R52-R54</f>
        <v>12.091979290329224</v>
      </c>
      <c r="S55" s="110">
        <f>S52-S54</f>
        <v>17.637950158797697</v>
      </c>
      <c r="T55" s="110">
        <f>T52-T54</f>
        <v>32.613392348066981</v>
      </c>
      <c r="U55" s="110">
        <f>U52-U54</f>
        <v>28.885995474288112</v>
      </c>
      <c r="V55" s="110">
        <f t="shared" ref="V55:AD55" si="65">V52-V54</f>
        <v>29.85388079905125</v>
      </c>
      <c r="W55" s="110" t="e">
        <f t="shared" si="65"/>
        <v>#DIV/0!</v>
      </c>
      <c r="X55" s="110" t="e">
        <f t="shared" si="65"/>
        <v>#DIV/0!</v>
      </c>
      <c r="Y55" s="110" t="e">
        <f t="shared" si="65"/>
        <v>#DIV/0!</v>
      </c>
      <c r="Z55" s="110" t="e">
        <f t="shared" si="65"/>
        <v>#DIV/0!</v>
      </c>
      <c r="AA55" s="110" t="e">
        <f t="shared" si="65"/>
        <v>#DIV/0!</v>
      </c>
      <c r="AB55" s="110" t="e">
        <f t="shared" si="65"/>
        <v>#DIV/0!</v>
      </c>
      <c r="AC55" s="110" t="e">
        <f t="shared" si="65"/>
        <v>#DIV/0!</v>
      </c>
      <c r="AD55" s="110" t="e">
        <f t="shared" si="65"/>
        <v>#DIV/0!</v>
      </c>
      <c r="AE55" s="110">
        <f>AE52-AE54</f>
        <v>10.473877084963163</v>
      </c>
      <c r="AF55" s="110">
        <f>AF52-AF54</f>
        <v>0</v>
      </c>
      <c r="AG55" s="533">
        <f>AG52-AG54</f>
        <v>0.38636184159218268</v>
      </c>
      <c r="AH55" s="533">
        <f>AH52-AH54</f>
        <v>0.32494755836545108</v>
      </c>
      <c r="AI55" s="533">
        <f t="shared" si="15"/>
        <v>0.32494755836545114</v>
      </c>
    </row>
    <row r="58" spans="2:35" ht="21" x14ac:dyDescent="0.4">
      <c r="B58" s="104" t="s">
        <v>181</v>
      </c>
      <c r="C58" s="93"/>
      <c r="D58" s="93"/>
      <c r="F58" s="123"/>
      <c r="G58" s="123"/>
      <c r="H58" s="123"/>
      <c r="I58" s="123"/>
      <c r="J58" s="123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</row>
    <row r="59" spans="2:35" ht="15.6" x14ac:dyDescent="0.3">
      <c r="B59" s="93"/>
      <c r="C59" s="93"/>
      <c r="D59" s="106" t="s">
        <v>184</v>
      </c>
      <c r="F59" s="123"/>
      <c r="G59" s="123"/>
      <c r="H59" s="123"/>
      <c r="I59" s="123"/>
      <c r="J59" s="123"/>
    </row>
    <row r="60" spans="2:35" ht="31.2" x14ac:dyDescent="0.3">
      <c r="B60" s="94" t="s">
        <v>57</v>
      </c>
      <c r="C60" s="94" t="s">
        <v>58</v>
      </c>
      <c r="D60" s="94" t="s">
        <v>59</v>
      </c>
      <c r="E60" s="96" t="s">
        <v>171</v>
      </c>
      <c r="F60" s="120" t="s">
        <v>186</v>
      </c>
      <c r="G60" s="96">
        <v>2</v>
      </c>
      <c r="H60" s="96">
        <v>3</v>
      </c>
      <c r="I60" s="95">
        <v>4</v>
      </c>
      <c r="J60" s="95">
        <v>5</v>
      </c>
      <c r="K60" s="95">
        <v>6</v>
      </c>
      <c r="L60" s="95">
        <v>7</v>
      </c>
      <c r="M60" s="95">
        <v>8</v>
      </c>
      <c r="N60" s="95">
        <v>9</v>
      </c>
      <c r="O60" s="95">
        <v>10</v>
      </c>
      <c r="P60" s="95">
        <v>11</v>
      </c>
      <c r="Q60" s="95">
        <v>12</v>
      </c>
      <c r="R60" s="96" t="s">
        <v>185</v>
      </c>
      <c r="S60" s="95" t="s">
        <v>229</v>
      </c>
      <c r="T60" s="95">
        <v>2</v>
      </c>
      <c r="U60" s="95">
        <v>3</v>
      </c>
      <c r="V60" s="95">
        <v>4</v>
      </c>
      <c r="W60" s="95">
        <v>5</v>
      </c>
      <c r="X60" s="95">
        <v>6</v>
      </c>
      <c r="Y60" s="95">
        <v>7</v>
      </c>
      <c r="Z60" s="95">
        <v>8</v>
      </c>
      <c r="AA60" s="95">
        <v>9</v>
      </c>
      <c r="AB60" s="95">
        <v>10</v>
      </c>
      <c r="AC60" s="95">
        <v>11</v>
      </c>
      <c r="AD60" s="95">
        <v>12</v>
      </c>
      <c r="AE60" s="95" t="s">
        <v>250</v>
      </c>
    </row>
    <row r="61" spans="2:35" ht="15.6" x14ac:dyDescent="0.3">
      <c r="B61" s="112" t="s">
        <v>162</v>
      </c>
      <c r="C61" s="97"/>
      <c r="D61" s="98" t="s">
        <v>163</v>
      </c>
      <c r="E61" s="116">
        <f t="shared" ref="E61:Q61" si="66">SUM(E62:E72)</f>
        <v>0.34078363277510892</v>
      </c>
      <c r="F61" s="116">
        <f t="shared" si="66"/>
        <v>0.8234087598995079</v>
      </c>
      <c r="G61" s="116">
        <f t="shared" si="66"/>
        <v>0.76895185361244567</v>
      </c>
      <c r="H61" s="116">
        <f t="shared" si="66"/>
        <v>0.82787485031982366</v>
      </c>
      <c r="I61" s="116">
        <f t="shared" si="66"/>
        <v>0.78886969627201831</v>
      </c>
      <c r="J61" s="116">
        <f t="shared" si="66"/>
        <v>0.79336942911088304</v>
      </c>
      <c r="K61" s="116">
        <f t="shared" si="66"/>
        <v>0.72276290402972487</v>
      </c>
      <c r="L61" s="116">
        <f t="shared" si="66"/>
        <v>0.53834599143026585</v>
      </c>
      <c r="M61" s="116">
        <f t="shared" si="66"/>
        <v>0.66778456429339494</v>
      </c>
      <c r="N61" s="116">
        <f t="shared" si="66"/>
        <v>0.70007885903171141</v>
      </c>
      <c r="O61" s="116">
        <f t="shared" si="66"/>
        <v>0.80829792184587956</v>
      </c>
      <c r="P61" s="116">
        <f t="shared" si="66"/>
        <v>0.80318118288705176</v>
      </c>
      <c r="Q61" s="116">
        <f t="shared" si="66"/>
        <v>0.70928341438921383</v>
      </c>
      <c r="R61" s="116">
        <f>SUM(R62:R72)</f>
        <v>0.66968335028517834</v>
      </c>
      <c r="S61" s="116">
        <f t="shared" ref="S61:AE61" si="67">SUM(S62:S72)</f>
        <v>0.61285802972365977</v>
      </c>
      <c r="T61" s="116">
        <f t="shared" si="67"/>
        <v>0.71782355199875669</v>
      </c>
      <c r="U61" s="116">
        <f t="shared" si="67"/>
        <v>0.79897974122869242</v>
      </c>
      <c r="V61" s="116">
        <f t="shared" si="67"/>
        <v>0.7695208388931446</v>
      </c>
      <c r="W61" s="116" t="e">
        <f t="shared" si="67"/>
        <v>#DIV/0!</v>
      </c>
      <c r="X61" s="116" t="e">
        <f t="shared" si="67"/>
        <v>#DIV/0!</v>
      </c>
      <c r="Y61" s="116" t="e">
        <f t="shared" si="67"/>
        <v>#DIV/0!</v>
      </c>
      <c r="Z61" s="116" t="e">
        <f t="shared" si="67"/>
        <v>#DIV/0!</v>
      </c>
      <c r="AA61" s="116" t="e">
        <f t="shared" si="67"/>
        <v>#DIV/0!</v>
      </c>
      <c r="AB61" s="116" t="e">
        <f t="shared" si="67"/>
        <v>#DIV/0!</v>
      </c>
      <c r="AC61" s="116" t="e">
        <f t="shared" si="67"/>
        <v>#DIV/0!</v>
      </c>
      <c r="AD61" s="116" t="e">
        <f t="shared" si="67"/>
        <v>#DIV/0!</v>
      </c>
      <c r="AE61" s="116">
        <f t="shared" si="67"/>
        <v>0.73343806953450952</v>
      </c>
    </row>
    <row r="62" spans="2:35" ht="15.6" x14ac:dyDescent="0.3">
      <c r="B62" s="113">
        <v>1</v>
      </c>
      <c r="C62" s="99" t="s">
        <v>96</v>
      </c>
      <c r="D62" s="99" t="s">
        <v>261</v>
      </c>
      <c r="E62" s="107">
        <f t="shared" ref="E62:R62" si="68">E33/E$52</f>
        <v>0</v>
      </c>
      <c r="F62" s="107">
        <f t="shared" si="68"/>
        <v>0.74361043271413541</v>
      </c>
      <c r="G62" s="107">
        <f t="shared" si="68"/>
        <v>0.69791251283725819</v>
      </c>
      <c r="H62" s="107">
        <f t="shared" si="68"/>
        <v>0.76236440942104922</v>
      </c>
      <c r="I62" s="107">
        <f t="shared" si="68"/>
        <v>0.7162448741310975</v>
      </c>
      <c r="J62" s="107">
        <f t="shared" si="68"/>
        <v>0.71380735925755168</v>
      </c>
      <c r="K62" s="107">
        <f t="shared" si="68"/>
        <v>0.64540667082278569</v>
      </c>
      <c r="L62" s="107">
        <f t="shared" si="68"/>
        <v>0.44312284236816152</v>
      </c>
      <c r="M62" s="107">
        <f t="shared" si="68"/>
        <v>0.59572636730765027</v>
      </c>
      <c r="N62" s="107">
        <f t="shared" si="68"/>
        <v>0.6195572339421852</v>
      </c>
      <c r="O62" s="107">
        <f t="shared" si="68"/>
        <v>0.73573265507108843</v>
      </c>
      <c r="P62" s="107">
        <f t="shared" si="68"/>
        <v>0.73131424864012773</v>
      </c>
      <c r="Q62" s="107">
        <f t="shared" si="68"/>
        <v>0.63897799829741031</v>
      </c>
      <c r="R62" s="107">
        <f t="shared" si="68"/>
        <v>0.60038901967306957</v>
      </c>
      <c r="S62" s="107">
        <f t="shared" ref="S62:AE62" si="69">S33/S$52</f>
        <v>0.53496001218464184</v>
      </c>
      <c r="T62" s="107">
        <f t="shared" si="69"/>
        <v>0.64162427897983887</v>
      </c>
      <c r="U62" s="107">
        <f t="shared" si="69"/>
        <v>0.72554595557985346</v>
      </c>
      <c r="V62" s="107">
        <f t="shared" si="69"/>
        <v>0.69023297270982031</v>
      </c>
      <c r="W62" s="107" t="e">
        <f t="shared" si="69"/>
        <v>#DIV/0!</v>
      </c>
      <c r="X62" s="107" t="e">
        <f t="shared" si="69"/>
        <v>#DIV/0!</v>
      </c>
      <c r="Y62" s="107" t="e">
        <f t="shared" si="69"/>
        <v>#DIV/0!</v>
      </c>
      <c r="Z62" s="107" t="e">
        <f t="shared" si="69"/>
        <v>#DIV/0!</v>
      </c>
      <c r="AA62" s="107" t="e">
        <f t="shared" si="69"/>
        <v>#DIV/0!</v>
      </c>
      <c r="AB62" s="107" t="e">
        <f t="shared" si="69"/>
        <v>#DIV/0!</v>
      </c>
      <c r="AC62" s="107" t="e">
        <f t="shared" si="69"/>
        <v>#DIV/0!</v>
      </c>
      <c r="AD62" s="107" t="e">
        <f t="shared" si="69"/>
        <v>#DIV/0!</v>
      </c>
      <c r="AE62" s="107">
        <f t="shared" si="69"/>
        <v>0.65685487063810355</v>
      </c>
    </row>
    <row r="63" spans="2:35" ht="15.6" x14ac:dyDescent="0.3">
      <c r="B63" s="114">
        <f>B62+1</f>
        <v>2</v>
      </c>
      <c r="C63" s="101" t="s">
        <v>96</v>
      </c>
      <c r="D63" s="101" t="s">
        <v>25</v>
      </c>
      <c r="E63" s="118">
        <f t="shared" ref="E63:R63" si="70">E34/E$52</f>
        <v>0.14400371428028222</v>
      </c>
      <c r="F63" s="118">
        <f t="shared" si="70"/>
        <v>4.6968433254314913E-2</v>
      </c>
      <c r="G63" s="118">
        <f t="shared" si="70"/>
        <v>4.9643035914625981E-2</v>
      </c>
      <c r="H63" s="118">
        <f t="shared" si="70"/>
        <v>3.756132641713715E-2</v>
      </c>
      <c r="I63" s="118">
        <f t="shared" si="70"/>
        <v>5.0081400795486335E-2</v>
      </c>
      <c r="J63" s="118">
        <f t="shared" si="70"/>
        <v>5.0962933450309979E-2</v>
      </c>
      <c r="K63" s="118">
        <f t="shared" si="70"/>
        <v>5.5288393760525155E-2</v>
      </c>
      <c r="L63" s="118">
        <f t="shared" si="70"/>
        <v>5.9788178027231874E-2</v>
      </c>
      <c r="M63" s="118">
        <f t="shared" si="70"/>
        <v>4.7009941618396445E-2</v>
      </c>
      <c r="N63" s="118">
        <f t="shared" si="70"/>
        <v>5.2141327516812899E-2</v>
      </c>
      <c r="O63" s="118">
        <f t="shared" si="70"/>
        <v>4.0369772692173046E-2</v>
      </c>
      <c r="P63" s="118">
        <f t="shared" si="70"/>
        <v>4.7312789037762246E-2</v>
      </c>
      <c r="Q63" s="118">
        <f t="shared" si="70"/>
        <v>4.4337400887314041E-2</v>
      </c>
      <c r="R63" s="118">
        <f t="shared" si="70"/>
        <v>4.4106487584985962E-2</v>
      </c>
      <c r="S63" s="118">
        <f t="shared" ref="S63:AE63" si="71">S34/S$52</f>
        <v>4.3935405219294968E-2</v>
      </c>
      <c r="T63" s="118">
        <f t="shared" si="71"/>
        <v>4.3488549841291815E-2</v>
      </c>
      <c r="U63" s="118">
        <f t="shared" si="71"/>
        <v>4.6128803456163242E-2</v>
      </c>
      <c r="V63" s="118">
        <f t="shared" si="71"/>
        <v>4.9828168036447219E-2</v>
      </c>
      <c r="W63" s="118" t="e">
        <f t="shared" si="71"/>
        <v>#DIV/0!</v>
      </c>
      <c r="X63" s="118" t="e">
        <f t="shared" si="71"/>
        <v>#DIV/0!</v>
      </c>
      <c r="Y63" s="118" t="e">
        <f t="shared" si="71"/>
        <v>#DIV/0!</v>
      </c>
      <c r="Z63" s="118" t="e">
        <f t="shared" si="71"/>
        <v>#DIV/0!</v>
      </c>
      <c r="AA63" s="118" t="e">
        <f t="shared" si="71"/>
        <v>#DIV/0!</v>
      </c>
      <c r="AB63" s="118" t="e">
        <f t="shared" si="71"/>
        <v>#DIV/0!</v>
      </c>
      <c r="AC63" s="118" t="e">
        <f t="shared" si="71"/>
        <v>#DIV/0!</v>
      </c>
      <c r="AD63" s="118" t="e">
        <f t="shared" si="71"/>
        <v>#DIV/0!</v>
      </c>
      <c r="AE63" s="118">
        <f t="shared" si="71"/>
        <v>4.6055147197352916E-2</v>
      </c>
    </row>
    <row r="64" spans="2:35" ht="15.6" x14ac:dyDescent="0.3">
      <c r="B64" s="114">
        <f t="shared" ref="B64:B72" si="72">B63+1</f>
        <v>3</v>
      </c>
      <c r="C64" s="101" t="s">
        <v>96</v>
      </c>
      <c r="D64" s="101" t="s">
        <v>166</v>
      </c>
      <c r="E64" s="118">
        <f t="shared" ref="E64:R64" si="73">E35/E$52</f>
        <v>3.351594937181649E-3</v>
      </c>
      <c r="F64" s="118">
        <f t="shared" si="73"/>
        <v>1.5307796935596437E-3</v>
      </c>
      <c r="G64" s="118">
        <f t="shared" si="73"/>
        <v>1.8243829153929861E-3</v>
      </c>
      <c r="H64" s="118">
        <f t="shared" si="73"/>
        <v>6.4468271450231673E-4</v>
      </c>
      <c r="I64" s="118">
        <f t="shared" si="73"/>
        <v>7.7163577044492065E-4</v>
      </c>
      <c r="J64" s="118">
        <f t="shared" si="73"/>
        <v>4.0639244653521505E-4</v>
      </c>
      <c r="K64" s="118">
        <f t="shared" si="73"/>
        <v>1.1086009481189811E-3</v>
      </c>
      <c r="L64" s="118">
        <f t="shared" si="73"/>
        <v>8.2755269614020175E-4</v>
      </c>
      <c r="M64" s="118">
        <f t="shared" si="73"/>
        <v>1.8762432242942135E-3</v>
      </c>
      <c r="N64" s="118">
        <f t="shared" si="73"/>
        <v>1.4541789246425082E-3</v>
      </c>
      <c r="O64" s="118">
        <f t="shared" si="73"/>
        <v>2.3761692600220187E-3</v>
      </c>
      <c r="P64" s="118">
        <f t="shared" si="73"/>
        <v>2.4884706190525063E-3</v>
      </c>
      <c r="Q64" s="118">
        <f t="shared" si="73"/>
        <v>2.9902524199806229E-3</v>
      </c>
      <c r="R64" s="118">
        <f t="shared" si="73"/>
        <v>1.3371423700177232E-3</v>
      </c>
      <c r="S64" s="118">
        <f t="shared" ref="S64:AE64" si="74">S35/S$52</f>
        <v>1.3051574781289715E-3</v>
      </c>
      <c r="T64" s="118">
        <f t="shared" si="74"/>
        <v>2.5735431000435847E-3</v>
      </c>
      <c r="U64" s="118">
        <f t="shared" si="74"/>
        <v>2.4377275458722846E-3</v>
      </c>
      <c r="V64" s="118">
        <f t="shared" si="74"/>
        <v>1.7734056571344203E-3</v>
      </c>
      <c r="W64" s="118" t="e">
        <f t="shared" si="74"/>
        <v>#DIV/0!</v>
      </c>
      <c r="X64" s="118" t="e">
        <f t="shared" si="74"/>
        <v>#DIV/0!</v>
      </c>
      <c r="Y64" s="118" t="e">
        <f t="shared" si="74"/>
        <v>#DIV/0!</v>
      </c>
      <c r="Z64" s="118" t="e">
        <f t="shared" si="74"/>
        <v>#DIV/0!</v>
      </c>
      <c r="AA64" s="118" t="e">
        <f t="shared" si="74"/>
        <v>#DIV/0!</v>
      </c>
      <c r="AB64" s="118" t="e">
        <f t="shared" si="74"/>
        <v>#DIV/0!</v>
      </c>
      <c r="AC64" s="118" t="e">
        <f t="shared" si="74"/>
        <v>#DIV/0!</v>
      </c>
      <c r="AD64" s="118" t="e">
        <f t="shared" si="74"/>
        <v>#DIV/0!</v>
      </c>
      <c r="AE64" s="118">
        <f t="shared" si="74"/>
        <v>2.0546239641803759E-3</v>
      </c>
    </row>
    <row r="65" spans="2:31" ht="15.6" x14ac:dyDescent="0.3">
      <c r="B65" s="114">
        <f t="shared" si="72"/>
        <v>4</v>
      </c>
      <c r="C65" s="101" t="s">
        <v>96</v>
      </c>
      <c r="D65" s="101" t="s">
        <v>54</v>
      </c>
      <c r="E65" s="118">
        <f t="shared" ref="E65:R65" si="75">E36/E$52</f>
        <v>2.2429504094420277E-2</v>
      </c>
      <c r="F65" s="118">
        <f t="shared" si="75"/>
        <v>4.9250252726903681E-3</v>
      </c>
      <c r="G65" s="118">
        <f t="shared" si="75"/>
        <v>1.842180105317715E-3</v>
      </c>
      <c r="H65" s="118">
        <f t="shared" si="75"/>
        <v>9.5673231450375557E-3</v>
      </c>
      <c r="I65" s="118">
        <f t="shared" si="75"/>
        <v>1.1093086245809168E-3</v>
      </c>
      <c r="J65" s="118">
        <f t="shared" si="75"/>
        <v>3.647549933836525E-3</v>
      </c>
      <c r="K65" s="118">
        <f t="shared" si="75"/>
        <v>9.6141869306700344E-4</v>
      </c>
      <c r="L65" s="118">
        <f t="shared" si="75"/>
        <v>7.1969296578535472E-3</v>
      </c>
      <c r="M65" s="118">
        <f t="shared" si="75"/>
        <v>7.1634247823039732E-3</v>
      </c>
      <c r="N65" s="118">
        <f t="shared" si="75"/>
        <v>5.374075908198518E-3</v>
      </c>
      <c r="O65" s="118">
        <f t="shared" si="75"/>
        <v>7.2884696864839778E-3</v>
      </c>
      <c r="P65" s="118">
        <f t="shared" si="75"/>
        <v>5.0138080784799489E-3</v>
      </c>
      <c r="Q65" s="118">
        <f t="shared" si="75"/>
        <v>4.9983524791038037E-3</v>
      </c>
      <c r="R65" s="118">
        <f t="shared" si="75"/>
        <v>4.6683833059678135E-3</v>
      </c>
      <c r="S65" s="118">
        <f t="shared" ref="S65:AE65" si="76">S36/S$52</f>
        <v>8.8830851345152416E-3</v>
      </c>
      <c r="T65" s="118">
        <f t="shared" si="76"/>
        <v>8.018630452263786E-3</v>
      </c>
      <c r="U65" s="118">
        <f t="shared" si="76"/>
        <v>5.3310575545665127E-3</v>
      </c>
      <c r="V65" s="118">
        <f t="shared" si="76"/>
        <v>2.3754945715752226E-3</v>
      </c>
      <c r="W65" s="118" t="e">
        <f t="shared" si="76"/>
        <v>#DIV/0!</v>
      </c>
      <c r="X65" s="118" t="e">
        <f t="shared" si="76"/>
        <v>#DIV/0!</v>
      </c>
      <c r="Y65" s="118" t="e">
        <f t="shared" si="76"/>
        <v>#DIV/0!</v>
      </c>
      <c r="Z65" s="118" t="e">
        <f t="shared" si="76"/>
        <v>#DIV/0!</v>
      </c>
      <c r="AA65" s="118" t="e">
        <f t="shared" si="76"/>
        <v>#DIV/0!</v>
      </c>
      <c r="AB65" s="118" t="e">
        <f t="shared" si="76"/>
        <v>#DIV/0!</v>
      </c>
      <c r="AC65" s="118" t="e">
        <f t="shared" si="76"/>
        <v>#DIV/0!</v>
      </c>
      <c r="AD65" s="118" t="e">
        <f t="shared" si="76"/>
        <v>#DIV/0!</v>
      </c>
      <c r="AE65" s="118">
        <f t="shared" si="76"/>
        <v>5.8988614771963649E-3</v>
      </c>
    </row>
    <row r="66" spans="2:31" ht="15.6" x14ac:dyDescent="0.3">
      <c r="B66" s="114">
        <f t="shared" si="72"/>
        <v>5</v>
      </c>
      <c r="C66" s="101" t="s">
        <v>96</v>
      </c>
      <c r="D66" s="101" t="s">
        <v>49</v>
      </c>
      <c r="E66" s="118">
        <f t="shared" ref="E66:R66" si="77">E37/E$52</f>
        <v>8.9860297712373471E-2</v>
      </c>
      <c r="F66" s="118">
        <f t="shared" si="77"/>
        <v>9.1070367868487691E-3</v>
      </c>
      <c r="G66" s="118">
        <f t="shared" si="77"/>
        <v>2.3125604178431546E-3</v>
      </c>
      <c r="H66" s="118">
        <f t="shared" si="77"/>
        <v>3.3913609579312226E-3</v>
      </c>
      <c r="I66" s="118">
        <f t="shared" si="77"/>
        <v>2.1295577227649137E-3</v>
      </c>
      <c r="J66" s="118">
        <f t="shared" si="77"/>
        <v>1.1142576756878669E-2</v>
      </c>
      <c r="K66" s="118">
        <f t="shared" si="77"/>
        <v>3.9800570599528989E-3</v>
      </c>
      <c r="L66" s="118">
        <f t="shared" si="77"/>
        <v>1.0204127186769094E-2</v>
      </c>
      <c r="M66" s="118">
        <f t="shared" si="77"/>
        <v>2.6514578448611323E-3</v>
      </c>
      <c r="N66" s="118">
        <f t="shared" si="77"/>
        <v>9.8843218975900315E-3</v>
      </c>
      <c r="O66" s="118">
        <f t="shared" si="77"/>
        <v>5.471242282117466E-3</v>
      </c>
      <c r="P66" s="118">
        <f t="shared" si="77"/>
        <v>3.1047443123949441E-3</v>
      </c>
      <c r="Q66" s="118">
        <f t="shared" si="77"/>
        <v>4.8613021609607574E-3</v>
      </c>
      <c r="R66" s="118">
        <f t="shared" si="77"/>
        <v>5.5542501201765243E-3</v>
      </c>
      <c r="S66" s="118">
        <f t="shared" ref="S66:AE66" si="78">S37/S$52</f>
        <v>6.0565510315383833E-3</v>
      </c>
      <c r="T66" s="118">
        <f t="shared" si="78"/>
        <v>5.153249578068995E-3</v>
      </c>
      <c r="U66" s="118">
        <f t="shared" si="78"/>
        <v>5.3400849094260927E-3</v>
      </c>
      <c r="V66" s="118">
        <f t="shared" si="78"/>
        <v>9.0043267528917437E-3</v>
      </c>
      <c r="W66" s="118" t="e">
        <f t="shared" si="78"/>
        <v>#DIV/0!</v>
      </c>
      <c r="X66" s="118" t="e">
        <f t="shared" si="78"/>
        <v>#DIV/0!</v>
      </c>
      <c r="Y66" s="118" t="e">
        <f t="shared" si="78"/>
        <v>#DIV/0!</v>
      </c>
      <c r="Z66" s="118" t="e">
        <f t="shared" si="78"/>
        <v>#DIV/0!</v>
      </c>
      <c r="AA66" s="118" t="e">
        <f t="shared" si="78"/>
        <v>#DIV/0!</v>
      </c>
      <c r="AB66" s="118" t="e">
        <f t="shared" si="78"/>
        <v>#DIV/0!</v>
      </c>
      <c r="AC66" s="118" t="e">
        <f t="shared" si="78"/>
        <v>#DIV/0!</v>
      </c>
      <c r="AD66" s="118" t="e">
        <f t="shared" si="78"/>
        <v>#DIV/0!</v>
      </c>
      <c r="AE66" s="118">
        <f t="shared" si="78"/>
        <v>6.4330263632708887E-3</v>
      </c>
    </row>
    <row r="67" spans="2:31" ht="15.6" x14ac:dyDescent="0.3">
      <c r="B67" s="114">
        <f t="shared" si="72"/>
        <v>6</v>
      </c>
      <c r="C67" s="101" t="s">
        <v>96</v>
      </c>
      <c r="D67" s="101" t="s">
        <v>56</v>
      </c>
      <c r="E67" s="118">
        <f t="shared" ref="E67:R67" si="79">E38/E$52</f>
        <v>3.9222960989788572E-2</v>
      </c>
      <c r="F67" s="118">
        <f t="shared" si="79"/>
        <v>1.0543845466371745E-2</v>
      </c>
      <c r="G67" s="118">
        <f t="shared" si="79"/>
        <v>1.0043867834425204E-2</v>
      </c>
      <c r="H67" s="118">
        <f t="shared" si="79"/>
        <v>7.940802375402024E-3</v>
      </c>
      <c r="I67" s="118">
        <f t="shared" si="79"/>
        <v>1.2290061757762127E-2</v>
      </c>
      <c r="J67" s="118">
        <f t="shared" si="79"/>
        <v>8.000735709974581E-3</v>
      </c>
      <c r="K67" s="118">
        <f t="shared" si="79"/>
        <v>8.7120030611682366E-3</v>
      </c>
      <c r="L67" s="118">
        <f t="shared" si="79"/>
        <v>6.4561273111391716E-3</v>
      </c>
      <c r="M67" s="118">
        <f t="shared" si="79"/>
        <v>7.3082631057197808E-3</v>
      </c>
      <c r="N67" s="118">
        <f t="shared" si="79"/>
        <v>6.9187441883103561E-3</v>
      </c>
      <c r="O67" s="118">
        <f t="shared" si="79"/>
        <v>9.8772748493049737E-3</v>
      </c>
      <c r="P67" s="118">
        <f t="shared" si="79"/>
        <v>9.2927372607038861E-3</v>
      </c>
      <c r="Q67" s="118">
        <f t="shared" si="79"/>
        <v>8.1279442794612664E-3</v>
      </c>
      <c r="R67" s="118">
        <f t="shared" si="79"/>
        <v>7.7760316598097208E-3</v>
      </c>
      <c r="S67" s="118">
        <f t="shared" ref="S67:AE67" si="80">S38/S$52</f>
        <v>6.4807601748547786E-3</v>
      </c>
      <c r="T67" s="118">
        <f t="shared" si="80"/>
        <v>1.0441612584914248E-2</v>
      </c>
      <c r="U67" s="118">
        <f t="shared" si="80"/>
        <v>8.9169909294815608E-3</v>
      </c>
      <c r="V67" s="118">
        <f t="shared" si="80"/>
        <v>7.9769474942061307E-3</v>
      </c>
      <c r="W67" s="118" t="e">
        <f t="shared" si="80"/>
        <v>#DIV/0!</v>
      </c>
      <c r="X67" s="118" t="e">
        <f t="shared" si="80"/>
        <v>#DIV/0!</v>
      </c>
      <c r="Y67" s="118" t="e">
        <f t="shared" si="80"/>
        <v>#DIV/0!</v>
      </c>
      <c r="Z67" s="118" t="e">
        <f t="shared" si="80"/>
        <v>#DIV/0!</v>
      </c>
      <c r="AA67" s="118" t="e">
        <f t="shared" si="80"/>
        <v>#DIV/0!</v>
      </c>
      <c r="AB67" s="118" t="e">
        <f t="shared" si="80"/>
        <v>#DIV/0!</v>
      </c>
      <c r="AC67" s="118" t="e">
        <f t="shared" si="80"/>
        <v>#DIV/0!</v>
      </c>
      <c r="AD67" s="118" t="e">
        <f t="shared" si="80"/>
        <v>#DIV/0!</v>
      </c>
      <c r="AE67" s="118">
        <f t="shared" si="80"/>
        <v>8.5112488973152663E-3</v>
      </c>
    </row>
    <row r="68" spans="2:31" ht="15.6" x14ac:dyDescent="0.3">
      <c r="B68" s="114">
        <f t="shared" si="72"/>
        <v>7</v>
      </c>
      <c r="C68" s="101" t="s">
        <v>96</v>
      </c>
      <c r="D68" s="101" t="s">
        <v>28</v>
      </c>
      <c r="E68" s="118">
        <f t="shared" ref="E68:R68" si="81">E39/E$52</f>
        <v>1.6221933597414445E-2</v>
      </c>
      <c r="F68" s="118">
        <f t="shared" si="81"/>
        <v>3.2710692890040236E-3</v>
      </c>
      <c r="G68" s="118">
        <f t="shared" si="81"/>
        <v>3.2257267726917343E-3</v>
      </c>
      <c r="H68" s="118">
        <f t="shared" si="81"/>
        <v>3.0284652341773691E-3</v>
      </c>
      <c r="I68" s="118">
        <f t="shared" si="81"/>
        <v>3.5290800324474657E-3</v>
      </c>
      <c r="J68" s="118">
        <f t="shared" si="81"/>
        <v>3.3260266661755498E-3</v>
      </c>
      <c r="K68" s="118">
        <f t="shared" si="81"/>
        <v>4.0569761905380006E-3</v>
      </c>
      <c r="L68" s="118">
        <f t="shared" si="81"/>
        <v>6.1663801656366545E-3</v>
      </c>
      <c r="M68" s="118">
        <f t="shared" si="81"/>
        <v>3.5515354188481035E-3</v>
      </c>
      <c r="N68" s="118">
        <f t="shared" si="81"/>
        <v>2.9493264355783247E-3</v>
      </c>
      <c r="O68" s="118">
        <f t="shared" si="81"/>
        <v>2.2546546360678738E-3</v>
      </c>
      <c r="P68" s="118">
        <f t="shared" si="81"/>
        <v>2.329386289853018E-3</v>
      </c>
      <c r="Q68" s="118">
        <f t="shared" si="81"/>
        <v>2.6409760898017816E-3</v>
      </c>
      <c r="R68" s="118">
        <f t="shared" si="81"/>
        <v>3.1175085491211342E-3</v>
      </c>
      <c r="S68" s="118">
        <f t="shared" ref="S68:AE68" si="82">S39/S$52</f>
        <v>2.3711268324235063E-3</v>
      </c>
      <c r="T68" s="118">
        <f t="shared" si="82"/>
        <v>2.2918261447039501E-3</v>
      </c>
      <c r="U68" s="118">
        <f t="shared" si="82"/>
        <v>1.9891644825192592E-3</v>
      </c>
      <c r="V68" s="118">
        <f t="shared" si="82"/>
        <v>1.9113865339119296E-3</v>
      </c>
      <c r="W68" s="118" t="e">
        <f t="shared" si="82"/>
        <v>#DIV/0!</v>
      </c>
      <c r="X68" s="118" t="e">
        <f t="shared" si="82"/>
        <v>#DIV/0!</v>
      </c>
      <c r="Y68" s="118" t="e">
        <f t="shared" si="82"/>
        <v>#DIV/0!</v>
      </c>
      <c r="Z68" s="118" t="e">
        <f t="shared" si="82"/>
        <v>#DIV/0!</v>
      </c>
      <c r="AA68" s="118" t="e">
        <f t="shared" si="82"/>
        <v>#DIV/0!</v>
      </c>
      <c r="AB68" s="118" t="e">
        <f t="shared" si="82"/>
        <v>#DIV/0!</v>
      </c>
      <c r="AC68" s="118" t="e">
        <f t="shared" si="82"/>
        <v>#DIV/0!</v>
      </c>
      <c r="AD68" s="118" t="e">
        <f t="shared" si="82"/>
        <v>#DIV/0!</v>
      </c>
      <c r="AE68" s="118">
        <f t="shared" si="82"/>
        <v>2.1180755389376095E-3</v>
      </c>
    </row>
    <row r="69" spans="2:31" ht="15.6" x14ac:dyDescent="0.3">
      <c r="B69" s="114">
        <f t="shared" si="72"/>
        <v>8</v>
      </c>
      <c r="C69" s="101" t="s">
        <v>96</v>
      </c>
      <c r="D69" s="101" t="s">
        <v>53</v>
      </c>
      <c r="E69" s="118">
        <f t="shared" ref="E69:R69" si="83">E40/E$52</f>
        <v>0</v>
      </c>
      <c r="F69" s="118">
        <f t="shared" si="83"/>
        <v>0</v>
      </c>
      <c r="G69" s="118">
        <f t="shared" si="83"/>
        <v>0</v>
      </c>
      <c r="H69" s="118">
        <f t="shared" si="83"/>
        <v>0</v>
      </c>
      <c r="I69" s="118">
        <f t="shared" si="83"/>
        <v>0</v>
      </c>
      <c r="J69" s="118">
        <f t="shared" si="83"/>
        <v>0</v>
      </c>
      <c r="K69" s="118">
        <f t="shared" si="83"/>
        <v>0</v>
      </c>
      <c r="L69" s="118">
        <f t="shared" si="83"/>
        <v>0</v>
      </c>
      <c r="M69" s="118">
        <f t="shared" si="83"/>
        <v>0</v>
      </c>
      <c r="N69" s="118">
        <f t="shared" si="83"/>
        <v>0</v>
      </c>
      <c r="O69" s="118">
        <f t="shared" si="83"/>
        <v>0</v>
      </c>
      <c r="P69" s="118">
        <f t="shared" si="83"/>
        <v>0</v>
      </c>
      <c r="Q69" s="118">
        <f t="shared" si="83"/>
        <v>0</v>
      </c>
      <c r="R69" s="118">
        <f t="shared" si="83"/>
        <v>0</v>
      </c>
      <c r="S69" s="118">
        <f t="shared" ref="S69:AE69" si="84">S40/S$52</f>
        <v>0</v>
      </c>
      <c r="T69" s="118">
        <f t="shared" si="84"/>
        <v>0</v>
      </c>
      <c r="U69" s="118">
        <f t="shared" si="84"/>
        <v>0</v>
      </c>
      <c r="V69" s="118">
        <f t="shared" si="84"/>
        <v>0</v>
      </c>
      <c r="W69" s="118" t="e">
        <f t="shared" si="84"/>
        <v>#DIV/0!</v>
      </c>
      <c r="X69" s="118" t="e">
        <f t="shared" si="84"/>
        <v>#DIV/0!</v>
      </c>
      <c r="Y69" s="118" t="e">
        <f t="shared" si="84"/>
        <v>#DIV/0!</v>
      </c>
      <c r="Z69" s="118" t="e">
        <f t="shared" si="84"/>
        <v>#DIV/0!</v>
      </c>
      <c r="AA69" s="118" t="e">
        <f t="shared" si="84"/>
        <v>#DIV/0!</v>
      </c>
      <c r="AB69" s="118" t="e">
        <f t="shared" si="84"/>
        <v>#DIV/0!</v>
      </c>
      <c r="AC69" s="118" t="e">
        <f t="shared" si="84"/>
        <v>#DIV/0!</v>
      </c>
      <c r="AD69" s="118" t="e">
        <f t="shared" si="84"/>
        <v>#DIV/0!</v>
      </c>
      <c r="AE69" s="118">
        <f t="shared" si="84"/>
        <v>0</v>
      </c>
    </row>
    <row r="70" spans="2:31" ht="15.6" x14ac:dyDescent="0.3">
      <c r="B70" s="114">
        <f t="shared" si="72"/>
        <v>9</v>
      </c>
      <c r="C70" s="101" t="s">
        <v>96</v>
      </c>
      <c r="D70" s="101" t="s">
        <v>42</v>
      </c>
      <c r="E70" s="118">
        <f t="shared" ref="E70:R70" si="85">E41/E$52</f>
        <v>5.6220322306664988E-3</v>
      </c>
      <c r="F70" s="118">
        <f t="shared" si="85"/>
        <v>5.9015173885599865E-4</v>
      </c>
      <c r="G70" s="118">
        <f t="shared" si="85"/>
        <v>7.8581331098730417E-4</v>
      </c>
      <c r="H70" s="118">
        <f t="shared" si="85"/>
        <v>5.2823760394944837E-4</v>
      </c>
      <c r="I70" s="118">
        <f t="shared" si="85"/>
        <v>1.3957951912407854E-3</v>
      </c>
      <c r="J70" s="118">
        <f t="shared" si="85"/>
        <v>9.7052525019608832E-4</v>
      </c>
      <c r="K70" s="118">
        <f t="shared" si="85"/>
        <v>9.3438032968338938E-4</v>
      </c>
      <c r="L70" s="118">
        <f t="shared" si="85"/>
        <v>1.4258961786322961E-3</v>
      </c>
      <c r="M70" s="118">
        <f t="shared" si="85"/>
        <v>1.0545764071080487E-3</v>
      </c>
      <c r="N70" s="118">
        <f t="shared" si="85"/>
        <v>6.7405275405659946E-4</v>
      </c>
      <c r="O70" s="118">
        <f t="shared" si="85"/>
        <v>6.3322139200133341E-4</v>
      </c>
      <c r="P70" s="118">
        <f t="shared" si="85"/>
        <v>5.4968590087184886E-4</v>
      </c>
      <c r="Q70" s="118">
        <f t="shared" si="85"/>
        <v>6.5121426349544747E-4</v>
      </c>
      <c r="R70" s="118">
        <f t="shared" si="85"/>
        <v>7.8314695681947204E-4</v>
      </c>
      <c r="S70" s="118">
        <f t="shared" ref="S70:AE70" si="86">S41/S$52</f>
        <v>6.2383454689616093E-4</v>
      </c>
      <c r="T70" s="118">
        <f t="shared" si="86"/>
        <v>5.4870543408543212E-4</v>
      </c>
      <c r="U70" s="118">
        <f t="shared" si="86"/>
        <v>4.8125680286929091E-4</v>
      </c>
      <c r="V70" s="118">
        <f t="shared" si="86"/>
        <v>7.9897197963769138E-4</v>
      </c>
      <c r="W70" s="118" t="e">
        <f t="shared" si="86"/>
        <v>#DIV/0!</v>
      </c>
      <c r="X70" s="118" t="e">
        <f t="shared" si="86"/>
        <v>#DIV/0!</v>
      </c>
      <c r="Y70" s="118" t="e">
        <f t="shared" si="86"/>
        <v>#DIV/0!</v>
      </c>
      <c r="Z70" s="118" t="e">
        <f t="shared" si="86"/>
        <v>#DIV/0!</v>
      </c>
      <c r="AA70" s="118" t="e">
        <f t="shared" si="86"/>
        <v>#DIV/0!</v>
      </c>
      <c r="AB70" s="118" t="e">
        <f t="shared" si="86"/>
        <v>#DIV/0!</v>
      </c>
      <c r="AC70" s="118" t="e">
        <f t="shared" si="86"/>
        <v>#DIV/0!</v>
      </c>
      <c r="AD70" s="118" t="e">
        <f t="shared" si="86"/>
        <v>#DIV/0!</v>
      </c>
      <c r="AE70" s="118">
        <f t="shared" si="86"/>
        <v>6.1221671251860288E-4</v>
      </c>
    </row>
    <row r="71" spans="2:31" ht="15.6" x14ac:dyDescent="0.3">
      <c r="B71" s="114">
        <f t="shared" si="72"/>
        <v>10</v>
      </c>
      <c r="C71" s="101" t="s">
        <v>96</v>
      </c>
      <c r="D71" s="101" t="s">
        <v>52</v>
      </c>
      <c r="E71" s="118">
        <f t="shared" ref="E71:R71" si="87">E42/E$52</f>
        <v>6.4502874598837577E-3</v>
      </c>
      <c r="F71" s="118">
        <f t="shared" si="87"/>
        <v>1.0952900740518032E-3</v>
      </c>
      <c r="G71" s="118">
        <f t="shared" si="87"/>
        <v>1.3617735039035597E-3</v>
      </c>
      <c r="H71" s="118">
        <f t="shared" si="87"/>
        <v>1.0258163780736314E-3</v>
      </c>
      <c r="I71" s="118">
        <f t="shared" si="87"/>
        <v>1.3179822461933911E-3</v>
      </c>
      <c r="J71" s="118">
        <f t="shared" si="87"/>
        <v>1.1053296394246245E-3</v>
      </c>
      <c r="K71" s="118">
        <f t="shared" si="87"/>
        <v>1.5169744753481113E-3</v>
      </c>
      <c r="L71" s="118">
        <f t="shared" si="87"/>
        <v>1.9948879545013255E-3</v>
      </c>
      <c r="M71" s="118">
        <f t="shared" si="87"/>
        <v>1.4427545842129338E-3</v>
      </c>
      <c r="N71" s="118">
        <f t="shared" si="87"/>
        <v>1.1144038086932108E-3</v>
      </c>
      <c r="O71" s="118">
        <f t="shared" si="87"/>
        <v>9.1917331311388737E-4</v>
      </c>
      <c r="P71" s="118">
        <f t="shared" si="87"/>
        <v>1.0372922458768482E-3</v>
      </c>
      <c r="Q71" s="118">
        <f t="shared" si="87"/>
        <v>1.1385079223137555E-3</v>
      </c>
      <c r="R71" s="118">
        <f t="shared" si="87"/>
        <v>1.1466562962402418E-3</v>
      </c>
      <c r="S71" s="118">
        <f t="shared" ref="S71:AE71" si="88">S42/S$52</f>
        <v>1.2516832003016457E-3</v>
      </c>
      <c r="T71" s="118">
        <f t="shared" si="88"/>
        <v>1.4512809958284977E-3</v>
      </c>
      <c r="U71" s="118">
        <f t="shared" si="88"/>
        <v>8.5078777956683371E-4</v>
      </c>
      <c r="V71" s="118">
        <f t="shared" si="88"/>
        <v>9.9436864739321177E-4</v>
      </c>
      <c r="W71" s="118" t="e">
        <f t="shared" si="88"/>
        <v>#DIV/0!</v>
      </c>
      <c r="X71" s="118" t="e">
        <f t="shared" si="88"/>
        <v>#DIV/0!</v>
      </c>
      <c r="Y71" s="118" t="e">
        <f t="shared" si="88"/>
        <v>#DIV/0!</v>
      </c>
      <c r="Z71" s="118" t="e">
        <f t="shared" si="88"/>
        <v>#DIV/0!</v>
      </c>
      <c r="AA71" s="118" t="e">
        <f t="shared" si="88"/>
        <v>#DIV/0!</v>
      </c>
      <c r="AB71" s="118" t="e">
        <f t="shared" si="88"/>
        <v>#DIV/0!</v>
      </c>
      <c r="AC71" s="118" t="e">
        <f t="shared" si="88"/>
        <v>#DIV/0!</v>
      </c>
      <c r="AD71" s="118" t="e">
        <f t="shared" si="88"/>
        <v>#DIV/0!</v>
      </c>
      <c r="AE71" s="118">
        <f t="shared" si="88"/>
        <v>1.1125381237003678E-3</v>
      </c>
    </row>
    <row r="72" spans="2:31" ht="15.6" x14ac:dyDescent="0.3">
      <c r="B72" s="520">
        <f t="shared" si="72"/>
        <v>11</v>
      </c>
      <c r="C72" s="102" t="s">
        <v>96</v>
      </c>
      <c r="D72" s="102" t="s">
        <v>55</v>
      </c>
      <c r="E72" s="119">
        <f t="shared" ref="E72:R72" si="89">E43/E$52</f>
        <v>1.3621307473098076E-2</v>
      </c>
      <c r="F72" s="119">
        <f t="shared" si="89"/>
        <v>1.7666956096752369E-3</v>
      </c>
      <c r="G72" s="119">
        <f t="shared" si="89"/>
        <v>0</v>
      </c>
      <c r="H72" s="119">
        <f t="shared" si="89"/>
        <v>1.8224260725635381E-3</v>
      </c>
      <c r="I72" s="119">
        <f t="shared" si="89"/>
        <v>0</v>
      </c>
      <c r="J72" s="119">
        <f t="shared" si="89"/>
        <v>0</v>
      </c>
      <c r="K72" s="119">
        <f t="shared" si="89"/>
        <v>7.9742868853741652E-4</v>
      </c>
      <c r="L72" s="119">
        <f t="shared" si="89"/>
        <v>1.1630698842001368E-3</v>
      </c>
      <c r="M72" s="119">
        <f t="shared" si="89"/>
        <v>0</v>
      </c>
      <c r="N72" s="119">
        <f t="shared" si="89"/>
        <v>1.1193655643728651E-5</v>
      </c>
      <c r="O72" s="119">
        <f t="shared" si="89"/>
        <v>3.3752886635065099E-3</v>
      </c>
      <c r="P72" s="119">
        <f t="shared" si="89"/>
        <v>7.3802050192862099E-4</v>
      </c>
      <c r="Q72" s="119">
        <f t="shared" si="89"/>
        <v>5.594655893719411E-4</v>
      </c>
      <c r="R72" s="119">
        <f t="shared" si="89"/>
        <v>8.0472376897018215E-4</v>
      </c>
      <c r="S72" s="119">
        <f t="shared" ref="S72:AE72" si="90">S43/S$52</f>
        <v>6.9904139210643932E-3</v>
      </c>
      <c r="T72" s="119">
        <f t="shared" si="90"/>
        <v>2.2318748877175939E-3</v>
      </c>
      <c r="U72" s="119">
        <f t="shared" si="90"/>
        <v>1.9579121883738877E-3</v>
      </c>
      <c r="V72" s="119">
        <f t="shared" si="90"/>
        <v>4.6247965101266211E-3</v>
      </c>
      <c r="W72" s="119" t="e">
        <f t="shared" si="90"/>
        <v>#DIV/0!</v>
      </c>
      <c r="X72" s="119" t="e">
        <f t="shared" si="90"/>
        <v>#DIV/0!</v>
      </c>
      <c r="Y72" s="119" t="e">
        <f t="shared" si="90"/>
        <v>#DIV/0!</v>
      </c>
      <c r="Z72" s="119" t="e">
        <f t="shared" si="90"/>
        <v>#DIV/0!</v>
      </c>
      <c r="AA72" s="119" t="e">
        <f t="shared" si="90"/>
        <v>#DIV/0!</v>
      </c>
      <c r="AB72" s="119" t="e">
        <f t="shared" si="90"/>
        <v>#DIV/0!</v>
      </c>
      <c r="AC72" s="119" t="e">
        <f t="shared" si="90"/>
        <v>#DIV/0!</v>
      </c>
      <c r="AD72" s="119" t="e">
        <f t="shared" si="90"/>
        <v>#DIV/0!</v>
      </c>
      <c r="AE72" s="119">
        <f t="shared" si="90"/>
        <v>3.7874606219335878E-3</v>
      </c>
    </row>
    <row r="73" spans="2:31" ht="15.6" x14ac:dyDescent="0.3">
      <c r="B73" s="112" t="s">
        <v>164</v>
      </c>
      <c r="C73" s="97"/>
      <c r="D73" s="98" t="s">
        <v>165</v>
      </c>
      <c r="E73" s="116">
        <f t="shared" ref="E73:Q73" si="91">SUM(E74:E80)</f>
        <v>0.65921636722489108</v>
      </c>
      <c r="F73" s="116">
        <f t="shared" si="91"/>
        <v>0.17659124010049199</v>
      </c>
      <c r="G73" s="116">
        <f t="shared" si="91"/>
        <v>0.23104814638755414</v>
      </c>
      <c r="H73" s="116">
        <f t="shared" si="91"/>
        <v>0.17212514968017673</v>
      </c>
      <c r="I73" s="116">
        <f t="shared" si="91"/>
        <v>0.21113030372798175</v>
      </c>
      <c r="J73" s="116">
        <f t="shared" si="91"/>
        <v>0.20663057088911715</v>
      </c>
      <c r="K73" s="116">
        <f t="shared" si="91"/>
        <v>0.27723709597027507</v>
      </c>
      <c r="L73" s="116">
        <f t="shared" si="91"/>
        <v>0.4616540085697341</v>
      </c>
      <c r="M73" s="116">
        <f t="shared" si="91"/>
        <v>0.33221543570660494</v>
      </c>
      <c r="N73" s="116">
        <f t="shared" si="91"/>
        <v>0.29992114096828876</v>
      </c>
      <c r="O73" s="116">
        <f t="shared" si="91"/>
        <v>0.19170207815412027</v>
      </c>
      <c r="P73" s="116">
        <f t="shared" si="91"/>
        <v>0.19681881711294835</v>
      </c>
      <c r="Q73" s="116">
        <f t="shared" si="91"/>
        <v>0.290716585610786</v>
      </c>
      <c r="R73" s="116">
        <f>SUM(R74:R80)</f>
        <v>0.33031664971482155</v>
      </c>
      <c r="S73" s="116">
        <f t="shared" ref="S73:AE73" si="92">SUM(S74:S80)</f>
        <v>0.38714197027634012</v>
      </c>
      <c r="T73" s="116">
        <f t="shared" si="92"/>
        <v>0.2821764480012432</v>
      </c>
      <c r="U73" s="116">
        <f t="shared" si="92"/>
        <v>0.2010202587713075</v>
      </c>
      <c r="V73" s="116">
        <f t="shared" si="92"/>
        <v>0.23047916110685554</v>
      </c>
      <c r="W73" s="116" t="e">
        <f t="shared" si="92"/>
        <v>#DIV/0!</v>
      </c>
      <c r="X73" s="116" t="e">
        <f t="shared" si="92"/>
        <v>#DIV/0!</v>
      </c>
      <c r="Y73" s="116" t="e">
        <f t="shared" si="92"/>
        <v>#DIV/0!</v>
      </c>
      <c r="Z73" s="116" t="e">
        <f t="shared" si="92"/>
        <v>#DIV/0!</v>
      </c>
      <c r="AA73" s="116" t="e">
        <f t="shared" si="92"/>
        <v>#DIV/0!</v>
      </c>
      <c r="AB73" s="116" t="e">
        <f t="shared" si="92"/>
        <v>#DIV/0!</v>
      </c>
      <c r="AC73" s="116" t="e">
        <f t="shared" si="92"/>
        <v>#DIV/0!</v>
      </c>
      <c r="AD73" s="116" t="e">
        <f t="shared" si="92"/>
        <v>#DIV/0!</v>
      </c>
      <c r="AE73" s="116">
        <f t="shared" si="92"/>
        <v>0.26656193046549015</v>
      </c>
    </row>
    <row r="74" spans="2:31" ht="15.6" x14ac:dyDescent="0.3">
      <c r="B74" s="113">
        <v>1</v>
      </c>
      <c r="C74" s="99" t="s">
        <v>97</v>
      </c>
      <c r="D74" s="99" t="s">
        <v>169</v>
      </c>
      <c r="E74" s="107">
        <f t="shared" ref="E74:R74" si="93">E45/E$52</f>
        <v>6.5806431422604048E-2</v>
      </c>
      <c r="F74" s="107">
        <f t="shared" si="93"/>
        <v>3.8875676488499725E-2</v>
      </c>
      <c r="G74" s="107">
        <f t="shared" si="93"/>
        <v>5.0954458208816479E-2</v>
      </c>
      <c r="H74" s="107">
        <f t="shared" si="93"/>
        <v>5.6068346284953316E-2</v>
      </c>
      <c r="I74" s="107">
        <f t="shared" si="93"/>
        <v>5.4890958164683444E-2</v>
      </c>
      <c r="J74" s="107">
        <f t="shared" si="93"/>
        <v>5.0806087630390288E-2</v>
      </c>
      <c r="K74" s="107">
        <f t="shared" si="93"/>
        <v>6.8520191360795596E-2</v>
      </c>
      <c r="L74" s="107">
        <f t="shared" si="93"/>
        <v>0.11717571569673854</v>
      </c>
      <c r="M74" s="107">
        <f t="shared" si="93"/>
        <v>7.9591989125449167E-2</v>
      </c>
      <c r="N74" s="107">
        <f t="shared" si="93"/>
        <v>6.7028214786641116E-2</v>
      </c>
      <c r="O74" s="107">
        <f t="shared" si="93"/>
        <v>3.9138375741772896E-2</v>
      </c>
      <c r="P74" s="107">
        <f t="shared" si="93"/>
        <v>3.8612752089615343E-2</v>
      </c>
      <c r="Q74" s="107">
        <f t="shared" si="93"/>
        <v>1.1786913948353914E-2</v>
      </c>
      <c r="R74" s="107">
        <f t="shared" si="93"/>
        <v>0.14753412985349729</v>
      </c>
      <c r="S74" s="107">
        <f t="shared" ref="S74:AE74" si="94">S45/S$52</f>
        <v>7.3572072905629934E-2</v>
      </c>
      <c r="T74" s="107">
        <f t="shared" si="94"/>
        <v>5.4545563283499521E-2</v>
      </c>
      <c r="U74" s="107">
        <f t="shared" si="94"/>
        <v>3.804046271354284E-2</v>
      </c>
      <c r="V74" s="107">
        <f t="shared" si="94"/>
        <v>4.3522274911278774E-2</v>
      </c>
      <c r="W74" s="107" t="e">
        <f t="shared" si="94"/>
        <v>#DIV/0!</v>
      </c>
      <c r="X74" s="107" t="e">
        <f t="shared" si="94"/>
        <v>#DIV/0!</v>
      </c>
      <c r="Y74" s="107" t="e">
        <f t="shared" si="94"/>
        <v>#DIV/0!</v>
      </c>
      <c r="Z74" s="107" t="e">
        <f t="shared" si="94"/>
        <v>#DIV/0!</v>
      </c>
      <c r="AA74" s="107" t="e">
        <f t="shared" si="94"/>
        <v>#DIV/0!</v>
      </c>
      <c r="AB74" s="107" t="e">
        <f t="shared" si="94"/>
        <v>#DIV/0!</v>
      </c>
      <c r="AC74" s="107" t="e">
        <f t="shared" si="94"/>
        <v>#DIV/0!</v>
      </c>
      <c r="AD74" s="107" t="e">
        <f t="shared" si="94"/>
        <v>#DIV/0!</v>
      </c>
      <c r="AE74" s="107">
        <f t="shared" si="94"/>
        <v>5.0749755548613461E-2</v>
      </c>
    </row>
    <row r="75" spans="2:31" ht="15.6" x14ac:dyDescent="0.3">
      <c r="B75" s="114">
        <f t="shared" ref="B75:B80" si="95">B74+1</f>
        <v>2</v>
      </c>
      <c r="C75" s="101" t="s">
        <v>97</v>
      </c>
      <c r="D75" s="101" t="s">
        <v>48</v>
      </c>
      <c r="E75" s="118">
        <f t="shared" ref="E75:R75" si="96">E46/E$52</f>
        <v>0.37349541316950702</v>
      </c>
      <c r="F75" s="118">
        <f t="shared" si="96"/>
        <v>8.3537291923687654E-2</v>
      </c>
      <c r="G75" s="118">
        <f t="shared" si="96"/>
        <v>0.10493870485131002</v>
      </c>
      <c r="H75" s="118">
        <f t="shared" si="96"/>
        <v>6.9865958693385355E-2</v>
      </c>
      <c r="I75" s="118">
        <f t="shared" si="96"/>
        <v>9.3286288114155805E-2</v>
      </c>
      <c r="J75" s="118">
        <f t="shared" si="96"/>
        <v>8.9239046471710257E-2</v>
      </c>
      <c r="K75" s="118">
        <f t="shared" si="96"/>
        <v>0.11895771418302722</v>
      </c>
      <c r="L75" s="118">
        <f t="shared" si="96"/>
        <v>0.20239560467640538</v>
      </c>
      <c r="M75" s="118">
        <f t="shared" si="96"/>
        <v>0.13589861493817632</v>
      </c>
      <c r="N75" s="118">
        <f t="shared" si="96"/>
        <v>0.12273760601572971</v>
      </c>
      <c r="O75" s="118">
        <f t="shared" si="96"/>
        <v>8.012469426525172E-2</v>
      </c>
      <c r="P75" s="118">
        <f t="shared" si="96"/>
        <v>8.3403880300161312E-2</v>
      </c>
      <c r="Q75" s="118">
        <f t="shared" si="96"/>
        <v>0.1120420637035337</v>
      </c>
      <c r="R75" s="118">
        <f t="shared" si="96"/>
        <v>9.9771981773716031E-2</v>
      </c>
      <c r="S75" s="118">
        <f t="shared" ref="S75:AE75" si="97">S46/S$52</f>
        <v>0.17032246129228693</v>
      </c>
      <c r="T75" s="118">
        <f t="shared" si="97"/>
        <v>0.12868916396722921</v>
      </c>
      <c r="U75" s="118">
        <f t="shared" si="97"/>
        <v>8.7676011966974082E-2</v>
      </c>
      <c r="V75" s="118">
        <f t="shared" si="97"/>
        <v>0.11060470256779753</v>
      </c>
      <c r="W75" s="118" t="e">
        <f t="shared" si="97"/>
        <v>#DIV/0!</v>
      </c>
      <c r="X75" s="118" t="e">
        <f t="shared" si="97"/>
        <v>#DIV/0!</v>
      </c>
      <c r="Y75" s="118" t="e">
        <f t="shared" si="97"/>
        <v>#DIV/0!</v>
      </c>
      <c r="Z75" s="118" t="e">
        <f t="shared" si="97"/>
        <v>#DIV/0!</v>
      </c>
      <c r="AA75" s="118" t="e">
        <f t="shared" si="97"/>
        <v>#DIV/0!</v>
      </c>
      <c r="AB75" s="118" t="e">
        <f t="shared" si="97"/>
        <v>#DIV/0!</v>
      </c>
      <c r="AC75" s="118" t="e">
        <f t="shared" si="97"/>
        <v>#DIV/0!</v>
      </c>
      <c r="AD75" s="118" t="e">
        <f t="shared" si="97"/>
        <v>#DIV/0!</v>
      </c>
      <c r="AE75" s="118">
        <f t="shared" si="97"/>
        <v>0.12058993382069781</v>
      </c>
    </row>
    <row r="76" spans="2:31" ht="15.6" x14ac:dyDescent="0.3">
      <c r="B76" s="114">
        <f t="shared" si="95"/>
        <v>3</v>
      </c>
      <c r="C76" s="101" t="s">
        <v>96</v>
      </c>
      <c r="D76" s="101" t="s">
        <v>16</v>
      </c>
      <c r="E76" s="118">
        <f t="shared" ref="E76:R76" si="98">E47/E$52</f>
        <v>0.12965331906289759</v>
      </c>
      <c r="F76" s="118">
        <f t="shared" si="98"/>
        <v>2.5580709462449187E-2</v>
      </c>
      <c r="G76" s="118">
        <f t="shared" si="98"/>
        <v>3.6011219202147671E-2</v>
      </c>
      <c r="H76" s="118">
        <f t="shared" si="98"/>
        <v>2.2240068870577685E-2</v>
      </c>
      <c r="I76" s="118">
        <f t="shared" si="98"/>
        <v>2.9021478171259864E-2</v>
      </c>
      <c r="J76" s="118">
        <f t="shared" si="98"/>
        <v>2.7681361433769487E-2</v>
      </c>
      <c r="K76" s="118">
        <f t="shared" si="98"/>
        <v>3.7352361121882796E-2</v>
      </c>
      <c r="L76" s="118">
        <f t="shared" si="98"/>
        <v>6.4640938730276334E-2</v>
      </c>
      <c r="M76" s="118">
        <f t="shared" si="98"/>
        <v>4.6162642123709706E-2</v>
      </c>
      <c r="N76" s="118">
        <f t="shared" si="98"/>
        <v>4.0431206184200909E-2</v>
      </c>
      <c r="O76" s="118">
        <f t="shared" si="98"/>
        <v>2.6230867560536143E-2</v>
      </c>
      <c r="P76" s="118">
        <f t="shared" si="98"/>
        <v>2.6861733735626257E-2</v>
      </c>
      <c r="Q76" s="118">
        <f t="shared" si="98"/>
        <v>3.597889478118018E-2</v>
      </c>
      <c r="R76" s="118">
        <f t="shared" si="98"/>
        <v>3.202095112883821E-2</v>
      </c>
      <c r="S76" s="118">
        <f t="shared" ref="S76:AE76" si="99">S47/S$52</f>
        <v>5.4986235214396634E-2</v>
      </c>
      <c r="T76" s="118">
        <f t="shared" si="99"/>
        <v>4.1709952637383682E-2</v>
      </c>
      <c r="U76" s="118">
        <f t="shared" si="99"/>
        <v>2.9567370080119837E-2</v>
      </c>
      <c r="V76" s="118">
        <f t="shared" si="99"/>
        <v>3.3245535087561902E-2</v>
      </c>
      <c r="W76" s="118" t="e">
        <f t="shared" si="99"/>
        <v>#DIV/0!</v>
      </c>
      <c r="X76" s="118" t="e">
        <f t="shared" si="99"/>
        <v>#DIV/0!</v>
      </c>
      <c r="Y76" s="118" t="e">
        <f t="shared" si="99"/>
        <v>#DIV/0!</v>
      </c>
      <c r="Z76" s="118" t="e">
        <f t="shared" si="99"/>
        <v>#DIV/0!</v>
      </c>
      <c r="AA76" s="118" t="e">
        <f t="shared" si="99"/>
        <v>#DIV/0!</v>
      </c>
      <c r="AB76" s="118" t="e">
        <f t="shared" si="99"/>
        <v>#DIV/0!</v>
      </c>
      <c r="AC76" s="118" t="e">
        <f t="shared" si="99"/>
        <v>#DIV/0!</v>
      </c>
      <c r="AD76" s="118" t="e">
        <f t="shared" si="99"/>
        <v>#DIV/0!</v>
      </c>
      <c r="AE76" s="118">
        <f t="shared" si="99"/>
        <v>3.8671751093073775E-2</v>
      </c>
    </row>
    <row r="77" spans="2:31" ht="15.6" x14ac:dyDescent="0.3">
      <c r="B77" s="114">
        <f t="shared" si="95"/>
        <v>4</v>
      </c>
      <c r="C77" s="101" t="s">
        <v>97</v>
      </c>
      <c r="D77" s="101" t="s">
        <v>36</v>
      </c>
      <c r="E77" s="118">
        <f t="shared" ref="E77:R77" si="100">E48/E$52</f>
        <v>3.7841391432343066E-2</v>
      </c>
      <c r="F77" s="118">
        <f t="shared" si="100"/>
        <v>1.406153730611787E-2</v>
      </c>
      <c r="G77" s="118">
        <f t="shared" si="100"/>
        <v>1.6492164367920115E-2</v>
      </c>
      <c r="H77" s="118">
        <f t="shared" si="100"/>
        <v>8.449562908301152E-3</v>
      </c>
      <c r="I77" s="118">
        <f t="shared" si="100"/>
        <v>1.2081944909498654E-2</v>
      </c>
      <c r="J77" s="118">
        <f t="shared" si="100"/>
        <v>1.6106066765735762E-2</v>
      </c>
      <c r="K77" s="118">
        <f t="shared" si="100"/>
        <v>2.1268452238924346E-2</v>
      </c>
      <c r="L77" s="118">
        <f t="shared" si="100"/>
        <v>3.0554578834804818E-2</v>
      </c>
      <c r="M77" s="118">
        <f t="shared" si="100"/>
        <v>3.6521110380749212E-2</v>
      </c>
      <c r="N77" s="118">
        <f t="shared" si="100"/>
        <v>3.850198848182413E-2</v>
      </c>
      <c r="O77" s="118">
        <f t="shared" si="100"/>
        <v>2.6842581298285585E-2</v>
      </c>
      <c r="P77" s="118">
        <f t="shared" si="100"/>
        <v>2.5139316675891515E-2</v>
      </c>
      <c r="Q77" s="118">
        <f t="shared" si="100"/>
        <v>9.8335432736324987E-2</v>
      </c>
      <c r="R77" s="118">
        <f t="shared" si="100"/>
        <v>2.6549396256692014E-2</v>
      </c>
      <c r="S77" s="118">
        <f t="shared" ref="S77:AE77" si="101">S48/S$52</f>
        <v>4.857240572254027E-2</v>
      </c>
      <c r="T77" s="118">
        <f t="shared" si="101"/>
        <v>2.5384929690602409E-2</v>
      </c>
      <c r="U77" s="118">
        <f t="shared" si="101"/>
        <v>2.7135333896909346E-2</v>
      </c>
      <c r="V77" s="118">
        <f t="shared" si="101"/>
        <v>1.8156043457891766E-2</v>
      </c>
      <c r="W77" s="118" t="e">
        <f t="shared" si="101"/>
        <v>#DIV/0!</v>
      </c>
      <c r="X77" s="118" t="e">
        <f t="shared" si="101"/>
        <v>#DIV/0!</v>
      </c>
      <c r="Y77" s="118" t="e">
        <f t="shared" si="101"/>
        <v>#DIV/0!</v>
      </c>
      <c r="Z77" s="118" t="e">
        <f t="shared" si="101"/>
        <v>#DIV/0!</v>
      </c>
      <c r="AA77" s="118" t="e">
        <f t="shared" si="101"/>
        <v>#DIV/0!</v>
      </c>
      <c r="AB77" s="118" t="e">
        <f t="shared" si="101"/>
        <v>#DIV/0!</v>
      </c>
      <c r="AC77" s="118" t="e">
        <f t="shared" si="101"/>
        <v>#DIV/0!</v>
      </c>
      <c r="AD77" s="118" t="e">
        <f t="shared" si="101"/>
        <v>#DIV/0!</v>
      </c>
      <c r="AE77" s="118">
        <f t="shared" si="101"/>
        <v>2.8770059672618586E-2</v>
      </c>
    </row>
    <row r="78" spans="2:31" ht="15.6" x14ac:dyDescent="0.3">
      <c r="B78" s="114">
        <f t="shared" si="95"/>
        <v>5</v>
      </c>
      <c r="C78" s="101" t="s">
        <v>97</v>
      </c>
      <c r="D78" s="101" t="s">
        <v>12</v>
      </c>
      <c r="E78" s="118">
        <f t="shared" ref="E78:R78" si="102">E49/E$52</f>
        <v>2.6420985978324006E-2</v>
      </c>
      <c r="F78" s="118">
        <f t="shared" si="102"/>
        <v>6.0325093128326731E-3</v>
      </c>
      <c r="G78" s="118">
        <f t="shared" si="102"/>
        <v>8.185511405307629E-3</v>
      </c>
      <c r="H78" s="118">
        <f t="shared" si="102"/>
        <v>6.0625899419640807E-3</v>
      </c>
      <c r="I78" s="118">
        <f t="shared" si="102"/>
        <v>7.8849028125122927E-3</v>
      </c>
      <c r="J78" s="118">
        <f t="shared" si="102"/>
        <v>8.0855918854850703E-3</v>
      </c>
      <c r="K78" s="118">
        <f t="shared" si="102"/>
        <v>8.8216636086086292E-3</v>
      </c>
      <c r="L78" s="118">
        <f t="shared" si="102"/>
        <v>1.3113112574065552E-2</v>
      </c>
      <c r="M78" s="118">
        <f t="shared" si="102"/>
        <v>1.0853353934832884E-2</v>
      </c>
      <c r="N78" s="118">
        <f t="shared" si="102"/>
        <v>1.1219365252259257E-2</v>
      </c>
      <c r="O78" s="118">
        <f t="shared" si="102"/>
        <v>5.9664743385260252E-3</v>
      </c>
      <c r="P78" s="118">
        <f t="shared" si="102"/>
        <v>7.1648697370424227E-3</v>
      </c>
      <c r="Q78" s="118">
        <f t="shared" si="102"/>
        <v>9.7342981244494236E-3</v>
      </c>
      <c r="R78" s="118">
        <f t="shared" si="102"/>
        <v>7.8748084862491127E-3</v>
      </c>
      <c r="S78" s="118">
        <f t="shared" ref="S78:AE78" si="103">S49/S$52</f>
        <v>1.1453449382731233E-2</v>
      </c>
      <c r="T78" s="118">
        <f t="shared" si="103"/>
        <v>1.0278108209055928E-2</v>
      </c>
      <c r="U78" s="118">
        <f t="shared" si="103"/>
        <v>6.6065143825369188E-3</v>
      </c>
      <c r="V78" s="118">
        <f t="shared" si="103"/>
        <v>8.771303668363423E-3</v>
      </c>
      <c r="W78" s="118" t="e">
        <f t="shared" si="103"/>
        <v>#DIV/0!</v>
      </c>
      <c r="X78" s="118" t="e">
        <f t="shared" si="103"/>
        <v>#DIV/0!</v>
      </c>
      <c r="Y78" s="118" t="e">
        <f t="shared" si="103"/>
        <v>#DIV/0!</v>
      </c>
      <c r="Z78" s="118" t="e">
        <f t="shared" si="103"/>
        <v>#DIV/0!</v>
      </c>
      <c r="AA78" s="118" t="e">
        <f t="shared" si="103"/>
        <v>#DIV/0!</v>
      </c>
      <c r="AB78" s="118" t="e">
        <f t="shared" si="103"/>
        <v>#DIV/0!</v>
      </c>
      <c r="AC78" s="118" t="e">
        <f t="shared" si="103"/>
        <v>#DIV/0!</v>
      </c>
      <c r="AD78" s="118" t="e">
        <f t="shared" si="103"/>
        <v>#DIV/0!</v>
      </c>
      <c r="AE78" s="118">
        <f t="shared" si="103"/>
        <v>9.0522342836940623E-3</v>
      </c>
    </row>
    <row r="79" spans="2:31" ht="15.6" x14ac:dyDescent="0.3">
      <c r="B79" s="114">
        <f t="shared" si="95"/>
        <v>6</v>
      </c>
      <c r="C79" s="101" t="s">
        <v>97</v>
      </c>
      <c r="D79" s="101" t="s">
        <v>51</v>
      </c>
      <c r="E79" s="118">
        <f t="shared" ref="E79:R79" si="104">E50/E$52</f>
        <v>2.1120980853755734E-2</v>
      </c>
      <c r="F79" s="118">
        <f t="shared" si="104"/>
        <v>4.5847716548230088E-3</v>
      </c>
      <c r="G79" s="118">
        <f t="shared" si="104"/>
        <v>7.7210634552334631E-3</v>
      </c>
      <c r="H79" s="118">
        <f t="shared" si="104"/>
        <v>5.1283532962006989E-3</v>
      </c>
      <c r="I79" s="118">
        <f t="shared" si="104"/>
        <v>5.7825570903192762E-3</v>
      </c>
      <c r="J79" s="118">
        <f t="shared" si="104"/>
        <v>6.4650687050040795E-3</v>
      </c>
      <c r="K79" s="118">
        <f t="shared" si="104"/>
        <v>9.5870573477336071E-3</v>
      </c>
      <c r="L79" s="118">
        <f t="shared" si="104"/>
        <v>1.1111704246078919E-2</v>
      </c>
      <c r="M79" s="118">
        <f t="shared" si="104"/>
        <v>1.0728046358526058E-2</v>
      </c>
      <c r="N79" s="118">
        <f t="shared" si="104"/>
        <v>1.0404850013150085E-2</v>
      </c>
      <c r="O79" s="118">
        <f t="shared" si="104"/>
        <v>7.3119887553838078E-3</v>
      </c>
      <c r="P79" s="118">
        <f t="shared" si="104"/>
        <v>9.0992038485795297E-3</v>
      </c>
      <c r="Q79" s="118">
        <f t="shared" si="104"/>
        <v>1.3470876877657812E-2</v>
      </c>
      <c r="R79" s="118">
        <f t="shared" si="104"/>
        <v>7.7403873616061917E-3</v>
      </c>
      <c r="S79" s="118">
        <f t="shared" ref="S79:AE79" si="105">S50/S$52</f>
        <v>1.3026386341675427E-2</v>
      </c>
      <c r="T79" s="118">
        <f t="shared" si="105"/>
        <v>1.1965046467651334E-2</v>
      </c>
      <c r="U79" s="118">
        <f t="shared" si="105"/>
        <v>7.2564913608706098E-3</v>
      </c>
      <c r="V79" s="118">
        <f t="shared" si="105"/>
        <v>9.0337701669491264E-3</v>
      </c>
      <c r="W79" s="118" t="e">
        <f t="shared" si="105"/>
        <v>#DIV/0!</v>
      </c>
      <c r="X79" s="118" t="e">
        <f t="shared" si="105"/>
        <v>#DIV/0!</v>
      </c>
      <c r="Y79" s="118" t="e">
        <f t="shared" si="105"/>
        <v>#DIV/0!</v>
      </c>
      <c r="Z79" s="118" t="e">
        <f t="shared" si="105"/>
        <v>#DIV/0!</v>
      </c>
      <c r="AA79" s="118" t="e">
        <f t="shared" si="105"/>
        <v>#DIV/0!</v>
      </c>
      <c r="AB79" s="118" t="e">
        <f t="shared" si="105"/>
        <v>#DIV/0!</v>
      </c>
      <c r="AC79" s="118" t="e">
        <f t="shared" si="105"/>
        <v>#DIV/0!</v>
      </c>
      <c r="AD79" s="118" t="e">
        <f t="shared" si="105"/>
        <v>#DIV/0!</v>
      </c>
      <c r="AE79" s="118">
        <f t="shared" si="105"/>
        <v>1.0031003078113663E-2</v>
      </c>
    </row>
    <row r="80" spans="2:31" ht="15.6" x14ac:dyDescent="0.3">
      <c r="B80" s="520">
        <f t="shared" si="95"/>
        <v>7</v>
      </c>
      <c r="C80" s="102" t="s">
        <v>97</v>
      </c>
      <c r="D80" s="102" t="s">
        <v>40</v>
      </c>
      <c r="E80" s="119">
        <f t="shared" ref="E80:R80" si="106">E51/E$52</f>
        <v>4.8778453054596415E-3</v>
      </c>
      <c r="F80" s="119">
        <f t="shared" si="106"/>
        <v>3.9187439520818679E-3</v>
      </c>
      <c r="G80" s="119">
        <f t="shared" si="106"/>
        <v>6.7450248968187838E-3</v>
      </c>
      <c r="H80" s="119">
        <f t="shared" si="106"/>
        <v>4.3102696847944133E-3</v>
      </c>
      <c r="I80" s="119">
        <f t="shared" si="106"/>
        <v>8.1821744655524303E-3</v>
      </c>
      <c r="J80" s="119">
        <f t="shared" si="106"/>
        <v>8.2473479970222377E-3</v>
      </c>
      <c r="K80" s="119">
        <f t="shared" si="106"/>
        <v>1.2729656109302869E-2</v>
      </c>
      <c r="L80" s="119">
        <f t="shared" si="106"/>
        <v>2.2662353811364493E-2</v>
      </c>
      <c r="M80" s="119">
        <f t="shared" si="106"/>
        <v>1.2459678845161647E-2</v>
      </c>
      <c r="N80" s="119">
        <f t="shared" si="106"/>
        <v>9.5979102344835691E-3</v>
      </c>
      <c r="O80" s="119">
        <f t="shared" si="106"/>
        <v>6.0870961943641057E-3</v>
      </c>
      <c r="P80" s="119">
        <f t="shared" si="106"/>
        <v>6.5370607260319576E-3</v>
      </c>
      <c r="Q80" s="119">
        <f t="shared" si="106"/>
        <v>9.3681054392860189E-3</v>
      </c>
      <c r="R80" s="119">
        <f t="shared" si="106"/>
        <v>8.8249948542226675E-3</v>
      </c>
      <c r="S80" s="119">
        <f t="shared" ref="S80:AE80" si="107">S51/S$52</f>
        <v>1.52089594170797E-2</v>
      </c>
      <c r="T80" s="119">
        <f t="shared" si="107"/>
        <v>9.6036837458210924E-3</v>
      </c>
      <c r="U80" s="119">
        <f t="shared" si="107"/>
        <v>4.7380743703538631E-3</v>
      </c>
      <c r="V80" s="119">
        <f t="shared" si="107"/>
        <v>7.1455312470130351E-3</v>
      </c>
      <c r="W80" s="119" t="e">
        <f t="shared" si="107"/>
        <v>#DIV/0!</v>
      </c>
      <c r="X80" s="119" t="e">
        <f t="shared" si="107"/>
        <v>#DIV/0!</v>
      </c>
      <c r="Y80" s="119" t="e">
        <f t="shared" si="107"/>
        <v>#DIV/0!</v>
      </c>
      <c r="Z80" s="119" t="e">
        <f t="shared" si="107"/>
        <v>#DIV/0!</v>
      </c>
      <c r="AA80" s="119" t="e">
        <f t="shared" si="107"/>
        <v>#DIV/0!</v>
      </c>
      <c r="AB80" s="119" t="e">
        <f t="shared" si="107"/>
        <v>#DIV/0!</v>
      </c>
      <c r="AC80" s="119" t="e">
        <f t="shared" si="107"/>
        <v>#DIV/0!</v>
      </c>
      <c r="AD80" s="119" t="e">
        <f t="shared" si="107"/>
        <v>#DIV/0!</v>
      </c>
      <c r="AE80" s="119">
        <f t="shared" si="107"/>
        <v>8.6971929686787981E-3</v>
      </c>
    </row>
    <row r="81" spans="2:31" ht="15.6" x14ac:dyDescent="0.3">
      <c r="B81" s="108" t="s">
        <v>173</v>
      </c>
      <c r="C81" s="109"/>
      <c r="D81" s="108"/>
      <c r="E81" s="115">
        <f t="shared" ref="E81:Q81" si="108">E61+E73</f>
        <v>1</v>
      </c>
      <c r="F81" s="115">
        <f t="shared" si="108"/>
        <v>0.99999999999999989</v>
      </c>
      <c r="G81" s="115">
        <f t="shared" si="108"/>
        <v>0.99999999999999978</v>
      </c>
      <c r="H81" s="115">
        <f t="shared" si="108"/>
        <v>1.0000000000000004</v>
      </c>
      <c r="I81" s="115">
        <f t="shared" si="108"/>
        <v>1</v>
      </c>
      <c r="J81" s="115">
        <f t="shared" si="108"/>
        <v>1.0000000000000002</v>
      </c>
      <c r="K81" s="115">
        <f t="shared" si="108"/>
        <v>1</v>
      </c>
      <c r="L81" s="115">
        <f t="shared" si="108"/>
        <v>1</v>
      </c>
      <c r="M81" s="115">
        <f t="shared" si="108"/>
        <v>0.99999999999999989</v>
      </c>
      <c r="N81" s="115">
        <f t="shared" si="108"/>
        <v>1.0000000000000002</v>
      </c>
      <c r="O81" s="115">
        <f t="shared" si="108"/>
        <v>0.99999999999999978</v>
      </c>
      <c r="P81" s="115">
        <f t="shared" si="108"/>
        <v>1</v>
      </c>
      <c r="Q81" s="115">
        <f t="shared" si="108"/>
        <v>0.99999999999999978</v>
      </c>
      <c r="R81" s="115">
        <f>R61+R73</f>
        <v>0.99999999999999989</v>
      </c>
      <c r="S81" s="115">
        <f t="shared" ref="S81:AE81" si="109">S61+S73</f>
        <v>0.99999999999999989</v>
      </c>
      <c r="T81" s="115">
        <f t="shared" si="109"/>
        <v>0.99999999999999989</v>
      </c>
      <c r="U81" s="115">
        <f t="shared" si="109"/>
        <v>0.99999999999999989</v>
      </c>
      <c r="V81" s="115">
        <f t="shared" si="109"/>
        <v>1.0000000000000002</v>
      </c>
      <c r="W81" s="115" t="e">
        <f t="shared" si="109"/>
        <v>#DIV/0!</v>
      </c>
      <c r="X81" s="115" t="e">
        <f t="shared" si="109"/>
        <v>#DIV/0!</v>
      </c>
      <c r="Y81" s="115" t="e">
        <f t="shared" si="109"/>
        <v>#DIV/0!</v>
      </c>
      <c r="Z81" s="115" t="e">
        <f t="shared" si="109"/>
        <v>#DIV/0!</v>
      </c>
      <c r="AA81" s="115" t="e">
        <f t="shared" si="109"/>
        <v>#DIV/0!</v>
      </c>
      <c r="AB81" s="115" t="e">
        <f t="shared" si="109"/>
        <v>#DIV/0!</v>
      </c>
      <c r="AC81" s="115" t="e">
        <f t="shared" si="109"/>
        <v>#DIV/0!</v>
      </c>
      <c r="AD81" s="115" t="e">
        <f t="shared" si="109"/>
        <v>#DIV/0!</v>
      </c>
      <c r="AE81" s="115">
        <f t="shared" si="109"/>
        <v>0.99999999999999967</v>
      </c>
    </row>
  </sheetData>
  <mergeCells count="2">
    <mergeCell ref="B54:D54"/>
    <mergeCell ref="B55:D5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6BD35-6BC9-4B43-A693-D7ACF981C69D}">
  <sheetPr codeName="Sheet2"/>
  <dimension ref="A1:BX80"/>
  <sheetViews>
    <sheetView zoomScaleNormal="100" workbookViewId="0">
      <pane xSplit="4" ySplit="4" topLeftCell="AF5" activePane="bottomRight" state="frozen"/>
      <selection activeCell="D69" sqref="D69"/>
      <selection pane="topRight" activeCell="D69" sqref="D69"/>
      <selection pane="bottomLeft" activeCell="D69" sqref="D69"/>
      <selection pane="bottomRight" activeCell="AW26" sqref="AW26"/>
    </sheetView>
  </sheetViews>
  <sheetFormatPr defaultRowHeight="14.4" outlineLevelCol="2" x14ac:dyDescent="0.3"/>
  <cols>
    <col min="1" max="1" width="3.5546875" bestFit="1" customWidth="1"/>
    <col min="2" max="2" width="4.44140625" customWidth="1"/>
    <col min="3" max="3" width="10.44140625" customWidth="1"/>
    <col min="4" max="4" width="23.5546875" bestFit="1" customWidth="1"/>
    <col min="5" max="5" width="10.44140625" hidden="1" customWidth="1" outlineLevel="2" collapsed="1"/>
    <col min="6" max="10" width="10.44140625" hidden="1" customWidth="1" outlineLevel="2"/>
    <col min="11" max="16" width="9.44140625" hidden="1" customWidth="1" outlineLevel="2"/>
    <col min="17" max="17" width="9.44140625" customWidth="1" collapsed="1"/>
    <col min="18" max="18" width="9.77734375" customWidth="1" outlineLevel="1"/>
    <col min="19" max="19" width="8.5546875" customWidth="1" outlineLevel="1"/>
    <col min="20" max="22" width="9.77734375" customWidth="1" outlineLevel="1"/>
    <col min="23" max="26" width="8.5546875" customWidth="1" outlineLevel="1"/>
    <col min="27" max="29" width="9.77734375" customWidth="1" outlineLevel="1"/>
    <col min="30" max="30" width="11.5546875" customWidth="1" outlineLevel="1"/>
    <col min="31" max="31" width="9.77734375" bestFit="1" customWidth="1"/>
    <col min="32" max="33" width="8.5546875" customWidth="1" outlineLevel="1"/>
    <col min="34" max="34" width="9.44140625" customWidth="1" outlineLevel="1"/>
    <col min="35" max="42" width="10.5546875" customWidth="1" outlineLevel="1"/>
    <col min="43" max="43" width="11" customWidth="1" outlineLevel="1"/>
    <col min="44" max="44" width="11" customWidth="1"/>
    <col min="45" max="46" width="8.5546875" bestFit="1" customWidth="1"/>
    <col min="47" max="47" width="9.44140625" customWidth="1"/>
    <col min="48" max="55" width="10.5546875" customWidth="1"/>
    <col min="56" max="57" width="11" customWidth="1"/>
    <col min="58" max="58" width="10.5546875" bestFit="1" customWidth="1"/>
    <col min="59" max="59" width="2.44140625" customWidth="1"/>
    <col min="60" max="67" width="10.44140625" customWidth="1"/>
    <col min="68" max="71" width="11.44140625" customWidth="1"/>
    <col min="72" max="72" width="12.5546875" customWidth="1"/>
    <col min="74" max="74" width="9.44140625" bestFit="1" customWidth="1"/>
  </cols>
  <sheetData>
    <row r="1" spans="1:74" x14ac:dyDescent="0.3">
      <c r="AQ1" s="9"/>
      <c r="AR1" s="9"/>
      <c r="BD1" s="9"/>
      <c r="BE1" s="9"/>
      <c r="BU1" s="566"/>
    </row>
    <row r="2" spans="1:74" x14ac:dyDescent="0.3">
      <c r="E2" s="105">
        <v>1</v>
      </c>
      <c r="F2" s="105">
        <v>2</v>
      </c>
      <c r="G2" s="105">
        <v>3</v>
      </c>
      <c r="H2" s="105">
        <v>4</v>
      </c>
      <c r="I2" s="105">
        <v>5</v>
      </c>
      <c r="J2" s="105">
        <v>6</v>
      </c>
      <c r="K2" s="105">
        <v>7</v>
      </c>
      <c r="L2" s="105">
        <v>8</v>
      </c>
      <c r="M2" s="105">
        <v>9</v>
      </c>
      <c r="N2" s="105">
        <v>10</v>
      </c>
      <c r="O2" s="105">
        <v>11</v>
      </c>
      <c r="P2" s="105">
        <v>12</v>
      </c>
      <c r="R2" s="105">
        <v>1</v>
      </c>
      <c r="S2" s="105">
        <v>2</v>
      </c>
      <c r="T2" s="105">
        <v>3</v>
      </c>
      <c r="U2" s="105">
        <v>4</v>
      </c>
      <c r="V2" s="105">
        <v>5</v>
      </c>
      <c r="W2" s="105">
        <v>6</v>
      </c>
      <c r="X2" s="105">
        <v>7</v>
      </c>
      <c r="Y2" s="105">
        <v>8</v>
      </c>
      <c r="Z2" s="105">
        <v>9</v>
      </c>
      <c r="AA2" s="105">
        <v>10</v>
      </c>
      <c r="AB2" s="105">
        <v>11</v>
      </c>
      <c r="AC2" s="105">
        <v>12</v>
      </c>
      <c r="AF2" s="105">
        <v>1</v>
      </c>
      <c r="AG2" s="105">
        <v>2</v>
      </c>
      <c r="AH2" s="105">
        <v>3</v>
      </c>
      <c r="AI2" s="105">
        <v>4</v>
      </c>
      <c r="AJ2" s="105">
        <v>5</v>
      </c>
      <c r="AK2" s="105">
        <v>6</v>
      </c>
      <c r="AL2" s="105">
        <v>7</v>
      </c>
      <c r="AM2" s="105">
        <v>8</v>
      </c>
      <c r="AN2" s="105">
        <v>9</v>
      </c>
      <c r="AO2" s="105">
        <v>10</v>
      </c>
      <c r="AP2" s="105">
        <v>11</v>
      </c>
      <c r="AQ2" s="105">
        <v>12</v>
      </c>
      <c r="AR2" s="105"/>
      <c r="AS2" s="105">
        <v>1</v>
      </c>
      <c r="AT2" s="105">
        <v>2</v>
      </c>
      <c r="AU2" s="105">
        <v>3</v>
      </c>
      <c r="AV2" s="105">
        <v>4</v>
      </c>
      <c r="AW2" s="105">
        <v>5</v>
      </c>
      <c r="AX2" s="105">
        <v>6</v>
      </c>
      <c r="AY2" s="105">
        <v>7</v>
      </c>
      <c r="AZ2" s="105">
        <v>8</v>
      </c>
      <c r="BA2" s="105">
        <v>9</v>
      </c>
      <c r="BB2" s="105">
        <v>10</v>
      </c>
      <c r="BC2" s="105">
        <v>11</v>
      </c>
      <c r="BD2" s="105">
        <v>12</v>
      </c>
      <c r="BE2" s="105"/>
      <c r="BF2" s="562"/>
      <c r="BH2" s="105">
        <v>1</v>
      </c>
      <c r="BI2" s="105">
        <v>2</v>
      </c>
      <c r="BJ2" s="105">
        <v>3</v>
      </c>
      <c r="BK2" s="105">
        <v>4</v>
      </c>
      <c r="BL2" s="105">
        <v>5</v>
      </c>
      <c r="BM2" s="105">
        <v>6</v>
      </c>
      <c r="BN2" s="105">
        <v>7</v>
      </c>
      <c r="BO2" s="105">
        <v>8</v>
      </c>
      <c r="BP2" s="105">
        <v>9</v>
      </c>
      <c r="BQ2" s="105">
        <v>10</v>
      </c>
      <c r="BR2" s="105">
        <v>11</v>
      </c>
      <c r="BS2" s="105">
        <v>12</v>
      </c>
    </row>
    <row r="3" spans="1:74" x14ac:dyDescent="0.3">
      <c r="D3">
        <v>1</v>
      </c>
      <c r="E3">
        <v>2</v>
      </c>
      <c r="F3">
        <v>3</v>
      </c>
      <c r="G3">
        <v>4</v>
      </c>
      <c r="H3">
        <v>5</v>
      </c>
      <c r="I3">
        <v>6</v>
      </c>
      <c r="J3">
        <v>7</v>
      </c>
      <c r="K3">
        <v>8</v>
      </c>
      <c r="L3">
        <v>9</v>
      </c>
      <c r="M3">
        <v>10</v>
      </c>
      <c r="N3">
        <v>11</v>
      </c>
      <c r="O3">
        <v>12</v>
      </c>
      <c r="P3">
        <v>13</v>
      </c>
      <c r="Q3">
        <v>14</v>
      </c>
      <c r="R3">
        <v>15</v>
      </c>
      <c r="S3">
        <v>16</v>
      </c>
      <c r="T3">
        <v>17</v>
      </c>
      <c r="U3">
        <v>18</v>
      </c>
      <c r="V3">
        <v>19</v>
      </c>
      <c r="W3">
        <v>20</v>
      </c>
      <c r="X3">
        <v>21</v>
      </c>
      <c r="Y3">
        <v>22</v>
      </c>
      <c r="Z3">
        <v>23</v>
      </c>
      <c r="AA3">
        <v>24</v>
      </c>
      <c r="AB3">
        <v>25</v>
      </c>
      <c r="AC3">
        <v>26</v>
      </c>
      <c r="AD3">
        <v>27</v>
      </c>
      <c r="AE3">
        <v>28</v>
      </c>
      <c r="AF3">
        <v>29</v>
      </c>
      <c r="AS3">
        <v>29</v>
      </c>
      <c r="BH3">
        <v>32</v>
      </c>
      <c r="BI3">
        <v>33</v>
      </c>
      <c r="BJ3">
        <v>34</v>
      </c>
      <c r="BK3">
        <v>35</v>
      </c>
      <c r="BL3">
        <v>36</v>
      </c>
      <c r="BM3">
        <v>37</v>
      </c>
      <c r="BN3">
        <v>38</v>
      </c>
      <c r="BO3">
        <v>39</v>
      </c>
      <c r="BP3">
        <v>40</v>
      </c>
      <c r="BQ3">
        <v>41</v>
      </c>
      <c r="BR3">
        <v>42</v>
      </c>
      <c r="BS3">
        <v>43</v>
      </c>
      <c r="BT3">
        <v>44</v>
      </c>
    </row>
    <row r="4" spans="1:74" s="89" customFormat="1" ht="26.4" x14ac:dyDescent="0.3">
      <c r="A4" s="105">
        <v>1</v>
      </c>
      <c r="B4" s="74" t="s">
        <v>57</v>
      </c>
      <c r="C4" s="74" t="s">
        <v>58</v>
      </c>
      <c r="D4" s="74" t="s">
        <v>59</v>
      </c>
      <c r="E4" s="76" t="s">
        <v>60</v>
      </c>
      <c r="F4" s="76" t="s">
        <v>61</v>
      </c>
      <c r="G4" s="76" t="s">
        <v>62</v>
      </c>
      <c r="H4" s="76" t="s">
        <v>63</v>
      </c>
      <c r="I4" s="76" t="s">
        <v>64</v>
      </c>
      <c r="J4" s="76" t="s">
        <v>65</v>
      </c>
      <c r="K4" s="76" t="s">
        <v>66</v>
      </c>
      <c r="L4" s="76" t="s">
        <v>67</v>
      </c>
      <c r="M4" s="76" t="s">
        <v>68</v>
      </c>
      <c r="N4" s="76" t="s">
        <v>69</v>
      </c>
      <c r="O4" s="76" t="s">
        <v>70</v>
      </c>
      <c r="P4" s="76" t="s">
        <v>71</v>
      </c>
      <c r="Q4" s="76" t="s">
        <v>171</v>
      </c>
      <c r="R4" s="76" t="s">
        <v>72</v>
      </c>
      <c r="S4" s="76" t="s">
        <v>73</v>
      </c>
      <c r="T4" s="76" t="s">
        <v>74</v>
      </c>
      <c r="U4" s="76" t="s">
        <v>75</v>
      </c>
      <c r="V4" s="76" t="s">
        <v>76</v>
      </c>
      <c r="W4" s="76" t="s">
        <v>77</v>
      </c>
      <c r="X4" s="76" t="s">
        <v>78</v>
      </c>
      <c r="Y4" s="76" t="s">
        <v>79</v>
      </c>
      <c r="Z4" s="76" t="s">
        <v>80</v>
      </c>
      <c r="AA4" s="76" t="s">
        <v>81</v>
      </c>
      <c r="AB4" s="76" t="s">
        <v>82</v>
      </c>
      <c r="AC4" s="76" t="s">
        <v>83</v>
      </c>
      <c r="AD4" s="73" t="str">
        <f>'48 KMP -Tháng'!AF2</f>
        <v>Lũy kế TT 2024</v>
      </c>
      <c r="AE4" s="72" t="s">
        <v>185</v>
      </c>
      <c r="AF4" s="70" t="s">
        <v>229</v>
      </c>
      <c r="AG4" s="70" t="s">
        <v>230</v>
      </c>
      <c r="AH4" s="70" t="s">
        <v>231</v>
      </c>
      <c r="AI4" s="70" t="s">
        <v>232</v>
      </c>
      <c r="AJ4" s="70" t="s">
        <v>233</v>
      </c>
      <c r="AK4" s="70" t="s">
        <v>234</v>
      </c>
      <c r="AL4" s="70" t="s">
        <v>235</v>
      </c>
      <c r="AM4" s="70" t="s">
        <v>236</v>
      </c>
      <c r="AN4" s="70" t="s">
        <v>237</v>
      </c>
      <c r="AO4" s="70" t="s">
        <v>238</v>
      </c>
      <c r="AP4" s="70" t="s">
        <v>239</v>
      </c>
      <c r="AQ4" s="70" t="s">
        <v>240</v>
      </c>
      <c r="AR4" s="70" t="s">
        <v>250</v>
      </c>
      <c r="AS4" s="70" t="s">
        <v>263</v>
      </c>
      <c r="AT4" s="70" t="s">
        <v>264</v>
      </c>
      <c r="AU4" s="70" t="s">
        <v>265</v>
      </c>
      <c r="AV4" s="70" t="s">
        <v>266</v>
      </c>
      <c r="AW4" s="70" t="s">
        <v>267</v>
      </c>
      <c r="AX4" s="70" t="s">
        <v>268</v>
      </c>
      <c r="AY4" s="70" t="s">
        <v>269</v>
      </c>
      <c r="AZ4" s="70" t="s">
        <v>270</v>
      </c>
      <c r="BA4" s="70" t="s">
        <v>271</v>
      </c>
      <c r="BB4" s="70" t="s">
        <v>272</v>
      </c>
      <c r="BC4" s="70" t="s">
        <v>273</v>
      </c>
      <c r="BD4" s="70" t="s">
        <v>274</v>
      </c>
      <c r="BE4" s="70" t="s">
        <v>307</v>
      </c>
      <c r="BF4" s="73" t="str">
        <f>'48 KMP -Tháng'!BI2</f>
        <v>KH T2.2026</v>
      </c>
      <c r="BG4" s="146"/>
      <c r="BH4" s="2" t="s">
        <v>294</v>
      </c>
      <c r="BI4" s="2" t="s">
        <v>295</v>
      </c>
      <c r="BJ4" s="2" t="s">
        <v>296</v>
      </c>
      <c r="BK4" s="2" t="s">
        <v>297</v>
      </c>
      <c r="BL4" s="2" t="s">
        <v>298</v>
      </c>
      <c r="BM4" s="2" t="s">
        <v>299</v>
      </c>
      <c r="BN4" s="2" t="s">
        <v>300</v>
      </c>
      <c r="BO4" s="2" t="s">
        <v>301</v>
      </c>
      <c r="BP4" s="2" t="s">
        <v>302</v>
      </c>
      <c r="BQ4" s="2" t="s">
        <v>303</v>
      </c>
      <c r="BR4" s="2" t="s">
        <v>304</v>
      </c>
      <c r="BS4" s="2" t="s">
        <v>305</v>
      </c>
      <c r="BT4" s="2" t="s">
        <v>306</v>
      </c>
    </row>
    <row r="5" spans="1:74" s="12" customFormat="1" x14ac:dyDescent="0.3">
      <c r="A5" s="105">
        <v>2</v>
      </c>
      <c r="B5" s="81" t="s">
        <v>162</v>
      </c>
      <c r="C5" s="77" t="s">
        <v>163</v>
      </c>
      <c r="D5" s="77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9"/>
      <c r="AE5" s="79"/>
      <c r="AF5" s="79"/>
      <c r="AG5" s="79"/>
      <c r="AH5" s="79"/>
      <c r="AI5" s="79"/>
      <c r="AJ5" s="79"/>
      <c r="AK5" s="79"/>
      <c r="AL5" s="79"/>
      <c r="AM5" s="79"/>
      <c r="AN5" s="79"/>
      <c r="AO5" s="79"/>
      <c r="AP5" s="79"/>
      <c r="AQ5" s="79"/>
      <c r="AR5" s="79"/>
      <c r="AS5" s="79"/>
      <c r="AT5" s="79"/>
      <c r="AU5" s="79"/>
      <c r="AV5" s="79"/>
      <c r="AW5" s="79"/>
      <c r="AX5" s="79"/>
      <c r="AY5" s="79"/>
      <c r="AZ5" s="79"/>
      <c r="BA5" s="79"/>
      <c r="BB5" s="79"/>
      <c r="BC5" s="79"/>
      <c r="BD5" s="79"/>
      <c r="BE5" s="79"/>
      <c r="BF5" s="79"/>
      <c r="BG5" s="147"/>
      <c r="BH5" s="80"/>
      <c r="BI5" s="80"/>
      <c r="BJ5" s="80"/>
      <c r="BK5" s="80"/>
      <c r="BL5" s="80"/>
      <c r="BM5" s="80"/>
      <c r="BN5" s="80"/>
      <c r="BO5" s="80"/>
      <c r="BP5" s="80"/>
      <c r="BQ5" s="80"/>
      <c r="BR5" s="80"/>
      <c r="BS5" s="80"/>
      <c r="BT5" s="80"/>
    </row>
    <row r="6" spans="1:74" x14ac:dyDescent="0.3">
      <c r="A6" s="105">
        <v>3</v>
      </c>
      <c r="B6" s="3">
        <v>1</v>
      </c>
      <c r="C6" s="3" t="s">
        <v>96</v>
      </c>
      <c r="D6" s="3" t="s">
        <v>261</v>
      </c>
      <c r="E6" s="5">
        <f>SUMIFS('48 KMP -Tháng'!$F$2:$F$53,'48 KMP -Tháng'!$C$2:$C$53,'18 KMP- Tháng'!D6)</f>
        <v>19184.787461375003</v>
      </c>
      <c r="F6" s="5">
        <f>SUMIFS('48 KMP -Tháng'!$G$2:$G$53,'48 KMP -Tháng'!$C$2:$C$53,'18 KMP- Tháng'!D6)</f>
        <v>29413.012996578</v>
      </c>
      <c r="G6" s="6">
        <f>SUMIFS('48 KMP -Tháng'!$H$2:$H$53,'48 KMP -Tháng'!$C$2:$C$53,'18 KMP- Tháng'!D6)</f>
        <v>36905.746250334996</v>
      </c>
      <c r="H6" s="5">
        <f>SUMIFS('48 KMP -Tháng'!$I$2:$I$53,'48 KMP -Tháng'!$C$2:$C$53,'18 KMP- Tháng'!D6)</f>
        <v>31466.940888199999</v>
      </c>
      <c r="I6" s="5">
        <f>SUMIFS('48 KMP -Tháng'!$J$2:$J$53,'48 KMP -Tháng'!$C$2:$C$53,'18 KMP- Tháng'!D6)</f>
        <v>39521.728139389001</v>
      </c>
      <c r="J6" s="5">
        <f>SUMIFS('48 KMP -Tháng'!$K$2:$K$53,'48 KMP -Tháng'!$C$2:$C$53,'18 KMP- Tháng'!D6)</f>
        <v>33022.700401999995</v>
      </c>
      <c r="K6" s="5">
        <f>SUMIFS('48 KMP -Tháng'!$L$2:$L$53,'48 KMP -Tháng'!$C$2:$C$53,'18 KMP- Tháng'!D6)</f>
        <v>40067.114833499996</v>
      </c>
      <c r="L6" s="5">
        <f>SUMIFS('48 KMP -Tháng'!$M$2:$M$53,'48 KMP -Tháng'!$C$2:$C$53,'18 KMP- Tháng'!D6)</f>
        <v>41710.886442499999</v>
      </c>
      <c r="M6" s="5">
        <f>SUMIFS('48 KMP -Tháng'!$N$2:$N$53,'48 KMP -Tháng'!$C$2:$C$53,'18 KMP- Tháng'!D6)</f>
        <v>36846.996591559997</v>
      </c>
      <c r="N6" s="5">
        <f>SUMIFS('48 KMP -Tháng'!$O$2:$O$53,'48 KMP -Tháng'!$C$2:$C$53,'18 KMP- Tháng'!$D6)</f>
        <v>42104.203841000002</v>
      </c>
      <c r="O6" s="5">
        <f>SUMIFS('48 KMP -Tháng'!$P$2:$P$53,'48 KMP -Tháng'!$C$2:$C$53,'18 KMP- Tháng'!$D6)</f>
        <v>31330.078206999995</v>
      </c>
      <c r="P6" s="5">
        <f>SUMIFS('48 KMP -Tháng'!$Q$2:$Q$53,'48 KMP -Tháng'!$C$2:$C$53,'18 KMP- Tháng'!$D6)</f>
        <v>71767.130885999999</v>
      </c>
      <c r="Q6" s="6">
        <f>AVERAGE(E6:P6)</f>
        <v>37778.443911619746</v>
      </c>
      <c r="R6" s="5">
        <f>SUMIFS('48 KMP -Tháng'!$S$2:$S$53,'48 KMP -Tháng'!$C$2:$C$53,'18 KMP- Tháng'!$D6)</f>
        <v>82388.013511614045</v>
      </c>
      <c r="S6" s="5">
        <f>SUMIFS('48 KMP -Tháng'!T$2:T$53,'48 KMP -Tháng'!$C$2:$C$53,'18 KMP- Tháng'!$D6)</f>
        <v>54679.33930764308</v>
      </c>
      <c r="T6" s="5">
        <f>SUMIFS('48 KMP -Tháng'!U$2:U$53,'48 KMP -Tháng'!$C$2:$C$53,'18 KMP- Tháng'!$D6)</f>
        <v>92225.012386978167</v>
      </c>
      <c r="U6" s="5">
        <f>SUMIFS('48 KMP -Tháng'!V$2:V$53,'48 KMP -Tháng'!$C$2:$C$53,'18 KMP- Tháng'!$D6)</f>
        <v>84805.10524012665</v>
      </c>
      <c r="V6" s="5">
        <f>SUMIFS('48 KMP -Tháng'!W$2:W$53,'48 KMP -Tháng'!$C$2:$C$53,'18 KMP- Tháng'!$D6)</f>
        <v>86012.811292874307</v>
      </c>
      <c r="W6" s="5">
        <f>SUMIFS('48 KMP -Tháng'!X$2:X$53,'48 KMP -Tháng'!$C$2:$C$53,'18 KMP- Tháng'!$D6)</f>
        <v>63429.137098188141</v>
      </c>
      <c r="X6" s="5">
        <f>SUMIFS('48 KMP -Tháng'!Y$2:Y$53,'48 KMP -Tháng'!$C$2:$C$53,'18 KMP- Tháng'!$D6)</f>
        <v>34124.938092043485</v>
      </c>
      <c r="Y6" s="5">
        <f>SUMIFS('48 KMP -Tháng'!Z$2:Z$53,'48 KMP -Tháng'!$C$2:$C$53,'18 KMP- Tháng'!$D6)</f>
        <v>39820.045517334758</v>
      </c>
      <c r="Z6" s="5">
        <f>SUMIFS('48 KMP -Tháng'!AA$2:AA$53,'48 KMP -Tháng'!$C$2:$C$53,'18 KMP- Tháng'!$D6)</f>
        <v>53180.748441125281</v>
      </c>
      <c r="AA6" s="5">
        <f>SUMIFS('48 KMP -Tháng'!AB$2:AB$53,'48 KMP -Tháng'!$C$2:$C$53,'18 KMP- Tháng'!$D6)</f>
        <v>80242.8457912585</v>
      </c>
      <c r="AB6" s="5">
        <f>SUMIFS('48 KMP -Tháng'!AC$2:AC$53,'48 KMP -Tháng'!$C$2:$C$53,'18 KMP- Tháng'!$D6)</f>
        <v>87480.523861716094</v>
      </c>
      <c r="AC6" s="5">
        <f>SUMIFS('48 KMP -Tháng'!AD$2:AD$53,'48 KMP -Tháng'!$C$2:$C$53,'18 KMP- Tháng'!$D6)+SUMIFS('48 KMP -Tháng'!$AE$2:$AE$53,'48 KMP -Tháng'!$C$2:$C$53,'18 KMP- Tháng'!D6)</f>
        <v>60679.337507679702</v>
      </c>
      <c r="AD6" s="7">
        <f>SUM(R6:AC6)</f>
        <v>819067.8580485821</v>
      </c>
      <c r="AE6" s="28">
        <f>AVERAGE(R6:AC6)</f>
        <v>68255.654837381837</v>
      </c>
      <c r="AF6" s="5">
        <f>SUMIFS('48 KMP -Tháng'!AH$2:AH$53,'48 KMP -Tháng'!$C$2:$C$53,'18 KMP- Tháng'!$D6)</f>
        <v>33690.153681729942</v>
      </c>
      <c r="AG6" s="5">
        <f>SUMIFS('48 KMP -Tháng'!AI$2:AI$53,'48 KMP -Tháng'!$C$2:$C$53,'18 KMP- Tháng'!$D6)</f>
        <v>54984.762966730275</v>
      </c>
      <c r="AH6" s="5">
        <f>SUMIFS('48 KMP -Tháng'!AJ$2:AJ$53,'48 KMP -Tháng'!$C$2:$C$53,'18 KMP- Tháng'!$D6)</f>
        <v>93493.565616349893</v>
      </c>
      <c r="AI6" s="5">
        <f>SUMIFS('48 KMP -Tháng'!AK$2:AK$53,'48 KMP -Tháng'!$C$2:$C$53,'18 KMP- Tháng'!$D6)</f>
        <v>81794.17166151281</v>
      </c>
      <c r="AJ6" s="5">
        <f>SUMIFS('48 KMP -Tháng'!AL$2:AL$53,'48 KMP -Tháng'!$C$2:$C$53,'18 KMP- Tháng'!$D6)</f>
        <v>97253.819962899841</v>
      </c>
      <c r="AK6" s="5">
        <f>SUMIFS('48 KMP -Tháng'!AM$2:AM$53,'48 KMP -Tháng'!$C$2:$C$53,'18 KMP- Tháng'!$D6)</f>
        <v>84746.443805998701</v>
      </c>
      <c r="AL6" s="5">
        <f>SUMIFS('48 KMP -Tháng'!AN$2:AN$53,'48 KMP -Tháng'!$C$2:$C$53,'18 KMP- Tháng'!$D6)</f>
        <v>93606.744682943565</v>
      </c>
      <c r="AM6" s="5">
        <f>SUMIFS('48 KMP -Tháng'!AO$2:AO$53,'48 KMP -Tháng'!$C$2:$C$53,'18 KMP- Tháng'!$D6)</f>
        <v>93602.194561389799</v>
      </c>
      <c r="AN6" s="5">
        <f>SUMIFS('48 KMP -Tháng'!AP$2:AP$53,'48 KMP -Tháng'!$C$2:$C$53,'18 KMP- Tháng'!$D6)</f>
        <v>92225.640568510207</v>
      </c>
      <c r="AO6" s="5">
        <f>SUMIFS('48 KMP -Tháng'!AQ$2:AQ$53,'48 KMP -Tháng'!$C$2:$C$53,'18 KMP- Tháng'!$D6)</f>
        <v>60589.830985082903</v>
      </c>
      <c r="AP6" s="5">
        <f>SUMIFS('48 KMP -Tháng'!AR$2:AR$53,'48 KMP -Tháng'!$C$2:$C$53,'18 KMP- Tháng'!$D6)</f>
        <v>41785.637411524003</v>
      </c>
      <c r="AQ6" s="5">
        <f>SUMIFS('48 KMP -Tháng'!AS$2:AS$53,'48 KMP -Tháng'!$C$2:$C$53,'18 KMP- Tháng'!$D6)+SUMIFS('48 KMP -Tháng'!AT$2:AT$53,'48 KMP -Tháng'!$C$2:$C$53,'18 KMP- Tháng'!$D6)</f>
        <v>66382.966178182702</v>
      </c>
      <c r="AR6" s="28">
        <f>AVERAGE(AF6:AQ6)</f>
        <v>74512.994340237885</v>
      </c>
      <c r="AS6" s="5">
        <f>SUMIFS('48 KMP -Tháng'!AV$2:AV$53,'48 KMP -Tháng'!$C$2:$C$53,'18 KMP- Tháng'!$D6)</f>
        <v>54282.9558583486</v>
      </c>
      <c r="AT6" s="5">
        <f>SUMIFS('48 KMP -Tháng'!AW$2:AW$53,'48 KMP -Tháng'!$C$2:$C$53,'18 KMP- Tháng'!$D6)</f>
        <v>32788.527139026301</v>
      </c>
      <c r="AU6" s="5">
        <f>SUMIFS('48 KMP -Tháng'!AX$2:AX$53,'48 KMP -Tháng'!$C$2:$C$53,'18 KMP- Tháng'!$D6)</f>
        <v>79002.100402284006</v>
      </c>
      <c r="AV6" s="5">
        <f>SUMIFS('48 KMP -Tháng'!AY$2:AY$53,'48 KMP -Tháng'!$C$2:$C$53,'18 KMP- Tháng'!$D6)</f>
        <v>77706.009766450486</v>
      </c>
      <c r="AW6" s="5">
        <f>SUMIFS('48 KMP -Tháng'!AZ$2:AZ$53,'48 KMP -Tháng'!$C$2:$C$53,'18 KMP- Tháng'!$D6)</f>
        <v>67389.4959113683</v>
      </c>
      <c r="AX6" s="5">
        <f>SUMIFS('48 KMP -Tháng'!BA$2:BA$53,'48 KMP -Tháng'!$C$2:$C$53,'18 KMP- Tháng'!$D6)</f>
        <v>0</v>
      </c>
      <c r="AY6" s="5">
        <f>SUMIFS('48 KMP -Tháng'!BB$2:BB$53,'48 KMP -Tháng'!$C$2:$C$53,'18 KMP- Tháng'!$D6)</f>
        <v>0</v>
      </c>
      <c r="AZ6" s="5">
        <f>SUMIFS('48 KMP -Tháng'!BC$2:BC$53,'48 KMP -Tháng'!$C$2:$C$53,'18 KMP- Tháng'!$D6)</f>
        <v>0</v>
      </c>
      <c r="BA6" s="5">
        <f>SUMIFS('48 KMP -Tháng'!BD$2:BD$53,'48 KMP -Tháng'!$C$2:$C$53,'18 KMP- Tháng'!$D6)</f>
        <v>0</v>
      </c>
      <c r="BB6" s="5">
        <f>SUMIFS('48 KMP -Tháng'!BE$2:BE$53,'48 KMP -Tháng'!$C$2:$C$53,'18 KMP- Tháng'!$D6)</f>
        <v>0</v>
      </c>
      <c r="BC6" s="5">
        <f>SUMIFS('48 KMP -Tháng'!BF$2:BF$53,'48 KMP -Tháng'!$C$2:$C$53,'18 KMP- Tháng'!$D6)</f>
        <v>0</v>
      </c>
      <c r="BD6" s="5">
        <f>SUMIFS('48 KMP -Tháng'!BG$2:BG$53,'48 KMP -Tháng'!$C$2:$C$53,'18 KMP- Tháng'!$D6)</f>
        <v>0</v>
      </c>
      <c r="BE6" s="28">
        <f>AVERAGE(AS6:BD6)</f>
        <v>25930.757423123141</v>
      </c>
      <c r="BF6" s="7">
        <f>SUMIFS('48 KMP -Tháng'!BI$2:BI$53,'48 KMP -Tháng'!$C$2:$C$53,'18 KMP- Tháng'!$D6)</f>
        <v>57841.876465266527</v>
      </c>
      <c r="BG6" s="86"/>
      <c r="BH6" s="8">
        <f>SUMIFS('48 KMP -Tháng'!BL:BL,'48 KMP -Tháng'!$C:$C,'18 KMP- Tháng'!$D6)</f>
        <v>70449.79433851775</v>
      </c>
      <c r="BI6" s="8">
        <f>SUMIFS('48 KMP -Tháng'!BM:BM,'48 KMP -Tháng'!$C:$C,'18 KMP- Tháng'!$D6)</f>
        <v>57841.876465266527</v>
      </c>
      <c r="BJ6" s="8">
        <f>SUMIFS('48 KMP -Tháng'!BN:BN,'48 KMP -Tháng'!$C:$C,'18 KMP- Tháng'!$D6)</f>
        <v>73858.796242105935</v>
      </c>
      <c r="BK6" s="8">
        <f>SUMIFS('48 KMP -Tháng'!BO:BO,'48 KMP -Tháng'!$C:$C,'18 KMP- Tháng'!$D6)</f>
        <v>74028.379274825609</v>
      </c>
      <c r="BL6" s="8">
        <f>SUMIFS('48 KMP -Tháng'!BP:BP,'48 KMP -Tháng'!$C:$C,'18 KMP- Tháng'!$D6)</f>
        <v>73858.796242105935</v>
      </c>
      <c r="BM6" s="8">
        <f>SUMIFS('48 KMP -Tháng'!BQ:BQ,'48 KMP -Tháng'!$C:$C,'18 KMP- Tháng'!$D6)</f>
        <v>75365.564327104483</v>
      </c>
      <c r="BN6" s="8">
        <f>SUMIFS('48 KMP -Tháng'!BR:BR,'48 KMP -Tháng'!$C:$C,'18 KMP- Tháng'!$D6)</f>
        <v>77176.424886965047</v>
      </c>
      <c r="BO6" s="8">
        <f>SUMIFS('48 KMP -Tháng'!BS:BS,'48 KMP -Tháng'!$C:$C,'18 KMP- Tháng'!$D6)</f>
        <v>77920.06932472506</v>
      </c>
      <c r="BP6" s="8">
        <f>SUMIFS('48 KMP -Tháng'!BT:BT,'48 KMP -Tháng'!$C:$C,'18 KMP- Tháng'!$D6)</f>
        <v>77600.382468764248</v>
      </c>
      <c r="BQ6" s="8">
        <f>SUMIFS('48 KMP -Tháng'!BU:BU,'48 KMP -Tháng'!$C:$C,'18 KMP- Tháng'!$D6)</f>
        <v>78089.652357444735</v>
      </c>
      <c r="BR6" s="8">
        <f>SUMIFS('48 KMP -Tháng'!BV:BV,'48 KMP -Tháng'!$C:$C,'18 KMP- Tháng'!$D6)</f>
        <v>77006.841854245373</v>
      </c>
      <c r="BS6" s="8">
        <f>SUMIFS('48 KMP -Tháng'!BW:BW,'48 KMP -Tháng'!$C:$C,'18 KMP- Tháng'!$D6)</f>
        <v>77920.06932472506</v>
      </c>
      <c r="BT6" s="8">
        <f>SUM(BH6:BS6)</f>
        <v>891116.6471067958</v>
      </c>
    </row>
    <row r="7" spans="1:74" x14ac:dyDescent="0.3">
      <c r="A7" s="105">
        <v>4</v>
      </c>
      <c r="B7" s="3">
        <f>B6+1</f>
        <v>2</v>
      </c>
      <c r="C7" s="3" t="s">
        <v>96</v>
      </c>
      <c r="D7" s="3" t="s">
        <v>25</v>
      </c>
      <c r="E7" s="5">
        <f>SUMIFS('48 KMP -Tháng'!$F$2:$F$53,'48 KMP -Tháng'!$C$2:$C$53,'18 KMP- Tháng'!D7)</f>
        <v>1376.9572000000001</v>
      </c>
      <c r="F7" s="5">
        <f>SUMIFS('48 KMP -Tháng'!$G$2:$G$53,'48 KMP -Tháng'!$C$2:$C$53,'18 KMP- Tháng'!D7)</f>
        <v>2218.3915000000002</v>
      </c>
      <c r="G7" s="6">
        <f>SUMIFS('48 KMP -Tháng'!$H$2:$H$53,'48 KMP -Tháng'!$C$2:$C$53,'18 KMP- Tháng'!D7)</f>
        <v>2574.9328999999998</v>
      </c>
      <c r="H7" s="5">
        <f>SUMIFS('48 KMP -Tháng'!$I$2:$I$53,'48 KMP -Tháng'!$C$2:$C$53,'18 KMP- Tháng'!D7)</f>
        <v>2388.6837479999999</v>
      </c>
      <c r="I7" s="5">
        <f>SUMIFS('48 KMP -Tháng'!$J$2:$J$53,'48 KMP -Tháng'!$C$2:$C$53,'18 KMP- Tháng'!D7)</f>
        <v>2787.5241000000001</v>
      </c>
      <c r="J7" s="5">
        <f>SUMIFS('48 KMP -Tháng'!$K$2:$K$53,'48 KMP -Tháng'!$C$2:$C$53,'18 KMP- Tháng'!D7)</f>
        <v>2655.8263000000002</v>
      </c>
      <c r="K7" s="5">
        <f>SUMIFS('48 KMP -Tháng'!$L$2:$L$53,'48 KMP -Tháng'!$C$2:$C$53,'18 KMP- Tháng'!D7)</f>
        <v>3135.2610890000001</v>
      </c>
      <c r="L7" s="5">
        <f>SUMIFS('48 KMP -Tháng'!$M$2:$M$53,'48 KMP -Tháng'!$C$2:$C$53,'18 KMP- Tháng'!D7)</f>
        <v>2978.8600099999999</v>
      </c>
      <c r="M7" s="5">
        <f>SUMIFS('48 KMP -Tháng'!$N$2:$N$53,'48 KMP -Tháng'!$C$2:$C$53,'18 KMP- Tháng'!D7)</f>
        <v>2915.5076250000002</v>
      </c>
      <c r="N7" s="5">
        <f>SUMIFS('48 KMP -Tháng'!$O$2:$O$53,'48 KMP -Tháng'!$C$2:$C$53,'18 KMP- Tháng'!$D7)</f>
        <v>3337.1480000000001</v>
      </c>
      <c r="O7" s="5">
        <f>SUMIFS('48 KMP -Tháng'!$P$2:$P$53,'48 KMP -Tháng'!$C$2:$C$53,'18 KMP- Tháng'!$D7)</f>
        <v>2812.7750129999999</v>
      </c>
      <c r="P7" s="5">
        <f>SUMIFS('48 KMP -Tháng'!$Q$2:$Q$53,'48 KMP -Tháng'!$C$2:$C$53,'18 KMP- Tháng'!$D7)</f>
        <v>5223.2614999999996</v>
      </c>
      <c r="Q7" s="6">
        <f t="shared" ref="Q7:Q26" si="0">AVERAGE(E7:P7)</f>
        <v>2867.0940820833334</v>
      </c>
      <c r="R7" s="5">
        <f>SUMIFS('48 KMP -Tháng'!$S$2:$S$53,'48 KMP -Tháng'!$C$2:$C$53,'18 KMP- Tháng'!$D7)</f>
        <v>5469.847452</v>
      </c>
      <c r="S7" s="5">
        <f>SUMIFS('48 KMP -Tháng'!T$2:T$53,'48 KMP -Tháng'!$C$2:$C$53,'18 KMP- Tháng'!$D7)</f>
        <v>4124.0470960000002</v>
      </c>
      <c r="T7" s="5">
        <f>SUMIFS('48 KMP -Tháng'!U$2:U$53,'48 KMP -Tháng'!$C$2:$C$53,'18 KMP- Tháng'!$D7)</f>
        <v>5082.6308650000001</v>
      </c>
      <c r="U7" s="5">
        <f>SUMIFS('48 KMP -Tháng'!V$2:V$53,'48 KMP -Tháng'!$C$2:$C$53,'18 KMP- Tháng'!$D7)</f>
        <v>5504.655452</v>
      </c>
      <c r="V7" s="5">
        <f>SUMIFS('48 KMP -Tháng'!W$2:W$53,'48 KMP -Tháng'!$C$2:$C$53,'18 KMP- Tháng'!$D7)</f>
        <v>5942.4358000000002</v>
      </c>
      <c r="W7" s="5">
        <f>SUMIFS('48 KMP -Tháng'!X$2:X$53,'48 KMP -Tháng'!$C$2:$C$53,'18 KMP- Tháng'!$D7)</f>
        <v>4785.0316119999998</v>
      </c>
      <c r="X7" s="5">
        <f>SUMIFS('48 KMP -Tháng'!Y$2:Y$53,'48 KMP -Tháng'!$C$2:$C$53,'18 KMP- Tháng'!$D7)</f>
        <v>3003.7880009999999</v>
      </c>
      <c r="Y7" s="5">
        <f>SUMIFS('48 KMP -Tháng'!Z$2:Z$53,'48 KMP -Tháng'!$C$2:$C$53,'18 KMP- Tháng'!$D7)</f>
        <v>3483.1443100000001</v>
      </c>
      <c r="Z7" s="5">
        <f>SUMIFS('48 KMP -Tháng'!AA$2:AA$53,'48 KMP -Tháng'!$C$2:$C$53,'18 KMP- Tháng'!$D7)</f>
        <v>4629.7979379999997</v>
      </c>
      <c r="AA7" s="5">
        <f>SUMIFS('48 KMP -Tháng'!AB$2:AB$53,'48 KMP -Tháng'!$C$2:$C$53,'18 KMP- Tháng'!$D7)</f>
        <v>5506.4469950000002</v>
      </c>
      <c r="AB7" s="5">
        <f>SUMIFS('48 KMP -Tháng'!AC$2:AC$53,'48 KMP -Tháng'!$C$2:$C$53,'18 KMP- Tháng'!$D7)</f>
        <v>6370.138516</v>
      </c>
      <c r="AC7" s="5">
        <f>SUMIFS('48 KMP -Tháng'!AD$2:AD$53,'48 KMP -Tháng'!$C$2:$C$53,'18 KMP- Tháng'!$D7)+SUMIFS('48 KMP -Tháng'!$AE$2:$AE$53,'48 KMP -Tháng'!$C$2:$C$53,'18 KMP- Tháng'!D7)</f>
        <v>4868.779184</v>
      </c>
      <c r="AD7" s="7">
        <f t="shared" ref="AD7:AD26" si="1">SUM(R7:AC7)</f>
        <v>58770.743220999997</v>
      </c>
      <c r="AE7" s="28">
        <f t="shared" ref="AE7:AE26" si="2">AVERAGE(R7:AC7)</f>
        <v>4897.5619350833331</v>
      </c>
      <c r="AF7" s="5">
        <f>SUMIFS('48 KMP -Tháng'!AH$2:AH$53,'48 KMP -Tháng'!$C$2:$C$53,'18 KMP- Tháng'!$D7)</f>
        <v>3129.932233</v>
      </c>
      <c r="AG7" s="5">
        <f>SUMIFS('48 KMP -Tháng'!AI$2:AI$53,'48 KMP -Tháng'!$C$2:$C$53,'18 KMP- Tháng'!$D7)</f>
        <v>4149.1147369999999</v>
      </c>
      <c r="AH7" s="5">
        <f>SUMIFS('48 KMP -Tháng'!AJ$2:AJ$53,'48 KMP -Tháng'!$C$2:$C$53,'18 KMP- Tháng'!$D7)</f>
        <v>6492.4916590000003</v>
      </c>
      <c r="AI7" s="5">
        <f>SUMIFS('48 KMP -Tháng'!AK$2:AK$53,'48 KMP -Tháng'!$C$2:$C$53,'18 KMP- Tháng'!$D7)</f>
        <v>6124.5741850000004</v>
      </c>
      <c r="AJ7" s="5">
        <f>SUMIFS('48 KMP -Tháng'!AL$2:AL$53,'48 KMP -Tháng'!$C$2:$C$53,'18 KMP- Tháng'!$D7)</f>
        <v>6554.5568229999999</v>
      </c>
      <c r="AK7" s="5">
        <f>SUMIFS('48 KMP -Tháng'!AM$2:AM$53,'48 KMP -Tháng'!$C$2:$C$53,'18 KMP- Tháng'!$D7)</f>
        <v>6352.5088930000002</v>
      </c>
      <c r="AL7" s="5">
        <f>SUMIFS('48 KMP -Tháng'!AN$2:AN$53,'48 KMP -Tháng'!$C$2:$C$53,'18 KMP- Tháng'!$D7)</f>
        <v>7055.0789000000004</v>
      </c>
      <c r="AM7" s="5">
        <f>SUMIFS('48 KMP -Tháng'!AO$2:AO$53,'48 KMP -Tháng'!$C$2:$C$53,'18 KMP- Tháng'!$D7)</f>
        <v>7228.28604</v>
      </c>
      <c r="AN7" s="5">
        <f>SUMIFS('48 KMP -Tháng'!AP$2:AP$53,'48 KMP -Tháng'!$C$2:$C$53,'18 KMP- Tháng'!$D7)</f>
        <v>7006.4852300000002</v>
      </c>
      <c r="AO7" s="5">
        <f>SUMIFS('48 KMP -Tháng'!AQ$2:AQ$53,'48 KMP -Tháng'!$C$2:$C$53,'18 KMP- Tháng'!$D7)</f>
        <v>6211.7073879999998</v>
      </c>
      <c r="AP7" s="5">
        <f>SUMIFS('48 KMP -Tháng'!AR$2:AR$53,'48 KMP -Tháng'!$C$2:$C$53,'18 KMP- Tháng'!$D7)</f>
        <v>4277.5977279999997</v>
      </c>
      <c r="AQ7" s="5">
        <f>SUMIFS('48 KMP -Tháng'!AS$2:AS$53,'48 KMP -Tháng'!$C$2:$C$53,'18 KMP- Tháng'!$D7)+SUMIFS('48 KMP -Tháng'!AT$2:AT$53,'48 KMP -Tháng'!$C$2:$C$53,'18 KMP- Tháng'!$D7)</f>
        <v>4859.3911179999996</v>
      </c>
      <c r="AR7" s="28">
        <f t="shared" ref="AR7:AR28" si="3">AVERAGE(AF7:AQ7)</f>
        <v>5786.8104111666662</v>
      </c>
      <c r="AS7" s="5">
        <f>SUMIFS('48 KMP -Tháng'!AV$2:AV$53,'48 KMP -Tháng'!$C$2:$C$53,'18 KMP- Tháng'!$D7)</f>
        <v>4042.883765</v>
      </c>
      <c r="AT7" s="5">
        <f>SUMIFS('48 KMP -Tháng'!AW$2:AW$53,'48 KMP -Tháng'!$C$2:$C$53,'18 KMP- Tháng'!$D7)</f>
        <v>2462.2509679999998</v>
      </c>
      <c r="AU7" s="5">
        <f>SUMIFS('48 KMP -Tháng'!AX$2:AX$53,'48 KMP -Tháng'!$C$2:$C$53,'18 KMP- Tháng'!$D7)</f>
        <v>5644.5231039999999</v>
      </c>
      <c r="AV7" s="5">
        <f>SUMIFS('48 KMP -Tháng'!AY$2:AY$53,'48 KMP -Tháng'!$C$2:$C$53,'18 KMP- Tháng'!$D7)</f>
        <v>5669.3827090000004</v>
      </c>
      <c r="AW7" s="5">
        <f>SUMIFS('48 KMP -Tháng'!AZ$2:AZ$53,'48 KMP -Tháng'!$C$2:$C$53,'18 KMP- Tháng'!$D7)</f>
        <v>5791.0107879999996</v>
      </c>
      <c r="AX7" s="5">
        <f>SUMIFS('48 KMP -Tháng'!BA$2:BA$53,'48 KMP -Tháng'!$C$2:$C$53,'18 KMP- Tháng'!$D7)</f>
        <v>0</v>
      </c>
      <c r="AY7" s="5">
        <f>SUMIFS('48 KMP -Tháng'!BB$2:BB$53,'48 KMP -Tháng'!$C$2:$C$53,'18 KMP- Tháng'!$D7)</f>
        <v>0</v>
      </c>
      <c r="AZ7" s="5">
        <f>SUMIFS('48 KMP -Tháng'!BC$2:BC$53,'48 KMP -Tháng'!$C$2:$C$53,'18 KMP- Tháng'!$D7)</f>
        <v>0</v>
      </c>
      <c r="BA7" s="5">
        <f>SUMIFS('48 KMP -Tháng'!BD$2:BD$53,'48 KMP -Tháng'!$C$2:$C$53,'18 KMP- Tháng'!$D7)</f>
        <v>0</v>
      </c>
      <c r="BB7" s="5">
        <f>SUMIFS('48 KMP -Tháng'!BE$2:BE$53,'48 KMP -Tháng'!$C$2:$C$53,'18 KMP- Tháng'!$D7)</f>
        <v>0</v>
      </c>
      <c r="BC7" s="5">
        <f>SUMIFS('48 KMP -Tháng'!BF$2:BF$53,'48 KMP -Tháng'!$C$2:$C$53,'18 KMP- Tháng'!$D7)</f>
        <v>0</v>
      </c>
      <c r="BD7" s="5">
        <f>SUMIFS('48 KMP -Tháng'!BG$2:BG$53,'48 KMP -Tháng'!$C$2:$C$53,'18 KMP- Tháng'!$D7)</f>
        <v>0</v>
      </c>
      <c r="BE7" s="28">
        <f t="shared" ref="BE7:BE16" si="4">AVERAGE(AS7:BD7)</f>
        <v>1967.5042778333334</v>
      </c>
      <c r="BF7" s="7">
        <f>SUMIFS('48 KMP -Tháng'!BI$2:BI$53,'48 KMP -Tháng'!$C$2:$C$53,'18 KMP- Tháng'!$D7)</f>
        <v>3822.1485547592306</v>
      </c>
      <c r="BG7" s="86"/>
      <c r="BH7" s="8">
        <f>SUMIFS('48 KMP -Tháng'!BL:BL,'48 KMP -Tháng'!$C:$C,'18 KMP- Tháng'!$D7)</f>
        <v>4625.4909577444878</v>
      </c>
      <c r="BI7" s="8">
        <f>SUMIFS('48 KMP -Tháng'!BM:BM,'48 KMP -Tháng'!$C:$C,'18 KMP- Tháng'!$D7)</f>
        <v>3822.1485547592306</v>
      </c>
      <c r="BJ7" s="8">
        <f>SUMIFS('48 KMP -Tháng'!BN:BN,'48 KMP -Tháng'!$C:$C,'18 KMP- Tháng'!$D7)</f>
        <v>4770.530982744488</v>
      </c>
      <c r="BK7" s="8">
        <f>SUMIFS('48 KMP -Tháng'!BO:BO,'48 KMP -Tháng'!$C:$C,'18 KMP- Tháng'!$D7)</f>
        <v>4814.412044733529</v>
      </c>
      <c r="BL7" s="8">
        <f>SUMIFS('48 KMP -Tháng'!BP:BP,'48 KMP -Tháng'!$C:$C,'18 KMP- Tháng'!$D7)</f>
        <v>4778.7154113159168</v>
      </c>
      <c r="BM7" s="8">
        <f>SUMIFS('48 KMP -Tháng'!BQ:BQ,'48 KMP -Tháng'!$C:$C,'18 KMP- Tháng'!$D7)</f>
        <v>4943.8432947335305</v>
      </c>
      <c r="BN7" s="8">
        <f>SUMIFS('48 KMP -Tháng'!BR:BR,'48 KMP -Tháng'!$C:$C,'18 KMP- Tháng'!$D7)</f>
        <v>5284.2897992390808</v>
      </c>
      <c r="BO7" s="8">
        <f>SUMIFS('48 KMP -Tháng'!BS:BS,'48 KMP -Tháng'!$C:$C,'18 KMP- Tháng'!$D7)</f>
        <v>5351.2330262390806</v>
      </c>
      <c r="BP7" s="8">
        <f>SUMIFS('48 KMP -Tháng'!BT:BT,'48 KMP -Tháng'!$C:$C,'18 KMP- Tháng'!$D7)</f>
        <v>5359.7203192035959</v>
      </c>
      <c r="BQ7" s="8">
        <f>SUMIFS('48 KMP -Tháng'!BU:BU,'48 KMP -Tháng'!$C:$C,'18 KMP- Tháng'!$D7)</f>
        <v>5509.6976562948239</v>
      </c>
      <c r="BR7" s="8">
        <f>SUMIFS('48 KMP -Tháng'!BV:BV,'48 KMP -Tháng'!$C:$C,'18 KMP- Tháng'!$D7)</f>
        <v>5455.5872916879098</v>
      </c>
      <c r="BS7" s="8">
        <f>SUMIFS('48 KMP -Tháng'!BW:BW,'48 KMP -Tháng'!$C:$C,'18 KMP- Tháng'!$D7)</f>
        <v>5490.0688782948246</v>
      </c>
      <c r="BT7" s="8">
        <f t="shared" ref="BT7:BT16" si="5">SUM(BH7:BS7)</f>
        <v>60205.738216990503</v>
      </c>
    </row>
    <row r="8" spans="1:74" x14ac:dyDescent="0.3">
      <c r="A8" s="105">
        <v>6</v>
      </c>
      <c r="B8" s="3">
        <f t="shared" ref="B8:B16" si="6">B7+1</f>
        <v>3</v>
      </c>
      <c r="C8" s="3" t="s">
        <v>96</v>
      </c>
      <c r="D8" s="3" t="s">
        <v>166</v>
      </c>
      <c r="E8" s="5">
        <f>SUMIFS('48 KMP -Tháng'!$F$2:$F$53,'48 KMP -Tháng'!$C$2:$C$53,'18 KMP- Tháng'!D8)</f>
        <v>0</v>
      </c>
      <c r="F8" s="5">
        <f>SUMIFS('48 KMP -Tháng'!$G$2:$G$53,'48 KMP -Tháng'!$C$2:$C$53,'18 KMP- Tháng'!D8)</f>
        <v>0</v>
      </c>
      <c r="G8" s="6">
        <f>SUMIFS('48 KMP -Tháng'!$H$2:$H$53,'48 KMP -Tháng'!$C$2:$C$53,'18 KMP- Tháng'!D8)</f>
        <v>505.50536</v>
      </c>
      <c r="H8" s="5">
        <f>SUMIFS('48 KMP -Tháng'!$I$2:$I$53,'48 KMP -Tháng'!$C$2:$C$53,'18 KMP- Tháng'!D8)</f>
        <v>384.26619499999998</v>
      </c>
      <c r="I8" s="5">
        <f>SUMIFS('48 KMP -Tháng'!$J$2:$J$53,'48 KMP -Tháng'!$C$2:$C$53,'18 KMP- Tháng'!D8)</f>
        <v>373.597216</v>
      </c>
      <c r="J8" s="5">
        <f>SUMIFS('48 KMP -Tháng'!$K$2:$K$53,'48 KMP -Tháng'!$C$2:$C$53,'18 KMP- Tháng'!D8)</f>
        <v>646.86600199999998</v>
      </c>
      <c r="K8" s="5">
        <f>SUMIFS('48 KMP -Tháng'!$L$2:$L$53,'48 KMP -Tháng'!$C$2:$C$53,'18 KMP- Tháng'!D8)</f>
        <v>461.83937800000001</v>
      </c>
      <c r="L8" s="5">
        <f>SUMIFS('48 KMP -Tháng'!$M$2:$M$53,'48 KMP -Tháng'!$C$2:$C$53,'18 KMP- Tháng'!D8)</f>
        <v>712.82108499999993</v>
      </c>
      <c r="M8" s="5">
        <f>SUMIFS('48 KMP -Tháng'!$N$2:$N$53,'48 KMP -Tháng'!$C$2:$C$53,'18 KMP- Tháng'!D8)</f>
        <v>372.68747999999999</v>
      </c>
      <c r="N8" s="5">
        <f>SUMIFS('48 KMP -Tháng'!$O$2:$O$53,'48 KMP -Tháng'!$C$2:$C$53,'18 KMP- Tháng'!$D8)</f>
        <v>746.39963999999998</v>
      </c>
      <c r="O8" s="5">
        <f>SUMIFS('48 KMP -Tháng'!$P$2:$P$53,'48 KMP -Tháng'!$C$2:$C$53,'18 KMP- Tháng'!$D8)</f>
        <v>626.33642800000007</v>
      </c>
      <c r="P8" s="5">
        <f>SUMIFS('48 KMP -Tháng'!$Q$2:$Q$53,'48 KMP -Tháng'!$C$2:$C$53,'18 KMP- Tháng'!$D8)</f>
        <v>533.65458000000001</v>
      </c>
      <c r="Q8" s="6">
        <f>AVERAGE(E8:P8)</f>
        <v>446.99778033333331</v>
      </c>
      <c r="R8" s="5">
        <f>SUMIFS('48 KMP -Tháng'!$S$2:$S$53,'48 KMP -Tháng'!$C$2:$C$53,'18 KMP- Tháng'!$D8)</f>
        <v>10</v>
      </c>
      <c r="S8" s="5">
        <f>SUMIFS('48 KMP -Tháng'!T$2:T$53,'48 KMP -Tháng'!$C$2:$C$53,'18 KMP- Tháng'!$D8)</f>
        <v>0</v>
      </c>
      <c r="T8" s="5">
        <f>SUMIFS('48 KMP -Tháng'!U$2:U$53,'48 KMP -Tháng'!$C$2:$C$53,'18 KMP- Tháng'!$D8)</f>
        <v>-5</v>
      </c>
      <c r="U8" s="5">
        <f>SUMIFS('48 KMP -Tháng'!V$2:V$53,'48 KMP -Tháng'!$C$2:$C$53,'18 KMP- Tháng'!$D8)</f>
        <v>0</v>
      </c>
      <c r="V8" s="5">
        <f>SUMIFS('48 KMP -Tháng'!W$2:W$53,'48 KMP -Tháng'!$C$2:$C$53,'18 KMP- Tháng'!$D8)</f>
        <v>32</v>
      </c>
      <c r="W8" s="5">
        <f>SUMIFS('48 KMP -Tháng'!X$2:X$53,'48 KMP -Tháng'!$C$2:$C$53,'18 KMP- Tháng'!$D8)</f>
        <v>0</v>
      </c>
      <c r="X8" s="5">
        <f>SUMIFS('48 KMP -Tháng'!Y$2:Y$53,'48 KMP -Tháng'!$C$2:$C$53,'18 KMP- Tháng'!$D8)</f>
        <v>0</v>
      </c>
      <c r="Y8" s="5">
        <f>SUMIFS('48 KMP -Tháng'!Z$2:Z$53,'48 KMP -Tháng'!$C$2:$C$53,'18 KMP- Tháng'!$D8)</f>
        <v>0</v>
      </c>
      <c r="Z8" s="5">
        <f>SUMIFS('48 KMP -Tháng'!AA$2:AA$53,'48 KMP -Tháng'!$C$2:$C$53,'18 KMP- Tháng'!$D8)</f>
        <v>0</v>
      </c>
      <c r="AA8" s="5">
        <f>SUMIFS('48 KMP -Tháng'!AB$2:AB$53,'48 KMP -Tháng'!$C$2:$C$53,'18 KMP- Tháng'!$D8)</f>
        <v>0</v>
      </c>
      <c r="AB8" s="5">
        <f>SUMIFS('48 KMP -Tháng'!AC$2:AC$53,'48 KMP -Tháng'!$C$2:$C$53,'18 KMP- Tháng'!$D8)</f>
        <v>23.387096</v>
      </c>
      <c r="AC8" s="5">
        <f>SUMIFS('48 KMP -Tháng'!AD$2:AD$53,'48 KMP -Tháng'!$C$2:$C$53,'18 KMP- Tháng'!$D8)+SUMIFS('48 KMP -Tháng'!$AE$2:$AE$53,'48 KMP -Tháng'!$C$2:$C$53,'18 KMP- Tháng'!D8)</f>
        <v>0</v>
      </c>
      <c r="AD8" s="7">
        <f>SUM(R8:AC8)</f>
        <v>60.387096</v>
      </c>
      <c r="AE8" s="28">
        <f t="shared" si="2"/>
        <v>5.0322579999999997</v>
      </c>
      <c r="AF8" s="5">
        <f>SUMIFS('48 KMP -Tháng'!AH$2:AH$53,'48 KMP -Tháng'!$C$2:$C$53,'18 KMP- Tháng'!$D8)</f>
        <v>0</v>
      </c>
      <c r="AG8" s="5">
        <f>SUMIFS('48 KMP -Tháng'!AI$2:AI$53,'48 KMP -Tháng'!$C$2:$C$53,'18 KMP- Tháng'!$D8)</f>
        <v>0</v>
      </c>
      <c r="AH8" s="5">
        <f>SUMIFS('48 KMP -Tháng'!AJ$2:AJ$53,'48 KMP -Tháng'!$C$2:$C$53,'18 KMP- Tháng'!$D8)</f>
        <v>0</v>
      </c>
      <c r="AI8" s="5">
        <f>SUMIFS('48 KMP -Tháng'!AK$2:AK$53,'48 KMP -Tháng'!$C$2:$C$53,'18 KMP- Tháng'!$D8)</f>
        <v>0</v>
      </c>
      <c r="AJ8" s="5">
        <f>SUMIFS('48 KMP -Tháng'!AL$2:AL$53,'48 KMP -Tháng'!$C$2:$C$53,'18 KMP- Tháng'!$D8)</f>
        <v>0</v>
      </c>
      <c r="AK8" s="5">
        <f>SUMIFS('48 KMP -Tháng'!AM$2:AM$53,'48 KMP -Tháng'!$C$2:$C$53,'18 KMP- Tháng'!$D8)</f>
        <v>0</v>
      </c>
      <c r="AL8" s="5">
        <f>SUMIFS('48 KMP -Tháng'!AN$2:AN$53,'48 KMP -Tháng'!$C$2:$C$53,'18 KMP- Tháng'!$D8)</f>
        <v>0</v>
      </c>
      <c r="AM8" s="5">
        <f>SUMIFS('48 KMP -Tháng'!AO$2:AO$53,'48 KMP -Tháng'!$C$2:$C$53,'18 KMP- Tháng'!$D8)</f>
        <v>0</v>
      </c>
      <c r="AN8" s="5">
        <f>SUMIFS('48 KMP -Tháng'!AP$2:AP$53,'48 KMP -Tháng'!$C$2:$C$53,'18 KMP- Tháng'!$D8)</f>
        <v>0</v>
      </c>
      <c r="AO8" s="5">
        <f>SUMIFS('48 KMP -Tháng'!AQ$2:AQ$53,'48 KMP -Tháng'!$C$2:$C$53,'18 KMP- Tháng'!$D8)</f>
        <v>0</v>
      </c>
      <c r="AP8" s="5">
        <f>SUMIFS('48 KMP -Tháng'!AR$2:AR$53,'48 KMP -Tháng'!$C$2:$C$53,'18 KMP- Tháng'!$D8)</f>
        <v>0</v>
      </c>
      <c r="AQ8" s="5">
        <f>SUMIFS('48 KMP -Tháng'!AS$2:AS$53,'48 KMP -Tháng'!$C$2:$C$53,'18 KMP- Tháng'!$D8)+SUMIFS('48 KMP -Tháng'!AT$2:AT$53,'48 KMP -Tháng'!$C$2:$C$53,'18 KMP- Tháng'!$D8)</f>
        <v>0</v>
      </c>
      <c r="AR8" s="28">
        <f t="shared" si="3"/>
        <v>0</v>
      </c>
      <c r="AS8" s="5">
        <f>SUMIFS('48 KMP -Tháng'!AV$2:AV$53,'48 KMP -Tháng'!$C$2:$C$53,'18 KMP- Tháng'!$D8)</f>
        <v>0</v>
      </c>
      <c r="AT8" s="5">
        <f>SUMIFS('48 KMP -Tháng'!AW$2:AW$53,'48 KMP -Tháng'!$C$2:$C$53,'18 KMP- Tháng'!$D8)</f>
        <v>0</v>
      </c>
      <c r="AU8" s="5">
        <f>SUMIFS('48 KMP -Tháng'!AX$2:AX$53,'48 KMP -Tháng'!$C$2:$C$53,'18 KMP- Tháng'!$D8)</f>
        <v>0</v>
      </c>
      <c r="AV8" s="5">
        <f>SUMIFS('48 KMP -Tháng'!AY$2:AY$53,'48 KMP -Tháng'!$C$2:$C$53,'18 KMP- Tháng'!$D8)</f>
        <v>0</v>
      </c>
      <c r="AW8" s="5">
        <f>SUMIFS('48 KMP -Tháng'!AZ$2:AZ$53,'48 KMP -Tháng'!$C$2:$C$53,'18 KMP- Tháng'!$D8)</f>
        <v>0</v>
      </c>
      <c r="AX8" s="5">
        <f>SUMIFS('48 KMP -Tháng'!BA$2:BA$53,'48 KMP -Tháng'!$C$2:$C$53,'18 KMP- Tháng'!$D8)</f>
        <v>0</v>
      </c>
      <c r="AY8" s="5">
        <f>SUMIFS('48 KMP -Tháng'!BB$2:BB$53,'48 KMP -Tháng'!$C$2:$C$53,'18 KMP- Tháng'!$D8)</f>
        <v>0</v>
      </c>
      <c r="AZ8" s="5">
        <f>SUMIFS('48 KMP -Tháng'!BC$2:BC$53,'48 KMP -Tháng'!$C$2:$C$53,'18 KMP- Tháng'!$D8)</f>
        <v>0</v>
      </c>
      <c r="BA8" s="5">
        <f>SUMIFS('48 KMP -Tháng'!BD$2:BD$53,'48 KMP -Tháng'!$C$2:$C$53,'18 KMP- Tháng'!$D8)</f>
        <v>0</v>
      </c>
      <c r="BB8" s="5">
        <f>SUMIFS('48 KMP -Tháng'!BE$2:BE$53,'48 KMP -Tháng'!$C$2:$C$53,'18 KMP- Tháng'!$D8)</f>
        <v>0</v>
      </c>
      <c r="BC8" s="5">
        <f>SUMIFS('48 KMP -Tháng'!BF$2:BF$53,'48 KMP -Tháng'!$C$2:$C$53,'18 KMP- Tháng'!$D8)</f>
        <v>0</v>
      </c>
      <c r="BD8" s="5">
        <f>SUMIFS('48 KMP -Tháng'!BG$2:BG$53,'48 KMP -Tháng'!$C$2:$C$53,'18 KMP- Tháng'!$D8)</f>
        <v>0</v>
      </c>
      <c r="BE8" s="28">
        <f t="shared" si="4"/>
        <v>0</v>
      </c>
      <c r="BF8" s="7">
        <f>SUMIFS('48 KMP -Tháng'!BI$2:BI$53,'48 KMP -Tháng'!$C$2:$C$53,'18 KMP- Tháng'!$D8)</f>
        <v>0</v>
      </c>
      <c r="BG8" s="86"/>
      <c r="BH8" s="8">
        <f>SUMIFS('48 KMP -Tháng'!BL:BL,'48 KMP -Tháng'!$C:$C,'18 KMP- Tháng'!$D8)</f>
        <v>0</v>
      </c>
      <c r="BI8" s="8">
        <f>SUMIFS('48 KMP -Tháng'!BM:BM,'48 KMP -Tháng'!$C:$C,'18 KMP- Tháng'!$D8)</f>
        <v>0</v>
      </c>
      <c r="BJ8" s="8">
        <f>SUMIFS('48 KMP -Tháng'!BN:BN,'48 KMP -Tháng'!$C:$C,'18 KMP- Tháng'!$D8)</f>
        <v>0</v>
      </c>
      <c r="BK8" s="8">
        <f>SUMIFS('48 KMP -Tháng'!BO:BO,'48 KMP -Tháng'!$C:$C,'18 KMP- Tháng'!$D8)</f>
        <v>0</v>
      </c>
      <c r="BL8" s="8">
        <f>SUMIFS('48 KMP -Tháng'!BP:BP,'48 KMP -Tháng'!$C:$C,'18 KMP- Tháng'!$D8)</f>
        <v>0</v>
      </c>
      <c r="BM8" s="8">
        <f>SUMIFS('48 KMP -Tháng'!BQ:BQ,'48 KMP -Tháng'!$C:$C,'18 KMP- Tháng'!$D8)</f>
        <v>0</v>
      </c>
      <c r="BN8" s="8">
        <f>SUMIFS('48 KMP -Tháng'!BR:BR,'48 KMP -Tháng'!$C:$C,'18 KMP- Tháng'!$D8)</f>
        <v>0</v>
      </c>
      <c r="BO8" s="8">
        <f>SUMIFS('48 KMP -Tháng'!BS:BS,'48 KMP -Tháng'!$C:$C,'18 KMP- Tháng'!$D8)</f>
        <v>0</v>
      </c>
      <c r="BP8" s="8">
        <f>SUMIFS('48 KMP -Tháng'!BT:BT,'48 KMP -Tháng'!$C:$C,'18 KMP- Tháng'!$D8)</f>
        <v>0</v>
      </c>
      <c r="BQ8" s="8">
        <f>SUMIFS('48 KMP -Tháng'!BU:BU,'48 KMP -Tháng'!$C:$C,'18 KMP- Tháng'!$D8)</f>
        <v>0</v>
      </c>
      <c r="BR8" s="8">
        <f>SUMIFS('48 KMP -Tháng'!BV:BV,'48 KMP -Tháng'!$C:$C,'18 KMP- Tháng'!$D8)</f>
        <v>0</v>
      </c>
      <c r="BS8" s="8">
        <f>SUMIFS('48 KMP -Tháng'!BW:BW,'48 KMP -Tháng'!$C:$C,'18 KMP- Tháng'!$D8)</f>
        <v>0</v>
      </c>
      <c r="BT8" s="8">
        <f t="shared" si="5"/>
        <v>0</v>
      </c>
      <c r="BV8">
        <f>(SUM(BT6:BT16)-BT8)/BT26+BT8/BT30</f>
        <v>19.98314730359904</v>
      </c>
    </row>
    <row r="9" spans="1:74" x14ac:dyDescent="0.3">
      <c r="A9" s="105">
        <v>7</v>
      </c>
      <c r="B9" s="3">
        <f t="shared" si="6"/>
        <v>4</v>
      </c>
      <c r="C9" s="3" t="s">
        <v>96</v>
      </c>
      <c r="D9" s="3" t="s">
        <v>54</v>
      </c>
      <c r="E9" s="5">
        <f>SUMIFS('48 KMP -Tháng'!$F$2:$F$53,'48 KMP -Tháng'!$C$2:$C$53,'18 KMP- Tháng'!D9)</f>
        <v>67.509566000000007</v>
      </c>
      <c r="F9" s="5">
        <f>SUMIFS('48 KMP -Tháng'!$G$2:$G$53,'48 KMP -Tháng'!$C$2:$C$53,'18 KMP- Tháng'!D9)</f>
        <v>146.57459200000002</v>
      </c>
      <c r="G9" s="6">
        <f>SUMIFS('48 KMP -Tháng'!$H$2:$H$53,'48 KMP -Tháng'!$C$2:$C$53,'18 KMP- Tháng'!D9)</f>
        <v>512.58851200000004</v>
      </c>
      <c r="H9" s="5">
        <f>SUMIFS('48 KMP -Tháng'!$I$2:$I$53,'48 KMP -Tháng'!$C$2:$C$53,'18 KMP- Tháng'!D9)</f>
        <v>669.23911199999998</v>
      </c>
      <c r="I9" s="5">
        <f>SUMIFS('48 KMP -Tháng'!$J$2:$J$53,'48 KMP -Tháng'!$C$2:$C$53,'18 KMP- Tháng'!D9)</f>
        <v>986.13165299999991</v>
      </c>
      <c r="J9" s="5">
        <f>SUMIFS('48 KMP -Tháng'!$K$2:$K$53,'48 KMP -Tháng'!$C$2:$C$53,'18 KMP- Tháng'!D9)</f>
        <v>456.94687799999997</v>
      </c>
      <c r="K9" s="5">
        <f>SUMIFS('48 KMP -Tháng'!$L$2:$L$53,'48 KMP -Tháng'!$C$2:$C$53,'18 KMP- Tháng'!D9)</f>
        <v>1054.6790510000001</v>
      </c>
      <c r="L9" s="5">
        <f>SUMIFS('48 KMP -Tháng'!$M$2:$M$53,'48 KMP -Tháng'!$C$2:$C$53,'18 KMP- Tháng'!D9)</f>
        <v>1179.6289380000001</v>
      </c>
      <c r="M9" s="5">
        <f>SUMIFS('48 KMP -Tháng'!$N$2:$N$53,'48 KMP -Tháng'!$C$2:$C$53,'18 KMP- Tháng'!D9)</f>
        <v>1152.5309690000001</v>
      </c>
      <c r="N9" s="5">
        <f>SUMIFS('48 KMP -Tháng'!$O$2:$O$53,'48 KMP -Tháng'!$C$2:$C$53,'18 KMP- Tháng'!$D9)</f>
        <v>1779.200458</v>
      </c>
      <c r="O9" s="5">
        <f>SUMIFS('48 KMP -Tháng'!$P$2:$P$53,'48 KMP -Tháng'!$C$2:$C$53,'18 KMP- Tháng'!$D9)</f>
        <v>1553.5872850000001</v>
      </c>
      <c r="P9" s="5">
        <f>SUMIFS('48 KMP -Tháng'!$Q$2:$Q$53,'48 KMP -Tháng'!$C$2:$C$53,'18 KMP- Tháng'!$D9)</f>
        <v>2043.1246169175902</v>
      </c>
      <c r="Q9" s="6">
        <f t="shared" si="0"/>
        <v>966.81180257646599</v>
      </c>
      <c r="R9" s="5">
        <f>SUMIFS('48 KMP -Tháng'!$S$2:$S$53,'48 KMP -Tháng'!$C$2:$C$53,'18 KMP- Tháng'!$D9)</f>
        <v>1729.6174993199998</v>
      </c>
      <c r="S9" s="5">
        <f>SUMIFS('48 KMP -Tháng'!T$2:T$53,'48 KMP -Tháng'!$C$2:$C$53,'18 KMP- Tháng'!$D9)</f>
        <v>1517.450685</v>
      </c>
      <c r="T9" s="5">
        <f>SUMIFS('48 KMP -Tháng'!U$2:U$53,'48 KMP -Tháng'!$C$2:$C$53,'18 KMP- Tháng'!$D9)</f>
        <v>1767.7928019999999</v>
      </c>
      <c r="U9" s="5">
        <f>SUMIFS('48 KMP -Tháng'!V$2:V$53,'48 KMP -Tháng'!$C$2:$C$53,'18 KMP- Tháng'!$D9)</f>
        <v>1045.8530069999999</v>
      </c>
      <c r="V9" s="5">
        <f>SUMIFS('48 KMP -Tháng'!W$2:W$53,'48 KMP -Tháng'!$C$2:$C$53,'18 KMP- Tháng'!$D9)</f>
        <v>972.024225</v>
      </c>
      <c r="W9" s="5">
        <f>SUMIFS('48 KMP -Tháng'!X$2:X$53,'48 KMP -Tháng'!$C$2:$C$53,'18 KMP- Tháng'!$D9)</f>
        <v>591.19552299999998</v>
      </c>
      <c r="X9" s="5">
        <f>SUMIFS('48 KMP -Tháng'!Y$2:Y$53,'48 KMP -Tháng'!$C$2:$C$53,'18 KMP- Tháng'!$D9)</f>
        <v>1077.291879250055</v>
      </c>
      <c r="Y9" s="5">
        <f>SUMIFS('48 KMP -Tháng'!Z$2:Z$53,'48 KMP -Tháng'!$C$2:$C$53,'18 KMP- Tháng'!$D9)</f>
        <v>549.30051674994502</v>
      </c>
      <c r="Z9" s="5">
        <f>SUMIFS('48 KMP -Tháng'!AA$2:AA$53,'48 KMP -Tháng'!$C$2:$C$53,'18 KMP- Tháng'!$D9)</f>
        <v>1071.8952039999999</v>
      </c>
      <c r="AA9" s="5">
        <f>SUMIFS('48 KMP -Tháng'!AB$2:AB$53,'48 KMP -Tháng'!$C$2:$C$53,'18 KMP- Tháng'!$D9)</f>
        <v>1893.504713</v>
      </c>
      <c r="AB9" s="5">
        <f>SUMIFS('48 KMP -Tháng'!AC$2:AC$53,'48 KMP -Tháng'!$C$2:$C$53,'18 KMP- Tháng'!$D9)</f>
        <v>1720.675248</v>
      </c>
      <c r="AC9" s="5">
        <f>SUMIFS('48 KMP -Tháng'!AD$2:AD$53,'48 KMP -Tháng'!$C$2:$C$53,'18 KMP- Tháng'!$D9)+SUMIFS('48 KMP -Tháng'!$AE$2:$AE$53,'48 KMP -Tháng'!$C$2:$C$53,'18 KMP- Tháng'!D9)</f>
        <v>321.65228200000001</v>
      </c>
      <c r="AD9" s="7">
        <f t="shared" si="1"/>
        <v>14258.253584319998</v>
      </c>
      <c r="AE9" s="28">
        <f t="shared" si="2"/>
        <v>1188.1877986933332</v>
      </c>
      <c r="AF9" s="5">
        <f>SUMIFS('48 KMP -Tháng'!AH$2:AH$53,'48 KMP -Tháng'!$C$2:$C$53,'18 KMP- Tháng'!$D9)</f>
        <v>333.00160199999999</v>
      </c>
      <c r="AG9" s="5">
        <f>SUMIFS('48 KMP -Tháng'!AI$2:AI$53,'48 KMP -Tháng'!$C$2:$C$53,'18 KMP- Tháng'!$D9)</f>
        <v>880.94690900000001</v>
      </c>
      <c r="AH9" s="5">
        <f>SUMIFS('48 KMP -Tháng'!AJ$2:AJ$53,'48 KMP -Tháng'!$C$2:$C$53,'18 KMP- Tháng'!$D9)</f>
        <v>1570.44211</v>
      </c>
      <c r="AI9" s="5">
        <f>SUMIFS('48 KMP -Tháng'!AK$2:AK$53,'48 KMP -Tháng'!$C$2:$C$53,'18 KMP- Tháng'!$D9)</f>
        <v>1637.622398</v>
      </c>
      <c r="AJ9" s="5">
        <f>SUMIFS('48 KMP -Tháng'!AL$2:AL$53,'48 KMP -Tháng'!$C$2:$C$53,'18 KMP- Tháng'!$D9)</f>
        <v>1960.972215</v>
      </c>
      <c r="AK9" s="5">
        <f>SUMIFS('48 KMP -Tháng'!AM$2:AM$53,'48 KMP -Tháng'!$C$2:$C$53,'18 KMP- Tháng'!$D9)</f>
        <v>1965.8736960000001</v>
      </c>
      <c r="AL9" s="5">
        <f>SUMIFS('48 KMP -Tháng'!AN$2:AN$53,'48 KMP -Tháng'!$C$2:$C$53,'18 KMP- Tháng'!$D9)</f>
        <v>2547.1120740000001</v>
      </c>
      <c r="AM9" s="5">
        <f>SUMIFS('48 KMP -Tháng'!AO$2:AO$53,'48 KMP -Tháng'!$C$2:$C$53,'18 KMP- Tháng'!$D9)</f>
        <v>2288.513414</v>
      </c>
      <c r="AN9" s="5">
        <f>SUMIFS('48 KMP -Tháng'!AP$2:AP$53,'48 KMP -Tháng'!$C$2:$C$53,'18 KMP- Tháng'!$D9)</f>
        <v>1962.463364</v>
      </c>
      <c r="AO9" s="5">
        <f>SUMIFS('48 KMP -Tháng'!AQ$2:AQ$53,'48 KMP -Tháng'!$C$2:$C$53,'18 KMP- Tháng'!$D9)</f>
        <v>621.36740599999996</v>
      </c>
      <c r="AP9" s="5">
        <f>SUMIFS('48 KMP -Tháng'!AR$2:AR$53,'48 KMP -Tháng'!$C$2:$C$53,'18 KMP- Tháng'!$D9)</f>
        <v>578.64556600000003</v>
      </c>
      <c r="AQ9" s="5">
        <f>SUMIFS('48 KMP -Tháng'!AS$2:AS$53,'48 KMP -Tháng'!$C$2:$C$53,'18 KMP- Tháng'!$D9)+SUMIFS('48 KMP -Tháng'!AT$2:AT$53,'48 KMP -Tháng'!$C$2:$C$53,'18 KMP- Tháng'!$D9)</f>
        <v>1143.2730710000001</v>
      </c>
      <c r="AR9" s="28">
        <f t="shared" si="3"/>
        <v>1457.5194854166666</v>
      </c>
      <c r="AS9" s="5">
        <f>SUMIFS('48 KMP -Tháng'!AV$2:AV$53,'48 KMP -Tháng'!$C$2:$C$53,'18 KMP- Tháng'!$D9)</f>
        <v>891.17733899999996</v>
      </c>
      <c r="AT9" s="5">
        <f>SUMIFS('48 KMP -Tháng'!AW$2:AW$53,'48 KMP -Tháng'!$C$2:$C$53,'18 KMP- Tháng'!$D9)</f>
        <v>288.56129600000003</v>
      </c>
      <c r="AU9" s="5">
        <f>SUMIFS('48 KMP -Tháng'!AX$2:AX$53,'48 KMP -Tháng'!$C$2:$C$53,'18 KMP- Tháng'!$D9)</f>
        <v>1763.335605</v>
      </c>
      <c r="AV9" s="5">
        <f>SUMIFS('48 KMP -Tháng'!AY$2:AY$53,'48 KMP -Tháng'!$C$2:$C$53,'18 KMP- Tháng'!$D9)</f>
        <v>1386.5963529999999</v>
      </c>
      <c r="AW9" s="5">
        <f>SUMIFS('48 KMP -Tháng'!AZ$2:AZ$53,'48 KMP -Tháng'!$C$2:$C$53,'18 KMP- Tháng'!$D9)</f>
        <v>1815.041453</v>
      </c>
      <c r="AX9" s="5">
        <f>SUMIFS('48 KMP -Tháng'!BA$2:BA$53,'48 KMP -Tháng'!$C$2:$C$53,'18 KMP- Tháng'!$D9)</f>
        <v>0</v>
      </c>
      <c r="AY9" s="5">
        <f>SUMIFS('48 KMP -Tháng'!BB$2:BB$53,'48 KMP -Tháng'!$C$2:$C$53,'18 KMP- Tháng'!$D9)</f>
        <v>0</v>
      </c>
      <c r="AZ9" s="5">
        <f>SUMIFS('48 KMP -Tháng'!BC$2:BC$53,'48 KMP -Tháng'!$C$2:$C$53,'18 KMP- Tháng'!$D9)</f>
        <v>0</v>
      </c>
      <c r="BA9" s="5">
        <f>SUMIFS('48 KMP -Tháng'!BD$2:BD$53,'48 KMP -Tháng'!$C$2:$C$53,'18 KMP- Tháng'!$D9)</f>
        <v>0</v>
      </c>
      <c r="BB9" s="5">
        <f>SUMIFS('48 KMP -Tháng'!BE$2:BE$53,'48 KMP -Tháng'!$C$2:$C$53,'18 KMP- Tháng'!$D9)</f>
        <v>0</v>
      </c>
      <c r="BC9" s="5">
        <f>SUMIFS('48 KMP -Tháng'!BF$2:BF$53,'48 KMP -Tháng'!$C$2:$C$53,'18 KMP- Tháng'!$D9)</f>
        <v>0</v>
      </c>
      <c r="BD9" s="5">
        <f>SUMIFS('48 KMP -Tháng'!BG$2:BG$53,'48 KMP -Tháng'!$C$2:$C$53,'18 KMP- Tháng'!$D9)</f>
        <v>0</v>
      </c>
      <c r="BE9" s="28">
        <f t="shared" si="4"/>
        <v>512.05933716666664</v>
      </c>
      <c r="BF9" s="7">
        <f>SUMIFS('48 KMP -Tháng'!BI$2:BI$53,'48 KMP -Tháng'!$C$2:$C$53,'18 KMP- Tháng'!$D9)</f>
        <v>1061.7856150241835</v>
      </c>
      <c r="BG9" s="86"/>
      <c r="BH9" s="8">
        <f>SUMIFS('48 KMP -Tháng'!BL:BL,'48 KMP -Tháng'!$C:$C,'18 KMP- Tháng'!$D9)</f>
        <v>1261.1159216334902</v>
      </c>
      <c r="BI9" s="8">
        <f>SUMIFS('48 KMP -Tháng'!BM:BM,'48 KMP -Tháng'!$C:$C,'18 KMP- Tháng'!$D9)</f>
        <v>1061.7856150241835</v>
      </c>
      <c r="BJ9" s="8">
        <f>SUMIFS('48 KMP -Tháng'!BN:BN,'48 KMP -Tháng'!$C:$C,'18 KMP- Tháng'!$D9)</f>
        <v>1335.6927381118819</v>
      </c>
      <c r="BK9" s="8">
        <f>SUMIFS('48 KMP -Tháng'!BO:BO,'48 KMP -Tháng'!$C:$C,'18 KMP- Tháng'!$D9)</f>
        <v>1335.6927381118819</v>
      </c>
      <c r="BL9" s="8">
        <f>SUMIFS('48 KMP -Tháng'!BP:BP,'48 KMP -Tháng'!$C:$C,'18 KMP- Tháng'!$D9)</f>
        <v>1335.6927381118819</v>
      </c>
      <c r="BM9" s="8">
        <f>SUMIFS('48 KMP -Tháng'!BQ:BQ,'48 KMP -Tháng'!$C:$C,'18 KMP- Tháng'!$D9)</f>
        <v>1367.5559174597081</v>
      </c>
      <c r="BN9" s="8">
        <f>SUMIFS('48 KMP -Tháng'!BR:BR,'48 KMP -Tháng'!$C:$C,'18 KMP- Tháng'!$D9)</f>
        <v>1380.1000858728389</v>
      </c>
      <c r="BO9" s="8">
        <f>SUMIFS('48 KMP -Tháng'!BS:BS,'48 KMP -Tháng'!$C:$C,'18 KMP- Tháng'!$D9)</f>
        <v>1411.9632652206651</v>
      </c>
      <c r="BP9" s="8">
        <f>SUMIFS('48 KMP -Tháng'!BT:BT,'48 KMP -Tháng'!$C:$C,'18 KMP- Tháng'!$D9)</f>
        <v>1380.1000858728389</v>
      </c>
      <c r="BQ9" s="8">
        <f>SUMIFS('48 KMP -Tháng'!BU:BU,'48 KMP -Tháng'!$C:$C,'18 KMP- Tháng'!$D9)</f>
        <v>1411.9632652206651</v>
      </c>
      <c r="BR9" s="8">
        <f>SUMIFS('48 KMP -Tháng'!BV:BV,'48 KMP -Tháng'!$C:$C,'18 KMP- Tháng'!$D9)</f>
        <v>1380.1000858728389</v>
      </c>
      <c r="BS9" s="8">
        <f>SUMIFS('48 KMP -Tháng'!BW:BW,'48 KMP -Tháng'!$C:$C,'18 KMP- Tháng'!$D9)</f>
        <v>1411.9632652206651</v>
      </c>
      <c r="BT9" s="8">
        <f t="shared" si="5"/>
        <v>16073.725721733541</v>
      </c>
    </row>
    <row r="10" spans="1:74" x14ac:dyDescent="0.3">
      <c r="A10" s="105">
        <v>8</v>
      </c>
      <c r="B10" s="3">
        <f t="shared" si="6"/>
        <v>5</v>
      </c>
      <c r="C10" s="3" t="s">
        <v>96</v>
      </c>
      <c r="D10" s="3" t="s">
        <v>49</v>
      </c>
      <c r="E10" s="5">
        <f>SUMIFS('48 KMP -Tháng'!$F$2:$F$53,'48 KMP -Tháng'!$C$2:$C$53,'18 KMP- Tháng'!D10)</f>
        <v>506.18997171428572</v>
      </c>
      <c r="F10" s="5">
        <f>SUMIFS('48 KMP -Tháng'!$G$2:$G$53,'48 KMP -Tháng'!$C$2:$C$53,'18 KMP- Tháng'!D10)</f>
        <v>672.82795971428573</v>
      </c>
      <c r="G10" s="6">
        <f>SUMIFS('48 KMP -Tháng'!$H$2:$H$53,'48 KMP -Tháng'!$C$2:$C$53,'18 KMP- Tháng'!D10)</f>
        <v>560.09279471428579</v>
      </c>
      <c r="H10" s="5">
        <f>SUMIFS('48 KMP -Tháng'!$I$2:$I$53,'48 KMP -Tháng'!$C$2:$C$53,'18 KMP- Tháng'!D10)</f>
        <v>560.44612071428571</v>
      </c>
      <c r="I10" s="5">
        <f>SUMIFS('48 KMP -Tháng'!$J$2:$J$53,'48 KMP -Tháng'!$C$2:$C$53,'18 KMP- Tháng'!D10)</f>
        <v>799.14080971428575</v>
      </c>
      <c r="J10" s="5">
        <f>SUMIFS('48 KMP -Tháng'!$K$2:$K$53,'48 KMP -Tháng'!$C$2:$C$53,'18 KMP- Tháng'!D10)</f>
        <v>873.28510571428558</v>
      </c>
      <c r="K10" s="5">
        <f>SUMIFS('48 KMP -Tháng'!$L$2:$L$53,'48 KMP -Tháng'!$C$2:$C$53,'18 KMP- Tháng'!D10)</f>
        <v>761.8325617142857</v>
      </c>
      <c r="L10" s="5">
        <f>SUMIFS('48 KMP -Tháng'!$M$2:$M$53,'48 KMP -Tháng'!$C$2:$C$53,'18 KMP- Tháng'!D10)</f>
        <v>645.47633700000006</v>
      </c>
      <c r="M10" s="5">
        <f>SUMIFS('48 KMP -Tháng'!$N$2:$N$53,'48 KMP -Tháng'!$C$2:$C$53,'18 KMP- Tháng'!D10)</f>
        <v>350.176649</v>
      </c>
      <c r="N10" s="5">
        <f>SUMIFS('48 KMP -Tháng'!$O$2:$O$53,'48 KMP -Tháng'!$C$2:$C$53,'18 KMP- Tháng'!$D10)</f>
        <v>630.18526300000008</v>
      </c>
      <c r="O10" s="5">
        <f>SUMIFS('48 KMP -Tháng'!$P$2:$P$53,'48 KMP -Tháng'!$C$2:$C$53,'18 KMP- Tháng'!$D10)</f>
        <v>343.90646400000003</v>
      </c>
      <c r="P10" s="5">
        <f>SUMIFS('48 KMP -Tháng'!$Q$2:$Q$53,'48 KMP -Tháng'!$C$2:$C$53,'18 KMP- Tháng'!$D10)</f>
        <v>659.73066800000004</v>
      </c>
      <c r="Q10" s="6">
        <f t="shared" si="0"/>
        <v>613.60755875000007</v>
      </c>
      <c r="R10" s="5">
        <f>SUMIFS('48 KMP -Tháng'!$S$2:$S$53,'48 KMP -Tháng'!$C$2:$C$53,'18 KMP- Tháng'!$D10)</f>
        <v>1024.1533429999999</v>
      </c>
      <c r="S10" s="5">
        <f>SUMIFS('48 KMP -Tháng'!T$2:T$53,'48 KMP -Tháng'!$C$2:$C$53,'18 KMP- Tháng'!$D10)</f>
        <v>494.67674900000003</v>
      </c>
      <c r="T10" s="5">
        <f>SUMIFS('48 KMP -Tháng'!U$2:U$53,'48 KMP -Tháng'!$C$2:$C$53,'18 KMP- Tháng'!$D10)</f>
        <v>832.50088600000004</v>
      </c>
      <c r="U10" s="5">
        <f>SUMIFS('48 KMP -Tháng'!V$2:V$53,'48 KMP -Tháng'!$C$2:$C$53,'18 KMP- Tháng'!$D10)</f>
        <v>1314.4848100000002</v>
      </c>
      <c r="V10" s="5">
        <f>SUMIFS('48 KMP -Tháng'!W$2:W$53,'48 KMP -Tháng'!$C$2:$C$53,'18 KMP- Tháng'!$D10)</f>
        <v>883.52530899999999</v>
      </c>
      <c r="W10" s="5">
        <f>SUMIFS('48 KMP -Tháng'!X$2:X$53,'48 KMP -Tháng'!$C$2:$C$53,'18 KMP- Tháng'!$D10)</f>
        <v>901.03991800000006</v>
      </c>
      <c r="X10" s="5">
        <f>SUMIFS('48 KMP -Tháng'!Y$2:Y$53,'48 KMP -Tháng'!$C$2:$C$53,'18 KMP- Tháng'!$D10)</f>
        <v>420.2372509999999</v>
      </c>
      <c r="Y10" s="5">
        <f>SUMIFS('48 KMP -Tháng'!Z$2:Z$53,'48 KMP -Tháng'!$C$2:$C$53,'18 KMP- Tháng'!$D10)</f>
        <v>546.30616100000009</v>
      </c>
      <c r="Z10" s="5">
        <f>SUMIFS('48 KMP -Tháng'!AA$2:AA$53,'48 KMP -Tháng'!$C$2:$C$53,'18 KMP- Tháng'!$D10)</f>
        <v>582.40284800000006</v>
      </c>
      <c r="AA10" s="5">
        <f>SUMIFS('48 KMP -Tháng'!AB$2:AB$53,'48 KMP -Tháng'!$C$2:$C$53,'18 KMP- Tháng'!$D10)</f>
        <v>600.29113600000005</v>
      </c>
      <c r="AB10" s="5">
        <f>SUMIFS('48 KMP -Tháng'!AC$2:AC$53,'48 KMP -Tháng'!$C$2:$C$53,'18 KMP- Tháng'!$D10)</f>
        <v>378.45344</v>
      </c>
      <c r="AC10" s="5">
        <f>SUMIFS('48 KMP -Tháng'!AD$2:AD$53,'48 KMP -Tháng'!$C$2:$C$53,'18 KMP- Tháng'!$D10)+SUMIFS('48 KMP -Tháng'!$AE$2:$AE$53,'48 KMP -Tháng'!$C$2:$C$53,'18 KMP- Tháng'!D10)</f>
        <v>606.28838299999995</v>
      </c>
      <c r="AD10" s="7">
        <f t="shared" si="1"/>
        <v>8584.3602339999998</v>
      </c>
      <c r="AE10" s="28">
        <f t="shared" si="2"/>
        <v>715.36335283333335</v>
      </c>
      <c r="AF10" s="5">
        <f>SUMIFS('48 KMP -Tháng'!AH$2:AH$53,'48 KMP -Tháng'!$C$2:$C$53,'18 KMP- Tháng'!$D10)</f>
        <v>605.82138899999995</v>
      </c>
      <c r="AG10" s="5">
        <f>SUMIFS('48 KMP -Tháng'!AI$2:AI$53,'48 KMP -Tháng'!$C$2:$C$53,'18 KMP- Tháng'!$D10)</f>
        <v>632.16747199999998</v>
      </c>
      <c r="AH10" s="5">
        <f>SUMIFS('48 KMP -Tháng'!AJ$2:AJ$53,'48 KMP -Tháng'!$C$2:$C$53,'18 KMP- Tháng'!$D10)</f>
        <v>631.30052599999999</v>
      </c>
      <c r="AI10" s="5">
        <f>SUMIFS('48 KMP -Tháng'!AK$2:AK$53,'48 KMP -Tháng'!$C$2:$C$53,'18 KMP- Tháng'!$D10)</f>
        <v>952.50042100000007</v>
      </c>
      <c r="AJ10" s="5">
        <f>SUMIFS('48 KMP -Tháng'!AL$2:AL$53,'48 KMP -Tháng'!$C$2:$C$53,'18 KMP- Tháng'!$D10)</f>
        <v>688.62718200000006</v>
      </c>
      <c r="AK10" s="5">
        <f>SUMIFS('48 KMP -Tháng'!AM$2:AM$53,'48 KMP -Tháng'!$C$2:$C$53,'18 KMP- Tháng'!$D10)</f>
        <v>708.02669099999991</v>
      </c>
      <c r="AL10" s="5">
        <f>SUMIFS('48 KMP -Tháng'!AN$2:AN$53,'48 KMP -Tháng'!$C$2:$C$53,'18 KMP- Tháng'!$D10)</f>
        <v>711.72475300000008</v>
      </c>
      <c r="AM10" s="5">
        <f>SUMIFS('48 KMP -Tháng'!AO$2:AO$53,'48 KMP -Tháng'!$C$2:$C$53,'18 KMP- Tháng'!$D10)</f>
        <v>825.34859499999993</v>
      </c>
      <c r="AN10" s="5">
        <f>SUMIFS('48 KMP -Tháng'!AP$2:AP$53,'48 KMP -Tháng'!$C$2:$C$53,'18 KMP- Tháng'!$D10)</f>
        <v>768.72887500000002</v>
      </c>
      <c r="AO10" s="5">
        <f>SUMIFS('48 KMP -Tháng'!AQ$2:AQ$53,'48 KMP -Tháng'!$C$2:$C$53,'18 KMP- Tháng'!$D10)</f>
        <v>485.68748800000003</v>
      </c>
      <c r="AP10" s="5">
        <f>SUMIFS('48 KMP -Tháng'!AR$2:AR$53,'48 KMP -Tháng'!$C$2:$C$53,'18 KMP- Tháng'!$D10)</f>
        <v>570.77404999999999</v>
      </c>
      <c r="AQ10" s="5">
        <f>SUMIFS('48 KMP -Tháng'!AS$2:AS$53,'48 KMP -Tháng'!$C$2:$C$53,'18 KMP- Tháng'!$D10)+SUMIFS('48 KMP -Tháng'!AT$2:AT$53,'48 KMP -Tháng'!$C$2:$C$53,'18 KMP- Tháng'!$D10)</f>
        <v>605.37268300000005</v>
      </c>
      <c r="AR10" s="28">
        <f t="shared" si="3"/>
        <v>682.17334375000007</v>
      </c>
      <c r="AS10" s="5">
        <f>SUMIFS('48 KMP -Tháng'!AV$2:AV$53,'48 KMP -Tháng'!$C$2:$C$53,'18 KMP- Tháng'!$D10)</f>
        <v>716.76955099999998</v>
      </c>
      <c r="AT10" s="5">
        <f>SUMIFS('48 KMP -Tháng'!AW$2:AW$53,'48 KMP -Tháng'!$C$2:$C$53,'18 KMP- Tháng'!$D10)</f>
        <v>416.00507500000003</v>
      </c>
      <c r="AU10" s="5">
        <f>SUMIFS('48 KMP -Tháng'!AX$2:AX$53,'48 KMP -Tháng'!$C$2:$C$53,'18 KMP- Tháng'!$D10)</f>
        <v>995.70251800000005</v>
      </c>
      <c r="AV10" s="5">
        <f>SUMIFS('48 KMP -Tháng'!AY$2:AY$53,'48 KMP -Tháng'!$C$2:$C$53,'18 KMP- Tháng'!$D10)</f>
        <v>756.27038699999991</v>
      </c>
      <c r="AW10" s="5">
        <f>SUMIFS('48 KMP -Tháng'!AZ$2:AZ$53,'48 KMP -Tháng'!$C$2:$C$53,'18 KMP- Tháng'!$D10)</f>
        <v>660.65853100000004</v>
      </c>
      <c r="AX10" s="5">
        <f>SUMIFS('48 KMP -Tháng'!BA$2:BA$53,'48 KMP -Tháng'!$C$2:$C$53,'18 KMP- Tháng'!$D10)</f>
        <v>0</v>
      </c>
      <c r="AY10" s="5">
        <f>SUMIFS('48 KMP -Tháng'!BB$2:BB$53,'48 KMP -Tháng'!$C$2:$C$53,'18 KMP- Tháng'!$D10)</f>
        <v>0</v>
      </c>
      <c r="AZ10" s="5">
        <f>SUMIFS('48 KMP -Tháng'!BC$2:BC$53,'48 KMP -Tháng'!$C$2:$C$53,'18 KMP- Tháng'!$D10)</f>
        <v>0</v>
      </c>
      <c r="BA10" s="5">
        <f>SUMIFS('48 KMP -Tháng'!BD$2:BD$53,'48 KMP -Tháng'!$C$2:$C$53,'18 KMP- Tháng'!$D10)</f>
        <v>0</v>
      </c>
      <c r="BB10" s="5">
        <f>SUMIFS('48 KMP -Tháng'!BE$2:BE$53,'48 KMP -Tháng'!$C$2:$C$53,'18 KMP- Tháng'!$D10)</f>
        <v>0</v>
      </c>
      <c r="BC10" s="5">
        <f>SUMIFS('48 KMP -Tháng'!BF$2:BF$53,'48 KMP -Tháng'!$C$2:$C$53,'18 KMP- Tháng'!$D10)</f>
        <v>0</v>
      </c>
      <c r="BD10" s="5">
        <f>SUMIFS('48 KMP -Tháng'!BG$2:BG$53,'48 KMP -Tháng'!$C$2:$C$53,'18 KMP- Tháng'!$D10)</f>
        <v>0</v>
      </c>
      <c r="BE10" s="28">
        <f t="shared" si="4"/>
        <v>295.45050516666669</v>
      </c>
      <c r="BF10" s="7">
        <f>SUMIFS('48 KMP -Tháng'!BI$2:BI$53,'48 KMP -Tháng'!$C$2:$C$53,'18 KMP- Tháng'!$D10)</f>
        <v>821.44441360108567</v>
      </c>
      <c r="BG10" s="86"/>
      <c r="BH10" s="8">
        <f>SUMIFS('48 KMP -Tháng'!BL:BL,'48 KMP -Tháng'!$C:$C,'18 KMP- Tháng'!$D10)</f>
        <v>830.57138127141911</v>
      </c>
      <c r="BI10" s="8">
        <f>SUMIFS('48 KMP -Tháng'!BM:BM,'48 KMP -Tháng'!$C:$C,'18 KMP- Tháng'!$D10)</f>
        <v>821.44441360108567</v>
      </c>
      <c r="BJ10" s="8">
        <f>SUMIFS('48 KMP -Tháng'!BN:BN,'48 KMP -Tháng'!$C:$C,'18 KMP- Tháng'!$D10)</f>
        <v>888.06935823132631</v>
      </c>
      <c r="BK10" s="8">
        <f>SUMIFS('48 KMP -Tháng'!BO:BO,'48 KMP -Tháng'!$C:$C,'18 KMP- Tháng'!$D10)</f>
        <v>885.3436825618104</v>
      </c>
      <c r="BL10" s="8">
        <f>SUMIFS('48 KMP -Tháng'!BP:BP,'48 KMP -Tháng'!$C:$C,'18 KMP- Tháng'!$D10)</f>
        <v>869.6954333806699</v>
      </c>
      <c r="BM10" s="8">
        <f>SUMIFS('48 KMP -Tháng'!BQ:BQ,'48 KMP -Tháng'!$C:$C,'18 KMP- Tháng'!$D10)</f>
        <v>895.7454474236082</v>
      </c>
      <c r="BN10" s="8">
        <f>SUMIFS('48 KMP -Tháng'!BR:BR,'48 KMP -Tháng'!$C:$C,'18 KMP- Tháng'!$D10)</f>
        <v>884.57374356629305</v>
      </c>
      <c r="BO10" s="8">
        <f>SUMIFS('48 KMP -Tháng'!BS:BS,'48 KMP -Tháng'!$C:$C,'18 KMP- Tháng'!$D10)</f>
        <v>863.51318310204533</v>
      </c>
      <c r="BP10" s="8">
        <f>SUMIFS('48 KMP -Tháng'!BT:BT,'48 KMP -Tháng'!$C:$C,'18 KMP- Tháng'!$D10)</f>
        <v>885.01171344948989</v>
      </c>
      <c r="BQ10" s="8">
        <f>SUMIFS('48 KMP -Tháng'!BU:BU,'48 KMP -Tháng'!$C:$C,'18 KMP- Tháng'!$D10)</f>
        <v>912.98912161133808</v>
      </c>
      <c r="BR10" s="8">
        <f>SUMIFS('48 KMP -Tháng'!BV:BV,'48 KMP -Tháng'!$C:$C,'18 KMP- Tháng'!$D10)</f>
        <v>882.5899625090899</v>
      </c>
      <c r="BS10" s="8">
        <f>SUMIFS('48 KMP -Tháng'!BW:BW,'48 KMP -Tháng'!$C:$C,'18 KMP- Tháng'!$D10)</f>
        <v>862.72621214597655</v>
      </c>
      <c r="BT10" s="8">
        <f t="shared" si="5"/>
        <v>10482.273652854152</v>
      </c>
    </row>
    <row r="11" spans="1:74" x14ac:dyDescent="0.3">
      <c r="A11" s="105">
        <v>9</v>
      </c>
      <c r="B11" s="3">
        <f t="shared" si="6"/>
        <v>6</v>
      </c>
      <c r="C11" s="3" t="s">
        <v>96</v>
      </c>
      <c r="D11" s="3" t="s">
        <v>56</v>
      </c>
      <c r="E11" s="5">
        <f>SUMIFS('48 KMP -Tháng'!$F$2:$F$53,'48 KMP -Tháng'!$C$2:$C$53,'18 KMP- Tháng'!D11)</f>
        <v>152.05214899999999</v>
      </c>
      <c r="F11" s="5">
        <f>SUMIFS('48 KMP -Tháng'!$G$2:$G$53,'48 KMP -Tháng'!$C$2:$C$53,'18 KMP- Tháng'!D11)</f>
        <v>295.56509199999999</v>
      </c>
      <c r="G11" s="6">
        <f>SUMIFS('48 KMP -Tháng'!$H$2:$H$53,'48 KMP -Tháng'!$C$2:$C$53,'18 KMP- Tháng'!D11)</f>
        <v>305.73982000000001</v>
      </c>
      <c r="H11" s="5">
        <f>SUMIFS('48 KMP -Tháng'!$I$2:$I$53,'48 KMP -Tháng'!$C$2:$C$53,'18 KMP- Tháng'!D11)</f>
        <v>277.99661799999996</v>
      </c>
      <c r="I11" s="5">
        <f>SUMIFS('48 KMP -Tháng'!$J$2:$J$53,'48 KMP -Tháng'!$C$2:$C$53,'18 KMP- Tháng'!D11)</f>
        <v>375.61647699999997</v>
      </c>
      <c r="J11" s="5">
        <f>SUMIFS('48 KMP -Tháng'!$K$2:$K$53,'48 KMP -Tháng'!$C$2:$C$53,'18 KMP- Tháng'!D11)</f>
        <v>369.88611800000001</v>
      </c>
      <c r="K11" s="5">
        <f>SUMIFS('48 KMP -Tháng'!$L$2:$L$53,'48 KMP -Tháng'!$C$2:$C$53,'18 KMP- Tháng'!D11)</f>
        <v>387.17141699999996</v>
      </c>
      <c r="L11" s="5">
        <f>SUMIFS('48 KMP -Tháng'!$M$2:$M$53,'48 KMP -Tháng'!$C$2:$C$53,'18 KMP- Tháng'!D11)</f>
        <v>391.41397599999993</v>
      </c>
      <c r="M11" s="5">
        <f>SUMIFS('48 KMP -Tháng'!$N$2:$N$53,'48 KMP -Tháng'!$C$2:$C$53,'18 KMP- Tháng'!D11)</f>
        <v>380.972599</v>
      </c>
      <c r="N11" s="5">
        <f>SUMIFS('48 KMP -Tháng'!$O$2:$O$53,'48 KMP -Tháng'!$C$2:$C$53,'18 KMP- Tháng'!$D11)</f>
        <v>419.34907600000003</v>
      </c>
      <c r="O11" s="5">
        <f>SUMIFS('48 KMP -Tháng'!$P$2:$P$53,'48 KMP -Tháng'!$C$2:$C$53,'18 KMP- Tháng'!$D11)</f>
        <v>320.70876299999998</v>
      </c>
      <c r="P11" s="5">
        <f>SUMIFS('48 KMP -Tháng'!$Q$2:$Q$53,'48 KMP -Tháng'!$C$2:$C$53,'18 KMP- Tháng'!$D11)</f>
        <v>684.97181799999998</v>
      </c>
      <c r="Q11" s="6">
        <f t="shared" si="0"/>
        <v>363.45366024999998</v>
      </c>
      <c r="R11" s="5">
        <f>SUMIFS('48 KMP -Tháng'!$S$2:$S$53,'48 KMP -Tháng'!$C$2:$C$53,'18 KMP- Tháng'!$D11)</f>
        <v>914.03018499999996</v>
      </c>
      <c r="S11" s="5">
        <f>SUMIFS('48 KMP -Tháng'!T$2:T$53,'48 KMP -Tháng'!$C$2:$C$53,'18 KMP- Tháng'!$D11)</f>
        <v>427.32569400000011</v>
      </c>
      <c r="T11" s="5">
        <f>SUMIFS('48 KMP -Tháng'!U$2:U$53,'48 KMP -Tháng'!$C$2:$C$53,'18 KMP- Tháng'!$D11)</f>
        <v>761.12916300000006</v>
      </c>
      <c r="U11" s="5">
        <f>SUMIFS('48 KMP -Tháng'!V$2:V$53,'48 KMP -Tháng'!$C$2:$C$53,'18 KMP- Tháng'!$D11)</f>
        <v>676.13008899999988</v>
      </c>
      <c r="V11" s="5">
        <f>SUMIFS('48 KMP -Tháng'!W$2:W$53,'48 KMP -Tháng'!$C$2:$C$53,'18 KMP- Tháng'!$D11)</f>
        <v>693.03544600000009</v>
      </c>
      <c r="W11" s="5">
        <f>SUMIFS('48 KMP -Tháng'!X$2:X$53,'48 KMP -Tháng'!$C$2:$C$53,'18 KMP- Tháng'!$D11)</f>
        <v>782.97129899999982</v>
      </c>
      <c r="X11" s="5">
        <f>SUMIFS('48 KMP -Tháng'!Y$2:Y$53,'48 KMP -Tháng'!$C$2:$C$53,'18 KMP- Tháng'!$D11)</f>
        <v>321.45073600000001</v>
      </c>
      <c r="Y11" s="5">
        <f>SUMIFS('48 KMP -Tháng'!Z$2:Z$53,'48 KMP -Tháng'!$C$2:$C$53,'18 KMP- Tháng'!$D11)</f>
        <v>361.48229300000003</v>
      </c>
      <c r="Z11" s="5">
        <f>SUMIFS('48 KMP -Tháng'!AA$2:AA$53,'48 KMP -Tháng'!$C$2:$C$53,'18 KMP- Tháng'!$D11)</f>
        <v>516.38720899999998</v>
      </c>
      <c r="AA11" s="5">
        <f>SUMIFS('48 KMP -Tháng'!AB$2:AB$53,'48 KMP -Tháng'!$C$2:$C$53,'18 KMP- Tháng'!$D11)</f>
        <v>707.21815000000004</v>
      </c>
      <c r="AB11" s="5">
        <f>SUMIFS('48 KMP -Tháng'!AC$2:AC$53,'48 KMP -Tháng'!$C$2:$C$53,'18 KMP- Tháng'!$D11)</f>
        <v>824.52075600000001</v>
      </c>
      <c r="AC11" s="5">
        <f>SUMIFS('48 KMP -Tháng'!AD$2:AD$53,'48 KMP -Tháng'!$C$2:$C$53,'18 KMP- Tháng'!$D11)+SUMIFS('48 KMP -Tháng'!$AE$2:$AE$53,'48 KMP -Tháng'!$C$2:$C$53,'18 KMP- Tháng'!D11)</f>
        <v>612.23483699999997</v>
      </c>
      <c r="AD11" s="7">
        <f t="shared" si="1"/>
        <v>7597.9158569999991</v>
      </c>
      <c r="AE11" s="28">
        <f t="shared" si="2"/>
        <v>633.15965474999996</v>
      </c>
      <c r="AF11" s="5">
        <f>SUMIFS('48 KMP -Tháng'!AH$2:AH$53,'48 KMP -Tháng'!$C$2:$C$53,'18 KMP- Tháng'!$D11)</f>
        <v>300.54102</v>
      </c>
      <c r="AG11" s="5">
        <f>SUMIFS('48 KMP -Tháng'!AI$2:AI$53,'48 KMP -Tháng'!$C$2:$C$53,'18 KMP- Tháng'!$D11)</f>
        <v>507.62118800000002</v>
      </c>
      <c r="AH11" s="5">
        <f>SUMIFS('48 KMP -Tháng'!AJ$2:AJ$53,'48 KMP -Tháng'!$C$2:$C$53,'18 KMP- Tháng'!$D11)</f>
        <v>790.04556200000002</v>
      </c>
      <c r="AI11" s="5">
        <f>SUMIFS('48 KMP -Tháng'!AK$2:AK$53,'48 KMP -Tháng'!$C$2:$C$53,'18 KMP- Tháng'!$D11)</f>
        <v>662.42186100000004</v>
      </c>
      <c r="AJ11" s="5">
        <f>SUMIFS('48 KMP -Tháng'!AL$2:AL$53,'48 KMP -Tháng'!$C$2:$C$53,'18 KMP- Tháng'!$D11)</f>
        <v>955.79570799999999</v>
      </c>
      <c r="AK11" s="5">
        <f>SUMIFS('48 KMP -Tháng'!AM$2:AM$53,'48 KMP -Tháng'!$C$2:$C$53,'18 KMP- Tháng'!$D11)</f>
        <v>756.01673500000004</v>
      </c>
      <c r="AL11" s="5">
        <f>SUMIFS('48 KMP -Tháng'!AN$2:AN$53,'48 KMP -Tháng'!$C$2:$C$53,'18 KMP- Tháng'!$D11)</f>
        <v>856.03756999999996</v>
      </c>
      <c r="AM11" s="5">
        <f>SUMIFS('48 KMP -Tháng'!AO$2:AO$53,'48 KMP -Tháng'!$C$2:$C$53,'18 KMP- Tháng'!$D11)</f>
        <v>870.71485299999995</v>
      </c>
      <c r="AN11" s="5">
        <f>SUMIFS('48 KMP -Tháng'!AP$2:AP$53,'48 KMP -Tháng'!$C$2:$C$53,'18 KMP- Tháng'!$D11)</f>
        <v>886.40273999999999</v>
      </c>
      <c r="AO11" s="5">
        <f>SUMIFS('48 KMP -Tháng'!AQ$2:AQ$53,'48 KMP -Tháng'!$C$2:$C$53,'18 KMP- Tháng'!$D11)</f>
        <v>635.75522799999999</v>
      </c>
      <c r="AP11" s="5">
        <f>SUMIFS('48 KMP -Tháng'!AR$2:AR$53,'48 KMP -Tháng'!$C$2:$C$53,'18 KMP- Tháng'!$D11)</f>
        <v>533.96862999999996</v>
      </c>
      <c r="AQ11" s="5">
        <f>SUMIFS('48 KMP -Tháng'!AS$2:AS$53,'48 KMP -Tháng'!$C$2:$C$53,'18 KMP- Tháng'!$D11)+SUMIFS('48 KMP -Tháng'!AT$2:AT$53,'48 KMP -Tháng'!$C$2:$C$53,'18 KMP- Tháng'!$D11)</f>
        <v>735.36080700000002</v>
      </c>
      <c r="AR11" s="28">
        <f t="shared" si="3"/>
        <v>707.55682516666673</v>
      </c>
      <c r="AS11" s="5">
        <f>SUMIFS('48 KMP -Tháng'!AV$2:AV$53,'48 KMP -Tháng'!$C$2:$C$53,'18 KMP- Tháng'!$D11)</f>
        <v>606.64757799999995</v>
      </c>
      <c r="AT11" s="5">
        <f>SUMIFS('48 KMP -Tháng'!AW$2:AW$53,'48 KMP -Tháng'!$C$2:$C$53,'18 KMP- Tháng'!$D11)</f>
        <v>347.65498300000002</v>
      </c>
      <c r="AU11" s="5">
        <f>SUMIFS('48 KMP -Tháng'!AX$2:AX$53,'48 KMP -Tháng'!$C$2:$C$53,'18 KMP- Tháng'!$D11)</f>
        <v>813.90419799999995</v>
      </c>
      <c r="AV11" s="5">
        <f>SUMIFS('48 KMP -Tháng'!AY$2:AY$53,'48 KMP -Tháng'!$C$2:$C$53,'18 KMP- Tháng'!$D11)</f>
        <v>1024.397252</v>
      </c>
      <c r="AW11" s="5">
        <f>SUMIFS('48 KMP -Tháng'!AZ$2:AZ$53,'48 KMP -Tháng'!$C$2:$C$53,'18 KMP- Tháng'!$D11)</f>
        <v>785.37370599999997</v>
      </c>
      <c r="AX11" s="5">
        <f>SUMIFS('48 KMP -Tháng'!BA$2:BA$53,'48 KMP -Tháng'!$C$2:$C$53,'18 KMP- Tháng'!$D11)</f>
        <v>0</v>
      </c>
      <c r="AY11" s="5">
        <f>SUMIFS('48 KMP -Tháng'!BB$2:BB$53,'48 KMP -Tháng'!$C$2:$C$53,'18 KMP- Tháng'!$D11)</f>
        <v>0</v>
      </c>
      <c r="AZ11" s="5">
        <f>SUMIFS('48 KMP -Tháng'!BC$2:BC$53,'48 KMP -Tháng'!$C$2:$C$53,'18 KMP- Tháng'!$D11)</f>
        <v>0</v>
      </c>
      <c r="BA11" s="5">
        <f>SUMIFS('48 KMP -Tháng'!BD$2:BD$53,'48 KMP -Tháng'!$C$2:$C$53,'18 KMP- Tháng'!$D11)</f>
        <v>0</v>
      </c>
      <c r="BB11" s="5">
        <f>SUMIFS('48 KMP -Tháng'!BE$2:BE$53,'48 KMP -Tháng'!$C$2:$C$53,'18 KMP- Tháng'!$D11)</f>
        <v>0</v>
      </c>
      <c r="BC11" s="5">
        <f>SUMIFS('48 KMP -Tháng'!BF$2:BF$53,'48 KMP -Tháng'!$C$2:$C$53,'18 KMP- Tháng'!$D11)</f>
        <v>0</v>
      </c>
      <c r="BD11" s="5">
        <f>SUMIFS('48 KMP -Tháng'!BG$2:BG$53,'48 KMP -Tháng'!$C$2:$C$53,'18 KMP- Tháng'!$D11)</f>
        <v>0</v>
      </c>
      <c r="BE11" s="28">
        <f t="shared" si="4"/>
        <v>298.16480974999996</v>
      </c>
      <c r="BF11" s="7">
        <f>SUMIFS('48 KMP -Tháng'!BI$2:BI$53,'48 KMP -Tháng'!$C$2:$C$53,'18 KMP- Tháng'!$D11)</f>
        <v>562.30502743922989</v>
      </c>
      <c r="BG11" s="86"/>
      <c r="BH11" s="8">
        <f>SUMIFS('48 KMP -Tháng'!BL:BL,'48 KMP -Tháng'!$C:$C,'18 KMP- Tháng'!$D11)</f>
        <v>679.00817341923403</v>
      </c>
      <c r="BI11" s="8">
        <f>SUMIFS('48 KMP -Tháng'!BM:BM,'48 KMP -Tháng'!$C:$C,'18 KMP- Tháng'!$D11)</f>
        <v>562.30502743922989</v>
      </c>
      <c r="BJ11" s="8">
        <f>SUMIFS('48 KMP -Tháng'!BN:BN,'48 KMP -Tháng'!$C:$C,'18 KMP- Tháng'!$D11)</f>
        <v>711.9129784782557</v>
      </c>
      <c r="BK11" s="8">
        <f>SUMIFS('48 KMP -Tháng'!BO:BO,'48 KMP -Tháng'!$C:$C,'18 KMP- Tháng'!$D11)</f>
        <v>715.21167396458748</v>
      </c>
      <c r="BL11" s="8">
        <f>SUMIFS('48 KMP -Tháng'!BP:BP,'48 KMP -Tháng'!$C:$C,'18 KMP- Tháng'!$D11)</f>
        <v>711.9129784782557</v>
      </c>
      <c r="BM11" s="8">
        <f>SUMIFS('48 KMP -Tháng'!BQ:BQ,'48 KMP -Tháng'!$C:$C,'18 KMP- Tháng'!$D11)</f>
        <v>735.360959548555</v>
      </c>
      <c r="BN11" s="8">
        <f>SUMIFS('48 KMP -Tháng'!BR:BR,'48 KMP -Tháng'!$C:$C,'18 KMP- Tháng'!$D11)</f>
        <v>745.36358318346674</v>
      </c>
      <c r="BO11" s="8">
        <f>SUMIFS('48 KMP -Tháng'!BS:BS,'48 KMP -Tháng'!$C:$C,'18 KMP- Tháng'!$D11)</f>
        <v>753.96743456527292</v>
      </c>
      <c r="BP11" s="8">
        <f>SUMIFS('48 KMP -Tháng'!BT:BT,'48 KMP -Tháng'!$C:$C,'18 KMP- Tháng'!$D11)</f>
        <v>753.61032189929642</v>
      </c>
      <c r="BQ11" s="8">
        <f>SUMIFS('48 KMP -Tháng'!BU:BU,'48 KMP -Tháng'!$C:$C,'18 KMP- Tháng'!$D11)</f>
        <v>757.2661300516047</v>
      </c>
      <c r="BR11" s="8">
        <f>SUMIFS('48 KMP -Tháng'!BV:BV,'48 KMP -Tháng'!$C:$C,'18 KMP- Tháng'!$D11)</f>
        <v>742.06488769713496</v>
      </c>
      <c r="BS11" s="8">
        <f>SUMIFS('48 KMP -Tháng'!BW:BW,'48 KMP -Tháng'!$C:$C,'18 KMP- Tháng'!$D11)</f>
        <v>753.96743456527292</v>
      </c>
      <c r="BT11" s="8">
        <f t="shared" si="5"/>
        <v>8621.951583290167</v>
      </c>
    </row>
    <row r="12" spans="1:74" x14ac:dyDescent="0.3">
      <c r="A12" s="105">
        <v>10</v>
      </c>
      <c r="B12" s="3">
        <f t="shared" si="6"/>
        <v>7</v>
      </c>
      <c r="C12" s="3" t="s">
        <v>96</v>
      </c>
      <c r="D12" s="3" t="s">
        <v>28</v>
      </c>
      <c r="E12" s="5">
        <f>SUMIFS('48 KMP -Tháng'!$F$2:$F$53,'48 KMP -Tháng'!$C$2:$C$53,'18 KMP- Tháng'!D12)</f>
        <v>182.590125</v>
      </c>
      <c r="F12" s="5">
        <f>SUMIFS('48 KMP -Tháng'!$G$2:$G$53,'48 KMP -Tháng'!$C$2:$C$53,'18 KMP- Tháng'!D12)</f>
        <v>256.21135399999997</v>
      </c>
      <c r="G12" s="6">
        <f>SUMIFS('48 KMP -Tháng'!$H$2:$H$53,'48 KMP -Tháng'!$C$2:$C$53,'18 KMP- Tháng'!D12)</f>
        <v>301.69390099999998</v>
      </c>
      <c r="H12" s="5">
        <f>SUMIFS('48 KMP -Tháng'!$I$2:$I$53,'48 KMP -Tháng'!$C$2:$C$53,'18 KMP- Tháng'!D12)</f>
        <v>299.17255299999999</v>
      </c>
      <c r="I12" s="5">
        <f>SUMIFS('48 KMP -Tháng'!$J$2:$J$53,'48 KMP -Tháng'!$C$2:$C$53,'18 KMP- Tháng'!D12)</f>
        <v>189.954498</v>
      </c>
      <c r="J12" s="5">
        <f>SUMIFS('48 KMP -Tháng'!$K$2:$K$53,'48 KMP -Tháng'!$C$2:$C$53,'18 KMP- Tháng'!D12)</f>
        <v>375.78277400000002</v>
      </c>
      <c r="K12" s="5">
        <f>SUMIFS('48 KMP -Tháng'!$L$2:$L$53,'48 KMP -Tháng'!$C$2:$C$53,'18 KMP- Tháng'!D12)</f>
        <v>320.30577699999998</v>
      </c>
      <c r="L12" s="5">
        <f>SUMIFS('48 KMP -Tháng'!$M$2:$M$53,'48 KMP -Tháng'!$C$2:$C$53,'18 KMP- Tháng'!D12)</f>
        <v>367.61022300000002</v>
      </c>
      <c r="M12" s="5">
        <f>SUMIFS('48 KMP -Tháng'!$N$2:$N$53,'48 KMP -Tháng'!$C$2:$C$53,'18 KMP- Tháng'!D12)</f>
        <v>353.52910800000001</v>
      </c>
      <c r="N12" s="5">
        <f>SUMIFS('48 KMP -Tháng'!$O$2:$O$53,'48 KMP -Tháng'!$C$2:$C$53,'18 KMP- Tháng'!$D12)</f>
        <v>388.27704899999998</v>
      </c>
      <c r="O12" s="5">
        <f>SUMIFS('48 KMP -Tháng'!$P$2:$P$53,'48 KMP -Tháng'!$C$2:$C$53,'18 KMP- Tháng'!$D12)</f>
        <v>446.71388200000001</v>
      </c>
      <c r="P12" s="5">
        <f>SUMIFS('48 KMP -Tháng'!$Q$2:$Q$53,'48 KMP -Tháng'!$C$2:$C$53,'18 KMP- Tháng'!$D12)</f>
        <v>393.87627199999997</v>
      </c>
      <c r="Q12" s="6">
        <f t="shared" si="0"/>
        <v>322.9764596666667</v>
      </c>
      <c r="R12" s="5">
        <f>SUMIFS('48 KMP -Tháng'!$S$2:$S$53,'48 KMP -Tháng'!$C$2:$C$53,'18 KMP- Tháng'!$D12)</f>
        <v>377.49690900000002</v>
      </c>
      <c r="S12" s="5">
        <f>SUMIFS('48 KMP -Tháng'!T$2:T$53,'48 KMP -Tháng'!$C$2:$C$53,'18 KMP- Tháng'!$D12)</f>
        <v>255.24872999999999</v>
      </c>
      <c r="T12" s="5">
        <f>SUMIFS('48 KMP -Tháng'!U$2:U$53,'48 KMP -Tháng'!$C$2:$C$53,'18 KMP- Tháng'!$D12)</f>
        <v>394.67352</v>
      </c>
      <c r="U12" s="5">
        <f>SUMIFS('48 KMP -Tháng'!V$2:V$53,'48 KMP -Tháng'!$C$2:$C$53,'18 KMP- Tháng'!$D12)</f>
        <v>371.32545199999998</v>
      </c>
      <c r="V12" s="5">
        <f>SUMIFS('48 KMP -Tháng'!W$2:W$53,'48 KMP -Tháng'!$C$2:$C$53,'18 KMP- Tháng'!$D12)</f>
        <v>367.60268200000002</v>
      </c>
      <c r="W12" s="5">
        <f>SUMIFS('48 KMP -Tháng'!X$2:X$53,'48 KMP -Tháng'!$C$2:$C$53,'18 KMP- Tháng'!$D12)</f>
        <v>326.45109400000001</v>
      </c>
      <c r="X12" s="5">
        <f>SUMIFS('48 KMP -Tháng'!Y$2:Y$53,'48 KMP -Tháng'!$C$2:$C$53,'18 KMP- Tháng'!$D12)</f>
        <v>297.34214600000001</v>
      </c>
      <c r="Y12" s="5">
        <f>SUMIFS('48 KMP -Tháng'!Z$2:Z$53,'48 KMP -Tháng'!$C$2:$C$53,'18 KMP- Tháng'!$D12)</f>
        <v>252.431725</v>
      </c>
      <c r="Z12" s="5">
        <f>SUMIFS('48 KMP -Tháng'!AA$2:AA$53,'48 KMP -Tháng'!$C$2:$C$53,'18 KMP- Tháng'!$D12)</f>
        <v>251.48836299999999</v>
      </c>
      <c r="AA12" s="5">
        <f>SUMIFS('48 KMP -Tháng'!AB$2:AB$53,'48 KMP -Tháng'!$C$2:$C$53,'18 KMP- Tháng'!$D12)</f>
        <v>293.83949999999999</v>
      </c>
      <c r="AB12" s="5">
        <f>SUMIFS('48 KMP -Tháng'!AC$2:AC$53,'48 KMP -Tháng'!$C$2:$C$53,'18 KMP- Tháng'!$D12)</f>
        <v>302.22001899999998</v>
      </c>
      <c r="AC12" s="5">
        <f>SUMIFS('48 KMP -Tháng'!AD$2:AD$53,'48 KMP -Tháng'!$C$2:$C$53,'18 KMP- Tháng'!$D12)+SUMIFS('48 KMP -Tháng'!$AE$2:$AE$53,'48 KMP -Tháng'!$C$2:$C$53,'18 KMP- Tháng'!D12)</f>
        <v>273.175363</v>
      </c>
      <c r="AD12" s="7">
        <f t="shared" si="1"/>
        <v>3763.2955029999994</v>
      </c>
      <c r="AE12" s="28">
        <f t="shared" si="2"/>
        <v>313.6079585833333</v>
      </c>
      <c r="AF12" s="5">
        <f>SUMIFS('48 KMP -Tháng'!AH$2:AH$53,'48 KMP -Tháng'!$C$2:$C$53,'18 KMP- Tháng'!$D12)</f>
        <v>165.849029</v>
      </c>
      <c r="AG12" s="5">
        <f>SUMIFS('48 KMP -Tháng'!AI$2:AI$53,'48 KMP -Tháng'!$C$2:$C$53,'18 KMP- Tháng'!$D12)</f>
        <v>208.231593</v>
      </c>
      <c r="AH12" s="5">
        <f>SUMIFS('48 KMP -Tháng'!AJ$2:AJ$53,'48 KMP -Tháng'!$C$2:$C$53,'18 KMP- Tháng'!$D12)</f>
        <v>262.06534900000003</v>
      </c>
      <c r="AI12" s="5">
        <f>SUMIFS('48 KMP -Tháng'!AK$2:AK$53,'48 KMP -Tháng'!$C$2:$C$53,'18 KMP- Tháng'!$D12)</f>
        <v>221.74891</v>
      </c>
      <c r="AJ12" s="5">
        <f>SUMIFS('48 KMP -Tháng'!AL$2:AL$53,'48 KMP -Tháng'!$C$2:$C$53,'18 KMP- Tháng'!$D12)</f>
        <v>226.691428</v>
      </c>
      <c r="AK12" s="5">
        <f>SUMIFS('48 KMP -Tháng'!AM$2:AM$53,'48 KMP -Tháng'!$C$2:$C$53,'18 KMP- Tháng'!$D12)</f>
        <v>212.65319500000001</v>
      </c>
      <c r="AL12" s="5">
        <f>SUMIFS('48 KMP -Tháng'!AN$2:AN$53,'48 KMP -Tháng'!$C$2:$C$53,'18 KMP- Tháng'!$D12)</f>
        <v>238.15200100000001</v>
      </c>
      <c r="AM12" s="5">
        <f>SUMIFS('48 KMP -Tháng'!AO$2:AO$53,'48 KMP -Tháng'!$C$2:$C$53,'18 KMP- Tháng'!$D12)</f>
        <v>172.607721</v>
      </c>
      <c r="AN12" s="5">
        <f>SUMIFS('48 KMP -Tháng'!AP$2:AP$53,'48 KMP -Tháng'!$C$2:$C$53,'18 KMP- Tháng'!$D12)</f>
        <v>259.35824300000002</v>
      </c>
      <c r="AO12" s="5">
        <f>SUMIFS('48 KMP -Tháng'!AQ$2:AQ$53,'48 KMP -Tháng'!$C$2:$C$53,'18 KMP- Tháng'!$D12)</f>
        <v>201.66960800000001</v>
      </c>
      <c r="AP12" s="5">
        <f>SUMIFS('48 KMP -Tháng'!AR$2:AR$53,'48 KMP -Tháng'!$C$2:$C$53,'18 KMP- Tháng'!$D12)</f>
        <v>178.92975899999999</v>
      </c>
      <c r="AQ12" s="5">
        <f>SUMIFS('48 KMP -Tháng'!AS$2:AS$53,'48 KMP -Tháng'!$C$2:$C$53,'18 KMP- Tháng'!$D12)+SUMIFS('48 KMP -Tháng'!AT$2:AT$53,'48 KMP -Tháng'!$C$2:$C$53,'18 KMP- Tháng'!$D12)</f>
        <v>180.051275</v>
      </c>
      <c r="AR12" s="28">
        <f t="shared" si="3"/>
        <v>210.66734258333335</v>
      </c>
      <c r="AS12" s="5">
        <f>SUMIFS('48 KMP -Tháng'!AV$2:AV$53,'48 KMP -Tháng'!$C$2:$C$53,'18 KMP- Tháng'!$D12)</f>
        <v>150.192657</v>
      </c>
      <c r="AT12" s="5">
        <f>SUMIFS('48 KMP -Tháng'!AW$2:AW$53,'48 KMP -Tháng'!$C$2:$C$53,'18 KMP- Tháng'!$D12)</f>
        <v>102.02831500000001</v>
      </c>
      <c r="AU12" s="5">
        <f>SUMIFS('48 KMP -Tháng'!AX$2:AX$53,'48 KMP -Tháng'!$C$2:$C$53,'18 KMP- Tháng'!$D12)</f>
        <v>337.283119</v>
      </c>
      <c r="AV12" s="5">
        <f>SUMIFS('48 KMP -Tháng'!AY$2:AY$53,'48 KMP -Tháng'!$C$2:$C$53,'18 KMP- Tháng'!$D12)</f>
        <v>388.21782000000002</v>
      </c>
      <c r="AW12" s="5">
        <f>SUMIFS('48 KMP -Tháng'!AZ$2:AZ$53,'48 KMP -Tháng'!$C$2:$C$53,'18 KMP- Tháng'!$D12)</f>
        <v>352.85559999999998</v>
      </c>
      <c r="AX12" s="5">
        <f>SUMIFS('48 KMP -Tháng'!BA$2:BA$53,'48 KMP -Tháng'!$C$2:$C$53,'18 KMP- Tháng'!$D12)</f>
        <v>0</v>
      </c>
      <c r="AY12" s="5">
        <f>SUMIFS('48 KMP -Tháng'!BB$2:BB$53,'48 KMP -Tháng'!$C$2:$C$53,'18 KMP- Tháng'!$D12)</f>
        <v>0</v>
      </c>
      <c r="AZ12" s="5">
        <f>SUMIFS('48 KMP -Tháng'!BC$2:BC$53,'48 KMP -Tháng'!$C$2:$C$53,'18 KMP- Tháng'!$D12)</f>
        <v>0</v>
      </c>
      <c r="BA12" s="5">
        <f>SUMIFS('48 KMP -Tháng'!BD$2:BD$53,'48 KMP -Tháng'!$C$2:$C$53,'18 KMP- Tháng'!$D12)</f>
        <v>0</v>
      </c>
      <c r="BB12" s="5">
        <f>SUMIFS('48 KMP -Tháng'!BE$2:BE$53,'48 KMP -Tháng'!$C$2:$C$53,'18 KMP- Tháng'!$D12)</f>
        <v>0</v>
      </c>
      <c r="BC12" s="5">
        <f>SUMIFS('48 KMP -Tháng'!BF$2:BF$53,'48 KMP -Tháng'!$C$2:$C$53,'18 KMP- Tháng'!$D12)</f>
        <v>0</v>
      </c>
      <c r="BD12" s="5">
        <f>SUMIFS('48 KMP -Tháng'!BG$2:BG$53,'48 KMP -Tháng'!$C$2:$C$53,'18 KMP- Tháng'!$D12)</f>
        <v>0</v>
      </c>
      <c r="BE12" s="28">
        <f t="shared" si="4"/>
        <v>110.88145924999999</v>
      </c>
      <c r="BF12" s="7">
        <f>SUMIFS('48 KMP -Tháng'!BI$2:BI$53,'48 KMP -Tháng'!$C$2:$C$53,'18 KMP- Tháng'!$D12)</f>
        <v>214.12</v>
      </c>
      <c r="BG12" s="86"/>
      <c r="BH12" s="8">
        <f>SUMIFS('48 KMP -Tháng'!BL:BL,'48 KMP -Tháng'!$C:$C,'18 KMP- Tháng'!$D12)</f>
        <v>214.12</v>
      </c>
      <c r="BI12" s="8">
        <f>SUMIFS('48 KMP -Tháng'!BM:BM,'48 KMP -Tháng'!$C:$C,'18 KMP- Tháng'!$D12)</f>
        <v>214.12</v>
      </c>
      <c r="BJ12" s="8">
        <f>SUMIFS('48 KMP -Tháng'!BN:BN,'48 KMP -Tháng'!$C:$C,'18 KMP- Tháng'!$D12)</f>
        <v>214.12</v>
      </c>
      <c r="BK12" s="8">
        <f>SUMIFS('48 KMP -Tháng'!BO:BO,'48 KMP -Tháng'!$C:$C,'18 KMP- Tháng'!$D12)</f>
        <v>214.12</v>
      </c>
      <c r="BL12" s="8">
        <f>SUMIFS('48 KMP -Tháng'!BP:BP,'48 KMP -Tháng'!$C:$C,'18 KMP- Tháng'!$D12)</f>
        <v>214.12</v>
      </c>
      <c r="BM12" s="8">
        <f>SUMIFS('48 KMP -Tháng'!BQ:BQ,'48 KMP -Tháng'!$C:$C,'18 KMP- Tháng'!$D12)</f>
        <v>214.12</v>
      </c>
      <c r="BN12" s="8">
        <f>SUMIFS('48 KMP -Tháng'!BR:BR,'48 KMP -Tháng'!$C:$C,'18 KMP- Tháng'!$D12)</f>
        <v>214.12</v>
      </c>
      <c r="BO12" s="8">
        <f>SUMIFS('48 KMP -Tháng'!BS:BS,'48 KMP -Tháng'!$C:$C,'18 KMP- Tháng'!$D12)</f>
        <v>214.12</v>
      </c>
      <c r="BP12" s="8">
        <f>SUMIFS('48 KMP -Tháng'!BT:BT,'48 KMP -Tháng'!$C:$C,'18 KMP- Tháng'!$D12)</f>
        <v>214.12</v>
      </c>
      <c r="BQ12" s="8">
        <f>SUMIFS('48 KMP -Tháng'!BU:BU,'48 KMP -Tháng'!$C:$C,'18 KMP- Tháng'!$D12)</f>
        <v>214.12</v>
      </c>
      <c r="BR12" s="8">
        <f>SUMIFS('48 KMP -Tháng'!BV:BV,'48 KMP -Tháng'!$C:$C,'18 KMP- Tháng'!$D12)</f>
        <v>214.12</v>
      </c>
      <c r="BS12" s="8">
        <f>SUMIFS('48 KMP -Tháng'!BW:BW,'48 KMP -Tháng'!$C:$C,'18 KMP- Tháng'!$D12)</f>
        <v>214.12</v>
      </c>
      <c r="BT12" s="8">
        <f t="shared" si="5"/>
        <v>2569.4399999999991</v>
      </c>
    </row>
    <row r="13" spans="1:74" x14ac:dyDescent="0.3">
      <c r="A13" s="105">
        <v>11</v>
      </c>
      <c r="B13" s="3">
        <f t="shared" si="6"/>
        <v>8</v>
      </c>
      <c r="C13" s="3" t="s">
        <v>96</v>
      </c>
      <c r="D13" s="3" t="s">
        <v>53</v>
      </c>
      <c r="E13" s="5">
        <f>SUMIFS('48 KMP -Tháng'!$F$2:$F$53,'48 KMP -Tháng'!$C$2:$C$53,'18 KMP- Tháng'!D13)</f>
        <v>188.62547899999998</v>
      </c>
      <c r="F13" s="5">
        <f>SUMIFS('48 KMP -Tháng'!$G$2:$G$53,'48 KMP -Tháng'!$C$2:$C$53,'18 KMP- Tháng'!D13)</f>
        <v>196.28916999999998</v>
      </c>
      <c r="G13" s="6">
        <f>SUMIFS('48 KMP -Tháng'!$H$2:$H$53,'48 KMP -Tháng'!$C$2:$C$53,'18 KMP- Tháng'!D13)</f>
        <v>460.43097999999998</v>
      </c>
      <c r="H13" s="5">
        <f>SUMIFS('48 KMP -Tháng'!$I$2:$I$53,'48 KMP -Tháng'!$C$2:$C$53,'18 KMP- Tháng'!D13)</f>
        <v>381.88881900000001</v>
      </c>
      <c r="I13" s="5">
        <f>SUMIFS('48 KMP -Tháng'!$J$2:$J$53,'48 KMP -Tháng'!$C$2:$C$53,'18 KMP- Tháng'!D13)</f>
        <v>279.47783400000003</v>
      </c>
      <c r="J13" s="5">
        <f>SUMIFS('48 KMP -Tháng'!$K$2:$K$53,'48 KMP -Tháng'!$C$2:$C$53,'18 KMP- Tháng'!D13)</f>
        <v>269.28564700000004</v>
      </c>
      <c r="K13" s="5">
        <f>SUMIFS('48 KMP -Tháng'!$L$2:$L$53,'48 KMP -Tháng'!$C$2:$C$53,'18 KMP- Tháng'!D13)</f>
        <v>204.96910300000002</v>
      </c>
      <c r="L13" s="5">
        <f>SUMIFS('48 KMP -Tháng'!$M$2:$M$53,'48 KMP -Tháng'!$C$2:$C$53,'18 KMP- Tháng'!D13)</f>
        <v>144.59650099999999</v>
      </c>
      <c r="M13" s="5">
        <f>SUMIFS('48 KMP -Tháng'!$N$2:$N$53,'48 KMP -Tháng'!$C$2:$C$53,'18 KMP- Tháng'!D13)</f>
        <v>209.92933399999998</v>
      </c>
      <c r="N13" s="5">
        <f>SUMIFS('48 KMP -Tháng'!$O$2:$O$53,'48 KMP -Tháng'!$C$2:$C$53,'18 KMP- Tháng'!$D13)</f>
        <v>179.10958100000002</v>
      </c>
      <c r="O13" s="5">
        <f>SUMIFS('48 KMP -Tháng'!$P$2:$P$53,'48 KMP -Tháng'!$C$2:$C$53,'18 KMP- Tháng'!$D13)</f>
        <v>139.36256900000001</v>
      </c>
      <c r="P13" s="5">
        <f>SUMIFS('48 KMP -Tháng'!$Q$2:$Q$53,'48 KMP -Tháng'!$C$2:$C$53,'18 KMP- Tháng'!$D13)</f>
        <v>234.21601099999998</v>
      </c>
      <c r="Q13" s="6">
        <f t="shared" si="0"/>
        <v>240.68175233333332</v>
      </c>
      <c r="R13" s="5">
        <f>SUMIFS('48 KMP -Tháng'!$S$2:$S$53,'48 KMP -Tháng'!$C$2:$C$53,'18 KMP- Tháng'!$D13)</f>
        <v>168.93012999999999</v>
      </c>
      <c r="S13" s="5">
        <f>SUMIFS('48 KMP -Tháng'!T$2:T$53,'48 KMP -Tháng'!$C$2:$C$53,'18 KMP- Tháng'!$D13)</f>
        <v>139.05925400000001</v>
      </c>
      <c r="T13" s="5">
        <f>SUMIFS('48 KMP -Tháng'!U$2:U$53,'48 KMP -Tháng'!$C$2:$C$53,'18 KMP- Tháng'!$D13)</f>
        <v>130.98270099999999</v>
      </c>
      <c r="U13" s="5">
        <f>SUMIFS('48 KMP -Tháng'!V$2:V$53,'48 KMP -Tháng'!$C$2:$C$53,'18 KMP- Tháng'!$D13)</f>
        <v>216.14341000000002</v>
      </c>
      <c r="V13" s="5">
        <f>SUMIFS('48 KMP -Tháng'!W$2:W$53,'48 KMP -Tháng'!$C$2:$C$53,'18 KMP- Tháng'!$D13)</f>
        <v>304.87664899999999</v>
      </c>
      <c r="W13" s="5">
        <f>SUMIFS('48 KMP -Tháng'!X$2:X$53,'48 KMP -Tháng'!$C$2:$C$53,'18 KMP- Tháng'!$D13)</f>
        <v>295.18419499999999</v>
      </c>
      <c r="X13" s="5">
        <f>SUMIFS('48 KMP -Tháng'!Y$2:Y$53,'48 KMP -Tháng'!$C$2:$C$53,'18 KMP- Tháng'!$D13)</f>
        <v>186.81335799999999</v>
      </c>
      <c r="Y13" s="5">
        <f>SUMIFS('48 KMP -Tháng'!Z$2:Z$53,'48 KMP -Tháng'!$C$2:$C$53,'18 KMP- Tháng'!$D13)</f>
        <v>232.26438400000001</v>
      </c>
      <c r="Z13" s="5">
        <f>SUMIFS('48 KMP -Tháng'!AA$2:AA$53,'48 KMP -Tháng'!$C$2:$C$53,'18 KMP- Tháng'!$D13)</f>
        <v>145.066621</v>
      </c>
      <c r="AA13" s="5">
        <f>SUMIFS('48 KMP -Tháng'!AB$2:AB$53,'48 KMP -Tháng'!$C$2:$C$53,'18 KMP- Tháng'!$D13)</f>
        <v>272.26879300000002</v>
      </c>
      <c r="AB13" s="5">
        <f>SUMIFS('48 KMP -Tháng'!AC$2:AC$53,'48 KMP -Tháng'!$C$2:$C$53,'18 KMP- Tháng'!$D13)</f>
        <v>272.19795499999998</v>
      </c>
      <c r="AC13" s="5">
        <f>SUMIFS('48 KMP -Tháng'!AD$2:AD$53,'48 KMP -Tháng'!$C$2:$C$53,'18 KMP- Tháng'!$D13)+SUMIFS('48 KMP -Tháng'!$AE$2:$AE$53,'48 KMP -Tháng'!$C$2:$C$53,'18 KMP- Tháng'!D13)</f>
        <v>306.84791300000001</v>
      </c>
      <c r="AD13" s="7">
        <f t="shared" si="1"/>
        <v>2670.6353630000003</v>
      </c>
      <c r="AE13" s="28">
        <f t="shared" si="2"/>
        <v>222.55294691666668</v>
      </c>
      <c r="AF13" s="5">
        <f>SUMIFS('48 KMP -Tháng'!AH$2:AH$53,'48 KMP -Tháng'!$C$2:$C$53,'18 KMP- Tháng'!$D13)</f>
        <v>210.76331500000001</v>
      </c>
      <c r="AG13" s="5">
        <f>SUMIFS('48 KMP -Tháng'!AI$2:AI$53,'48 KMP -Tháng'!$C$2:$C$53,'18 KMP- Tháng'!$D13)</f>
        <v>188.40178499999999</v>
      </c>
      <c r="AH13" s="5">
        <f>SUMIFS('48 KMP -Tháng'!AJ$2:AJ$53,'48 KMP -Tháng'!$C$2:$C$53,'18 KMP- Tháng'!$D13)</f>
        <v>282.89573000000001</v>
      </c>
      <c r="AI13" s="5">
        <f>SUMIFS('48 KMP -Tháng'!AK$2:AK$53,'48 KMP -Tháng'!$C$2:$C$53,'18 KMP- Tháng'!$D13)</f>
        <v>195.67146099999999</v>
      </c>
      <c r="AJ13" s="5">
        <f>SUMIFS('48 KMP -Tháng'!AL$2:AL$53,'48 KMP -Tháng'!$C$2:$C$53,'18 KMP- Tháng'!$D13)</f>
        <v>294.51892900000001</v>
      </c>
      <c r="AK13" s="5">
        <f>SUMIFS('48 KMP -Tháng'!AM$2:AM$53,'48 KMP -Tháng'!$C$2:$C$53,'18 KMP- Tháng'!$D13)</f>
        <v>310.99886800000002</v>
      </c>
      <c r="AL13" s="5">
        <f>SUMIFS('48 KMP -Tháng'!AN$2:AN$53,'48 KMP -Tháng'!$C$2:$C$53,'18 KMP- Tháng'!$D13)</f>
        <v>473.82858199999998</v>
      </c>
      <c r="AM13" s="5">
        <f>SUMIFS('48 KMP -Tháng'!AO$2:AO$53,'48 KMP -Tháng'!$C$2:$C$53,'18 KMP- Tháng'!$D13)</f>
        <v>440.19381600000003</v>
      </c>
      <c r="AN13" s="5">
        <f>SUMIFS('48 KMP -Tháng'!AP$2:AP$53,'48 KMP -Tháng'!$C$2:$C$53,'18 KMP- Tháng'!$D13)</f>
        <v>448.54735499999998</v>
      </c>
      <c r="AO13" s="5">
        <f>SUMIFS('48 KMP -Tháng'!AQ$2:AQ$53,'48 KMP -Tháng'!$C$2:$C$53,'18 KMP- Tháng'!$D13)</f>
        <v>466.49071500000002</v>
      </c>
      <c r="AP13" s="5">
        <f>SUMIFS('48 KMP -Tháng'!AR$2:AR$53,'48 KMP -Tháng'!$C$2:$C$53,'18 KMP- Tháng'!$D13)</f>
        <v>176.16390100000001</v>
      </c>
      <c r="AQ13" s="5">
        <f>SUMIFS('48 KMP -Tháng'!AS$2:AS$53,'48 KMP -Tháng'!$C$2:$C$53,'18 KMP- Tháng'!$D13)+SUMIFS('48 KMP -Tháng'!AT$2:AT$53,'48 KMP -Tháng'!$C$2:$C$53,'18 KMP- Tháng'!$D13)</f>
        <v>280.28190499999999</v>
      </c>
      <c r="AR13" s="28">
        <f t="shared" si="3"/>
        <v>314.06303016666669</v>
      </c>
      <c r="AS13" s="5">
        <f>SUMIFS('48 KMP -Tháng'!AV$2:AV$53,'48 KMP -Tháng'!$C$2:$C$53,'18 KMP- Tháng'!$D13)</f>
        <v>252.349603</v>
      </c>
      <c r="AT13" s="5">
        <f>SUMIFS('48 KMP -Tháng'!AW$2:AW$53,'48 KMP -Tháng'!$C$2:$C$53,'18 KMP- Tháng'!$D13)</f>
        <v>80.021953999999994</v>
      </c>
      <c r="AU13" s="5">
        <f>SUMIFS('48 KMP -Tháng'!AX$2:AX$53,'48 KMP -Tháng'!$C$2:$C$53,'18 KMP- Tháng'!$D13)</f>
        <v>348.78599300000002</v>
      </c>
      <c r="AV13" s="5">
        <f>SUMIFS('48 KMP -Tháng'!AY$2:AY$53,'48 KMP -Tháng'!$C$2:$C$53,'18 KMP- Tháng'!$D13)</f>
        <v>458.30997000000002</v>
      </c>
      <c r="AW13" s="5">
        <f>SUMIFS('48 KMP -Tháng'!AZ$2:AZ$53,'48 KMP -Tháng'!$C$2:$C$53,'18 KMP- Tháng'!$D13)</f>
        <v>385.67558700000001</v>
      </c>
      <c r="AX13" s="5">
        <f>SUMIFS('48 KMP -Tháng'!BA$2:BA$53,'48 KMP -Tháng'!$C$2:$C$53,'18 KMP- Tháng'!$D13)</f>
        <v>0</v>
      </c>
      <c r="AY13" s="5">
        <f>SUMIFS('48 KMP -Tháng'!BB$2:BB$53,'48 KMP -Tháng'!$C$2:$C$53,'18 KMP- Tháng'!$D13)</f>
        <v>0</v>
      </c>
      <c r="AZ13" s="5">
        <f>SUMIFS('48 KMP -Tháng'!BC$2:BC$53,'48 KMP -Tháng'!$C$2:$C$53,'18 KMP- Tháng'!$D13)</f>
        <v>0</v>
      </c>
      <c r="BA13" s="5">
        <f>SUMIFS('48 KMP -Tháng'!BD$2:BD$53,'48 KMP -Tháng'!$C$2:$C$53,'18 KMP- Tháng'!$D13)</f>
        <v>0</v>
      </c>
      <c r="BB13" s="5">
        <f>SUMIFS('48 KMP -Tháng'!BE$2:BE$53,'48 KMP -Tháng'!$C$2:$C$53,'18 KMP- Tháng'!$D13)</f>
        <v>0</v>
      </c>
      <c r="BC13" s="5">
        <f>SUMIFS('48 KMP -Tháng'!BF$2:BF$53,'48 KMP -Tháng'!$C$2:$C$53,'18 KMP- Tháng'!$D13)</f>
        <v>0</v>
      </c>
      <c r="BD13" s="5">
        <f>SUMIFS('48 KMP -Tháng'!BG$2:BG$53,'48 KMP -Tháng'!$C$2:$C$53,'18 KMP- Tháng'!$D13)</f>
        <v>0</v>
      </c>
      <c r="BE13" s="28">
        <f t="shared" si="4"/>
        <v>127.09525891666668</v>
      </c>
      <c r="BF13" s="7">
        <f>SUMIFS('48 KMP -Tháng'!BI$2:BI$53,'48 KMP -Tháng'!$C$2:$C$53,'18 KMP- Tháng'!$D13)</f>
        <v>361.99221066181713</v>
      </c>
      <c r="BG13" s="86"/>
      <c r="BH13" s="8">
        <f>SUMIFS('48 KMP -Tháng'!BL:BL,'48 KMP -Tháng'!$C:$C,'18 KMP- Tháng'!$D13)</f>
        <v>452.49026332727141</v>
      </c>
      <c r="BI13" s="8">
        <f>SUMIFS('48 KMP -Tháng'!BM:BM,'48 KMP -Tháng'!$C:$C,'18 KMP- Tháng'!$D13)</f>
        <v>361.99221066181713</v>
      </c>
      <c r="BJ13" s="8">
        <f>SUMIFS('48 KMP -Tháng'!BN:BN,'48 KMP -Tháng'!$C:$C,'18 KMP- Tháng'!$D13)</f>
        <v>471.88270318415442</v>
      </c>
      <c r="BK13" s="8">
        <f>SUMIFS('48 KMP -Tháng'!BO:BO,'48 KMP -Tháng'!$C:$C,'18 KMP- Tháng'!$D13)</f>
        <v>471.88270318415442</v>
      </c>
      <c r="BL13" s="8">
        <f>SUMIFS('48 KMP -Tháng'!BP:BP,'48 KMP -Tháng'!$C:$C,'18 KMP- Tháng'!$D13)</f>
        <v>471.88270318415442</v>
      </c>
      <c r="BM13" s="8">
        <f>SUMIFS('48 KMP -Tháng'!BQ:BQ,'48 KMP -Tháng'!$C:$C,'18 KMP- Tháng'!$D13)</f>
        <v>471.88270318415442</v>
      </c>
      <c r="BN13" s="8">
        <f>SUMIFS('48 KMP -Tháng'!BR:BR,'48 KMP -Tháng'!$C:$C,'18 KMP- Tháng'!$D13)</f>
        <v>496.89225642207646</v>
      </c>
      <c r="BO13" s="8">
        <f>SUMIFS('48 KMP -Tháng'!BS:BS,'48 KMP -Tháng'!$C:$C,'18 KMP- Tháng'!$D13)</f>
        <v>496.89225642207646</v>
      </c>
      <c r="BP13" s="8">
        <f>SUMIFS('48 KMP -Tháng'!BT:BT,'48 KMP -Tháng'!$C:$C,'18 KMP- Tháng'!$D13)</f>
        <v>496.89225642207646</v>
      </c>
      <c r="BQ13" s="8">
        <f>SUMIFS('48 KMP -Tháng'!BU:BU,'48 KMP -Tháng'!$C:$C,'18 KMP- Tháng'!$D13)</f>
        <v>496.89225642207646</v>
      </c>
      <c r="BR13" s="8">
        <f>SUMIFS('48 KMP -Tháng'!BV:BV,'48 KMP -Tháng'!$C:$C,'18 KMP- Tháng'!$D13)</f>
        <v>496.89225642207646</v>
      </c>
      <c r="BS13" s="8">
        <f>SUMIFS('48 KMP -Tháng'!BW:BW,'48 KMP -Tháng'!$C:$C,'18 KMP- Tháng'!$D13)</f>
        <v>496.89225642207646</v>
      </c>
      <c r="BT13" s="8">
        <f t="shared" si="5"/>
        <v>5683.3668252581656</v>
      </c>
    </row>
    <row r="14" spans="1:74" x14ac:dyDescent="0.3">
      <c r="A14" s="105">
        <v>12</v>
      </c>
      <c r="B14" s="3">
        <f t="shared" si="6"/>
        <v>9</v>
      </c>
      <c r="C14" s="3" t="s">
        <v>96</v>
      </c>
      <c r="D14" s="3" t="s">
        <v>42</v>
      </c>
      <c r="E14" s="5">
        <f>SUMIFS('48 KMP -Tháng'!$F$2:$F$53,'48 KMP -Tháng'!$C$2:$C$53,'18 KMP- Tháng'!D14)</f>
        <v>92.851895999999996</v>
      </c>
      <c r="F14" s="5">
        <f>SUMIFS('48 KMP -Tháng'!$G$2:$G$53,'48 KMP -Tháng'!$C$2:$C$53,'18 KMP- Tháng'!D14)</f>
        <v>113.22258100000001</v>
      </c>
      <c r="G14" s="6">
        <f>SUMIFS('48 KMP -Tháng'!$H$2:$H$53,'48 KMP -Tháng'!$C$2:$C$53,'18 KMP- Tháng'!D14)</f>
        <v>159.68341899999999</v>
      </c>
      <c r="H14" s="5">
        <f>SUMIFS('48 KMP -Tháng'!$I$2:$I$53,'48 KMP -Tháng'!$C$2:$C$53,'18 KMP- Tháng'!D14)</f>
        <v>108.30909699999999</v>
      </c>
      <c r="I14" s="5">
        <f>SUMIFS('48 KMP -Tháng'!$J$2:$J$53,'48 KMP -Tháng'!$C$2:$C$53,'18 KMP- Tháng'!D14)</f>
        <v>162.76302200000001</v>
      </c>
      <c r="J14" s="5">
        <f>SUMIFS('48 KMP -Tháng'!$K$2:$K$53,'48 KMP -Tháng'!$C$2:$C$53,'18 KMP- Tháng'!D14)</f>
        <v>193.360625</v>
      </c>
      <c r="K14" s="5">
        <f>SUMIFS('48 KMP -Tháng'!$L$2:$L$53,'48 KMP -Tháng'!$C$2:$C$53,'18 KMP- Tháng'!D14)</f>
        <v>135.11064500000001</v>
      </c>
      <c r="L14" s="5">
        <f>SUMIFS('48 KMP -Tháng'!$M$2:$M$53,'48 KMP -Tháng'!$C$2:$C$53,'18 KMP- Tháng'!D14)</f>
        <v>93.960159000000004</v>
      </c>
      <c r="M14" s="5">
        <f>SUMIFS('48 KMP -Tháng'!$N$2:$N$53,'48 KMP -Tháng'!$C$2:$C$53,'18 KMP- Tháng'!D14)</f>
        <v>59.163989999999998</v>
      </c>
      <c r="N14" s="5">
        <f>SUMIFS('48 KMP -Tháng'!$O$2:$O$53,'48 KMP -Tháng'!$C$2:$C$53,'18 KMP- Tháng'!$D14)</f>
        <v>55.902678999999999</v>
      </c>
      <c r="O14" s="5">
        <f>SUMIFS('48 KMP -Tháng'!$P$2:$P$53,'48 KMP -Tháng'!$C$2:$C$53,'18 KMP- Tháng'!$D14)</f>
        <v>50.242654999999999</v>
      </c>
      <c r="P14" s="5">
        <f>SUMIFS('48 KMP -Tháng'!$Q$2:$Q$53,'48 KMP -Tháng'!$C$2:$C$53,'18 KMP- Tháng'!$D14)</f>
        <v>118.635864</v>
      </c>
      <c r="Q14" s="6">
        <f t="shared" si="0"/>
        <v>111.93388600000002</v>
      </c>
      <c r="R14" s="5">
        <f>SUMIFS('48 KMP -Tháng'!$S$2:$S$53,'48 KMP -Tháng'!$C$2:$C$53,'18 KMP- Tháng'!$D14)</f>
        <v>69.344239000000002</v>
      </c>
      <c r="S14" s="5">
        <f>SUMIFS('48 KMP -Tháng'!$T$2:$T$53,'48 KMP -Tháng'!$C$2:$C$53,'18 KMP- Tháng'!$D14)</f>
        <v>65.696956</v>
      </c>
      <c r="T14" s="5">
        <f>SUMIFS('48 KMP -Tháng'!U$2:U$53,'48 KMP -Tháng'!$C$2:$C$53,'18 KMP- Tháng'!$D14)</f>
        <v>71.977480999999997</v>
      </c>
      <c r="U14" s="5">
        <f>SUMIFS('48 KMP -Tháng'!V$2:V$53,'48 KMP -Tháng'!$C$2:$C$53,'18 KMP- Tháng'!$D14)</f>
        <v>87.504536000000002</v>
      </c>
      <c r="V14" s="5">
        <f>SUMIFS('48 KMP -Tháng'!W$2:W$53,'48 KMP -Tháng'!$C$2:$C$53,'18 KMP- Tháng'!$D14)</f>
        <v>181.65412699999999</v>
      </c>
      <c r="W14" s="5">
        <f>SUMIFS('48 KMP -Tháng'!X$2:X$53,'48 KMP -Tháng'!$C$2:$C$53,'18 KMP- Tháng'!$D14)</f>
        <v>81.847181000000006</v>
      </c>
      <c r="X14" s="5">
        <f>SUMIFS('48 KMP -Tháng'!Y$2:Y$53,'48 KMP -Tháng'!$C$2:$C$53,'18 KMP- Tháng'!$D14)</f>
        <v>73.038004000000001</v>
      </c>
      <c r="Y14" s="5">
        <f>SUMIFS('48 KMP -Tháng'!Z$2:Z$53,'48 KMP -Tháng'!$C$2:$C$53,'18 KMP- Tháng'!$D14)</f>
        <v>79.525662999999994</v>
      </c>
      <c r="Z14" s="5">
        <f>SUMIFS('48 KMP -Tháng'!AA$2:AA$53,'48 KMP -Tháng'!$C$2:$C$53,'18 KMP- Tháng'!$D14)</f>
        <v>60.357999999999997</v>
      </c>
      <c r="AA14" s="5">
        <f>SUMIFS('48 KMP -Tháng'!AB$2:AB$53,'48 KMP -Tháng'!$C$2:$C$53,'18 KMP- Tháng'!$D14)</f>
        <v>87.399765000000002</v>
      </c>
      <c r="AB14" s="5">
        <f>SUMIFS('48 KMP -Tháng'!AC$2:AC$53,'48 KMP -Tháng'!$C$2:$C$53,'18 KMP- Tháng'!$D14)</f>
        <v>74.767274</v>
      </c>
      <c r="AC14" s="5">
        <f>SUMIFS('48 KMP -Tháng'!AD$2:AD$53,'48 KMP -Tháng'!$C$2:$C$53,'18 KMP- Tháng'!$D14)+SUMIFS('48 KMP -Tháng'!$AE$2:$AE$53,'48 KMP -Tháng'!$C$2:$C$53,'18 KMP- Tháng'!D14)</f>
        <v>71.777555000000007</v>
      </c>
      <c r="AD14" s="7">
        <f t="shared" si="1"/>
        <v>1004.8907810000001</v>
      </c>
      <c r="AE14" s="28">
        <f t="shared" si="2"/>
        <v>83.740898416666667</v>
      </c>
      <c r="AF14" s="5">
        <f>SUMIFS('48 KMP -Tháng'!AH$2:AH$53,'48 KMP -Tháng'!$C$2:$C$53,'18 KMP- Tháng'!$D14)</f>
        <v>45.727381999999999</v>
      </c>
      <c r="AG14" s="5">
        <f>SUMIFS('48 KMP -Tháng'!AI$2:AI$53,'48 KMP -Tháng'!$C$2:$C$53,'18 KMP- Tháng'!$D14)</f>
        <v>53.042850000000001</v>
      </c>
      <c r="AH14" s="5">
        <f>SUMIFS('48 KMP -Tháng'!AJ$2:AJ$53,'48 KMP -Tháng'!$C$2:$C$53,'18 KMP- Tháng'!$D14)</f>
        <v>68.456312999999994</v>
      </c>
      <c r="AI14" s="5">
        <f>SUMIFS('48 KMP -Tháng'!AK$2:AK$53,'48 KMP -Tháng'!$C$2:$C$53,'18 KMP- Tháng'!$D14)</f>
        <v>99.335018000000005</v>
      </c>
      <c r="AJ14" s="5">
        <f>SUMIFS('48 KMP -Tháng'!AL$2:AL$53,'48 KMP -Tháng'!$C$2:$C$53,'18 KMP- Tháng'!$D14)</f>
        <v>84.974800999999999</v>
      </c>
      <c r="AK14" s="5">
        <f>SUMIFS('48 KMP -Tháng'!AM$2:AM$53,'48 KMP -Tháng'!$C$2:$C$53,'18 KMP- Tháng'!$D14)</f>
        <v>72.702527000000003</v>
      </c>
      <c r="AL14" s="5">
        <f>SUMIFS('48 KMP -Tháng'!AN$2:AN$53,'48 KMP -Tháng'!$C$2:$C$53,'18 KMP- Tháng'!$D14)</f>
        <v>138.852576</v>
      </c>
      <c r="AM14" s="5">
        <f>SUMIFS('48 KMP -Tháng'!AO$2:AO$53,'48 KMP -Tháng'!$C$2:$C$53,'18 KMP- Tháng'!$D14)</f>
        <v>95.803742</v>
      </c>
      <c r="AN14" s="5">
        <f>SUMIFS('48 KMP -Tháng'!AP$2:AP$53,'48 KMP -Tháng'!$C$2:$C$53,'18 KMP- Tháng'!$D14)</f>
        <v>141.52082899999999</v>
      </c>
      <c r="AO14" s="5">
        <f>SUMIFS('48 KMP -Tháng'!AQ$2:AQ$53,'48 KMP -Tháng'!$C$2:$C$53,'18 KMP- Tháng'!$D14)</f>
        <v>136.74355199999999</v>
      </c>
      <c r="AP14" s="5">
        <f>SUMIFS('48 KMP -Tháng'!AR$2:AR$53,'48 KMP -Tháng'!$C$2:$C$53,'18 KMP- Tháng'!$D14)</f>
        <v>54.052813</v>
      </c>
      <c r="AQ14" s="5">
        <f>SUMIFS('48 KMP -Tháng'!AS$2:AS$53,'48 KMP -Tháng'!$C$2:$C$53,'18 KMP- Tháng'!$D14)+SUMIFS('48 KMP -Tháng'!AT$2:AT$53,'48 KMP -Tháng'!$C$2:$C$53,'18 KMP- Tháng'!$D14)</f>
        <v>79.987669999999994</v>
      </c>
      <c r="AR14" s="28">
        <f t="shared" si="3"/>
        <v>89.266672750000012</v>
      </c>
      <c r="AS14" s="5">
        <f>SUMIFS('48 KMP -Tháng'!AV$2:AV$53,'48 KMP -Tháng'!$C$2:$C$53,'18 KMP- Tháng'!$D14)</f>
        <v>70.029363000000004</v>
      </c>
      <c r="AT14" s="5">
        <f>SUMIFS('48 KMP -Tháng'!AW$2:AW$53,'48 KMP -Tháng'!$C$2:$C$53,'18 KMP- Tháng'!$D14)</f>
        <v>41.454301999999998</v>
      </c>
      <c r="AU14" s="5">
        <f>SUMIFS('48 KMP -Tháng'!AX$2:AX$53,'48 KMP -Tháng'!$C$2:$C$53,'18 KMP- Tháng'!$D14)</f>
        <v>99.310658000000004</v>
      </c>
      <c r="AV14" s="5">
        <f>SUMIFS('48 KMP -Tháng'!AY$2:AY$53,'48 KMP -Tháng'!$C$2:$C$53,'18 KMP- Tháng'!$D14)</f>
        <v>109.596222</v>
      </c>
      <c r="AW14" s="5">
        <f>SUMIFS('48 KMP -Tháng'!AZ$2:AZ$53,'48 KMP -Tháng'!$C$2:$C$53,'18 KMP- Tháng'!$D14)</f>
        <v>84.135278</v>
      </c>
      <c r="AX14" s="5">
        <f>SUMIFS('48 KMP -Tháng'!BA$2:BA$53,'48 KMP -Tháng'!$C$2:$C$53,'18 KMP- Tháng'!$D14)</f>
        <v>0</v>
      </c>
      <c r="AY14" s="5">
        <f>SUMIFS('48 KMP -Tháng'!BB$2:BB$53,'48 KMP -Tháng'!$C$2:$C$53,'18 KMP- Tháng'!$D14)</f>
        <v>0</v>
      </c>
      <c r="AZ14" s="5">
        <f>SUMIFS('48 KMP -Tháng'!BC$2:BC$53,'48 KMP -Tháng'!$C$2:$C$53,'18 KMP- Tháng'!$D14)</f>
        <v>0</v>
      </c>
      <c r="BA14" s="5">
        <f>SUMIFS('48 KMP -Tháng'!BD$2:BD$53,'48 KMP -Tháng'!$C$2:$C$53,'18 KMP- Tháng'!$D14)</f>
        <v>0</v>
      </c>
      <c r="BB14" s="5">
        <f>SUMIFS('48 KMP -Tháng'!BE$2:BE$53,'48 KMP -Tháng'!$C$2:$C$53,'18 KMP- Tháng'!$D14)</f>
        <v>0</v>
      </c>
      <c r="BC14" s="5">
        <f>SUMIFS('48 KMP -Tháng'!BF$2:BF$53,'48 KMP -Tháng'!$C$2:$C$53,'18 KMP- Tháng'!$D14)</f>
        <v>0</v>
      </c>
      <c r="BD14" s="5">
        <f>SUMIFS('48 KMP -Tháng'!BG$2:BG$53,'48 KMP -Tháng'!$C$2:$C$53,'18 KMP- Tháng'!$D14)</f>
        <v>0</v>
      </c>
      <c r="BE14" s="28">
        <f t="shared" si="4"/>
        <v>33.710485250000005</v>
      </c>
      <c r="BF14" s="7">
        <f>SUMIFS('48 KMP -Tháng'!BI$2:BI$53,'48 KMP -Tháng'!$C$2:$C$53,'18 KMP- Tháng'!$D14)</f>
        <v>130.10857906666666</v>
      </c>
      <c r="BG14" s="86"/>
      <c r="BH14" s="8">
        <f>SUMIFS('48 KMP -Tháng'!BL:BL,'48 KMP -Tháng'!$C:$C,'18 KMP- Tháng'!$D14)</f>
        <v>117.85857906666668</v>
      </c>
      <c r="BI14" s="8">
        <f>SUMIFS('48 KMP -Tháng'!BM:BM,'48 KMP -Tháng'!$C:$C,'18 KMP- Tháng'!$D14)</f>
        <v>130.10857906666666</v>
      </c>
      <c r="BJ14" s="8">
        <f>SUMIFS('48 KMP -Tháng'!BN:BN,'48 KMP -Tháng'!$C:$C,'18 KMP- Tháng'!$D14)</f>
        <v>125.92056526666669</v>
      </c>
      <c r="BK14" s="8">
        <f>SUMIFS('48 KMP -Tháng'!BO:BO,'48 KMP -Tháng'!$C:$C,'18 KMP- Tháng'!$D14)</f>
        <v>121.27056526666668</v>
      </c>
      <c r="BL14" s="8">
        <f>SUMIFS('48 KMP -Tháng'!BP:BP,'48 KMP -Tháng'!$C:$C,'18 KMP- Tháng'!$D14)</f>
        <v>122.35857906666668</v>
      </c>
      <c r="BM14" s="8">
        <f>SUMIFS('48 KMP -Tháng'!BQ:BQ,'48 KMP -Tháng'!$C:$C,'18 KMP- Tháng'!$D14)</f>
        <v>133.31656526666669</v>
      </c>
      <c r="BN14" s="8">
        <f>SUMIFS('48 KMP -Tháng'!BR:BR,'48 KMP -Tháng'!$C:$C,'18 KMP- Tháng'!$D14)</f>
        <v>125.77056526666668</v>
      </c>
      <c r="BO14" s="8">
        <f>SUMIFS('48 KMP -Tháng'!BS:BS,'48 KMP -Tháng'!$C:$C,'18 KMP- Tháng'!$D14)</f>
        <v>133.52056526666669</v>
      </c>
      <c r="BP14" s="8">
        <f>SUMIFS('48 KMP -Tháng'!BT:BT,'48 KMP -Tháng'!$C:$C,'18 KMP- Tháng'!$D14)</f>
        <v>122.50857906666668</v>
      </c>
      <c r="BQ14" s="8">
        <f>SUMIFS('48 KMP -Tháng'!BU:BU,'48 KMP -Tháng'!$C:$C,'18 KMP- Tháng'!$D14)</f>
        <v>133.52056526666669</v>
      </c>
      <c r="BR14" s="8">
        <f>SUMIFS('48 KMP -Tháng'!BV:BV,'48 KMP -Tháng'!$C:$C,'18 KMP- Tháng'!$D14)</f>
        <v>121.27056526666668</v>
      </c>
      <c r="BS14" s="8">
        <f>SUMIFS('48 KMP -Tháng'!BW:BW,'48 KMP -Tháng'!$C:$C,'18 KMP- Tháng'!$D14)</f>
        <v>117.85857906666668</v>
      </c>
      <c r="BT14" s="8">
        <f t="shared" si="5"/>
        <v>1505.2828522</v>
      </c>
    </row>
    <row r="15" spans="1:74" x14ac:dyDescent="0.3">
      <c r="A15" s="105">
        <v>13</v>
      </c>
      <c r="B15" s="3">
        <f t="shared" si="6"/>
        <v>10</v>
      </c>
      <c r="C15" s="3" t="s">
        <v>96</v>
      </c>
      <c r="D15" s="3" t="s">
        <v>52</v>
      </c>
      <c r="E15" s="5">
        <f>SUMIFS('48 KMP -Tháng'!$F$2:$F$53,'48 KMP -Tháng'!$C$2:$C$53,'18 KMP- Tháng'!D15)</f>
        <v>148.21799999999999</v>
      </c>
      <c r="F15" s="5">
        <f>SUMIFS('48 KMP -Tháng'!$G$2:$G$53,'48 KMP -Tháng'!$C$2:$C$53,'18 KMP- Tháng'!D15)</f>
        <v>141.316</v>
      </c>
      <c r="G15" s="6">
        <f>SUMIFS('48 KMP -Tháng'!$H$2:$H$53,'48 KMP -Tháng'!$C$2:$C$53,'18 KMP- Tháng'!D15)</f>
        <v>135.04400000000001</v>
      </c>
      <c r="H15" s="5">
        <f>SUMIFS('48 KMP -Tháng'!$I$2:$I$53,'48 KMP -Tháng'!$C$2:$C$53,'18 KMP- Tháng'!D15)</f>
        <v>119.938</v>
      </c>
      <c r="I15" s="5">
        <f>SUMIFS('48 KMP -Tháng'!$J$2:$J$53,'48 KMP -Tháng'!$C$2:$C$53,'18 KMP- Tháng'!D15)</f>
        <v>155.708</v>
      </c>
      <c r="J15" s="5">
        <f>SUMIFS('48 KMP -Tháng'!$K$2:$K$53,'48 KMP -Tháng'!$C$2:$C$53,'18 KMP- Tháng'!D15)</f>
        <v>100.15600000000001</v>
      </c>
      <c r="K15" s="5">
        <f>SUMIFS('48 KMP -Tháng'!$L$2:$L$53,'48 KMP -Tháng'!$C$2:$C$53,'18 KMP- Tháng'!D15)</f>
        <v>110.04</v>
      </c>
      <c r="L15" s="5">
        <f>SUMIFS('48 KMP -Tháng'!$M$2:$M$53,'48 KMP -Tháng'!$C$2:$C$53,'18 KMP- Tháng'!D15)</f>
        <v>130.928</v>
      </c>
      <c r="M15" s="5">
        <f>SUMIFS('48 KMP -Tháng'!$N$2:$N$53,'48 KMP -Tháng'!$C$2:$C$53,'18 KMP- Tháng'!D15)</f>
        <v>129.892</v>
      </c>
      <c r="N15" s="5">
        <f>SUMIFS('48 KMP -Tháng'!$O$2:$O$53,'48 KMP -Tháng'!$C$2:$C$53,'18 KMP- Tháng'!$D15)</f>
        <v>122.262</v>
      </c>
      <c r="O15" s="5">
        <f>SUMIFS('48 KMP -Tháng'!$P$2:$P$53,'48 KMP -Tháng'!$C$2:$C$53,'18 KMP- Tháng'!$D15)</f>
        <v>113.988</v>
      </c>
      <c r="P15" s="5">
        <f>SUMIFS('48 KMP -Tháng'!$Q$2:$Q$53,'48 KMP -Tháng'!$C$2:$C$53,'18 KMP- Tháng'!$D15)</f>
        <v>133.602</v>
      </c>
      <c r="Q15" s="6">
        <f t="shared" si="0"/>
        <v>128.42433333333335</v>
      </c>
      <c r="R15" s="5">
        <f>SUMIFS('48 KMP -Tháng'!$S$2:$S$53,'48 KMP -Tháng'!$C$2:$C$53,'18 KMP- Tháng'!$D15)</f>
        <v>106.229562</v>
      </c>
      <c r="S15" s="5">
        <f>SUMIFS('48 KMP -Tháng'!T$2:T$53,'48 KMP -Tháng'!$C$2:$C$53,'18 KMP- Tháng'!$D15)</f>
        <v>95.315191999999996</v>
      </c>
      <c r="T15" s="5">
        <f>SUMIFS('48 KMP -Tháng'!U$2:U$53,'48 KMP -Tháng'!$C$2:$C$53,'18 KMP- Tháng'!$D15)</f>
        <v>119.124152</v>
      </c>
      <c r="U15" s="5">
        <f>SUMIFS('48 KMP -Tháng'!V$2:V$53,'48 KMP -Tháng'!$C$2:$C$53,'18 KMP- Tháng'!$D15)</f>
        <v>121.11321599999999</v>
      </c>
      <c r="V15" s="5">
        <f>SUMIFS('48 KMP -Tháng'!W$2:W$53,'48 KMP -Tháng'!$C$2:$C$53,'18 KMP- Tháng'!$D15)</f>
        <v>108.694152</v>
      </c>
      <c r="W15" s="5">
        <f>SUMIFS('48 KMP -Tháng'!X$2:X$53,'48 KMP -Tháng'!$C$2:$C$53,'18 KMP- Tháng'!$D15)</f>
        <v>114.626288</v>
      </c>
      <c r="X15" s="5">
        <f>SUMIFS('48 KMP -Tháng'!Y$2:Y$53,'48 KMP -Tháng'!$C$2:$C$53,'18 KMP- Tháng'!$D15)</f>
        <v>91.745695999999995</v>
      </c>
      <c r="Y15" s="5">
        <f>SUMIFS('48 KMP -Tháng'!Z$2:Z$53,'48 KMP -Tháng'!$C$2:$C$53,'18 KMP- Tháng'!$D15)</f>
        <v>93.112375999999998</v>
      </c>
      <c r="Z15" s="5">
        <f>SUMIFS('48 KMP -Tháng'!AA$2:AA$53,'48 KMP -Tháng'!$C$2:$C$53,'18 KMP- Tháng'!$D15)</f>
        <v>86.641295999999997</v>
      </c>
      <c r="AA15" s="5">
        <f>SUMIFS('48 KMP -Tháng'!AB$2:AB$53,'48 KMP -Tháng'!$C$2:$C$53,'18 KMP- Tháng'!$D15)</f>
        <v>106.1704</v>
      </c>
      <c r="AB15" s="5">
        <f>SUMIFS('48 KMP -Tháng'!AC$2:AC$53,'48 KMP -Tháng'!$C$2:$C$53,'18 KMP- Tháng'!$D15)</f>
        <v>120.841448</v>
      </c>
      <c r="AC15" s="5">
        <f>SUMIFS('48 KMP -Tháng'!AD$2:AD$53,'48 KMP -Tháng'!$C$2:$C$53,'18 KMP- Tháng'!$D15)+SUMIFS('48 KMP -Tháng'!$AE$2:$AE$53,'48 KMP -Tháng'!$C$2:$C$53,'18 KMP- Tháng'!D15)</f>
        <v>105.80516799999999</v>
      </c>
      <c r="AD15" s="7">
        <f t="shared" si="1"/>
        <v>1269.418946</v>
      </c>
      <c r="AE15" s="28">
        <f t="shared" si="2"/>
        <v>105.78491216666667</v>
      </c>
      <c r="AF15" s="5">
        <f>SUMIFS('48 KMP -Tháng'!AH$2:AH$53,'48 KMP -Tháng'!$C$2:$C$53,'18 KMP- Tháng'!$D15)</f>
        <v>79.404359999999997</v>
      </c>
      <c r="AG15" s="5">
        <f>SUMIFS('48 KMP -Tháng'!AI$2:AI$53,'48 KMP -Tháng'!$C$2:$C$53,'18 KMP- Tháng'!$D15)</f>
        <v>119.94136</v>
      </c>
      <c r="AH15" s="5">
        <f>SUMIFS('48 KMP -Tháng'!AJ$2:AJ$53,'48 KMP -Tháng'!$C$2:$C$53,'18 KMP- Tháng'!$D15)</f>
        <v>104.151656</v>
      </c>
      <c r="AI15" s="5">
        <f>SUMIFS('48 KMP -Tháng'!AK$2:AK$53,'48 KMP -Tháng'!$C$2:$C$53,'18 KMP- Tháng'!$D15)</f>
        <v>104.034672</v>
      </c>
      <c r="AJ15" s="5">
        <f>SUMIFS('48 KMP -Tháng'!AL$2:AL$53,'48 KMP -Tháng'!$C$2:$C$53,'18 KMP- Tháng'!$D15)</f>
        <v>141.02373600000001</v>
      </c>
      <c r="AK15" s="5">
        <f>SUMIFS('48 KMP -Tháng'!AM$2:AM$53,'48 KMP -Tháng'!$C$2:$C$53,'18 KMP- Tháng'!$D15)</f>
        <v>134.20881600000001</v>
      </c>
      <c r="AL15" s="5">
        <f>SUMIFS('48 KMP -Tháng'!AN$2:AN$53,'48 KMP -Tháng'!$C$2:$C$53,'18 KMP- Tháng'!$D15)</f>
        <v>136.272808</v>
      </c>
      <c r="AM15" s="5">
        <f>SUMIFS('48 KMP -Tháng'!AO$2:AO$53,'48 KMP -Tháng'!$C$2:$C$53,'18 KMP- Tháng'!$D15)</f>
        <v>171.71912800000001</v>
      </c>
      <c r="AN15" s="5">
        <f>SUMIFS('48 KMP -Tháng'!AP$2:AP$53,'48 KMP -Tháng'!$C$2:$C$53,'18 KMP- Tháng'!$D15)</f>
        <v>145.613552</v>
      </c>
      <c r="AO15" s="5">
        <f>SUMIFS('48 KMP -Tháng'!AQ$2:AQ$53,'48 KMP -Tháng'!$C$2:$C$53,'18 KMP- Tháng'!$D15)</f>
        <v>151.58830399999999</v>
      </c>
      <c r="AP15" s="5">
        <f>SUMIFS('48 KMP -Tháng'!AR$2:AR$53,'48 KMP -Tháng'!$C$2:$C$53,'18 KMP- Tháng'!$D15)</f>
        <v>118.740104</v>
      </c>
      <c r="AQ15" s="5">
        <f>SUMIFS('48 KMP -Tháng'!AS$2:AS$53,'48 KMP -Tháng'!$C$2:$C$53,'18 KMP- Tháng'!$D15)+SUMIFS('48 KMP -Tháng'!AT$2:AT$53,'48 KMP -Tháng'!$C$2:$C$53,'18 KMP- Tháng'!$D15)</f>
        <v>108.986192</v>
      </c>
      <c r="AR15" s="28">
        <f t="shared" si="3"/>
        <v>126.30705733333333</v>
      </c>
      <c r="AS15" s="5">
        <f>SUMIFS('48 KMP -Tháng'!AV$2:AV$53,'48 KMP -Tháng'!$C$2:$C$53,'18 KMP- Tháng'!$D15)</f>
        <v>97.199703999999997</v>
      </c>
      <c r="AT15" s="5">
        <f>SUMIFS('48 KMP -Tháng'!AW$2:AW$53,'48 KMP -Tháng'!$C$2:$C$53,'18 KMP- Tháng'!$D15)</f>
        <v>70.051295999999994</v>
      </c>
      <c r="AU15" s="5">
        <f>SUMIFS('48 KMP -Tháng'!AX$2:AX$53,'48 KMP -Tháng'!$C$2:$C$53,'18 KMP- Tháng'!$D15)</f>
        <v>90.323352</v>
      </c>
      <c r="AV15" s="5">
        <f>SUMIFS('48 KMP -Tháng'!AY$2:AY$53,'48 KMP -Tháng'!$C$2:$C$53,'18 KMP- Tháng'!$D15)</f>
        <v>105.708792</v>
      </c>
      <c r="AW15" s="5">
        <f>SUMIFS('48 KMP -Tháng'!AZ$2:AZ$53,'48 KMP -Tháng'!$C$2:$C$53,'18 KMP- Tháng'!$D15)</f>
        <v>105.29355200000001</v>
      </c>
      <c r="AX15" s="5">
        <f>SUMIFS('48 KMP -Tháng'!BA$2:BA$53,'48 KMP -Tháng'!$C$2:$C$53,'18 KMP- Tháng'!$D15)</f>
        <v>0</v>
      </c>
      <c r="AY15" s="5">
        <f>SUMIFS('48 KMP -Tháng'!BB$2:BB$53,'48 KMP -Tháng'!$C$2:$C$53,'18 KMP- Tháng'!$D15)</f>
        <v>0</v>
      </c>
      <c r="AZ15" s="5">
        <f>SUMIFS('48 KMP -Tháng'!BC$2:BC$53,'48 KMP -Tháng'!$C$2:$C$53,'18 KMP- Tháng'!$D15)</f>
        <v>0</v>
      </c>
      <c r="BA15" s="5">
        <f>SUMIFS('48 KMP -Tháng'!BD$2:BD$53,'48 KMP -Tháng'!$C$2:$C$53,'18 KMP- Tháng'!$D15)</f>
        <v>0</v>
      </c>
      <c r="BB15" s="5">
        <f>SUMIFS('48 KMP -Tháng'!BE$2:BE$53,'48 KMP -Tháng'!$C$2:$C$53,'18 KMP- Tháng'!$D15)</f>
        <v>0</v>
      </c>
      <c r="BC15" s="5">
        <f>SUMIFS('48 KMP -Tháng'!BF$2:BF$53,'48 KMP -Tháng'!$C$2:$C$53,'18 KMP- Tháng'!$D15)</f>
        <v>0</v>
      </c>
      <c r="BD15" s="5">
        <f>SUMIFS('48 KMP -Tháng'!BG$2:BG$53,'48 KMP -Tháng'!$C$2:$C$53,'18 KMP- Tháng'!$D15)</f>
        <v>0</v>
      </c>
      <c r="BE15" s="28">
        <f t="shared" si="4"/>
        <v>39.048057999999997</v>
      </c>
      <c r="BF15" s="7">
        <f>SUMIFS('48 KMP -Tháng'!BI$2:BI$53,'48 KMP -Tháng'!$C$2:$C$53,'18 KMP- Tháng'!$D15)</f>
        <v>143.01354816000003</v>
      </c>
      <c r="BG15" s="86"/>
      <c r="BH15" s="8">
        <f>SUMIFS('48 KMP -Tháng'!BL:BL,'48 KMP -Tháng'!$C:$C,'18 KMP- Tháng'!$D15)</f>
        <v>184.84066944000003</v>
      </c>
      <c r="BI15" s="8">
        <f>SUMIFS('48 KMP -Tháng'!BM:BM,'48 KMP -Tháng'!$C:$C,'18 KMP- Tháng'!$D15)</f>
        <v>143.01354816000003</v>
      </c>
      <c r="BJ15" s="8">
        <f>SUMIFS('48 KMP -Tháng'!BN:BN,'48 KMP -Tháng'!$C:$C,'18 KMP- Tháng'!$D15)</f>
        <v>184.84066944000003</v>
      </c>
      <c r="BK15" s="8">
        <f>SUMIFS('48 KMP -Tháng'!BO:BO,'48 KMP -Tháng'!$C:$C,'18 KMP- Tháng'!$D15)</f>
        <v>185.1681384</v>
      </c>
      <c r="BL15" s="8">
        <f>SUMIFS('48 KMP -Tháng'!BP:BP,'48 KMP -Tháng'!$C:$C,'18 KMP- Tháng'!$D15)</f>
        <v>185.39188416000002</v>
      </c>
      <c r="BM15" s="8">
        <f>SUMIFS('48 KMP -Tháng'!BQ:BQ,'48 KMP -Tháng'!$C:$C,'18 KMP- Tháng'!$D15)</f>
        <v>185.1681384</v>
      </c>
      <c r="BN15" s="8">
        <f>SUMIFS('48 KMP -Tháng'!BR:BR,'48 KMP -Tháng'!$C:$C,'18 KMP- Tháng'!$D15)</f>
        <v>188.51543424000008</v>
      </c>
      <c r="BO15" s="8">
        <f>SUMIFS('48 KMP -Tháng'!BS:BS,'48 KMP -Tháng'!$C:$C,'18 KMP- Tháng'!$D15)</f>
        <v>188.51543424000008</v>
      </c>
      <c r="BP15" s="8">
        <f>SUMIFS('48 KMP -Tháng'!BT:BT,'48 KMP -Tháng'!$C:$C,'18 KMP- Tháng'!$D15)</f>
        <v>188.90217360000003</v>
      </c>
      <c r="BQ15" s="8">
        <f>SUMIFS('48 KMP -Tháng'!BU:BU,'48 KMP -Tháng'!$C:$C,'18 KMP- Tháng'!$D15)</f>
        <v>187.59674304000006</v>
      </c>
      <c r="BR15" s="8">
        <f>SUMIFS('48 KMP -Tháng'!BV:BV,'48 KMP -Tháng'!$C:$C,'18 KMP- Tháng'!$D15)</f>
        <v>189.25779600000001</v>
      </c>
      <c r="BS15" s="8">
        <f>SUMIFS('48 KMP -Tháng'!BW:BW,'48 KMP -Tháng'!$C:$C,'18 KMP- Tháng'!$D15)</f>
        <v>187.59674304000006</v>
      </c>
      <c r="BT15" s="8">
        <f t="shared" si="5"/>
        <v>2198.8073721600003</v>
      </c>
    </row>
    <row r="16" spans="1:74" x14ac:dyDescent="0.3">
      <c r="A16" s="105">
        <v>14</v>
      </c>
      <c r="B16" s="3">
        <f t="shared" si="6"/>
        <v>11</v>
      </c>
      <c r="C16" s="3" t="s">
        <v>96</v>
      </c>
      <c r="D16" s="3" t="s">
        <v>55</v>
      </c>
      <c r="E16" s="5">
        <f>SUMIFS('48 KMP -Tháng'!$F$2:$F$53,'48 KMP -Tháng'!$C$2:$C$53,'18 KMP- Tháng'!D16)</f>
        <v>0</v>
      </c>
      <c r="F16" s="5">
        <f>SUMIFS('48 KMP -Tháng'!$G$2:$G$53,'48 KMP -Tháng'!$C$2:$C$53,'18 KMP- Tháng'!D16)</f>
        <v>0</v>
      </c>
      <c r="G16" s="6">
        <f>SUMIFS('48 KMP -Tháng'!$H$2:$H$53,'48 KMP -Tháng'!$C$2:$C$53,'18 KMP- Tháng'!D16)</f>
        <v>0</v>
      </c>
      <c r="H16" s="5">
        <f>SUMIFS('48 KMP -Tháng'!$I$2:$I$53,'48 KMP -Tháng'!$C$2:$C$53,'18 KMP- Tháng'!D16)</f>
        <v>81.42</v>
      </c>
      <c r="I16" s="5">
        <f>SUMIFS('48 KMP -Tháng'!$J$2:$J$53,'48 KMP -Tháng'!$C$2:$C$53,'18 KMP- Tháng'!D16)</f>
        <v>54.022096999999995</v>
      </c>
      <c r="J16" s="5">
        <f>SUMIFS('48 KMP -Tháng'!$K$2:$K$53,'48 KMP -Tháng'!$C$2:$C$53,'18 KMP- Tháng'!D16)</f>
        <v>61.597110999999998</v>
      </c>
      <c r="K16" s="5">
        <f>SUMIFS('48 KMP -Tháng'!$L$2:$L$53,'48 KMP -Tháng'!$C$2:$C$53,'18 KMP- Tháng'!D16)</f>
        <v>33.630000000000003</v>
      </c>
      <c r="L16" s="5">
        <f>SUMIFS('48 KMP -Tháng'!$M$2:$M$53,'48 KMP -Tháng'!$C$2:$C$53,'18 KMP- Tháng'!D16)</f>
        <v>68.504600000000011</v>
      </c>
      <c r="M16" s="5">
        <f>SUMIFS('48 KMP -Tháng'!$N$2:$N$53,'48 KMP -Tháng'!$C$2:$C$53,'18 KMP- Tháng'!D16)</f>
        <v>44.922600000000003</v>
      </c>
      <c r="N16" s="5">
        <f>SUMIFS('48 KMP -Tháng'!$O$2:$O$53,'48 KMP -Tháng'!$C$2:$C$53,'18 KMP- Tháng'!$D16)</f>
        <v>0</v>
      </c>
      <c r="O16" s="5">
        <f>SUMIFS('48 KMP -Tháng'!$P$2:$P$53,'48 KMP -Tháng'!$C$2:$C$53,'18 KMP- Tháng'!$D16)</f>
        <v>22.420062999999999</v>
      </c>
      <c r="P16" s="5">
        <f>SUMIFS('48 KMP -Tháng'!$Q$2:$Q$53,'48 KMP -Tháng'!$C$2:$C$53,'18 KMP- Tháng'!$D16)</f>
        <v>0.13513700000000001</v>
      </c>
      <c r="Q16" s="6">
        <f t="shared" si="0"/>
        <v>30.554300666666666</v>
      </c>
      <c r="R16" s="5">
        <f>SUMIFS('48 KMP -Tháng'!$S$2:$S$53,'48 KMP -Tháng'!$C$2:$C$53,'18 KMP- Tháng'!$D16)</f>
        <v>22.973268999999998</v>
      </c>
      <c r="S16" s="5">
        <f>SUMIFS('48 KMP -Tháng'!T$2:T$53,'48 KMP -Tháng'!$C$2:$C$53,'18 KMP- Tháng'!$D16)</f>
        <v>0</v>
      </c>
      <c r="T16" s="5">
        <f>SUMIFS('48 KMP -Tháng'!U$2:U$53,'48 KMP -Tháng'!$C$2:$C$53,'18 KMP- Tháng'!$D16)</f>
        <v>23.045940000000002</v>
      </c>
      <c r="U16" s="5">
        <f>SUMIFS('48 KMP -Tháng'!V$2:V$53,'48 KMP -Tháng'!$C$2:$C$53,'18 KMP- Tháng'!$D16)</f>
        <v>0</v>
      </c>
      <c r="V16" s="5">
        <f>SUMIFS('48 KMP -Tháng'!W$2:W$53,'48 KMP -Tháng'!$C$2:$C$53,'18 KMP- Tháng'!$D16)</f>
        <v>0</v>
      </c>
      <c r="W16" s="5">
        <f>SUMIFS('48 KMP -Tháng'!X$2:X$53,'48 KMP -Tháng'!$C$2:$C$53,'18 KMP- Tháng'!$D16)</f>
        <v>10.511874000000001</v>
      </c>
      <c r="X16" s="5">
        <f>SUMIFS('48 KMP -Tháng'!Y$2:Y$53,'48 KMP -Tháng'!$C$2:$C$53,'18 KMP- Tháng'!$D16)</f>
        <v>20.243397999999999</v>
      </c>
      <c r="Y16" s="5">
        <f>SUMIFS('48 KMP -Tháng'!Z$2:Z$53,'48 KMP -Tháng'!$C$2:$C$53,'18 KMP- Tháng'!$D16)</f>
        <v>29.591062000000001</v>
      </c>
      <c r="Z16" s="5">
        <f>SUMIFS('48 KMP -Tháng'!AA$2:AA$53,'48 KMP -Tháng'!$C$2:$C$53,'18 KMP- Tháng'!$D16)</f>
        <v>0.11293499999999999</v>
      </c>
      <c r="AA16" s="5">
        <f>SUMIFS('48 KMP -Tháng'!AB$2:AB$53,'48 KMP -Tháng'!$C$2:$C$53,'18 KMP- Tháng'!$D16)</f>
        <v>40.229782999999998</v>
      </c>
      <c r="AB16" s="5">
        <f>SUMIFS('48 KMP -Tháng'!AC$2:AC$53,'48 KMP -Tháng'!$C$2:$C$53,'18 KMP- Tháng'!$D16)</f>
        <v>11.25</v>
      </c>
      <c r="AC16" s="5">
        <f>SUMIFS('48 KMP -Tháng'!AD$2:AD$53,'48 KMP -Tháng'!$C$2:$C$53,'18 KMP- Tháng'!$D16)+SUMIFS('48 KMP -Tháng'!$AE$2:$AE$53,'48 KMP -Tháng'!$C$2:$C$53,'18 KMP- Tháng'!D16)</f>
        <v>7.5</v>
      </c>
      <c r="AD16" s="7">
        <f t="shared" si="1"/>
        <v>165.45826099999999</v>
      </c>
      <c r="AE16" s="28">
        <f t="shared" si="2"/>
        <v>13.788188416666666</v>
      </c>
      <c r="AF16" s="5">
        <f>SUMIFS('48 KMP -Tháng'!AH$2:AH$53,'48 KMP -Tháng'!$C$2:$C$53,'18 KMP- Tháng'!$D16)</f>
        <v>69.350499999999997</v>
      </c>
      <c r="AG16" s="5">
        <f>SUMIFS('48 KMP -Tháng'!AI$2:AI$53,'48 KMP -Tháng'!$C$2:$C$53,'18 KMP- Tháng'!$D16)</f>
        <v>24.741620000000001</v>
      </c>
      <c r="AH16" s="5">
        <f>SUMIFS('48 KMP -Tháng'!AJ$2:AJ$53,'48 KMP -Tháng'!$C$2:$C$53,'18 KMP- Tháng'!$D16)</f>
        <v>27.060865</v>
      </c>
      <c r="AI16" s="5">
        <f>SUMIFS('48 KMP -Tháng'!AK$2:AK$53,'48 KMP -Tháng'!$C$2:$C$53,'18 KMP- Tháng'!$D16)</f>
        <v>59.404617999999999</v>
      </c>
      <c r="AJ16" s="5">
        <f>SUMIFS('48 KMP -Tháng'!AL$2:AL$53,'48 KMP -Tháng'!$C$2:$C$53,'18 KMP- Tháng'!$D16)</f>
        <v>64.824844999999996</v>
      </c>
      <c r="AK16" s="5">
        <f>SUMIFS('48 KMP -Tháng'!AM$2:AM$53,'48 KMP -Tháng'!$C$2:$C$53,'18 KMP- Tháng'!$D16)</f>
        <v>51.009450999999999</v>
      </c>
      <c r="AL16" s="5">
        <f>SUMIFS('48 KMP -Tháng'!AN$2:AN$53,'48 KMP -Tháng'!$C$2:$C$53,'18 KMP- Tháng'!$D16)</f>
        <v>0.13318199999999999</v>
      </c>
      <c r="AM16" s="5">
        <f>SUMIFS('48 KMP -Tháng'!AO$2:AO$53,'48 KMP -Tháng'!$C$2:$C$53,'18 KMP- Tháng'!$D16)</f>
        <v>22.427802</v>
      </c>
      <c r="AN16" s="5">
        <f>SUMIFS('48 KMP -Tháng'!AP$2:AP$53,'48 KMP -Tháng'!$C$2:$C$53,'18 KMP- Tháng'!$D16)</f>
        <v>103.48003300000001</v>
      </c>
      <c r="AO16" s="5">
        <f>SUMIFS('48 KMP -Tháng'!AQ$2:AQ$53,'48 KMP -Tháng'!$C$2:$C$53,'18 KMP- Tháng'!$D16)</f>
        <v>147.881586</v>
      </c>
      <c r="AP16" s="5">
        <f>SUMIFS('48 KMP -Tháng'!AR$2:AR$53,'48 KMP -Tháng'!$C$2:$C$53,'18 KMP- Tháng'!$D16)</f>
        <v>106.00182599999999</v>
      </c>
      <c r="AQ16" s="5">
        <f>SUMIFS('48 KMP -Tháng'!AS$2:AS$53,'48 KMP -Tháng'!$C$2:$C$53,'18 KMP- Tháng'!$D16)+SUMIFS('48 KMP -Tháng'!AT$2:AT$53,'48 KMP -Tháng'!$C$2:$C$53,'18 KMP- Tháng'!$D16)</f>
        <v>124.927651</v>
      </c>
      <c r="AR16" s="28">
        <f t="shared" si="3"/>
        <v>66.770331583333316</v>
      </c>
      <c r="AS16" s="5">
        <f>SUMIFS('48 KMP -Tháng'!AV$2:AV$53,'48 KMP -Tháng'!$C$2:$C$53,'18 KMP- Tháng'!$D16)</f>
        <v>120.08</v>
      </c>
      <c r="AT16" s="5">
        <f>SUMIFS('48 KMP -Tháng'!AW$2:AW$53,'48 KMP -Tháng'!$C$2:$C$53,'18 KMP- Tháng'!$D16)</f>
        <v>39.67</v>
      </c>
      <c r="AU16" s="5">
        <f>SUMIFS('48 KMP -Tháng'!AX$2:AX$53,'48 KMP -Tháng'!$C$2:$C$53,'18 KMP- Tháng'!$D16)</f>
        <v>199.763631</v>
      </c>
      <c r="AV16" s="5">
        <f>SUMIFS('48 KMP -Tháng'!AY$2:AY$53,'48 KMP -Tháng'!$C$2:$C$53,'18 KMP- Tháng'!$D16)</f>
        <v>40.458143</v>
      </c>
      <c r="AW16" s="5">
        <f>SUMIFS('48 KMP -Tháng'!AZ$2:AZ$53,'48 KMP -Tháng'!$C$2:$C$53,'18 KMP- Tháng'!$D16)</f>
        <v>2.6549999999999998</v>
      </c>
      <c r="AX16" s="5">
        <f>SUMIFS('48 KMP -Tháng'!BA$2:BA$53,'48 KMP -Tháng'!$C$2:$C$53,'18 KMP- Tháng'!$D16)</f>
        <v>0</v>
      </c>
      <c r="AY16" s="5">
        <f>SUMIFS('48 KMP -Tháng'!BB$2:BB$53,'48 KMP -Tháng'!$C$2:$C$53,'18 KMP- Tháng'!$D16)</f>
        <v>0</v>
      </c>
      <c r="AZ16" s="5">
        <f>SUMIFS('48 KMP -Tháng'!BC$2:BC$53,'48 KMP -Tháng'!$C$2:$C$53,'18 KMP- Tháng'!$D16)</f>
        <v>0</v>
      </c>
      <c r="BA16" s="5">
        <f>SUMIFS('48 KMP -Tháng'!BD$2:BD$53,'48 KMP -Tháng'!$C$2:$C$53,'18 KMP- Tháng'!$D16)</f>
        <v>0</v>
      </c>
      <c r="BB16" s="5">
        <f>SUMIFS('48 KMP -Tháng'!BE$2:BE$53,'48 KMP -Tháng'!$C$2:$C$53,'18 KMP- Tháng'!$D16)</f>
        <v>0</v>
      </c>
      <c r="BC16" s="5">
        <f>SUMIFS('48 KMP -Tháng'!BF$2:BF$53,'48 KMP -Tháng'!$C$2:$C$53,'18 KMP- Tháng'!$D16)</f>
        <v>0</v>
      </c>
      <c r="BD16" s="5">
        <f>SUMIFS('48 KMP -Tháng'!BG$2:BG$53,'48 KMP -Tháng'!$C$2:$C$53,'18 KMP- Tháng'!$D16)</f>
        <v>0</v>
      </c>
      <c r="BE16" s="28">
        <f t="shared" si="4"/>
        <v>33.552231166666665</v>
      </c>
      <c r="BF16" s="7">
        <f>SUMIFS('48 KMP -Tháng'!BI$2:BI$53,'48 KMP -Tháng'!$C$2:$C$53,'18 KMP- Tháng'!$D16)</f>
        <v>47.074623377166319</v>
      </c>
      <c r="BG16" s="86"/>
      <c r="BH16" s="8">
        <f>SUMIFS('48 KMP -Tháng'!BL:BL,'48 KMP -Tháng'!$C:$C,'18 KMP- Tháng'!$D16)</f>
        <v>55.069493307236243</v>
      </c>
      <c r="BI16" s="8">
        <f>SUMIFS('48 KMP -Tháng'!BM:BM,'48 KMP -Tháng'!$C:$C,'18 KMP- Tháng'!$D16)</f>
        <v>47.074623377166319</v>
      </c>
      <c r="BJ16" s="8">
        <f>SUMIFS('48 KMP -Tháng'!BN:BN,'48 KMP -Tháng'!$C:$C,'18 KMP- Tháng'!$D16)</f>
        <v>49.856552724992397</v>
      </c>
      <c r="BK16" s="8">
        <f>SUMIFS('48 KMP -Tháng'!BO:BO,'48 KMP -Tháng'!$C:$C,'18 KMP- Tháng'!$D16)</f>
        <v>57.851422655062336</v>
      </c>
      <c r="BL16" s="8">
        <f>SUMIFS('48 KMP -Tháng'!BP:BP,'48 KMP -Tháng'!$C:$C,'18 KMP- Tháng'!$D16)</f>
        <v>49.856552724992397</v>
      </c>
      <c r="BM16" s="8">
        <f>SUMIFS('48 KMP -Tháng'!BQ:BQ,'48 KMP -Tháng'!$C:$C,'18 KMP- Tháng'!$D16)</f>
        <v>80.620526828063248</v>
      </c>
      <c r="BN16" s="8">
        <f>SUMIFS('48 KMP -Tháng'!BR:BR,'48 KMP -Tháng'!$C:$C,'18 KMP- Tháng'!$D16)</f>
        <v>59.242387328975376</v>
      </c>
      <c r="BO16" s="8">
        <f>SUMIFS('48 KMP -Tháng'!BS:BS,'48 KMP -Tháng'!$C:$C,'18 KMP- Tháng'!$D16)</f>
        <v>54.02944674673153</v>
      </c>
      <c r="BP16" s="8">
        <f>SUMIFS('48 KMP -Tháng'!BT:BT,'48 KMP -Tháng'!$C:$C,'18 KMP- Tháng'!$D16)</f>
        <v>79.229562154150202</v>
      </c>
      <c r="BQ16" s="8">
        <f>SUMIFS('48 KMP -Tháng'!BU:BU,'48 KMP -Tháng'!$C:$C,'18 KMP- Tháng'!$D16)</f>
        <v>62.024316676801462</v>
      </c>
      <c r="BR16" s="8">
        <f>SUMIFS('48 KMP -Tháng'!BV:BV,'48 KMP -Tháng'!$C:$C,'18 KMP- Tháng'!$D16)</f>
        <v>51.247517398905444</v>
      </c>
      <c r="BS16" s="8">
        <f>SUMIFS('48 KMP -Tháng'!BW:BW,'48 KMP -Tháng'!$C:$C,'18 KMP- Tháng'!$D16)</f>
        <v>54.02944674673153</v>
      </c>
      <c r="BT16" s="8">
        <f t="shared" si="5"/>
        <v>700.13184866980851</v>
      </c>
    </row>
    <row r="17" spans="1:76" s="12" customFormat="1" x14ac:dyDescent="0.3">
      <c r="A17" s="105">
        <v>15</v>
      </c>
      <c r="B17" s="81" t="s">
        <v>164</v>
      </c>
      <c r="C17" s="77" t="s">
        <v>165</v>
      </c>
      <c r="D17" s="77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79"/>
      <c r="BF17" s="79"/>
      <c r="BG17" s="147"/>
      <c r="BH17" s="80"/>
      <c r="BI17" s="80"/>
      <c r="BJ17" s="80"/>
      <c r="BK17" s="80"/>
      <c r="BL17" s="80"/>
      <c r="BM17" s="80"/>
      <c r="BN17" s="80"/>
      <c r="BO17" s="80"/>
      <c r="BP17" s="80"/>
      <c r="BQ17" s="80"/>
      <c r="BR17" s="80"/>
      <c r="BS17" s="80"/>
      <c r="BT17" s="80"/>
    </row>
    <row r="18" spans="1:76" x14ac:dyDescent="0.3">
      <c r="A18" s="105">
        <v>16</v>
      </c>
      <c r="B18" s="3">
        <v>1</v>
      </c>
      <c r="C18" s="3" t="s">
        <v>97</v>
      </c>
      <c r="D18" s="3" t="s">
        <v>169</v>
      </c>
      <c r="E18" s="5">
        <f>SUMIFS('48 KMP -Tháng'!$F$2:$F$53,'48 KMP -Tháng'!$C$2:$C$53,'18 KMP- Tháng'!D18)</f>
        <v>3029.1393939999998</v>
      </c>
      <c r="F18" s="5">
        <f>SUMIFS('48 KMP -Tháng'!$G$2:$G$53,'48 KMP -Tháng'!$C$2:$C$53,'18 KMP- Tháng'!D18)</f>
        <v>3029.1393939999998</v>
      </c>
      <c r="G18" s="6">
        <f>SUMIFS('48 KMP -Tháng'!$H$2:$H$53,'48 KMP -Tháng'!$C$2:$C$53,'18 KMP- Tháng'!D18)</f>
        <v>3029.1393939999998</v>
      </c>
      <c r="H18" s="5">
        <f>SUMIFS('48 KMP -Tháng'!$I$2:$I$53,'48 KMP -Tháng'!$C$2:$C$53,'18 KMP- Tháng'!D18)</f>
        <v>1200</v>
      </c>
      <c r="I18" s="5">
        <f>SUMIFS('48 KMP -Tháng'!$J$2:$J$53,'48 KMP -Tháng'!$C$2:$C$53,'18 KMP- Tháng'!D18)</f>
        <v>1381.636364</v>
      </c>
      <c r="J18" s="5">
        <f>SUMIFS('48 KMP -Tháng'!$K$2:$K$53,'48 KMP -Tháng'!$C$2:$C$53,'18 KMP- Tháng'!D18)</f>
        <v>1317.818182</v>
      </c>
      <c r="K18" s="5">
        <f>SUMIFS('48 KMP -Tháng'!$L$2:$L$53,'48 KMP -Tháng'!$C$2:$C$53,'18 KMP- Tháng'!D18)</f>
        <v>1317.818182</v>
      </c>
      <c r="L18" s="5">
        <f>SUMIFS('48 KMP -Tháng'!$M$2:$M$53,'48 KMP -Tháng'!$C$2:$C$53,'18 KMP- Tháng'!D18)</f>
        <v>1179.4181819999999</v>
      </c>
      <c r="M18" s="5">
        <f>SUMIFS('48 KMP -Tháng'!$N$2:$N$53,'48 KMP -Tháng'!$C$2:$C$53,'18 KMP- Tháng'!D18)</f>
        <v>0</v>
      </c>
      <c r="N18" s="5">
        <f>SUMIFS('48 KMP -Tháng'!$O$2:$O$53,'48 KMP -Tháng'!$C$2:$C$53,'18 KMP- Tháng'!$D18)</f>
        <v>79.418182000000002</v>
      </c>
      <c r="O18" s="5">
        <f>SUMIFS('48 KMP -Tháng'!$P$2:$P$53,'48 KMP -Tháng'!$C$2:$C$53,'18 KMP- Tháng'!$D18)</f>
        <v>79.418182000000002</v>
      </c>
      <c r="P18" s="5">
        <f>SUMIFS('48 KMP -Tháng'!$Q$2:$Q$53,'48 KMP -Tháng'!$C$2:$C$53,'18 KMP- Tháng'!$D18)</f>
        <v>79.418182000000002</v>
      </c>
      <c r="Q18" s="6">
        <f>AVERAGE(E18:P18)</f>
        <v>1310.196969833333</v>
      </c>
      <c r="R18" s="5">
        <f>SUMIFS('48 KMP -Tháng'!$S$2:$S$53,'48 KMP -Tháng'!$C$2:$C$53,'18 KMP- Tháng'!$D18)+154+R29</f>
        <v>5929.4601823333323</v>
      </c>
      <c r="S18" s="5">
        <f>SUMIFS('48 KMP -Tháng'!$T$2:$T$53,'48 KMP -Tháng'!$C$2:$C$53,'18 KMP- Tháng'!$D18)-154+S29</f>
        <v>7529.4601823333323</v>
      </c>
      <c r="T18" s="5">
        <f>SUMIFS('48 KMP -Tháng'!U$2:U$53,'48 KMP -Tháng'!$C$2:$C$53,'18 KMP- Tháng'!$D18)+T29</f>
        <v>7579.4600823333321</v>
      </c>
      <c r="U18" s="5">
        <f>SUMIFS('48 KMP -Tháng'!V$2:V$53,'48 KMP -Tháng'!$C$2:$C$53,'18 KMP- Tháng'!$D18)+U29</f>
        <v>7465.6420003333324</v>
      </c>
      <c r="V18" s="5">
        <f>SUMIFS('48 KMP -Tháng'!W$2:W$53,'48 KMP -Tháng'!$C$2:$C$53,'18 KMP- Tháng'!$D18)+V29</f>
        <v>7691.6420003333324</v>
      </c>
      <c r="W18" s="5">
        <f>SUMIFS('48 KMP -Tháng'!X$2:X$53,'48 KMP -Tháng'!$C$2:$C$53,'18 KMP- Tháng'!$D18)+W29</f>
        <v>7541.6420003333324</v>
      </c>
      <c r="X18" s="5">
        <f>SUMIFS('48 KMP -Tháng'!Y$2:Y$53,'48 KMP -Tháng'!$C$2:$C$53,'18 KMP- Tháng'!$D18)+X29</f>
        <v>7541.6420003333324</v>
      </c>
      <c r="Y18" s="5">
        <f>SUMIFS('48 KMP -Tháng'!Z$2:Z$53,'48 KMP -Tháng'!$C$2:$C$53,'18 KMP- Tháng'!$D18)+Y29</f>
        <v>7541.6420003333324</v>
      </c>
      <c r="Z18" s="5">
        <f>SUMIFS('48 KMP -Tháng'!AA$2:AA$53,'48 KMP -Tháng'!$C$2:$C$53,'18 KMP- Tháng'!$D18)+Z29</f>
        <v>7541.6420003333324</v>
      </c>
      <c r="AA18" s="5">
        <f>SUMIFS('48 KMP -Tháng'!AB$2:AB$53,'48 KMP -Tháng'!$C$2:$C$53,'18 KMP- Tháng'!$D18)+AA29</f>
        <v>6941.6420003333324</v>
      </c>
      <c r="AB18" s="5">
        <f>SUMIFS('48 KMP -Tháng'!AC$2:AC$53,'48 KMP -Tháng'!$C$2:$C$53,'18 KMP- Tháng'!$D18)+AB29</f>
        <v>6791.6420003333324</v>
      </c>
      <c r="AC18" s="308">
        <f>SUMIFS('48 KMP -Tháng'!AD$2:AD$53,'48 KMP -Tháng'!$C$2:$C$53,'18 KMP- Tháng'!$D18)+AC29</f>
        <v>7115.8333383333302</v>
      </c>
      <c r="AD18" s="570">
        <f>SUM(R18:AC18)</f>
        <v>87211.349787999992</v>
      </c>
      <c r="AE18" s="28">
        <f t="shared" si="2"/>
        <v>7267.612482333333</v>
      </c>
      <c r="AF18" s="560">
        <f>SUMIFS('48 KMP -Tháng'!AH$2:AH$53,'48 KMP -Tháng'!$C$2:$C$53,'18 KMP- Tháng'!$D18)+AF29</f>
        <v>7582.8694699999996</v>
      </c>
      <c r="AG18" s="560">
        <f>SUMIFS('48 KMP -Tháng'!AI$2:AI$53,'48 KMP -Tháng'!$C$2:$C$53,'18 KMP- Tháng'!$D18)+AG29</f>
        <v>7582.8694699999996</v>
      </c>
      <c r="AH18" s="560">
        <f>SUMIFS('48 KMP -Tháng'!AJ$2:AJ$53,'48 KMP -Tháng'!$C$2:$C$53,'18 KMP- Tháng'!$D18)+AH29</f>
        <v>7636.8694699999996</v>
      </c>
      <c r="AI18" s="560">
        <f>SUMIFS('48 KMP -Tháng'!AK$2:AK$53,'48 KMP -Tháng'!$C$2:$C$53,'18 KMP- Tháng'!$D18)+AI29</f>
        <v>7486.8694699999996</v>
      </c>
      <c r="AJ18" s="560">
        <f>SUMIFS('48 KMP -Tháng'!AL$2:AL$53,'48 KMP -Tháng'!$C$2:$C$53,'18 KMP- Tháng'!$D18)+AJ29</f>
        <v>7512.8694699999996</v>
      </c>
      <c r="AK18" s="560">
        <f>SUMIFS('48 KMP -Tháng'!AM$2:AM$53,'48 KMP -Tháng'!$C$2:$C$53,'18 KMP- Tháng'!$D18)+AK29</f>
        <v>8266.7444390000001</v>
      </c>
      <c r="AL18" s="560">
        <f>SUMIFS('48 KMP -Tháng'!AN$2:AN$53,'48 KMP -Tháng'!$C$2:$C$53,'18 KMP- Tháng'!$D18)+AL29</f>
        <v>8544.6585909999994</v>
      </c>
      <c r="AM18" s="560">
        <f>SUMIFS('48 KMP -Tháng'!AO$2:AO$53,'48 KMP -Tháng'!$C$2:$C$53,'18 KMP- Tháng'!$D18)+AM29</f>
        <v>8994.6585909999994</v>
      </c>
      <c r="AN18" s="560">
        <f>SUMIFS('48 KMP -Tháng'!AP$2:AP$53,'48 KMP -Tháng'!$C$2:$C$53,'18 KMP- Tháng'!$D18)+AN29</f>
        <v>8994.6585909999994</v>
      </c>
      <c r="AO18" s="560">
        <f>SUMIFS('48 KMP -Tháng'!AQ$2:AQ$53,'48 KMP -Tháng'!$C$2:$C$53,'18 KMP- Tháng'!$D18)+AO29</f>
        <v>8994.6585909999994</v>
      </c>
      <c r="AP18" s="560">
        <f>SUMIFS('48 KMP -Tháng'!AR$2:AR$53,'48 KMP -Tháng'!$C$2:$C$53,'18 KMP- Tháng'!$D18)+AP29</f>
        <v>8994.6585909999994</v>
      </c>
      <c r="AQ18" s="560">
        <f>SUMIFS('48 KMP -Tháng'!AS$2:AS$53,'48 KMP -Tháng'!$C$2:$C$53,'18 KMP- Tháng'!$D18)+AQ29</f>
        <v>8099.6585910000003</v>
      </c>
      <c r="AR18" s="28">
        <f t="shared" si="3"/>
        <v>8224.3369445833323</v>
      </c>
      <c r="AS18" s="560">
        <f>SUMIFS('48 KMP -Tháng'!AV$2:AV$53,'48 KMP -Tháng'!$C$2:$C$53,'18 KMP- Tháng'!$D18)+AS29</f>
        <v>9266.6666700000005</v>
      </c>
      <c r="AT18" s="560">
        <f>SUMIFS('48 KMP -Tháng'!AW$2:AW$53,'48 KMP -Tháng'!$C$2:$C$53,'18 KMP- Tháng'!$D18)+AT29</f>
        <v>9266.6666700000005</v>
      </c>
      <c r="AU18" s="560">
        <f>SUMIFS('48 KMP -Tháng'!AX$2:AX$53,'48 KMP -Tháng'!$C$2:$C$53,'18 KMP- Tháng'!$D18)+AU29</f>
        <v>9266.6666700000005</v>
      </c>
      <c r="AV18" s="560">
        <f>SUMIFS('48 KMP -Tháng'!AY$2:AY$53,'48 KMP -Tháng'!$C$2:$C$53,'18 KMP- Tháng'!$D18)+AV29</f>
        <v>9266.6666700000005</v>
      </c>
      <c r="AW18" s="560">
        <f>SUMIFS('48 KMP -Tháng'!AZ$2:AZ$53,'48 KMP -Tháng'!$C$2:$C$53,'18 KMP- Tháng'!$D18)+AW29</f>
        <v>9266.666663</v>
      </c>
      <c r="AX18" s="560">
        <f>SUMIFS('48 KMP -Tháng'!BA$2:BA$53,'48 KMP -Tháng'!$C$2:$C$53,'18 KMP- Tháng'!$D18)+AX29</f>
        <v>0</v>
      </c>
      <c r="AY18" s="560">
        <f>SUMIFS('48 KMP -Tháng'!BB$2:BB$53,'48 KMP -Tháng'!$C$2:$C$53,'18 KMP- Tháng'!$D18)+AY29</f>
        <v>0</v>
      </c>
      <c r="AZ18" s="560">
        <f>SUMIFS('48 KMP -Tháng'!BC$2:BC$53,'48 KMP -Tháng'!$C$2:$C$53,'18 KMP- Tháng'!$D18)+AZ29</f>
        <v>0</v>
      </c>
      <c r="BA18" s="560">
        <f>SUMIFS('48 KMP -Tháng'!BD$2:BD$53,'48 KMP -Tháng'!$C$2:$C$53,'18 KMP- Tháng'!$D18)+BA29</f>
        <v>0</v>
      </c>
      <c r="BB18" s="560">
        <f>SUMIFS('48 KMP -Tháng'!BE$2:BE$53,'48 KMP -Tháng'!$C$2:$C$53,'18 KMP- Tháng'!$D18)+BB29</f>
        <v>0</v>
      </c>
      <c r="BC18" s="560">
        <f>SUMIFS('48 KMP -Tháng'!BF$2:BF$53,'48 KMP -Tháng'!$C$2:$C$53,'18 KMP- Tháng'!$D18)+BC29</f>
        <v>0</v>
      </c>
      <c r="BD18" s="560">
        <f>SUMIFS('48 KMP -Tháng'!BG$2:BG$53,'48 KMP -Tháng'!$C$2:$C$53,'18 KMP- Tháng'!$D18)+BD29</f>
        <v>0</v>
      </c>
      <c r="BE18" s="28">
        <f t="shared" ref="BE18:BE25" si="7">AVERAGE(AS18:BD18)</f>
        <v>3861.1111119166671</v>
      </c>
      <c r="BF18" s="7">
        <f>SUMIFS('48 KMP -Tháng'!BI$2:BI$53,'48 KMP -Tháng'!$C$2:$C$53,'18 KMP- Tháng'!$D18)</f>
        <v>5750</v>
      </c>
      <c r="BG18" s="86"/>
      <c r="BH18" s="8">
        <f>SUMIFS('48 KMP -Tháng'!BL:BL,'48 KMP -Tháng'!$C:$C,'18 KMP- Tháng'!$D18)</f>
        <v>5750</v>
      </c>
      <c r="BI18" s="8">
        <f>SUMIFS('48 KMP -Tháng'!BM:BM,'48 KMP -Tháng'!$C:$C,'18 KMP- Tháng'!$D18)</f>
        <v>5750</v>
      </c>
      <c r="BJ18" s="8">
        <f>SUMIFS('48 KMP -Tháng'!BN:BN,'48 KMP -Tháng'!$C:$C,'18 KMP- Tháng'!$D18)</f>
        <v>5750</v>
      </c>
      <c r="BK18" s="8">
        <f>SUMIFS('48 KMP -Tháng'!BO:BO,'48 KMP -Tháng'!$C:$C,'18 KMP- Tháng'!$D18)</f>
        <v>5750</v>
      </c>
      <c r="BL18" s="8">
        <f>SUMIFS('48 KMP -Tháng'!BP:BP,'48 KMP -Tháng'!$C:$C,'18 KMP- Tháng'!$D18)</f>
        <v>5750</v>
      </c>
      <c r="BM18" s="8">
        <f>SUMIFS('48 KMP -Tháng'!BQ:BQ,'48 KMP -Tháng'!$C:$C,'18 KMP- Tháng'!$D18)</f>
        <v>5750</v>
      </c>
      <c r="BN18" s="8">
        <f>SUMIFS('48 KMP -Tháng'!BR:BR,'48 KMP -Tháng'!$C:$C,'18 KMP- Tháng'!$D18)</f>
        <v>5750</v>
      </c>
      <c r="BO18" s="8">
        <f>SUMIFS('48 KMP -Tháng'!BS:BS,'48 KMP -Tháng'!$C:$C,'18 KMP- Tháng'!$D18)</f>
        <v>5750</v>
      </c>
      <c r="BP18" s="8">
        <f>SUMIFS('48 KMP -Tháng'!BT:BT,'48 KMP -Tháng'!$C:$C,'18 KMP- Tháng'!$D18)</f>
        <v>5750</v>
      </c>
      <c r="BQ18" s="8">
        <f>SUMIFS('48 KMP -Tháng'!BU:BU,'48 KMP -Tháng'!$C:$C,'18 KMP- Tháng'!$D18)</f>
        <v>5750</v>
      </c>
      <c r="BR18" s="8">
        <f>SUMIFS('48 KMP -Tháng'!BV:BV,'48 KMP -Tháng'!$C:$C,'18 KMP- Tháng'!$D18)</f>
        <v>5750</v>
      </c>
      <c r="BS18" s="8">
        <f>SUMIFS('48 KMP -Tháng'!BW:BW,'48 KMP -Tháng'!$C:$C,'18 KMP- Tháng'!$D18)</f>
        <v>5750</v>
      </c>
      <c r="BT18" s="8">
        <f t="shared" ref="BT18:BT24" si="8">SUM(BH18:BS18)</f>
        <v>69000</v>
      </c>
      <c r="BV18" s="9"/>
      <c r="BW18" s="9"/>
      <c r="BX18" s="9"/>
    </row>
    <row r="19" spans="1:76" x14ac:dyDescent="0.3">
      <c r="A19" s="105">
        <v>17</v>
      </c>
      <c r="B19" s="3">
        <f t="shared" ref="B19:B24" si="9">B18+1</f>
        <v>2</v>
      </c>
      <c r="C19" s="3" t="s">
        <v>97</v>
      </c>
      <c r="D19" s="3" t="s">
        <v>48</v>
      </c>
      <c r="E19" s="5">
        <f>SUMIFS('48 KMP -Tháng'!$F$2:$F$53,'48 KMP -Tháng'!$C$2:$C$53,'18 KMP- Tháng'!D19)</f>
        <v>6125.5390770000004</v>
      </c>
      <c r="F19" s="5">
        <f>SUMIFS('48 KMP -Tháng'!$G$2:$G$53,'48 KMP -Tháng'!$C$2:$C$53,'18 KMP- Tháng'!D19)</f>
        <v>6126.0910359999998</v>
      </c>
      <c r="G19" s="6">
        <f>SUMIFS('48 KMP -Tháng'!$H$2:$H$53,'48 KMP -Tháng'!$C$2:$C$53,'18 KMP- Tháng'!D19)</f>
        <v>6407.0904010000004</v>
      </c>
      <c r="H19" s="5">
        <f>SUMIFS('48 KMP -Tháng'!$I$2:$I$53,'48 KMP -Tháng'!$C$2:$C$53,'18 KMP- Tháng'!D19)</f>
        <v>7043.8874960000003</v>
      </c>
      <c r="I19" s="5">
        <f>SUMIFS('48 KMP -Tháng'!$J$2:$J$53,'48 KMP -Tháng'!$C$2:$C$53,'18 KMP- Tháng'!D19)</f>
        <v>7372.1250959999998</v>
      </c>
      <c r="J19" s="5">
        <f>SUMIFS('48 KMP -Tháng'!$K$2:$K$53,'48 KMP -Tháng'!$C$2:$C$53,'18 KMP- Tháng'!D19)</f>
        <v>7571.593116</v>
      </c>
      <c r="K19" s="5">
        <f>SUMIFS('48 KMP -Tháng'!$L$2:$L$53,'48 KMP -Tháng'!$C$2:$C$53,'18 KMP- Tháng'!D19)</f>
        <v>7495.9041289999996</v>
      </c>
      <c r="L19" s="5">
        <f>SUMIFS('48 KMP -Tháng'!$M$2:$M$53,'48 KMP -Tháng'!$C$2:$C$53,'18 KMP- Tháng'!D19)</f>
        <v>8307.0938870000009</v>
      </c>
      <c r="M19" s="5">
        <f>SUMIFS('48 KMP -Tháng'!$N$2:$N$53,'48 KMP -Tháng'!$C$2:$C$53,'18 KMP- Tháng'!D19)</f>
        <v>8042.3777319999999</v>
      </c>
      <c r="N19" s="5">
        <f>SUMIFS('48 KMP -Tháng'!$O$2:$O$53,'48 KMP -Tháng'!$C$2:$C$53,'18 KMP- Tháng'!$D19)</f>
        <v>7933.8950500000001</v>
      </c>
      <c r="O19" s="5">
        <f>SUMIFS('48 KMP -Tháng'!$P$2:$P$53,'48 KMP -Tháng'!$C$2:$C$53,'18 KMP- Tháng'!$D19)</f>
        <v>8291.7686730000005</v>
      </c>
      <c r="P19" s="5">
        <f>SUMIFS('48 KMP -Tháng'!$Q$2:$Q$53,'48 KMP -Tháng'!$C$2:$C$53,'18 KMP- Tháng'!$D19)</f>
        <v>8517.5400150000005</v>
      </c>
      <c r="Q19" s="6">
        <f t="shared" si="0"/>
        <v>7436.2421423333353</v>
      </c>
      <c r="R19" s="5">
        <f>SUMIFS('48 KMP -Tháng'!$S$2:$S$53,'48 KMP -Tháng'!$C$2:$C$53,'18 KMP- Tháng'!$D19)</f>
        <v>6073.4928609999997</v>
      </c>
      <c r="S19" s="5">
        <f>SUMIFS('48 KMP -Tháng'!$T$2:$T$53,'48 KMP -Tháng'!$C$2:$C$53,'18 KMP- Tháng'!$D19)</f>
        <v>5327.4856149999996</v>
      </c>
      <c r="T19" s="5">
        <f>SUMIFS('48 KMP -Tháng'!U$2:U$53,'48 KMP -Tháng'!$C$2:$C$53,'18 KMP- Tháng'!$D19)</f>
        <v>5623.891971</v>
      </c>
      <c r="U19" s="5">
        <f>SUMIFS('48 KMP -Tháng'!V$2:V$53,'48 KMP -Tháng'!$C$2:$C$53,'18 KMP- Tháng'!$D19)</f>
        <v>6329.4198649999998</v>
      </c>
      <c r="V19" s="5">
        <f>SUMIFS('48 KMP -Tháng'!W$2:W$53,'48 KMP -Tháng'!$C$2:$C$53,'18 KMP- Tháng'!$D19)</f>
        <v>6582.0558250000004</v>
      </c>
      <c r="W19" s="5">
        <f>SUMIFS('48 KMP -Tháng'!X$2:X$53,'48 KMP -Tháng'!$C$2:$C$53,'18 KMP- Tháng'!$D19)</f>
        <v>6501.2386399999996</v>
      </c>
      <c r="X19" s="5">
        <f>SUMIFS('48 KMP -Tháng'!Y$2:Y$53,'48 KMP -Tháng'!$C$2:$C$53,'18 KMP- Tháng'!$D19)</f>
        <v>6209.0240169999997</v>
      </c>
      <c r="Y19" s="5">
        <f>SUMIFS('48 KMP -Tháng'!Z$2:Z$53,'48 KMP -Tháng'!$C$2:$C$53,'18 KMP- Tháng'!$D19)</f>
        <v>6269.393822</v>
      </c>
      <c r="Z19" s="5">
        <f>SUMIFS('48 KMP -Tháng'!AA$2:AA$53,'48 KMP -Tháng'!$C$2:$C$53,'18 KMP- Tháng'!$D19)</f>
        <v>6638.2907679999998</v>
      </c>
      <c r="AA19" s="5">
        <f>SUMIFS('48 KMP -Tháng'!AB$2:AB$53,'48 KMP -Tháng'!$C$2:$C$53,'18 KMP- Tháng'!$D19)</f>
        <v>6894.8505660000001</v>
      </c>
      <c r="AB19" s="5">
        <f>SUMIFS('48 KMP -Tháng'!AC$2:AC$53,'48 KMP -Tháng'!$C$2:$C$53,'18 KMP- Tháng'!$D19)</f>
        <v>7084.2907859999996</v>
      </c>
      <c r="AC19" s="5">
        <f>SUMIFS('48 KMP -Tháng'!AD$2:AD$53,'48 KMP -Tháng'!$C$2:$C$53,'18 KMP- Tháng'!$D19)+SUMIFS('48 KMP -Tháng'!$AE$2:$AE$53,'48 KMP -Tháng'!$C$2:$C$53,'18 KMP- Tháng'!D19)</f>
        <v>7756.3366020000003</v>
      </c>
      <c r="AD19" s="7">
        <f t="shared" si="1"/>
        <v>77289.771337999991</v>
      </c>
      <c r="AE19" s="28">
        <f t="shared" si="2"/>
        <v>6440.8142781666656</v>
      </c>
      <c r="AF19" s="5">
        <f>SUMIFS('48 KMP -Tháng'!AH$2:AH$53,'48 KMP -Tháng'!$C$2:$C$53,'18 KMP- Tháng'!$D19)</f>
        <v>7630.4551659999997</v>
      </c>
      <c r="AG19" s="5">
        <f>SUMIFS('48 KMP -Tháng'!AI$2:AI$53,'48 KMP -Tháng'!$C$2:$C$53,'18 KMP- Tháng'!$D19)</f>
        <v>7418.3427659999998</v>
      </c>
      <c r="AH19" s="5">
        <f>SUMIFS('48 KMP -Tháng'!AJ$2:AJ$53,'48 KMP -Tháng'!$C$2:$C$53,'18 KMP- Tháng'!$D19)</f>
        <v>7287.9359670000003</v>
      </c>
      <c r="AI19" s="5">
        <f>SUMIFS('48 KMP -Tháng'!AK$2:AK$53,'48 KMP -Tháng'!$C$2:$C$53,'18 KMP- Tháng'!$D19)</f>
        <v>7981.2928599999996</v>
      </c>
      <c r="AJ19" s="5">
        <f>SUMIFS('48 KMP -Tháng'!AL$2:AL$53,'48 KMP -Tháng'!$C$2:$C$53,'18 KMP- Tháng'!$D19)</f>
        <v>8206.672869</v>
      </c>
      <c r="AK19" s="5">
        <f>SUMIFS('48 KMP -Tháng'!AM$2:AM$53,'48 KMP -Tháng'!$C$2:$C$53,'18 KMP- Tháng'!$D19)</f>
        <v>8358.0732530000005</v>
      </c>
      <c r="AL19" s="5">
        <f>SUMIFS('48 KMP -Tháng'!AN$2:AN$53,'48 KMP -Tháng'!$C$2:$C$53,'18 KMP- Tháng'!$D19)</f>
        <v>9244.9189229999993</v>
      </c>
      <c r="AM19" s="5">
        <f>SUMIFS('48 KMP -Tháng'!AO$2:AO$53,'48 KMP -Tháng'!$C$2:$C$53,'18 KMP- Tháng'!$D19)</f>
        <v>8836.0536200000006</v>
      </c>
      <c r="AN19" s="5">
        <f>SUMIFS('48 KMP -Tháng'!AP$2:AP$53,'48 KMP -Tháng'!$C$2:$C$53,'18 KMP- Tháng'!$D19)</f>
        <v>9581.7786539999997</v>
      </c>
      <c r="AO19" s="5">
        <f>SUMIFS('48 KMP -Tháng'!AQ$2:AQ$53,'48 KMP -Tháng'!$C$2:$C$53,'18 KMP- Tháng'!$D19)</f>
        <v>8652.1705660000007</v>
      </c>
      <c r="AP19" s="5">
        <f>SUMIFS('48 KMP -Tháng'!AR$2:AR$53,'48 KMP -Tháng'!$C$2:$C$53,'18 KMP- Tháng'!$D19)</f>
        <v>8011.0479109999997</v>
      </c>
      <c r="AQ19" s="5">
        <f>SUMIFS('48 KMP -Tháng'!AS$2:AS$53,'48 KMP -Tháng'!$C$2:$C$53,'18 KMP- Tháng'!$D19)+SUMIFS('48 KMP -Tháng'!AT$2:AT$53,'48 KMP -Tháng'!$C$2:$C$53,'18 KMP- Tháng'!$D19)</f>
        <v>9246.6498609999999</v>
      </c>
      <c r="AR19" s="28">
        <f t="shared" si="3"/>
        <v>8371.2827013333335</v>
      </c>
      <c r="AS19" s="5">
        <f>SUMIFS('48 KMP -Tháng'!AV$2:AV$53,'48 KMP -Tháng'!$C$2:$C$53,'18 KMP- Tháng'!$D19)</f>
        <v>8188.3542829999997</v>
      </c>
      <c r="AT19" s="5">
        <f>SUMIFS('48 KMP -Tháng'!AW$2:AW$53,'48 KMP -Tháng'!$C$2:$C$53,'18 KMP- Tháng'!$D19)</f>
        <v>7018.1271100000004</v>
      </c>
      <c r="AU19" s="5">
        <f>SUMIFS('48 KMP -Tháng'!AX$2:AX$53,'48 KMP -Tháng'!$C$2:$C$53,'18 KMP- Tháng'!$D19)</f>
        <v>4582.358819</v>
      </c>
      <c r="AV19" s="5">
        <f>SUMIFS('48 KMP -Tháng'!AY$2:AY$53,'48 KMP -Tháng'!$C$2:$C$53,'18 KMP- Tháng'!$D19)</f>
        <v>8507.0222049999993</v>
      </c>
      <c r="AW19" s="5">
        <f>SUMIFS('48 KMP -Tháng'!AZ$2:AZ$53,'48 KMP -Tháng'!$C$2:$C$53,'18 KMP- Tháng'!$D19)</f>
        <v>8185.7246560000003</v>
      </c>
      <c r="AX19" s="5">
        <f>SUMIFS('48 KMP -Tháng'!BA$2:BA$53,'48 KMP -Tháng'!$C$2:$C$53,'18 KMP- Tháng'!$D19)</f>
        <v>0</v>
      </c>
      <c r="AY19" s="5">
        <f>SUMIFS('48 KMP -Tháng'!BB$2:BB$53,'48 KMP -Tháng'!$C$2:$C$53,'18 KMP- Tháng'!$D19)</f>
        <v>0</v>
      </c>
      <c r="AZ19" s="5">
        <f>SUMIFS('48 KMP -Tháng'!BC$2:BC$53,'48 KMP -Tháng'!$C$2:$C$53,'18 KMP- Tháng'!$D19)</f>
        <v>0</v>
      </c>
      <c r="BA19" s="5">
        <f>SUMIFS('48 KMP -Tháng'!BD$2:BD$53,'48 KMP -Tháng'!$C$2:$C$53,'18 KMP- Tháng'!$D19)</f>
        <v>0</v>
      </c>
      <c r="BB19" s="5">
        <f>SUMIFS('48 KMP -Tháng'!BE$2:BE$53,'48 KMP -Tháng'!$C$2:$C$53,'18 KMP- Tháng'!$D19)</f>
        <v>0</v>
      </c>
      <c r="BC19" s="5">
        <f>SUMIFS('48 KMP -Tháng'!BF$2:BF$53,'48 KMP -Tháng'!$C$2:$C$53,'18 KMP- Tháng'!$D19)</f>
        <v>0</v>
      </c>
      <c r="BD19" s="5">
        <f>SUMIFS('48 KMP -Tháng'!BG$2:BG$53,'48 KMP -Tháng'!$C$2:$C$53,'18 KMP- Tháng'!$D19)</f>
        <v>0</v>
      </c>
      <c r="BE19" s="28">
        <f t="shared" si="7"/>
        <v>3040.1322560833328</v>
      </c>
      <c r="BF19" s="7">
        <f>SUMIFS('48 KMP -Tháng'!BI$2:BI$53,'48 KMP -Tháng'!$C$2:$C$53,'18 KMP- Tháng'!$D19)</f>
        <v>9278.2257079999999</v>
      </c>
      <c r="BG19" s="86"/>
      <c r="BH19" s="8">
        <f>SUMIFS('48 KMP -Tháng'!BL:BL,'48 KMP -Tháng'!$C:$C,'18 KMP- Tháng'!$D19)</f>
        <v>9539.0331763653849</v>
      </c>
      <c r="BI19" s="8">
        <f>SUMIFS('48 KMP -Tháng'!BM:BM,'48 KMP -Tháng'!$C:$C,'18 KMP- Tháng'!$D19)</f>
        <v>9278.2257079999999</v>
      </c>
      <c r="BJ19" s="8">
        <f>SUMIFS('48 KMP -Tháng'!BN:BN,'48 KMP -Tháng'!$C:$C,'18 KMP- Tháng'!$D19)</f>
        <v>9010.1469253846153</v>
      </c>
      <c r="BK19" s="8">
        <f>SUMIFS('48 KMP -Tháng'!BO:BO,'48 KMP -Tháng'!$C:$C,'18 KMP- Tháng'!$D19)</f>
        <v>9803.136994769231</v>
      </c>
      <c r="BL19" s="8">
        <f>SUMIFS('48 KMP -Tháng'!BP:BP,'48 KMP -Tháng'!$C:$C,'18 KMP- Tháng'!$D19)</f>
        <v>9369.8931213076939</v>
      </c>
      <c r="BM19" s="8">
        <f>SUMIFS('48 KMP -Tháng'!BQ:BQ,'48 KMP -Tháng'!$C:$C,'18 KMP- Tháng'!$D19)</f>
        <v>9844.1966404615378</v>
      </c>
      <c r="BN19" s="8">
        <f>SUMIFS('48 KMP -Tháng'!BR:BR,'48 KMP -Tháng'!$C:$C,'18 KMP- Tháng'!$D19)</f>
        <v>9597.9467935384619</v>
      </c>
      <c r="BO19" s="8">
        <f>SUMIFS('48 KMP -Tháng'!BS:BS,'48 KMP -Tháng'!$C:$C,'18 KMP- Tháng'!$D19)</f>
        <v>9602.6762322307695</v>
      </c>
      <c r="BP19" s="8">
        <f>SUMIFS('48 KMP -Tháng'!BT:BT,'48 KMP -Tháng'!$C:$C,'18 KMP- Tháng'!$D19)</f>
        <v>9866.0116400000006</v>
      </c>
      <c r="BQ19" s="8">
        <f>SUMIFS('48 KMP -Tháng'!BU:BU,'48 KMP -Tháng'!$C:$C,'18 KMP- Tháng'!$D19)</f>
        <v>9398.6225113076925</v>
      </c>
      <c r="BR19" s="8">
        <f>SUMIFS('48 KMP -Tháng'!BV:BV,'48 KMP -Tháng'!$C:$C,'18 KMP- Tháng'!$D19)</f>
        <v>9888.7564864615379</v>
      </c>
      <c r="BS19" s="8">
        <f>SUMIFS('48 KMP -Tháng'!BW:BW,'48 KMP -Tháng'!$C:$C,'18 KMP- Tháng'!$D19)</f>
        <v>9646.0542322307683</v>
      </c>
      <c r="BT19" s="8">
        <f t="shared" si="8"/>
        <v>114844.70046205769</v>
      </c>
    </row>
    <row r="20" spans="1:76" x14ac:dyDescent="0.3">
      <c r="A20" s="105">
        <v>5</v>
      </c>
      <c r="B20" s="3">
        <f t="shared" si="9"/>
        <v>3</v>
      </c>
      <c r="C20" s="3" t="s">
        <v>97</v>
      </c>
      <c r="D20" s="3" t="s">
        <v>16</v>
      </c>
      <c r="E20" s="5">
        <f>SUMIFS('48 KMP -Tháng'!$F$2:$F$53,'48 KMP -Tháng'!$C$2:$C$53,'18 KMP- Tháng'!D20)</f>
        <v>1999.745032</v>
      </c>
      <c r="F20" s="5">
        <f>SUMIFS('48 KMP -Tháng'!$G$2:$G$53,'48 KMP -Tháng'!$C$2:$C$53,'18 KMP- Tháng'!D20)</f>
        <v>2159.0866270000001</v>
      </c>
      <c r="G20" s="6">
        <f>SUMIFS('48 KMP -Tháng'!$H$2:$H$53,'48 KMP -Tháng'!$C$2:$C$53,'18 KMP- Tháng'!D20)</f>
        <v>2355.4122550000002</v>
      </c>
      <c r="H20" s="5">
        <f>SUMIFS('48 KMP -Tháng'!$I$2:$I$53,'48 KMP -Tháng'!$C$2:$C$53,'18 KMP- Tháng'!D20)</f>
        <v>2503.34139</v>
      </c>
      <c r="I20" s="5">
        <f>SUMIFS('48 KMP -Tháng'!$J$2:$J$53,'48 KMP -Tháng'!$C$2:$C$53,'18 KMP- Tháng'!D20)</f>
        <v>2453.5862940000002</v>
      </c>
      <c r="J20" s="5">
        <f>SUMIFS('48 KMP -Tháng'!$K$2:$K$53,'48 KMP -Tháng'!$C$2:$C$53,'18 KMP- Tháng'!D20)</f>
        <v>2496.0810230000002</v>
      </c>
      <c r="K20" s="5">
        <f>SUMIFS('48 KMP -Tháng'!$L$2:$L$53,'48 KMP -Tháng'!$C$2:$C$53,'18 KMP- Tháng'!D20)</f>
        <v>2605.8116279999999</v>
      </c>
      <c r="L20" s="5">
        <f>SUMIFS('48 KMP -Tháng'!$M$2:$M$53,'48 KMP -Tháng'!$C$2:$C$53,'18 KMP- Tháng'!D20)</f>
        <v>2747.3790829999998</v>
      </c>
      <c r="M20" s="5">
        <f>SUMIFS('48 KMP -Tháng'!$N$2:$N$53,'48 KMP -Tháng'!$C$2:$C$53,'18 KMP- Tháng'!D20)</f>
        <v>2849.3270080000002</v>
      </c>
      <c r="N20" s="5">
        <f>SUMIFS('48 KMP -Tháng'!$O$2:$O$53,'48 KMP -Tháng'!$C$2:$C$53,'18 KMP- Tháng'!$D20)</f>
        <v>2883.5538980000001</v>
      </c>
      <c r="O20" s="5">
        <f>SUMIFS('48 KMP -Tháng'!$P$2:$P$53,'48 KMP -Tháng'!$C$2:$C$53,'18 KMP- Tháng'!$D20)</f>
        <v>2888.0607730000002</v>
      </c>
      <c r="P20" s="5">
        <f>SUMIFS('48 KMP -Tháng'!$Q$2:$Q$53,'48 KMP -Tháng'!$C$2:$C$53,'18 KMP- Tháng'!$D20)</f>
        <v>3035.1713089999998</v>
      </c>
      <c r="Q20" s="6">
        <f>AVERAGE(E20:P20)</f>
        <v>2581.3796933333338</v>
      </c>
      <c r="R20" s="5">
        <f>SUMIFS('48 KMP -Tháng'!$S$2:$S$53,'48 KMP -Tháng'!$C$2:$C$53,'18 KMP- Tháng'!$D20)</f>
        <v>2858.544093</v>
      </c>
      <c r="S20" s="5">
        <f>SUMIFS('48 KMP -Tháng'!T$2:T$53,'48 KMP -Tháng'!$C$2:$C$53,'18 KMP- Tháng'!$D20)</f>
        <v>2863.423346</v>
      </c>
      <c r="T20" s="5">
        <f>SUMIFS('48 KMP -Tháng'!U$2:U$53,'48 KMP -Tháng'!$C$2:$C$53,'18 KMP- Tháng'!$D20)</f>
        <v>2863.4951820000001</v>
      </c>
      <c r="U20" s="5">
        <f>SUMIFS('48 KMP -Tháng'!V$2:V$53,'48 KMP -Tháng'!$C$2:$C$53,'18 KMP- Tháng'!$D20)</f>
        <v>2985.926919</v>
      </c>
      <c r="V20" s="5">
        <f>SUMIFS('48 KMP -Tháng'!W$2:W$53,'48 KMP -Tháng'!$C$2:$C$53,'18 KMP- Tháng'!$D20)</f>
        <v>3039.160644</v>
      </c>
      <c r="W20" s="5">
        <f>SUMIFS('48 KMP -Tháng'!X$2:X$53,'48 KMP -Tháng'!$C$2:$C$53,'18 KMP- Tháng'!$D20)</f>
        <v>3042.3351680000001</v>
      </c>
      <c r="X20" s="5">
        <f>SUMIFS('48 KMP -Tháng'!Y$2:Y$53,'48 KMP -Tháng'!$C$2:$C$53,'18 KMP- Tháng'!$D20)</f>
        <v>3076.391627</v>
      </c>
      <c r="Y20" s="5">
        <f>SUMIFS('48 KMP -Tháng'!Z$2:Z$53,'48 KMP -Tháng'!$C$2:$C$53,'18 KMP- Tháng'!$D20)</f>
        <v>3097.32494</v>
      </c>
      <c r="Z20" s="5">
        <f>SUMIFS('48 KMP -Tháng'!AA$2:AA$53,'48 KMP -Tháng'!$C$2:$C$53,'18 KMP- Tháng'!$D20)</f>
        <v>3236.6067619999999</v>
      </c>
      <c r="AA20" s="5">
        <f>SUMIFS('48 KMP -Tháng'!AB$2:AB$53,'48 KMP -Tháng'!$C$2:$C$53,'18 KMP- Tháng'!$D20)</f>
        <v>3236.6875519999999</v>
      </c>
      <c r="AB20" s="5">
        <f>SUMIFS('48 KMP -Tháng'!AC$2:AC$53,'48 KMP -Tháng'!$C$2:$C$53,'18 KMP- Tháng'!$D20)</f>
        <v>3251.798088</v>
      </c>
      <c r="AC20" s="5">
        <f>SUMIFS('48 KMP -Tháng'!AD$2:AD$53,'48 KMP -Tháng'!$C$2:$C$53,'18 KMP- Tháng'!$D20)+SUMIFS('48 KMP -Tháng'!$AE$2:$AE$53,'48 KMP -Tháng'!$C$2:$C$53,'18 KMP- Tháng'!D20)</f>
        <v>3545.8212290000001</v>
      </c>
      <c r="AD20" s="570">
        <f>SUM(R20:AC20)</f>
        <v>37097.515550000004</v>
      </c>
      <c r="AE20" s="28">
        <f t="shared" si="2"/>
        <v>3091.4596291666671</v>
      </c>
      <c r="AF20" s="5">
        <f>SUMIFS('48 KMP -Tháng'!AH$2:AH$53,'48 KMP -Tháng'!$C$2:$C$53,'18 KMP- Tháng'!$D20)</f>
        <v>3572.7668819999999</v>
      </c>
      <c r="AG20" s="5">
        <f>SUMIFS('48 KMP -Tháng'!AI$2:AI$53,'48 KMP -Tháng'!$C$2:$C$53,'18 KMP- Tháng'!$D20)</f>
        <v>3574.3113269999999</v>
      </c>
      <c r="AH20" s="5">
        <f>SUMIFS('48 KMP -Tháng'!AJ$2:AJ$53,'48 KMP -Tháng'!$C$2:$C$53,'18 KMP- Tháng'!$D20)</f>
        <v>3768.3419640000002</v>
      </c>
      <c r="AI20" s="5">
        <f>SUMIFS('48 KMP -Tháng'!AK$2:AK$53,'48 KMP -Tháng'!$C$2:$C$53,'18 KMP- Tháng'!$D20)</f>
        <v>3654.4486769999999</v>
      </c>
      <c r="AJ20" s="5">
        <f>SUMIFS('48 KMP -Tháng'!AL$2:AL$53,'48 KMP -Tháng'!$C$2:$C$53,'18 KMP- Tháng'!$D20)</f>
        <v>3841.1077319999999</v>
      </c>
      <c r="AK20" s="5">
        <f>SUMIFS('48 KMP -Tháng'!AM$2:AM$53,'48 KMP -Tháng'!$C$2:$C$53,'18 KMP- Tháng'!$D20)</f>
        <v>3837.2882890000001</v>
      </c>
      <c r="AL20" s="5">
        <f>SUMIFS('48 KMP -Tháng'!AN$2:AN$53,'48 KMP -Tháng'!$C$2:$C$53,'18 KMP- Tháng'!$D20)</f>
        <v>3844.5911019999999</v>
      </c>
      <c r="AM20" s="5">
        <f>SUMIFS('48 KMP -Tháng'!AO$2:AO$53,'48 KMP -Tháng'!$C$2:$C$53,'18 KMP- Tháng'!$D20)</f>
        <v>3844.3518469999999</v>
      </c>
      <c r="AN20" s="5">
        <f>SUMIFS('48 KMP -Tháng'!AP$2:AP$53,'48 KMP -Tháng'!$C$2:$C$53,'18 KMP- Tháng'!$D20)</f>
        <v>4163.7774639999998</v>
      </c>
      <c r="AO20" s="5">
        <f>SUMIFS('48 KMP -Tháng'!AQ$2:AQ$53,'48 KMP -Tháng'!$C$2:$C$53,'18 KMP- Tháng'!$D20)</f>
        <v>3970.961581</v>
      </c>
      <c r="AP20" s="5">
        <f>SUMIFS('48 KMP -Tháng'!AR$2:AR$53,'48 KMP -Tháng'!$C$2:$C$53,'18 KMP- Tháng'!$D20)</f>
        <v>4132.0554480000001</v>
      </c>
      <c r="AQ20" s="5">
        <f>SUMIFS('48 KMP -Tháng'!AS$2:AS$53,'48 KMP -Tháng'!$C$2:$C$53,'18 KMP- Tháng'!$D20)+SUMIFS('48 KMP -Tháng'!AT$2:AT$53,'48 KMP -Tháng'!$C$2:$C$53,'18 KMP- Tháng'!$D20)</f>
        <v>4161.3882309999999</v>
      </c>
      <c r="AR20" s="28">
        <f t="shared" si="3"/>
        <v>3863.782545333333</v>
      </c>
      <c r="AS20" s="5">
        <f>SUMIFS('48 KMP -Tháng'!AV$2:AV$53,'48 KMP -Tháng'!$C$2:$C$53,'18 KMP- Tháng'!$D20)</f>
        <v>2044.939335</v>
      </c>
      <c r="AT20" s="5">
        <f>SUMIFS('48 KMP -Tháng'!AW$2:AW$53,'48 KMP -Tháng'!$C$2:$C$53,'18 KMP- Tháng'!$D20)</f>
        <v>2013.980354</v>
      </c>
      <c r="AU20" s="5">
        <f>SUMIFS('48 KMP -Tháng'!AX$2:AX$53,'48 KMP -Tháng'!$C$2:$C$53,'18 KMP- Tháng'!$D20)</f>
        <v>2036.7416499999999</v>
      </c>
      <c r="AV20" s="5">
        <f>SUMIFS('48 KMP -Tháng'!AY$2:AY$53,'48 KMP -Tháng'!$C$2:$C$53,'18 KMP- Tháng'!$D20)</f>
        <v>2196.3093429999999</v>
      </c>
      <c r="AW20" s="5">
        <f>SUMIFS('48 KMP -Tháng'!AZ$2:AZ$53,'48 KMP -Tháng'!$C$2:$C$53,'18 KMP- Tháng'!$D20)</f>
        <v>2247.3982420000002</v>
      </c>
      <c r="AX20" s="5">
        <f>SUMIFS('48 KMP -Tháng'!BA$2:BA$53,'48 KMP -Tháng'!$C$2:$C$53,'18 KMP- Tháng'!$D20)</f>
        <v>0</v>
      </c>
      <c r="AY20" s="5">
        <f>SUMIFS('48 KMP -Tháng'!BB$2:BB$53,'48 KMP -Tháng'!$C$2:$C$53,'18 KMP- Tháng'!$D20)</f>
        <v>0</v>
      </c>
      <c r="AZ20" s="5">
        <f>SUMIFS('48 KMP -Tháng'!BC$2:BC$53,'48 KMP -Tháng'!$C$2:$C$53,'18 KMP- Tháng'!$D20)</f>
        <v>0</v>
      </c>
      <c r="BA20" s="5">
        <f>SUMIFS('48 KMP -Tháng'!BD$2:BD$53,'48 KMP -Tháng'!$C$2:$C$53,'18 KMP- Tháng'!$D20)</f>
        <v>0</v>
      </c>
      <c r="BB20" s="5">
        <f>SUMIFS('48 KMP -Tháng'!BE$2:BE$53,'48 KMP -Tháng'!$C$2:$C$53,'18 KMP- Tháng'!$D20)</f>
        <v>0</v>
      </c>
      <c r="BC20" s="5">
        <f>SUMIFS('48 KMP -Tháng'!BF$2:BF$53,'48 KMP -Tháng'!$C$2:$C$53,'18 KMP- Tháng'!$D20)</f>
        <v>0</v>
      </c>
      <c r="BD20" s="5">
        <f>SUMIFS('48 KMP -Tháng'!BG$2:BG$53,'48 KMP -Tháng'!$C$2:$C$53,'18 KMP- Tháng'!$D20)</f>
        <v>0</v>
      </c>
      <c r="BE20" s="28">
        <f t="shared" si="7"/>
        <v>878.28074366666658</v>
      </c>
      <c r="BF20" s="7">
        <f>SUMIFS('48 KMP -Tháng'!BI$2:BI$53,'48 KMP -Tháng'!$C$2:$C$53,'18 KMP- Tháng'!$D20)</f>
        <v>5605.816359582137</v>
      </c>
      <c r="BG20" s="86"/>
      <c r="BH20" s="8">
        <f>SUMIFS('48 KMP -Tháng'!BL:BL,'48 KMP -Tháng'!$C:$C,'18 KMP- Tháng'!$D20)</f>
        <v>5221.4244075821371</v>
      </c>
      <c r="BI20" s="8">
        <f>SUMIFS('48 KMP -Tháng'!BM:BM,'48 KMP -Tháng'!$C:$C,'18 KMP- Tháng'!$D20)</f>
        <v>5605.816359582137</v>
      </c>
      <c r="BJ20" s="8">
        <f>SUMIFS('48 KMP -Tháng'!BN:BN,'48 KMP -Tháng'!$C:$C,'18 KMP- Tháng'!$D20)</f>
        <v>5690.9189125821367</v>
      </c>
      <c r="BK20" s="8">
        <f>SUMIFS('48 KMP -Tháng'!BO:BO,'48 KMP -Tháng'!$C:$C,'18 KMP- Tháng'!$D20)</f>
        <v>5725.1591905821369</v>
      </c>
      <c r="BL20" s="8">
        <f>SUMIFS('48 KMP -Tháng'!BP:BP,'48 KMP -Tháng'!$C:$C,'18 KMP- Tháng'!$D20)</f>
        <v>5741.1122465821372</v>
      </c>
      <c r="BM20" s="8">
        <f>SUMIFS('48 KMP -Tháng'!BQ:BQ,'48 KMP -Tháng'!$C:$C,'18 KMP- Tháng'!$D20)</f>
        <v>5883.087384582137</v>
      </c>
      <c r="BN20" s="8">
        <f>SUMIFS('48 KMP -Tháng'!BR:BR,'48 KMP -Tháng'!$C:$C,'18 KMP- Tháng'!$D20)</f>
        <v>5883.087384582137</v>
      </c>
      <c r="BO20" s="8">
        <f>SUMIFS('48 KMP -Tháng'!BS:BS,'48 KMP -Tháng'!$C:$C,'18 KMP- Tháng'!$D20)</f>
        <v>5883.087384582137</v>
      </c>
      <c r="BP20" s="8">
        <f>SUMIFS('48 KMP -Tháng'!BT:BT,'48 KMP -Tháng'!$C:$C,'18 KMP- Tháng'!$D20)</f>
        <v>5883.087384582137</v>
      </c>
      <c r="BQ20" s="8">
        <f>SUMIFS('48 KMP -Tháng'!BU:BU,'48 KMP -Tháng'!$C:$C,'18 KMP- Tháng'!$D20)</f>
        <v>5883.087384582137</v>
      </c>
      <c r="BR20" s="8">
        <f>SUMIFS('48 KMP -Tháng'!BV:BV,'48 KMP -Tháng'!$C:$C,'18 KMP- Tháng'!$D20)</f>
        <v>5883.087384582137</v>
      </c>
      <c r="BS20" s="8">
        <f>SUMIFS('48 KMP -Tháng'!BW:BW,'48 KMP -Tháng'!$C:$C,'18 KMP- Tháng'!$D20)</f>
        <v>5895.3623845821367</v>
      </c>
      <c r="BT20" s="8">
        <f t="shared" si="8"/>
        <v>69178.317808985637</v>
      </c>
    </row>
    <row r="21" spans="1:76" x14ac:dyDescent="0.3">
      <c r="A21" s="105">
        <v>18</v>
      </c>
      <c r="B21" s="3">
        <f t="shared" si="9"/>
        <v>4</v>
      </c>
      <c r="C21" s="3" t="s">
        <v>97</v>
      </c>
      <c r="D21" s="3" t="s">
        <v>36</v>
      </c>
      <c r="E21" s="5">
        <f>SUMIFS('48 KMP -Tháng'!$F$2:$F$53,'48 KMP -Tháng'!$C$2:$C$53,'18 KMP- Tháng'!D21)</f>
        <v>630.61573399999986</v>
      </c>
      <c r="F21" s="5">
        <f>SUMIFS('48 KMP -Tháng'!$G$2:$G$53,'48 KMP -Tháng'!$C$2:$C$53,'18 KMP- Tháng'!D21)</f>
        <v>854.1576580000002</v>
      </c>
      <c r="G21" s="6">
        <f>SUMIFS('48 KMP -Tháng'!$H$2:$H$53,'48 KMP -Tháng'!$C$2:$C$53,'18 KMP- Tháng'!D21)</f>
        <v>966.39520199999981</v>
      </c>
      <c r="H21" s="5">
        <f>SUMIFS('48 KMP -Tháng'!$I$2:$I$53,'48 KMP -Tháng'!$C$2:$C$53,'18 KMP- Tháng'!D21)</f>
        <v>754.47364200000004</v>
      </c>
      <c r="I21" s="5">
        <f>SUMIFS('48 KMP -Tháng'!$J$2:$J$53,'48 KMP -Tháng'!$C$2:$C$53,'18 KMP- Tháng'!D21)</f>
        <v>658.77374900000007</v>
      </c>
      <c r="J21" s="5">
        <f>SUMIFS('48 KMP -Tháng'!$K$2:$K$53,'48 KMP -Tháng'!$C$2:$C$53,'18 KMP- Tháng'!D21)</f>
        <v>768.27695300000005</v>
      </c>
      <c r="K21" s="5">
        <f>SUMIFS('48 KMP -Tháng'!$L$2:$L$53,'48 KMP -Tháng'!$C$2:$C$53,'18 KMP- Tháng'!D21)</f>
        <v>802.81471999999985</v>
      </c>
      <c r="L21" s="5">
        <f>SUMIFS('48 KMP -Tháng'!$M$2:$M$53,'48 KMP -Tháng'!$C$2:$C$53,'18 KMP- Tháng'!D21)</f>
        <v>656.1743909999999</v>
      </c>
      <c r="M21" s="5">
        <f>SUMIFS('48 KMP -Tháng'!$N$2:$N$53,'48 KMP -Tháng'!$C$2:$C$53,'18 KMP- Tháng'!D21)</f>
        <v>591.34523200000001</v>
      </c>
      <c r="N21" s="5">
        <f>SUMIFS('48 KMP -Tháng'!$O$2:$O$53,'48 KMP -Tháng'!$C$2:$C$53,'18 KMP- Tháng'!$D21)</f>
        <v>628.2454120000001</v>
      </c>
      <c r="O21" s="5">
        <f>SUMIFS('48 KMP -Tháng'!$P$2:$P$53,'48 KMP -Tháng'!$C$2:$C$53,'18 KMP- Tháng'!$D21)</f>
        <v>639.27243399999986</v>
      </c>
      <c r="P21" s="5">
        <f>SUMIFS('48 KMP -Tháng'!$Q$2:$Q$53,'48 KMP -Tháng'!$C$2:$C$53,'18 KMP- Tháng'!$D21)</f>
        <v>1090.457459</v>
      </c>
      <c r="Q21" s="6">
        <f t="shared" si="0"/>
        <v>753.4168821666666</v>
      </c>
      <c r="R21" s="5">
        <f>SUMIFS('48 KMP -Tháng'!$S$2:$S$53,'48 KMP -Tháng'!$C$2:$C$53,'18 KMP- Tháng'!$D21)</f>
        <v>131.210769</v>
      </c>
      <c r="S21" s="5">
        <f>SUMIFS('48 KMP -Tháng'!$T$2:$T$53,'48 KMP -Tháng'!$C$2:$C$53,'18 KMP- Tháng'!$D21)</f>
        <v>180.74259799999999</v>
      </c>
      <c r="T21" s="5">
        <f>SUMIFS('48 KMP -Tháng'!U$2:U$53,'48 KMP -Tháng'!$C$2:$C$53,'18 KMP- Tháng'!$D21)</f>
        <v>206.01249599999997</v>
      </c>
      <c r="U21" s="5">
        <f>SUMIFS('48 KMP -Tháng'!V$2:V$53,'48 KMP -Tháng'!$C$2:$C$53,'18 KMP- Tháng'!$D21)</f>
        <v>230.52595599999998</v>
      </c>
      <c r="V21" s="5">
        <f>SUMIFS('48 KMP -Tháng'!W$2:W$53,'48 KMP -Tháng'!$C$2:$C$53,'18 KMP- Tháng'!$D21)</f>
        <v>228.19252499999996</v>
      </c>
      <c r="W21" s="5">
        <f>SUMIFS('48 KMP -Tháng'!X$2:X$53,'48 KMP -Tháng'!$C$2:$C$53,'18 KMP- Tháng'!$D21)</f>
        <v>219.52153400000003</v>
      </c>
      <c r="X21" s="5">
        <f>SUMIFS('48 KMP -Tháng'!Y$2:Y$53,'48 KMP -Tháng'!$C$2:$C$53,'18 KMP- Tháng'!$D21)</f>
        <v>210.42664500000004</v>
      </c>
      <c r="Y21" s="5">
        <f>SUMIFS('48 KMP -Tháng'!Z$2:Z$53,'48 KMP -Tháng'!$C$2:$C$53,'18 KMP- Tháng'!$D21)</f>
        <v>234.972218</v>
      </c>
      <c r="Z21" s="5">
        <f>SUMIFS('48 KMP -Tháng'!AA$2:AA$53,'48 KMP -Tháng'!$C$2:$C$53,'18 KMP- Tháng'!$D21)</f>
        <v>187.086457</v>
      </c>
      <c r="AA21" s="5">
        <f>SUMIFS('48 KMP -Tháng'!AB$2:AB$53,'48 KMP -Tháng'!$C$2:$C$53,'18 KMP- Tháng'!$D21)</f>
        <v>234.67086900000001</v>
      </c>
      <c r="AB21" s="5">
        <f>SUMIFS('48 KMP -Tháng'!AC$2:AC$53,'48 KMP -Tháng'!$C$2:$C$53,'18 KMP- Tháng'!$D21)</f>
        <v>271.48286099999996</v>
      </c>
      <c r="AC21" s="5">
        <f>SUMIFS('48 KMP -Tháng'!AD$2:AD$53,'48 KMP -Tháng'!$C$2:$C$53,'18 KMP- Tháng'!$D21)+SUMIFS('48 KMP -Tháng'!$AE$2:$AE$53,'48 KMP -Tháng'!$C$2:$C$53,'18 KMP- Tháng'!D21)</f>
        <v>393.78090400000002</v>
      </c>
      <c r="AD21" s="7">
        <f t="shared" si="1"/>
        <v>2728.6258319999997</v>
      </c>
      <c r="AE21" s="28">
        <f t="shared" si="2"/>
        <v>227.38548599999999</v>
      </c>
      <c r="AF21" s="5">
        <f>SUMIFS('48 KMP -Tháng'!AH$2:AH$53,'48 KMP -Tháng'!$C$2:$C$53,'18 KMP- Tháng'!$D21)</f>
        <v>407.86211399999996</v>
      </c>
      <c r="AG21" s="5">
        <f>SUMIFS('48 KMP -Tháng'!AI$2:AI$53,'48 KMP -Tháng'!$C$2:$C$53,'18 KMP- Tháng'!$D21)</f>
        <v>363.49893600000001</v>
      </c>
      <c r="AH21" s="5">
        <f>SUMIFS('48 KMP -Tháng'!AJ$2:AJ$53,'48 KMP -Tháng'!$C$2:$C$53,'18 KMP- Tháng'!$D21)</f>
        <v>408.98959699999995</v>
      </c>
      <c r="AI21" s="5">
        <f>SUMIFS('48 KMP -Tháng'!AK$2:AK$53,'48 KMP -Tháng'!$C$2:$C$53,'18 KMP- Tháng'!$D21)</f>
        <v>345.36312299999997</v>
      </c>
      <c r="AJ21" s="5">
        <f>SUMIFS('48 KMP -Tháng'!AL$2:AL$53,'48 KMP -Tháng'!$C$2:$C$53,'18 KMP- Tháng'!$D21)</f>
        <v>348.18176699999998</v>
      </c>
      <c r="AK21" s="5">
        <f>SUMIFS('48 KMP -Tháng'!AM$2:AM$53,'48 KMP -Tháng'!$C$2:$C$53,'18 KMP- Tháng'!$D21)</f>
        <v>677.55413499999997</v>
      </c>
      <c r="AL21" s="5">
        <f>SUMIFS('48 KMP -Tháng'!AN$2:AN$53,'48 KMP -Tháng'!$C$2:$C$53,'18 KMP- Tháng'!$D21)</f>
        <v>702.19951900000001</v>
      </c>
      <c r="AM21" s="5">
        <f>SUMIFS('48 KMP -Tháng'!AO$2:AO$53,'48 KMP -Tháng'!$C$2:$C$53,'18 KMP- Tháng'!$D21)</f>
        <v>663.37157000000002</v>
      </c>
      <c r="AN21" s="5">
        <f>SUMIFS('48 KMP -Tháng'!AP$2:AP$53,'48 KMP -Tháng'!$C$2:$C$53,'18 KMP- Tháng'!$D21)</f>
        <v>644.74571600000002</v>
      </c>
      <c r="AO21" s="5">
        <f>SUMIFS('48 KMP -Tháng'!AQ$2:AQ$53,'48 KMP -Tháng'!$C$2:$C$53,'18 KMP- Tháng'!$D21)</f>
        <v>926.9186289999999</v>
      </c>
      <c r="AP21" s="5">
        <f>SUMIFS('48 KMP -Tháng'!AR$2:AR$53,'48 KMP -Tháng'!$C$2:$C$53,'18 KMP- Tháng'!$D21)</f>
        <v>618.54695500000003</v>
      </c>
      <c r="AQ21" s="5">
        <f>SUMIFS('48 KMP -Tháng'!AS$2:AS$53,'48 KMP -Tháng'!$C$2:$C$53,'18 KMP- Tháng'!$D21)+SUMIFS('48 KMP -Tháng'!AT$2:AT$53,'48 KMP -Tháng'!$C$2:$C$53,'18 KMP- Tháng'!$D21)</f>
        <v>556.22009099999991</v>
      </c>
      <c r="AR21" s="28">
        <f t="shared" si="3"/>
        <v>555.28767933333336</v>
      </c>
      <c r="AS21" s="5">
        <f>SUMIFS('48 KMP -Tháng'!AV$2:AV$53,'48 KMP -Tháng'!$C$2:$C$53,'18 KMP- Tháng'!$D21)</f>
        <v>660.81040299999995</v>
      </c>
      <c r="AT21" s="5">
        <f>SUMIFS('48 KMP -Tháng'!AW$2:AW$53,'48 KMP -Tháng'!$C$2:$C$53,'18 KMP- Tháng'!$D21)</f>
        <v>495.21601699999997</v>
      </c>
      <c r="AU21" s="5">
        <f>SUMIFS('48 KMP -Tháng'!AX$2:AX$53,'48 KMP -Tháng'!$C$2:$C$53,'18 KMP- Tháng'!$D21)</f>
        <v>489.98578899999995</v>
      </c>
      <c r="AV21" s="5">
        <f>SUMIFS('48 KMP -Tháng'!AY$2:AY$53,'48 KMP -Tháng'!$C$2:$C$53,'18 KMP- Tháng'!$D21)</f>
        <v>634.15996799999994</v>
      </c>
      <c r="AW21" s="5">
        <f>SUMIFS('48 KMP -Tháng'!AZ$2:AZ$53,'48 KMP -Tháng'!$C$2:$C$53,'18 KMP- Tháng'!$D21)</f>
        <v>659.26054499999998</v>
      </c>
      <c r="AX21" s="5">
        <f>SUMIFS('48 KMP -Tháng'!BA$2:BA$53,'48 KMP -Tháng'!$C$2:$C$53,'18 KMP- Tháng'!$D21)</f>
        <v>0</v>
      </c>
      <c r="AY21" s="5">
        <f>SUMIFS('48 KMP -Tháng'!BB$2:BB$53,'48 KMP -Tháng'!$C$2:$C$53,'18 KMP- Tháng'!$D21)</f>
        <v>0</v>
      </c>
      <c r="AZ21" s="5">
        <f>SUMIFS('48 KMP -Tháng'!BC$2:BC$53,'48 KMP -Tháng'!$C$2:$C$53,'18 KMP- Tháng'!$D21)</f>
        <v>0</v>
      </c>
      <c r="BA21" s="5">
        <f>SUMIFS('48 KMP -Tháng'!BD$2:BD$53,'48 KMP -Tháng'!$C$2:$C$53,'18 KMP- Tháng'!$D21)</f>
        <v>0</v>
      </c>
      <c r="BB21" s="5">
        <f>SUMIFS('48 KMP -Tháng'!BE$2:BE$53,'48 KMP -Tháng'!$C$2:$C$53,'18 KMP- Tháng'!$D21)</f>
        <v>0</v>
      </c>
      <c r="BC21" s="5">
        <f>SUMIFS('48 KMP -Tháng'!BF$2:BF$53,'48 KMP -Tháng'!$C$2:$C$53,'18 KMP- Tháng'!$D21)</f>
        <v>0</v>
      </c>
      <c r="BD21" s="5">
        <f>SUMIFS('48 KMP -Tháng'!BG$2:BG$53,'48 KMP -Tháng'!$C$2:$C$53,'18 KMP- Tháng'!$D21)</f>
        <v>0</v>
      </c>
      <c r="BE21" s="28">
        <f t="shared" si="7"/>
        <v>244.95272683333334</v>
      </c>
      <c r="BF21" s="7">
        <f>SUMIFS('48 KMP -Tháng'!BI$2:BI$53,'48 KMP -Tháng'!$C$2:$C$53,'18 KMP- Tháng'!$D21)</f>
        <v>559.21882981185399</v>
      </c>
      <c r="BG21" s="86"/>
      <c r="BH21" s="8">
        <f>SUMIFS('48 KMP -Tháng'!BL:BL,'48 KMP -Tháng'!$C:$C,'18 KMP- Tháng'!$D21)</f>
        <v>740.00024123222636</v>
      </c>
      <c r="BI21" s="8">
        <f>SUMIFS('48 KMP -Tháng'!BM:BM,'48 KMP -Tháng'!$C:$C,'18 KMP- Tháng'!$D21)</f>
        <v>559.21882981185399</v>
      </c>
      <c r="BJ21" s="8">
        <f>SUMIFS('48 KMP -Tháng'!BN:BN,'48 KMP -Tháng'!$C:$C,'18 KMP- Tháng'!$D21)</f>
        <v>914.83883919498282</v>
      </c>
      <c r="BK21" s="8">
        <f>SUMIFS('48 KMP -Tháng'!BO:BO,'48 KMP -Tháng'!$C:$C,'18 KMP- Tháng'!$D21)</f>
        <v>775.9150134633951</v>
      </c>
      <c r="BL21" s="8">
        <f>SUMIFS('48 KMP -Tháng'!BP:BP,'48 KMP -Tháng'!$C:$C,'18 KMP- Tháng'!$D21)</f>
        <v>770.06053341993425</v>
      </c>
      <c r="BM21" s="8">
        <f>SUMIFS('48 KMP -Tháng'!BQ:BQ,'48 KMP -Tháng'!$C:$C,'18 KMP- Tháng'!$D21)</f>
        <v>761.1535210441416</v>
      </c>
      <c r="BN21" s="8">
        <f>SUMIFS('48 KMP -Tháng'!BR:BR,'48 KMP -Tháng'!$C:$C,'18 KMP- Tháng'!$D21)</f>
        <v>685.63322617978429</v>
      </c>
      <c r="BO21" s="8">
        <f>SUMIFS('48 KMP -Tháng'!BS:BS,'48 KMP -Tháng'!$C:$C,'18 KMP- Tháng'!$D21)</f>
        <v>650.63783730403804</v>
      </c>
      <c r="BP21" s="8">
        <f>SUMIFS('48 KMP -Tháng'!BT:BT,'48 KMP -Tháng'!$C:$C,'18 KMP- Tháng'!$D21)</f>
        <v>700.15995685343478</v>
      </c>
      <c r="BQ21" s="8">
        <f>SUMIFS('48 KMP -Tháng'!BU:BU,'48 KMP -Tháng'!$C:$C,'18 KMP- Tháng'!$D21)</f>
        <v>738.63650177511818</v>
      </c>
      <c r="BR21" s="8">
        <f>SUMIFS('48 KMP -Tháng'!BV:BV,'48 KMP -Tháng'!$C:$C,'18 KMP- Tháng'!$D21)</f>
        <v>625.5097570160716</v>
      </c>
      <c r="BS21" s="8">
        <f>SUMIFS('48 KMP -Tháng'!BW:BW,'48 KMP -Tháng'!$C:$C,'18 KMP- Tháng'!$D21)</f>
        <v>653.03633310085524</v>
      </c>
      <c r="BT21" s="8">
        <f t="shared" si="8"/>
        <v>8574.8005903958365</v>
      </c>
    </row>
    <row r="22" spans="1:76" x14ac:dyDescent="0.3">
      <c r="A22" s="105">
        <v>19</v>
      </c>
      <c r="B22" s="3">
        <f t="shared" si="9"/>
        <v>5</v>
      </c>
      <c r="C22" s="3" t="s">
        <v>97</v>
      </c>
      <c r="D22" s="3" t="s">
        <v>12</v>
      </c>
      <c r="E22" s="5">
        <f>SUMIFS('48 KMP -Tháng'!$F$2:$F$53,'48 KMP -Tháng'!$C$2:$C$53,'18 KMP- Tháng'!D22)</f>
        <v>465.27927</v>
      </c>
      <c r="F22" s="5">
        <f>SUMIFS('48 KMP -Tháng'!$G$2:$G$53,'48 KMP -Tháng'!$C$2:$C$53,'18 KMP- Tháng'!D22)</f>
        <v>498.88963100000001</v>
      </c>
      <c r="G22" s="6">
        <f>SUMIFS('48 KMP -Tháng'!$H$2:$H$53,'48 KMP -Tháng'!$C$2:$C$53,'18 KMP- Tháng'!D22)</f>
        <v>485.24326100000002</v>
      </c>
      <c r="H22" s="5">
        <f>SUMIFS('48 KMP -Tháng'!$I$2:$I$53,'48 KMP -Tháng'!$C$2:$C$53,'18 KMP- Tháng'!D22)</f>
        <v>431.96916599999997</v>
      </c>
      <c r="I22" s="5">
        <f>SUMIFS('48 KMP -Tháng'!$J$2:$J$53,'48 KMP -Tháng'!$C$2:$C$53,'18 KMP- Tháng'!D22)</f>
        <v>578.64694599999996</v>
      </c>
      <c r="J22" s="5">
        <f>SUMIFS('48 KMP -Tháng'!$K$2:$K$53,'48 KMP -Tháng'!$C$2:$C$53,'18 KMP- Tháng'!D22)</f>
        <v>481.06259</v>
      </c>
      <c r="K22" s="5">
        <f>SUMIFS('48 KMP -Tháng'!$L$2:$L$53,'48 KMP -Tháng'!$C$2:$C$53,'18 KMP- Tháng'!D22)</f>
        <v>502.90178500000002</v>
      </c>
      <c r="L22" s="5">
        <f>SUMIFS('48 KMP -Tháng'!$M$2:$M$53,'48 KMP -Tháng'!$C$2:$C$53,'18 KMP- Tháng'!D22)</f>
        <v>554.27070400000002</v>
      </c>
      <c r="M22" s="5">
        <f>SUMIFS('48 KMP -Tháng'!$N$2:$N$53,'48 KMP -Tháng'!$C$2:$C$53,'18 KMP- Tháng'!D22)</f>
        <v>469.50239099999999</v>
      </c>
      <c r="N22" s="5">
        <f>SUMIFS('48 KMP -Tháng'!$O$2:$O$53,'48 KMP -Tháng'!$C$2:$C$53,'18 KMP- Tháng'!$D22)</f>
        <v>547.69279300000005</v>
      </c>
      <c r="O22" s="5">
        <f>SUMIFS('48 KMP -Tháng'!$P$2:$P$53,'48 KMP -Tháng'!$C$2:$C$53,'18 KMP- Tháng'!$D22)</f>
        <v>615.94742800000006</v>
      </c>
      <c r="P22" s="5">
        <f>SUMIFS('48 KMP -Tháng'!$Q$2:$Q$53,'48 KMP -Tháng'!$C$2:$C$53,'18 KMP- Tháng'!$D22)</f>
        <v>681.05225900000005</v>
      </c>
      <c r="Q22" s="6">
        <f t="shared" si="0"/>
        <v>526.03818533333344</v>
      </c>
      <c r="R22" s="5">
        <f>SUMIFS('48 KMP -Tháng'!$S$2:$S$53,'48 KMP -Tháng'!$C$2:$C$53,'18 KMP- Tháng'!$D22)</f>
        <v>594.323802</v>
      </c>
      <c r="S22" s="5">
        <f>SUMIFS('48 KMP -Tháng'!$T$2:$T$53,'48 KMP -Tháng'!$C$2:$C$53,'18 KMP- Tháng'!$D22)</f>
        <v>570.37826399999994</v>
      </c>
      <c r="T22" s="5">
        <f>SUMIFS('48 KMP -Tháng'!U$2:U$53,'48 KMP -Tháng'!$C$2:$C$53,'18 KMP- Tháng'!$D22)</f>
        <v>674.92623200000003</v>
      </c>
      <c r="U22" s="5">
        <f>SUMIFS('48 KMP -Tháng'!V$2:V$53,'48 KMP -Tháng'!$C$2:$C$53,'18 KMP- Tháng'!$D22)</f>
        <v>723.31254100000001</v>
      </c>
      <c r="V22" s="5">
        <f>SUMIFS('48 KMP -Tháng'!W$2:W$53,'48 KMP -Tháng'!$C$2:$C$53,'18 KMP- Tháng'!$D22)</f>
        <v>794.63473399999998</v>
      </c>
      <c r="W22" s="5">
        <f>SUMIFS('48 KMP -Tháng'!X$2:X$53,'48 KMP -Tháng'!$C$2:$C$53,'18 KMP- Tháng'!$D22)</f>
        <v>626.50749900000005</v>
      </c>
      <c r="X22" s="5">
        <f>SUMIFS('48 KMP -Tháng'!Y$2:Y$53,'48 KMP -Tháng'!$C$2:$C$53,'18 KMP- Tháng'!$D22)</f>
        <v>526.28645900000004</v>
      </c>
      <c r="Y22" s="5">
        <f>SUMIFS('48 KMP -Tháng'!Z$2:Z$53,'48 KMP -Tháng'!$C$2:$C$53,'18 KMP- Tháng'!$D22)</f>
        <v>676.44750099999999</v>
      </c>
      <c r="Z22" s="5">
        <f>SUMIFS('48 KMP -Tháng'!AA$2:AA$53,'48 KMP -Tháng'!$C$2:$C$53,'18 KMP- Tháng'!$D22)</f>
        <v>887.53877199999999</v>
      </c>
      <c r="AA22" s="5">
        <f>SUMIFS('48 KMP -Tháng'!AB$2:AB$53,'48 KMP -Tháng'!$C$2:$C$53,'18 KMP- Tháng'!$D22)</f>
        <v>694.86993199999995</v>
      </c>
      <c r="AB22" s="5">
        <f>SUMIFS('48 KMP -Tháng'!AC$2:AC$53,'48 KMP -Tháng'!$C$2:$C$53,'18 KMP- Tháng'!$D22)</f>
        <v>842.70942500000001</v>
      </c>
      <c r="AC22" s="5">
        <f>SUMIFS('48 KMP -Tháng'!AD$2:AD$53,'48 KMP -Tháng'!$C$2:$C$53,'18 KMP- Tháng'!$D22)+SUMIFS('48 KMP -Tháng'!$AE$2:$AE$53,'48 KMP -Tháng'!$C$2:$C$53,'18 KMP- Tháng'!D22)</f>
        <v>924.13166999999999</v>
      </c>
      <c r="AD22" s="7">
        <f t="shared" si="1"/>
        <v>8536.0668310000001</v>
      </c>
      <c r="AE22" s="28">
        <f t="shared" si="2"/>
        <v>711.33890258333338</v>
      </c>
      <c r="AF22" s="5">
        <f>SUMIFS('48 KMP -Tháng'!AH$2:AH$53,'48 KMP -Tháng'!$C$2:$C$53,'18 KMP- Tháng'!$D22)</f>
        <v>709.08018800000002</v>
      </c>
      <c r="AG22" s="5">
        <f>SUMIFS('48 KMP -Tháng'!AI$2:AI$53,'48 KMP -Tháng'!$C$2:$C$53,'18 KMP- Tháng'!$D22)</f>
        <v>864.87728500000003</v>
      </c>
      <c r="AH22" s="5">
        <f>SUMIFS('48 KMP -Tháng'!AJ$2:AJ$53,'48 KMP -Tháng'!$C$2:$C$53,'18 KMP- Tháng'!$D22)</f>
        <v>848.98558400000002</v>
      </c>
      <c r="AI22" s="5">
        <f>SUMIFS('48 KMP -Tháng'!AK$2:AK$53,'48 KMP -Tháng'!$C$2:$C$53,'18 KMP- Tháng'!$D22)</f>
        <v>991.21175600000004</v>
      </c>
      <c r="AJ22" s="5">
        <f>SUMIFS('48 KMP -Tháng'!AL$2:AL$53,'48 KMP -Tháng'!$C$2:$C$53,'18 KMP- Tháng'!$D22)</f>
        <v>917.71572100000003</v>
      </c>
      <c r="AK22" s="5">
        <f>SUMIFS('48 KMP -Tháng'!AM$2:AM$53,'48 KMP -Tháng'!$C$2:$C$53,'18 KMP- Tháng'!$D22)</f>
        <v>820.90210200000001</v>
      </c>
      <c r="AL22" s="5">
        <f>SUMIFS('48 KMP -Tháng'!AN$2:AN$53,'48 KMP -Tháng'!$C$2:$C$53,'18 KMP- Tháng'!$D22)</f>
        <v>838.19858399999998</v>
      </c>
      <c r="AM22" s="5">
        <f>SUMIFS('48 KMP -Tháng'!AO$2:AO$53,'48 KMP -Tháng'!$C$2:$C$53,'18 KMP- Tháng'!$D22)</f>
        <v>813.41289900000004</v>
      </c>
      <c r="AN22" s="5">
        <f>SUMIFS('48 KMP -Tháng'!AP$2:AP$53,'48 KMP -Tháng'!$C$2:$C$53,'18 KMP- Tháng'!$D22)</f>
        <v>846.74762199999998</v>
      </c>
      <c r="AO22" s="5">
        <f>SUMIFS('48 KMP -Tháng'!AQ$2:AQ$53,'48 KMP -Tháng'!$C$2:$C$53,'18 KMP- Tháng'!$D22)</f>
        <v>817.65499199999999</v>
      </c>
      <c r="AP22" s="5">
        <f>SUMIFS('48 KMP -Tháng'!AR$2:AR$53,'48 KMP -Tháng'!$C$2:$C$53,'18 KMP- Tháng'!$D22)</f>
        <v>895.35202400000003</v>
      </c>
      <c r="AQ22" s="5">
        <f>SUMIFS('48 KMP -Tháng'!AS$2:AS$53,'48 KMP -Tháng'!$C$2:$C$53,'18 KMP- Tháng'!$D22)+SUMIFS('48 KMP -Tháng'!AT$2:AT$53,'48 KMP -Tháng'!$C$2:$C$53,'18 KMP- Tháng'!$D22)</f>
        <v>780.85826399999996</v>
      </c>
      <c r="AR22" s="28">
        <f t="shared" si="3"/>
        <v>845.4164184166666</v>
      </c>
      <c r="AS22" s="5">
        <f>SUMIFS('48 KMP -Tháng'!AV$2:AV$53,'48 KMP -Tháng'!$C$2:$C$53,'18 KMP- Tháng'!$D22)</f>
        <v>537.39596400000005</v>
      </c>
      <c r="AT22" s="5">
        <f>SUMIFS('48 KMP -Tháng'!AW$2:AW$53,'48 KMP -Tháng'!$C$2:$C$53,'18 KMP- Tháng'!$D22)</f>
        <v>457.20217000000002</v>
      </c>
      <c r="AU22" s="5">
        <f>SUMIFS('48 KMP -Tháng'!AX$2:AX$53,'48 KMP -Tháng'!$C$2:$C$53,'18 KMP- Tháng'!$D22)</f>
        <v>543.72858399999996</v>
      </c>
      <c r="AV22" s="5">
        <f>SUMIFS('48 KMP -Tháng'!AY$2:AY$53,'48 KMP -Tháng'!$C$2:$C$53,'18 KMP- Tháng'!$D22)</f>
        <v>511.43058200000002</v>
      </c>
      <c r="AW22" s="5">
        <f>SUMIFS('48 KMP -Tháng'!AZ$2:AZ$53,'48 KMP -Tháng'!$C$2:$C$53,'18 KMP- Tháng'!$D22)</f>
        <v>531.586591</v>
      </c>
      <c r="AX22" s="5">
        <f>SUMIFS('48 KMP -Tháng'!BA$2:BA$53,'48 KMP -Tháng'!$C$2:$C$53,'18 KMP- Tháng'!$D22)</f>
        <v>0</v>
      </c>
      <c r="AY22" s="5">
        <f>SUMIFS('48 KMP -Tháng'!BB$2:BB$53,'48 KMP -Tháng'!$C$2:$C$53,'18 KMP- Tháng'!$D22)</f>
        <v>0</v>
      </c>
      <c r="AZ22" s="5">
        <f>SUMIFS('48 KMP -Tháng'!BC$2:BC$53,'48 KMP -Tháng'!$C$2:$C$53,'18 KMP- Tháng'!$D22)</f>
        <v>0</v>
      </c>
      <c r="BA22" s="5">
        <f>SUMIFS('48 KMP -Tháng'!BD$2:BD$53,'48 KMP -Tháng'!$C$2:$C$53,'18 KMP- Tháng'!$D22)</f>
        <v>0</v>
      </c>
      <c r="BB22" s="5">
        <f>SUMIFS('48 KMP -Tháng'!BE$2:BE$53,'48 KMP -Tháng'!$C$2:$C$53,'18 KMP- Tháng'!$D22)</f>
        <v>0</v>
      </c>
      <c r="BC22" s="5">
        <f>SUMIFS('48 KMP -Tháng'!BF$2:BF$53,'48 KMP -Tháng'!$C$2:$C$53,'18 KMP- Tháng'!$D22)</f>
        <v>0</v>
      </c>
      <c r="BD22" s="5">
        <f>SUMIFS('48 KMP -Tháng'!BG$2:BG$53,'48 KMP -Tháng'!$C$2:$C$53,'18 KMP- Tháng'!$D22)</f>
        <v>0</v>
      </c>
      <c r="BE22" s="28">
        <f t="shared" si="7"/>
        <v>215.11199091666671</v>
      </c>
      <c r="BF22" s="7">
        <f>SUMIFS('48 KMP -Tháng'!BI$2:BI$53,'48 KMP -Tháng'!$C$2:$C$53,'18 KMP- Tháng'!$D22)</f>
        <v>620.47600047781646</v>
      </c>
      <c r="BG22" s="86"/>
      <c r="BH22" s="8">
        <f>SUMIFS('48 KMP -Tháng'!BL:BL,'48 KMP -Tháng'!$C:$C,'18 KMP- Tháng'!$D22)</f>
        <v>1004.1135733225151</v>
      </c>
      <c r="BI22" s="8">
        <f>SUMIFS('48 KMP -Tháng'!BM:BM,'48 KMP -Tháng'!$C:$C,'18 KMP- Tháng'!$D22)</f>
        <v>620.47600047781646</v>
      </c>
      <c r="BJ22" s="8">
        <f>SUMIFS('48 KMP -Tháng'!BN:BN,'48 KMP -Tháng'!$C:$C,'18 KMP- Tháng'!$D22)</f>
        <v>846.65024144322979</v>
      </c>
      <c r="BK22" s="8">
        <f>SUMIFS('48 KMP -Tháng'!BO:BO,'48 KMP -Tháng'!$C:$C,'18 KMP- Tháng'!$D22)</f>
        <v>885.97974467720064</v>
      </c>
      <c r="BL22" s="8">
        <f>SUMIFS('48 KMP -Tháng'!BP:BP,'48 KMP -Tháng'!$C:$C,'18 KMP- Tháng'!$D22)</f>
        <v>703.92064204960741</v>
      </c>
      <c r="BM22" s="8">
        <f>SUMIFS('48 KMP -Tháng'!BQ:BQ,'48 KMP -Tháng'!$C:$C,'18 KMP- Tháng'!$D22)</f>
        <v>751.22790936895672</v>
      </c>
      <c r="BN22" s="8">
        <f>SUMIFS('48 KMP -Tháng'!BR:BR,'48 KMP -Tháng'!$C:$C,'18 KMP- Tháng'!$D22)</f>
        <v>757.9685684592622</v>
      </c>
      <c r="BO22" s="8">
        <f>SUMIFS('48 KMP -Tháng'!BS:BS,'48 KMP -Tháng'!$C:$C,'18 KMP- Tháng'!$D22)</f>
        <v>711.39020857517335</v>
      </c>
      <c r="BP22" s="8">
        <f>SUMIFS('48 KMP -Tháng'!BT:BT,'48 KMP -Tháng'!$C:$C,'18 KMP- Tháng'!$D22)</f>
        <v>744.20343259999515</v>
      </c>
      <c r="BQ22" s="8">
        <f>SUMIFS('48 KMP -Tháng'!BU:BU,'48 KMP -Tháng'!$C:$C,'18 KMP- Tháng'!$D22)</f>
        <v>728.20449069912024</v>
      </c>
      <c r="BR22" s="8">
        <f>SUMIFS('48 KMP -Tháng'!BV:BV,'48 KMP -Tháng'!$C:$C,'18 KMP- Tháng'!$D22)</f>
        <v>620.61399207277384</v>
      </c>
      <c r="BS22" s="8">
        <f>SUMIFS('48 KMP -Tháng'!BW:BW,'48 KMP -Tháng'!$C:$C,'18 KMP- Tháng'!$D22)</f>
        <v>722.05437210875414</v>
      </c>
      <c r="BT22" s="8">
        <f t="shared" si="8"/>
        <v>9096.8031758544057</v>
      </c>
    </row>
    <row r="23" spans="1:76" x14ac:dyDescent="0.3">
      <c r="A23" s="105">
        <v>20</v>
      </c>
      <c r="B23" s="3">
        <f t="shared" si="9"/>
        <v>6</v>
      </c>
      <c r="C23" s="3" t="s">
        <v>97</v>
      </c>
      <c r="D23" s="3" t="s">
        <v>51</v>
      </c>
      <c r="E23" s="5">
        <f>SUMIFS('48 KMP -Tháng'!$F$2:$F$53,'48 KMP -Tháng'!$C$2:$C$53,'18 KMP- Tháng'!D23)</f>
        <v>246.48996799999998</v>
      </c>
      <c r="F23" s="5">
        <f>SUMIFS('48 KMP -Tháng'!$G$2:$G$53,'48 KMP -Tháng'!$C$2:$C$53,'18 KMP- Tháng'!D23)</f>
        <v>196.31483499999999</v>
      </c>
      <c r="G23" s="6">
        <f>SUMIFS('48 KMP -Tháng'!$H$2:$H$53,'48 KMP -Tháng'!$C$2:$C$53,'18 KMP- Tháng'!D23)</f>
        <v>283.67628499999995</v>
      </c>
      <c r="H23" s="5">
        <f>SUMIFS('48 KMP -Tháng'!$I$2:$I$53,'48 KMP -Tháng'!$C$2:$C$53,'18 KMP- Tháng'!D23)</f>
        <v>199.32285299999998</v>
      </c>
      <c r="I23" s="5">
        <f>SUMIFS('48 KMP -Tháng'!$J$2:$J$53,'48 KMP -Tháng'!$C$2:$C$53,'18 KMP- Tháng'!D23)</f>
        <v>400.21661099999994</v>
      </c>
      <c r="J23" s="5">
        <f>SUMIFS('48 KMP -Tháng'!$K$2:$K$53,'48 KMP -Tháng'!$C$2:$C$53,'18 KMP- Tháng'!D23)</f>
        <v>382.31868700000001</v>
      </c>
      <c r="K23" s="5">
        <f>SUMIFS('48 KMP -Tháng'!$L$2:$L$53,'48 KMP -Tháng'!$C$2:$C$53,'18 KMP- Tháng'!D23)</f>
        <v>546.65978099999995</v>
      </c>
      <c r="L23" s="5">
        <f>SUMIFS('48 KMP -Tháng'!$M$2:$M$53,'48 KMP -Tháng'!$C$2:$C$53,'18 KMP- Tháng'!D23)</f>
        <v>459.12409699999995</v>
      </c>
      <c r="M23" s="5">
        <f>SUMIFS('48 KMP -Tháng'!$N$2:$N$53,'48 KMP -Tháng'!$C$2:$C$53,'18 KMP- Tháng'!D23)</f>
        <v>351.15703000000002</v>
      </c>
      <c r="N23" s="5">
        <f>SUMIFS('48 KMP -Tháng'!$O$2:$O$53,'48 KMP -Tháng'!$C$2:$C$53,'18 KMP- Tháng'!$D23)</f>
        <v>507.62330700000001</v>
      </c>
      <c r="O23" s="5">
        <f>SUMIFS('48 KMP -Tháng'!$P$2:$P$53,'48 KMP -Tháng'!$C$2:$C$53,'18 KMP- Tháng'!$D23)</f>
        <v>624.38641399999995</v>
      </c>
      <c r="P23" s="5">
        <f>SUMIFS('48 KMP -Tháng'!$Q$2:$Q$53,'48 KMP -Tháng'!$C$2:$C$53,'18 KMP- Tháng'!$D23)</f>
        <v>848.89990699999998</v>
      </c>
      <c r="Q23" s="6">
        <f t="shared" si="0"/>
        <v>420.51581458333322</v>
      </c>
      <c r="R23" s="5">
        <f>SUMIFS('48 KMP -Tháng'!$S$2:$S$53,'48 KMP -Tháng'!$C$2:$C$53,'18 KMP- Tháng'!$D23)</f>
        <v>506.27463</v>
      </c>
      <c r="S23" s="5">
        <f>SUMIFS('48 KMP -Tháng'!$T$2:$T$53,'48 KMP -Tháng'!$C$2:$C$53,'18 KMP- Tháng'!$D23)</f>
        <v>593.07691999999997</v>
      </c>
      <c r="T23" s="5">
        <f>SUMIFS('48 KMP -Tháng'!U$2:U$53,'48 KMP -Tháng'!$C$2:$C$53,'18 KMP- Tháng'!$D23)</f>
        <v>664.52970800000003</v>
      </c>
      <c r="U23" s="5">
        <f>SUMIFS('48 KMP -Tháng'!V$2:V$53,'48 KMP -Tháng'!$C$2:$C$53,'18 KMP- Tháng'!$D23)</f>
        <v>593.89188000000001</v>
      </c>
      <c r="V23" s="5">
        <f>SUMIFS('48 KMP -Tháng'!W$2:W$53,'48 KMP -Tháng'!$C$2:$C$53,'18 KMP- Tháng'!$D23)</f>
        <v>719.05266800000004</v>
      </c>
      <c r="W23" s="5">
        <f>SUMIFS('48 KMP -Tháng'!X$2:X$53,'48 KMP -Tháng'!$C$2:$C$53,'18 KMP- Tháng'!$D23)</f>
        <v>793.15192200000001</v>
      </c>
      <c r="X23" s="5">
        <f>SUMIFS('48 KMP -Tháng'!Y$2:Y$53,'48 KMP -Tháng'!$C$2:$C$53,'18 KMP- Tháng'!$D23)</f>
        <v>535.85658699999999</v>
      </c>
      <c r="Y23" s="5">
        <f>SUMIFS('48 KMP -Tháng'!Z$2:Z$53,'48 KMP -Tháng'!$C$2:$C$53,'18 KMP- Tháng'!$D23)</f>
        <v>751.09911399999999</v>
      </c>
      <c r="Z23" s="5">
        <f>SUMIFS('48 KMP -Tháng'!AA$2:AA$53,'48 KMP -Tháng'!$C$2:$C$53,'18 KMP- Tháng'!$D23)</f>
        <v>866.50140099999999</v>
      </c>
      <c r="AA23" s="5">
        <f>SUMIFS('48 KMP -Tháng'!AB$2:AB$53,'48 KMP -Tháng'!$C$2:$C$53,'18 KMP- Tháng'!$D23)</f>
        <v>935.25904200000002</v>
      </c>
      <c r="AB23" s="5">
        <f>SUMIFS('48 KMP -Tháng'!AC$2:AC$53,'48 KMP -Tháng'!$C$2:$C$53,'18 KMP- Tháng'!$D23)</f>
        <v>1051.062756</v>
      </c>
      <c r="AC23" s="5">
        <f>SUMIFS('48 KMP -Tháng'!AD$2:AD$53,'48 KMP -Tháng'!$C$2:$C$53,'18 KMP- Tháng'!$D23)+SUMIFS('48 KMP -Tháng'!$AE$2:$AE$53,'48 KMP -Tháng'!$C$2:$C$53,'18 KMP- Tháng'!D23)</f>
        <v>1241.50469</v>
      </c>
      <c r="AD23" s="7">
        <f t="shared" si="1"/>
        <v>9251.2613180000008</v>
      </c>
      <c r="AE23" s="28">
        <f t="shared" si="2"/>
        <v>770.93844316666673</v>
      </c>
      <c r="AF23" s="5">
        <f>SUMIFS('48 KMP -Tháng'!AH$2:AH$53,'48 KMP -Tháng'!$C$2:$C$53,'18 KMP- Tháng'!$D23)</f>
        <v>910.58124799999996</v>
      </c>
      <c r="AG23" s="5">
        <f>SUMIFS('48 KMP -Tháng'!AI$2:AI$53,'48 KMP -Tháng'!$C$2:$C$53,'18 KMP- Tháng'!$D23)</f>
        <v>892.28804700000001</v>
      </c>
      <c r="AH23" s="5">
        <f>SUMIFS('48 KMP -Tháng'!AJ$2:AJ$53,'48 KMP -Tháng'!$C$2:$C$53,'18 KMP- Tháng'!$D23)</f>
        <v>942.315155</v>
      </c>
      <c r="AI23" s="5">
        <f>SUMIFS('48 KMP -Tháng'!AK$2:AK$53,'48 KMP -Tháng'!$C$2:$C$53,'18 KMP- Tháng'!$D23)</f>
        <v>1025.2083890000001</v>
      </c>
      <c r="AJ23" s="5">
        <f>SUMIFS('48 KMP -Tháng'!AL$2:AL$53,'48 KMP -Tháng'!$C$2:$C$53,'18 KMP- Tháng'!$D23)</f>
        <v>959.91746500000011</v>
      </c>
      <c r="AK23" s="5">
        <f>SUMIFS('48 KMP -Tháng'!AM$2:AM$53,'48 KMP -Tháng'!$C$2:$C$53,'18 KMP- Tháng'!$D23)</f>
        <v>1191.2346790000001</v>
      </c>
      <c r="AL23" s="5">
        <f>SUMIFS('48 KMP -Tháng'!AN$2:AN$53,'48 KMP -Tháng'!$C$2:$C$53,'18 KMP- Tháng'!$D23)</f>
        <v>1239.3080069999999</v>
      </c>
      <c r="AM23" s="5">
        <f>SUMIFS('48 KMP -Tháng'!AO$2:AO$53,'48 KMP -Tháng'!$C$2:$C$53,'18 KMP- Tháng'!$D23)</f>
        <v>1164.5996289999998</v>
      </c>
      <c r="AN23" s="5">
        <f>SUMIFS('48 KMP -Tháng'!AP$2:AP$53,'48 KMP -Tháng'!$C$2:$C$53,'18 KMP- Tháng'!$D23)</f>
        <v>975.37809500000003</v>
      </c>
      <c r="AO23" s="5">
        <f>SUMIFS('48 KMP -Tháng'!AQ$2:AQ$53,'48 KMP -Tháng'!$C$2:$C$53,'18 KMP- Tháng'!$D23)</f>
        <v>1090.3624930000001</v>
      </c>
      <c r="AP23" s="5">
        <f>SUMIFS('48 KMP -Tháng'!AR$2:AR$53,'48 KMP -Tháng'!$C$2:$C$53,'18 KMP- Tháng'!$D23)</f>
        <v>997.19473100000005</v>
      </c>
      <c r="AQ23" s="5">
        <f>SUMIFS('48 KMP -Tháng'!AS$2:AS$53,'48 KMP -Tháng'!$C$2:$C$53,'18 KMP- Tháng'!$D23)+SUMIFS('48 KMP -Tháng'!AT$2:AT$53,'48 KMP -Tháng'!$C$2:$C$53,'18 KMP- Tháng'!$D23)</f>
        <v>941.81425200000001</v>
      </c>
      <c r="AR23" s="28">
        <f t="shared" si="3"/>
        <v>1027.5168491666666</v>
      </c>
      <c r="AS23" s="5">
        <f>SUMIFS('48 KMP -Tháng'!AV$2:AV$53,'48 KMP -Tháng'!$C$2:$C$53,'18 KMP- Tháng'!$D23)</f>
        <v>832.08447899999999</v>
      </c>
      <c r="AT23" s="5">
        <f>SUMIFS('48 KMP -Tháng'!AW$2:AW$53,'48 KMP -Tháng'!$C$2:$C$53,'18 KMP- Tháng'!$D23)</f>
        <v>609.53174899999999</v>
      </c>
      <c r="AU23" s="5">
        <f>SUMIFS('48 KMP -Tháng'!AX$2:AX$53,'48 KMP -Tháng'!$C$2:$C$53,'18 KMP- Tháng'!$D23)</f>
        <v>753.24308400000007</v>
      </c>
      <c r="AV23" s="5">
        <f>SUMIFS('48 KMP -Tháng'!AY$2:AY$53,'48 KMP -Tháng'!$C$2:$C$53,'18 KMP- Tháng'!$D23)</f>
        <v>952.870361</v>
      </c>
      <c r="AW23" s="5">
        <f>SUMIFS('48 KMP -Tháng'!AZ$2:AZ$53,'48 KMP -Tháng'!$C$2:$C$53,'18 KMP- Tháng'!$D23)</f>
        <v>1160.2133589999999</v>
      </c>
      <c r="AX23" s="5">
        <f>SUMIFS('48 KMP -Tháng'!BA$2:BA$53,'48 KMP -Tháng'!$C$2:$C$53,'18 KMP- Tháng'!$D23)</f>
        <v>0</v>
      </c>
      <c r="AY23" s="5">
        <f>SUMIFS('48 KMP -Tháng'!BB$2:BB$53,'48 KMP -Tháng'!$C$2:$C$53,'18 KMP- Tháng'!$D23)</f>
        <v>0</v>
      </c>
      <c r="AZ23" s="5">
        <f>SUMIFS('48 KMP -Tháng'!BC$2:BC$53,'48 KMP -Tháng'!$C$2:$C$53,'18 KMP- Tháng'!$D23)</f>
        <v>0</v>
      </c>
      <c r="BA23" s="5">
        <f>SUMIFS('48 KMP -Tháng'!BD$2:BD$53,'48 KMP -Tháng'!$C$2:$C$53,'18 KMP- Tháng'!$D23)</f>
        <v>0</v>
      </c>
      <c r="BB23" s="5">
        <f>SUMIFS('48 KMP -Tháng'!BE$2:BE$53,'48 KMP -Tháng'!$C$2:$C$53,'18 KMP- Tháng'!$D23)</f>
        <v>0</v>
      </c>
      <c r="BC23" s="5">
        <f>SUMIFS('48 KMP -Tháng'!BF$2:BF$53,'48 KMP -Tháng'!$C$2:$C$53,'18 KMP- Tháng'!$D23)</f>
        <v>0</v>
      </c>
      <c r="BD23" s="5">
        <f>SUMIFS('48 KMP -Tháng'!BG$2:BG$53,'48 KMP -Tháng'!$C$2:$C$53,'18 KMP- Tháng'!$D23)</f>
        <v>0</v>
      </c>
      <c r="BE23" s="28">
        <f t="shared" si="7"/>
        <v>358.9952526666666</v>
      </c>
      <c r="BF23" s="7">
        <f>SUMIFS('48 KMP -Tháng'!BI$2:BI$53,'48 KMP -Tháng'!$C$2:$C$53,'18 KMP- Tháng'!$D23)</f>
        <v>726.77849781154021</v>
      </c>
      <c r="BG23" s="86"/>
      <c r="BH23" s="8">
        <f>SUMIFS('48 KMP -Tháng'!BL:BL,'48 KMP -Tháng'!$C:$C,'18 KMP- Tháng'!$D23)</f>
        <v>950.28294991459188</v>
      </c>
      <c r="BI23" s="8">
        <f>SUMIFS('48 KMP -Tháng'!BM:BM,'48 KMP -Tháng'!$C:$C,'18 KMP- Tháng'!$D23)</f>
        <v>726.77849781154021</v>
      </c>
      <c r="BJ23" s="8">
        <f>SUMIFS('48 KMP -Tháng'!BN:BN,'48 KMP -Tháng'!$C:$C,'18 KMP- Tháng'!$D23)</f>
        <v>1188.7319462268538</v>
      </c>
      <c r="BK23" s="8">
        <f>SUMIFS('48 KMP -Tháng'!BO:BO,'48 KMP -Tháng'!$C:$C,'18 KMP- Tháng'!$D23)</f>
        <v>1114.8973219620987</v>
      </c>
      <c r="BL23" s="8">
        <f>SUMIFS('48 KMP -Tháng'!BP:BP,'48 KMP -Tháng'!$C:$C,'18 KMP- Tháng'!$D23)</f>
        <v>1114.1351036435206</v>
      </c>
      <c r="BM23" s="8">
        <f>SUMIFS('48 KMP -Tháng'!BQ:BQ,'48 KMP -Tháng'!$C:$C,'18 KMP- Tháng'!$D23)</f>
        <v>1396.989557545432</v>
      </c>
      <c r="BN23" s="8">
        <f>SUMIFS('48 KMP -Tháng'!BR:BR,'48 KMP -Tháng'!$C:$C,'18 KMP- Tháng'!$D23)</f>
        <v>1278.6137323173557</v>
      </c>
      <c r="BO23" s="8">
        <f>SUMIFS('48 KMP -Tháng'!BS:BS,'48 KMP -Tháng'!$C:$C,'18 KMP- Tháng'!$D23)</f>
        <v>1141.9953212340224</v>
      </c>
      <c r="BP23" s="8">
        <f>SUMIFS('48 KMP -Tháng'!BT:BT,'48 KMP -Tháng'!$C:$C,'18 KMP- Tháng'!$D23)</f>
        <v>1279.8309276472839</v>
      </c>
      <c r="BQ23" s="8">
        <f>SUMIFS('48 KMP -Tháng'!BU:BU,'48 KMP -Tháng'!$C:$C,'18 KMP- Tháng'!$D23)</f>
        <v>1181.4965713173556</v>
      </c>
      <c r="BR23" s="8">
        <f>SUMIFS('48 KMP -Tháng'!BV:BV,'48 KMP -Tháng'!$C:$C,'18 KMP- Tháng'!$D23)</f>
        <v>1138.7809881889507</v>
      </c>
      <c r="BS23" s="8">
        <f>SUMIFS('48 KMP -Tháng'!BW:BW,'48 KMP -Tháng'!$C:$C,'18 KMP- Tháng'!$D23)</f>
        <v>1189.3320774423553</v>
      </c>
      <c r="BT23" s="8">
        <f t="shared" si="8"/>
        <v>13701.864995251362</v>
      </c>
    </row>
    <row r="24" spans="1:76" x14ac:dyDescent="0.3">
      <c r="A24" s="105">
        <v>21</v>
      </c>
      <c r="B24" s="3">
        <f t="shared" si="9"/>
        <v>7</v>
      </c>
      <c r="C24" s="3" t="s">
        <v>97</v>
      </c>
      <c r="D24" s="3" t="s">
        <v>40</v>
      </c>
      <c r="E24" s="5">
        <f>SUMIFS('48 KMP -Tháng'!$F$2:$F$53,'48 KMP -Tháng'!$C$2:$C$53,'18 KMP- Tháng'!D24)</f>
        <v>44.321387999999999</v>
      </c>
      <c r="F24" s="5">
        <f>SUMIFS('48 KMP -Tháng'!$G$2:$G$53,'48 KMP -Tháng'!$C$2:$C$53,'18 KMP- Tháng'!D24)</f>
        <v>0</v>
      </c>
      <c r="G24" s="6">
        <f>SUMIFS('48 KMP -Tháng'!$H$2:$H$53,'48 KMP -Tháng'!$C$2:$C$53,'18 KMP- Tháng'!D24)</f>
        <v>48.722388000000002</v>
      </c>
      <c r="H24" s="5">
        <f>SUMIFS('48 KMP -Tháng'!$I$2:$I$53,'48 KMP -Tháng'!$C$2:$C$53,'18 KMP- Tháng'!D24)</f>
        <v>76.187495999999996</v>
      </c>
      <c r="I24" s="5">
        <f>SUMIFS('48 KMP -Tháng'!$J$2:$J$53,'48 KMP -Tháng'!$C$2:$C$53,'18 KMP- Tháng'!D24)</f>
        <v>68.801481999999993</v>
      </c>
      <c r="J24" s="5">
        <f>SUMIFS('48 KMP -Tháng'!$K$2:$K$53,'48 KMP -Tháng'!$C$2:$C$53,'18 KMP- Tháng'!D24)</f>
        <v>28.249625999999999</v>
      </c>
      <c r="K24" s="5">
        <f>SUMIFS('48 KMP -Tháng'!$L$2:$L$53,'48 KMP -Tháng'!$C$2:$C$53,'18 KMP- Tháng'!D24)</f>
        <v>91.396439000000001</v>
      </c>
      <c r="L24" s="5">
        <f>SUMIFS('48 KMP -Tháng'!$M$2:$M$53,'48 KMP -Tháng'!$C$2:$C$53,'18 KMP- Tháng'!D24)</f>
        <v>93.845376000000002</v>
      </c>
      <c r="M24" s="5">
        <f>SUMIFS('48 KMP -Tháng'!$N$2:$N$53,'48 KMP -Tháng'!$C$2:$C$53,'18 KMP- Tháng'!D24)</f>
        <v>109.400024</v>
      </c>
      <c r="N24" s="5">
        <f>SUMIFS('48 KMP -Tháng'!$O$2:$O$53,'48 KMP -Tháng'!$C$2:$C$53,'18 KMP- Tháng'!$D24)</f>
        <v>129.99653499999999</v>
      </c>
      <c r="O24" s="5">
        <f>SUMIFS('48 KMP -Tháng'!$P$2:$P$53,'48 KMP -Tháng'!$C$2:$C$53,'18 KMP- Tháng'!$D24)</f>
        <v>157.60198</v>
      </c>
      <c r="P24" s="5">
        <f>SUMIFS('48 KMP -Tháng'!$Q$2:$Q$53,'48 KMP -Tháng'!$C$2:$C$53,'18 KMP- Tháng'!$D24)</f>
        <v>316.88398999999998</v>
      </c>
      <c r="Q24" s="6">
        <f t="shared" si="0"/>
        <v>97.117227</v>
      </c>
      <c r="R24" s="5">
        <f>SUMIFS('48 KMP -Tháng'!$S$2:$S$53,'48 KMP -Tháng'!$C$2:$C$53,'18 KMP- Tháng'!$D24)</f>
        <v>0</v>
      </c>
      <c r="S24" s="5">
        <f>SUMIFS('48 KMP -Tháng'!$T$2:$T$53,'48 KMP -Tháng'!$C$2:$C$53,'18 KMP- Tháng'!$D24)</f>
        <v>0</v>
      </c>
      <c r="T24" s="5">
        <f>SUMIFS('48 KMP -Tháng'!U$2:U$53,'48 KMP -Tháng'!$C$2:$C$53,'18 KMP- Tháng'!$D24)</f>
        <v>0</v>
      </c>
      <c r="U24" s="5">
        <f>SUMIFS('48 KMP -Tháng'!V$2:V$53,'48 KMP -Tháng'!$C$2:$C$53,'18 KMP- Tháng'!$D24)</f>
        <v>0</v>
      </c>
      <c r="V24" s="5">
        <f>SUMIFS('48 KMP -Tháng'!W$2:W$53,'48 KMP -Tháng'!$C$2:$C$53,'18 KMP- Tháng'!$D24)</f>
        <v>0</v>
      </c>
      <c r="W24" s="5">
        <f>SUMIFS('48 KMP -Tháng'!X$2:X$53,'48 KMP -Tháng'!$C$2:$C$53,'18 KMP- Tháng'!$D24)</f>
        <v>0</v>
      </c>
      <c r="X24" s="5">
        <f>SUMIFS('48 KMP -Tháng'!Y$2:Y$53,'48 KMP -Tháng'!$C$2:$C$53,'18 KMP- Tháng'!$D24)</f>
        <v>0</v>
      </c>
      <c r="Y24" s="5">
        <f>SUMIFS('48 KMP -Tháng'!Z$2:Z$53,'48 KMP -Tháng'!$C$2:$C$53,'18 KMP- Tháng'!$D24)</f>
        <v>0</v>
      </c>
      <c r="Z24" s="5">
        <f>SUMIFS('48 KMP -Tháng'!AA$2:AA$53,'48 KMP -Tháng'!$C$2:$C$53,'18 KMP- Tháng'!$D24)</f>
        <v>0</v>
      </c>
      <c r="AA24" s="5">
        <f>SUMIFS('48 KMP -Tháng'!AB$2:AB$53,'48 KMP -Tháng'!$C$2:$C$53,'18 KMP- Tháng'!$D24)</f>
        <v>0</v>
      </c>
      <c r="AB24" s="5">
        <f>SUMIFS('48 KMP -Tháng'!AC$2:AC$53,'48 KMP -Tháng'!$C$2:$C$53,'18 KMP- Tháng'!$D24)</f>
        <v>0</v>
      </c>
      <c r="AC24" s="5">
        <f>SUMIFS('48 KMP -Tháng'!AD$2:AD$53,'48 KMP -Tháng'!$C$2:$C$53,'18 KMP- Tháng'!$D24)+SUMIFS('48 KMP -Tháng'!$AE$2:$AE$53,'48 KMP -Tháng'!$C$2:$C$53,'18 KMP- Tháng'!D24)</f>
        <v>0</v>
      </c>
      <c r="AD24" s="7">
        <f t="shared" si="1"/>
        <v>0</v>
      </c>
      <c r="AE24" s="28">
        <f t="shared" si="2"/>
        <v>0</v>
      </c>
      <c r="AF24" s="5">
        <f>SUMIFS('48 KMP -Tháng'!AH$2:AH$53,'48 KMP -Tháng'!$C$2:$C$53,'18 KMP- Tháng'!$D24)</f>
        <v>0</v>
      </c>
      <c r="AG24" s="5">
        <f>SUMIFS('48 KMP -Tháng'!AI$2:AI$53,'48 KMP -Tháng'!$C$2:$C$53,'18 KMP- Tháng'!$D24)</f>
        <v>0</v>
      </c>
      <c r="AH24" s="5">
        <f>SUMIFS('48 KMP -Tháng'!AJ$2:AJ$53,'48 KMP -Tháng'!$C$2:$C$53,'18 KMP- Tháng'!$D24)</f>
        <v>0</v>
      </c>
      <c r="AI24" s="5">
        <f>SUMIFS('48 KMP -Tháng'!AK$2:AK$53,'48 KMP -Tháng'!$C$2:$C$53,'18 KMP- Tháng'!$D24)</f>
        <v>0</v>
      </c>
      <c r="AJ24" s="5">
        <f>SUMIFS('48 KMP -Tháng'!AL$2:AL$53,'48 KMP -Tháng'!$C$2:$C$53,'18 KMP- Tháng'!$D24)</f>
        <v>0</v>
      </c>
      <c r="AK24" s="5">
        <f>SUMIFS('48 KMP -Tháng'!AM$2:AM$53,'48 KMP -Tháng'!$C$2:$C$53,'18 KMP- Tháng'!$D24)</f>
        <v>0</v>
      </c>
      <c r="AL24" s="5">
        <f>SUMIFS('48 KMP -Tháng'!AN$2:AN$53,'48 KMP -Tháng'!$C$2:$C$53,'18 KMP- Tháng'!$D24)</f>
        <v>0</v>
      </c>
      <c r="AM24" s="5">
        <f>SUMIFS('48 KMP -Tháng'!AO$2:AO$53,'48 KMP -Tháng'!$C$2:$C$53,'18 KMP- Tháng'!$D24)</f>
        <v>0</v>
      </c>
      <c r="AN24" s="5">
        <f>SUMIFS('48 KMP -Tháng'!AP$2:AP$53,'48 KMP -Tháng'!$C$2:$C$53,'18 KMP- Tháng'!$D24)</f>
        <v>0</v>
      </c>
      <c r="AO24" s="5">
        <f>SUMIFS('48 KMP -Tháng'!AQ$2:AQ$53,'48 KMP -Tháng'!$C$2:$C$53,'18 KMP- Tháng'!$D24)</f>
        <v>0</v>
      </c>
      <c r="AP24" s="5">
        <f>SUMIFS('48 KMP -Tháng'!AR$2:AR$53,'48 KMP -Tháng'!$C$2:$C$53,'18 KMP- Tháng'!$D24)</f>
        <v>0</v>
      </c>
      <c r="AQ24" s="5">
        <f>SUMIFS('48 KMP -Tháng'!AS$2:AS$53,'48 KMP -Tháng'!$C$2:$C$53,'18 KMP- Tháng'!$D24)+SUMIFS('48 KMP -Tháng'!AT$2:AT$53,'48 KMP -Tháng'!$C$2:$C$53,'18 KMP- Tháng'!$D24)</f>
        <v>0</v>
      </c>
      <c r="AR24" s="28">
        <f t="shared" si="3"/>
        <v>0</v>
      </c>
      <c r="AS24" s="5">
        <f>SUMIFS('48 KMP -Tháng'!AV$2:AV$53,'48 KMP -Tháng'!$C$2:$C$53,'18 KMP- Tháng'!$D24)</f>
        <v>0</v>
      </c>
      <c r="AT24" s="5">
        <f>SUMIFS('48 KMP -Tháng'!AW$2:AW$53,'48 KMP -Tháng'!$C$2:$C$53,'18 KMP- Tháng'!$D24)</f>
        <v>0</v>
      </c>
      <c r="AU24" s="5">
        <f>SUMIFS('48 KMP -Tháng'!AX$2:AX$53,'48 KMP -Tháng'!$C$2:$C$53,'18 KMP- Tháng'!$D24)</f>
        <v>0</v>
      </c>
      <c r="AV24" s="5">
        <f>SUMIFS('48 KMP -Tháng'!AY$2:AY$53,'48 KMP -Tháng'!$C$2:$C$53,'18 KMP- Tháng'!$D24)</f>
        <v>0</v>
      </c>
      <c r="AW24" s="5">
        <f>SUMIFS('48 KMP -Tháng'!AZ$2:AZ$53,'48 KMP -Tháng'!$C$2:$C$53,'18 KMP- Tháng'!$D24)</f>
        <v>0</v>
      </c>
      <c r="AX24" s="5">
        <f>SUMIFS('48 KMP -Tháng'!BA$2:BA$53,'48 KMP -Tháng'!$C$2:$C$53,'18 KMP- Tháng'!$D24)</f>
        <v>0</v>
      </c>
      <c r="AY24" s="5">
        <f>SUMIFS('48 KMP -Tháng'!BB$2:BB$53,'48 KMP -Tháng'!$C$2:$C$53,'18 KMP- Tháng'!$D24)</f>
        <v>0</v>
      </c>
      <c r="AZ24" s="5">
        <f>SUMIFS('48 KMP -Tháng'!BC$2:BC$53,'48 KMP -Tháng'!$C$2:$C$53,'18 KMP- Tháng'!$D24)</f>
        <v>0</v>
      </c>
      <c r="BA24" s="5">
        <f>SUMIFS('48 KMP -Tháng'!BD$2:BD$53,'48 KMP -Tháng'!$C$2:$C$53,'18 KMP- Tháng'!$D24)</f>
        <v>0</v>
      </c>
      <c r="BB24" s="5">
        <f>SUMIFS('48 KMP -Tháng'!BE$2:BE$53,'48 KMP -Tháng'!$C$2:$C$53,'18 KMP- Tháng'!$D24)</f>
        <v>0</v>
      </c>
      <c r="BC24" s="5">
        <f>SUMIFS('48 KMP -Tháng'!BF$2:BF$53,'48 KMP -Tháng'!$C$2:$C$53,'18 KMP- Tháng'!$D24)</f>
        <v>0</v>
      </c>
      <c r="BD24" s="5">
        <f>SUMIFS('48 KMP -Tháng'!BG$2:BG$53,'48 KMP -Tháng'!$C$2:$C$53,'18 KMP- Tháng'!$D24)</f>
        <v>0</v>
      </c>
      <c r="BE24" s="28">
        <f t="shared" si="7"/>
        <v>0</v>
      </c>
      <c r="BF24" s="7">
        <f>SUMIFS('48 KMP -Tháng'!BI$2:BI$53,'48 KMP -Tháng'!$C$2:$C$53,'18 KMP- Tháng'!$D24)</f>
        <v>0</v>
      </c>
      <c r="BG24" s="86"/>
      <c r="BH24" s="8">
        <f>SUMIFS('48 KMP -Tháng'!BL:BL,'48 KMP -Tháng'!$C:$C,'18 KMP- Tháng'!$D24)</f>
        <v>0</v>
      </c>
      <c r="BI24" s="8">
        <f>SUMIFS('48 KMP -Tháng'!BM:BM,'48 KMP -Tháng'!$C:$C,'18 KMP- Tháng'!$D24)</f>
        <v>0</v>
      </c>
      <c r="BJ24" s="8">
        <f>SUMIFS('48 KMP -Tháng'!BN:BN,'48 KMP -Tháng'!$C:$C,'18 KMP- Tháng'!$D24)</f>
        <v>0</v>
      </c>
      <c r="BK24" s="8">
        <f>SUMIFS('48 KMP -Tháng'!BO:BO,'48 KMP -Tháng'!$C:$C,'18 KMP- Tháng'!$D24)</f>
        <v>0</v>
      </c>
      <c r="BL24" s="8">
        <f>SUMIFS('48 KMP -Tháng'!BP:BP,'48 KMP -Tháng'!$C:$C,'18 KMP- Tháng'!$D24)</f>
        <v>0</v>
      </c>
      <c r="BM24" s="8">
        <f>SUMIFS('48 KMP -Tháng'!BQ:BQ,'48 KMP -Tháng'!$C:$C,'18 KMP- Tháng'!$D24)</f>
        <v>0</v>
      </c>
      <c r="BN24" s="8">
        <f>SUMIFS('48 KMP -Tháng'!BR:BR,'48 KMP -Tháng'!$C:$C,'18 KMP- Tháng'!$D24)</f>
        <v>0</v>
      </c>
      <c r="BO24" s="8">
        <f>SUMIFS('48 KMP -Tháng'!BS:BS,'48 KMP -Tháng'!$C:$C,'18 KMP- Tháng'!$D24)</f>
        <v>0</v>
      </c>
      <c r="BP24" s="8">
        <f>SUMIFS('48 KMP -Tháng'!BT:BT,'48 KMP -Tháng'!$C:$C,'18 KMP- Tháng'!$D24)</f>
        <v>0</v>
      </c>
      <c r="BQ24" s="8">
        <f>SUMIFS('48 KMP -Tháng'!BU:BU,'48 KMP -Tháng'!$C:$C,'18 KMP- Tháng'!$D24)</f>
        <v>0</v>
      </c>
      <c r="BR24" s="8">
        <f>SUMIFS('48 KMP -Tháng'!BV:BV,'48 KMP -Tháng'!$C:$C,'18 KMP- Tháng'!$D24)</f>
        <v>0</v>
      </c>
      <c r="BS24" s="8">
        <f>SUMIFS('48 KMP -Tháng'!BW:BW,'48 KMP -Tháng'!$C:$C,'18 KMP- Tháng'!$D24)</f>
        <v>0</v>
      </c>
      <c r="BT24" s="8">
        <f t="shared" si="8"/>
        <v>0</v>
      </c>
      <c r="BU24">
        <f>SUM(BT18:BT24)/BT26</f>
        <v>5.6879297406508984</v>
      </c>
      <c r="BV24" s="607">
        <f>+BU24+BV8</f>
        <v>25.671077044249937</v>
      </c>
    </row>
    <row r="25" spans="1:76" s="10" customFormat="1" x14ac:dyDescent="0.3">
      <c r="A25" s="105">
        <v>22</v>
      </c>
      <c r="D25" s="11" t="s">
        <v>98</v>
      </c>
      <c r="E25" s="7">
        <f t="shared" ref="E25:P25" si="10">SUM(E6:E24)</f>
        <v>34440.911711089284</v>
      </c>
      <c r="F25" s="7">
        <f t="shared" si="10"/>
        <v>46317.090426292278</v>
      </c>
      <c r="G25" s="7">
        <f t="shared" si="10"/>
        <v>55997.137123049295</v>
      </c>
      <c r="H25" s="7">
        <f t="shared" si="10"/>
        <v>48947.483193914282</v>
      </c>
      <c r="I25" s="7">
        <f t="shared" si="10"/>
        <v>58599.450388103287</v>
      </c>
      <c r="J25" s="7">
        <f t="shared" si="10"/>
        <v>52071.093139714285</v>
      </c>
      <c r="K25" s="7">
        <f t="shared" si="10"/>
        <v>60035.260519214287</v>
      </c>
      <c r="L25" s="7">
        <f t="shared" si="10"/>
        <v>62421.991991500014</v>
      </c>
      <c r="M25" s="7">
        <f t="shared" si="10"/>
        <v>55229.418362560005</v>
      </c>
      <c r="N25" s="7">
        <f t="shared" si="10"/>
        <v>62472.462763999996</v>
      </c>
      <c r="O25" s="7">
        <f t="shared" si="10"/>
        <v>51056.575212999989</v>
      </c>
      <c r="P25" s="7">
        <f t="shared" si="10"/>
        <v>96361.762473917581</v>
      </c>
      <c r="Q25" s="6">
        <f t="shared" si="0"/>
        <v>56995.886442196206</v>
      </c>
      <c r="R25" s="7">
        <f t="shared" ref="R25:BS25" si="11">SUM(R6:R24)</f>
        <v>108373.94243726735</v>
      </c>
      <c r="S25" s="7">
        <f t="shared" si="11"/>
        <v>78862.726588976409</v>
      </c>
      <c r="T25" s="7">
        <f t="shared" si="11"/>
        <v>119016.18556831148</v>
      </c>
      <c r="U25" s="7">
        <f t="shared" si="11"/>
        <v>112471.03437345999</v>
      </c>
      <c r="V25" s="7">
        <f t="shared" si="11"/>
        <v>114553.39807920766</v>
      </c>
      <c r="W25" s="7">
        <f t="shared" si="11"/>
        <v>90042.392845521477</v>
      </c>
      <c r="X25" s="7">
        <f t="shared" si="11"/>
        <v>57716.515896626879</v>
      </c>
      <c r="Y25" s="7">
        <f t="shared" si="11"/>
        <v>64018.083603418039</v>
      </c>
      <c r="Z25" s="7">
        <f t="shared" si="11"/>
        <v>79882.565015458604</v>
      </c>
      <c r="AA25" s="7">
        <f t="shared" si="11"/>
        <v>108688.19498759184</v>
      </c>
      <c r="AB25" s="7">
        <f t="shared" si="11"/>
        <v>116871.96153004942</v>
      </c>
      <c r="AC25" s="7">
        <f t="shared" si="11"/>
        <v>88830.806626013029</v>
      </c>
      <c r="AD25" s="7">
        <f>SUM(AD6:AD24)</f>
        <v>1139327.807551902</v>
      </c>
      <c r="AE25" s="7">
        <f>SUM(AE6:AE24)</f>
        <v>94943.983962658516</v>
      </c>
      <c r="AF25" s="7">
        <f>SUM(AF6:AF24)</f>
        <v>59444.159579729931</v>
      </c>
      <c r="AG25" s="7">
        <f>SUM(AG6:AG24)</f>
        <v>82445.160311730273</v>
      </c>
      <c r="AH25" s="7">
        <f t="shared" ref="AH25:AQ25" si="12">SUM(AH6:AH24)</f>
        <v>124615.91312334994</v>
      </c>
      <c r="AI25" s="7">
        <f t="shared" si="12"/>
        <v>113335.87948051283</v>
      </c>
      <c r="AJ25" s="7">
        <f t="shared" si="12"/>
        <v>130012.27065389988</v>
      </c>
      <c r="AK25" s="7">
        <f t="shared" si="12"/>
        <v>118462.23957499872</v>
      </c>
      <c r="AL25" s="7">
        <f t="shared" si="12"/>
        <v>130177.81185494357</v>
      </c>
      <c r="AM25" s="7">
        <f t="shared" si="12"/>
        <v>130034.25782838982</v>
      </c>
      <c r="AN25" s="7">
        <f t="shared" si="12"/>
        <v>129155.32693151021</v>
      </c>
      <c r="AO25" s="7">
        <f t="shared" si="12"/>
        <v>94101.449112082904</v>
      </c>
      <c r="AP25" s="7">
        <f t="shared" si="12"/>
        <v>72029.367448524004</v>
      </c>
      <c r="AQ25" s="7">
        <f t="shared" si="12"/>
        <v>98287.187840182698</v>
      </c>
      <c r="AR25" s="7">
        <f t="shared" si="3"/>
        <v>106841.75197832125</v>
      </c>
      <c r="AS25" s="7">
        <f>SUM(AS6:AS24)</f>
        <v>82760.536552348582</v>
      </c>
      <c r="AT25" s="7">
        <f>SUM(AT6:AT24)</f>
        <v>56496.9493980263</v>
      </c>
      <c r="AU25" s="7">
        <f t="shared" ref="AU25:BD25" si="13">SUM(AU6:AU24)</f>
        <v>106967.75717628401</v>
      </c>
      <c r="AV25" s="7">
        <f t="shared" si="13"/>
        <v>109713.40654345047</v>
      </c>
      <c r="AW25" s="7">
        <f t="shared" si="13"/>
        <v>99423.045462368289</v>
      </c>
      <c r="AX25" s="7">
        <f t="shared" si="13"/>
        <v>0</v>
      </c>
      <c r="AY25" s="7">
        <f t="shared" si="13"/>
        <v>0</v>
      </c>
      <c r="AZ25" s="7">
        <f t="shared" si="13"/>
        <v>0</v>
      </c>
      <c r="BA25" s="7">
        <f t="shared" si="13"/>
        <v>0</v>
      </c>
      <c r="BB25" s="7">
        <f t="shared" si="13"/>
        <v>0</v>
      </c>
      <c r="BC25" s="7">
        <f t="shared" si="13"/>
        <v>0</v>
      </c>
      <c r="BD25" s="7">
        <f t="shared" si="13"/>
        <v>0</v>
      </c>
      <c r="BE25" s="7">
        <f t="shared" si="7"/>
        <v>37946.807927706475</v>
      </c>
      <c r="BF25" s="7">
        <f>SUM(BF6:BF24)</f>
        <v>87546.38443303926</v>
      </c>
      <c r="BG25" s="7"/>
      <c r="BH25" s="7">
        <f>SUM(BH6:BH24)</f>
        <v>102075.2141261444</v>
      </c>
      <c r="BI25" s="7">
        <f t="shared" si="11"/>
        <v>87546.38443303926</v>
      </c>
      <c r="BJ25" s="7">
        <f t="shared" si="11"/>
        <v>106012.90965511953</v>
      </c>
      <c r="BK25" s="7">
        <f t="shared" si="11"/>
        <v>106884.42050915735</v>
      </c>
      <c r="BL25" s="7">
        <f t="shared" si="11"/>
        <v>106047.54416953136</v>
      </c>
      <c r="BM25" s="7">
        <f t="shared" si="11"/>
        <v>108779.83289295096</v>
      </c>
      <c r="BN25" s="7">
        <f t="shared" si="11"/>
        <v>110508.54244716142</v>
      </c>
      <c r="BO25" s="7">
        <f t="shared" si="11"/>
        <v>111127.61092045372</v>
      </c>
      <c r="BP25" s="7">
        <f t="shared" si="11"/>
        <v>111303.7708221152</v>
      </c>
      <c r="BQ25" s="7">
        <f t="shared" si="11"/>
        <v>111455.76987171013</v>
      </c>
      <c r="BR25" s="7">
        <f t="shared" si="11"/>
        <v>110446.72082542148</v>
      </c>
      <c r="BS25" s="7">
        <f t="shared" si="11"/>
        <v>111365.13153969216</v>
      </c>
      <c r="BT25" s="7">
        <f>SUM(BT6:BT24)</f>
        <v>1283553.8522124973</v>
      </c>
      <c r="BU25" s="606"/>
    </row>
    <row r="26" spans="1:76" s="10" customFormat="1" x14ac:dyDescent="0.3">
      <c r="A26" s="105">
        <v>23</v>
      </c>
      <c r="D26" s="11" t="s">
        <v>99</v>
      </c>
      <c r="E26" s="7">
        <v>841.88200000000006</v>
      </c>
      <c r="F26" s="7">
        <v>1307.212</v>
      </c>
      <c r="G26" s="7">
        <v>1683.5150000000001</v>
      </c>
      <c r="H26" s="7">
        <v>1492.932</v>
      </c>
      <c r="I26" s="7">
        <v>1899.635</v>
      </c>
      <c r="J26" s="7">
        <v>1515.6790000000001</v>
      </c>
      <c r="K26" s="7">
        <v>2178.2570000000001</v>
      </c>
      <c r="L26" s="7">
        <v>2374.6089999999999</v>
      </c>
      <c r="M26" s="7">
        <v>2017.2435</v>
      </c>
      <c r="N26" s="7">
        <v>2500.7439999999997</v>
      </c>
      <c r="O26" s="7">
        <v>1739.5754999999999</v>
      </c>
      <c r="P26" s="7">
        <v>3906.0309999999995</v>
      </c>
      <c r="Q26" s="6">
        <f t="shared" si="0"/>
        <v>1954.7762499999999</v>
      </c>
      <c r="R26" s="7">
        <v>4748.3130000000001</v>
      </c>
      <c r="S26" s="7">
        <v>2926.5019999999995</v>
      </c>
      <c r="T26" s="7">
        <v>4896.4380000000001</v>
      </c>
      <c r="U26" s="7">
        <v>4526.3689999999997</v>
      </c>
      <c r="V26" s="7">
        <v>4417.8749999999991</v>
      </c>
      <c r="W26" s="7">
        <v>3495.0745000000011</v>
      </c>
      <c r="X26" s="7">
        <v>1866.424</v>
      </c>
      <c r="Y26" s="7">
        <v>2192.5824999999995</v>
      </c>
      <c r="Z26" s="7">
        <v>2799.3996999999999</v>
      </c>
      <c r="AA26" s="7">
        <v>4293.2714999999989</v>
      </c>
      <c r="AB26" s="7">
        <v>4775.3970000000008</v>
      </c>
      <c r="AC26" s="7">
        <v>3318.6420999999996</v>
      </c>
      <c r="AD26" s="7">
        <f t="shared" si="1"/>
        <v>44256.2883</v>
      </c>
      <c r="AE26" s="7">
        <f t="shared" si="2"/>
        <v>3688.0240250000002</v>
      </c>
      <c r="AF26" s="7">
        <v>1839.7309999999998</v>
      </c>
      <c r="AG26" s="7">
        <v>2957.2660000000001</v>
      </c>
      <c r="AH26" s="7">
        <v>4821.92</v>
      </c>
      <c r="AI26" s="7">
        <v>4088.2489999999993</v>
      </c>
      <c r="AJ26" s="7">
        <v>4828.9710000000005</v>
      </c>
      <c r="AK26" s="7">
        <v>4232.4530000000004</v>
      </c>
      <c r="AL26" s="7">
        <v>4561.6410000000005</v>
      </c>
      <c r="AM26" s="7">
        <v>4570.5645000000004</v>
      </c>
      <c r="AN26" s="7">
        <v>4555.5080000000007</v>
      </c>
      <c r="AO26" s="7">
        <v>3173.9179999999997</v>
      </c>
      <c r="AP26" s="7">
        <v>2323.2630000000004</v>
      </c>
      <c r="AQ26" s="7">
        <v>3552.8617999999997</v>
      </c>
      <c r="AR26" s="7">
        <f t="shared" si="3"/>
        <v>3792.1955249999996</v>
      </c>
      <c r="AS26" s="7">
        <v>2868.56925</v>
      </c>
      <c r="AT26" s="7">
        <v>1811.1000000000001</v>
      </c>
      <c r="AU26" s="7">
        <v>4279.4889999999996</v>
      </c>
      <c r="AV26" s="7">
        <v>4370.2853999999998</v>
      </c>
      <c r="AW26" s="7">
        <v>3592.6819999999998</v>
      </c>
      <c r="AX26" s="7"/>
      <c r="AY26" s="7"/>
      <c r="AZ26" s="7"/>
      <c r="BA26" s="7"/>
      <c r="BB26" s="7"/>
      <c r="BC26" s="7"/>
      <c r="BD26" s="7"/>
      <c r="BE26" s="7"/>
      <c r="BF26" s="7" t="e">
        <f ca="1">SUM(OFFSET(BH26,0,0,1,$BH$1))</f>
        <v>#REF!</v>
      </c>
      <c r="BG26" s="86"/>
      <c r="BH26" s="156">
        <v>3955</v>
      </c>
      <c r="BI26" s="156">
        <v>3245</v>
      </c>
      <c r="BJ26" s="156">
        <v>4145</v>
      </c>
      <c r="BK26" s="156">
        <v>4155</v>
      </c>
      <c r="BL26" s="156">
        <v>4145</v>
      </c>
      <c r="BM26" s="156">
        <v>4230</v>
      </c>
      <c r="BN26" s="156">
        <v>4330</v>
      </c>
      <c r="BO26" s="156">
        <v>4370</v>
      </c>
      <c r="BP26" s="156">
        <v>4355</v>
      </c>
      <c r="BQ26" s="156">
        <v>4380</v>
      </c>
      <c r="BR26" s="156">
        <v>4320</v>
      </c>
      <c r="BS26" s="156">
        <v>4370</v>
      </c>
      <c r="BT26" s="7">
        <f>SUM(BH26:BS26)</f>
        <v>50000</v>
      </c>
      <c r="BU26" s="10" t="s">
        <v>308</v>
      </c>
    </row>
    <row r="27" spans="1:76" s="10" customFormat="1" ht="28.2" x14ac:dyDescent="0.3">
      <c r="A27" s="105">
        <v>24</v>
      </c>
      <c r="D27" s="88" t="s">
        <v>168</v>
      </c>
      <c r="E27" s="7">
        <f t="shared" ref="E27:AF27" si="14">E25/E26</f>
        <v>40.909428769220959</v>
      </c>
      <c r="F27" s="7">
        <f t="shared" si="14"/>
        <v>35.431965454947076</v>
      </c>
      <c r="G27" s="7">
        <f t="shared" si="14"/>
        <v>33.262036348383766</v>
      </c>
      <c r="H27" s="7">
        <f t="shared" si="14"/>
        <v>32.786143772063483</v>
      </c>
      <c r="I27" s="7">
        <f t="shared" si="14"/>
        <v>30.84774200733472</v>
      </c>
      <c r="J27" s="7">
        <f t="shared" si="14"/>
        <v>34.354961136041524</v>
      </c>
      <c r="K27" s="7">
        <f t="shared" si="14"/>
        <v>27.561146604470586</v>
      </c>
      <c r="L27" s="7">
        <f t="shared" si="14"/>
        <v>26.287271711469138</v>
      </c>
      <c r="M27" s="7">
        <f t="shared" si="14"/>
        <v>27.378657243193498</v>
      </c>
      <c r="N27" s="7">
        <f t="shared" si="14"/>
        <v>24.98155059614259</v>
      </c>
      <c r="O27" s="7">
        <f t="shared" si="14"/>
        <v>29.350019710555816</v>
      </c>
      <c r="P27" s="7">
        <f t="shared" si="14"/>
        <v>24.669994291882883</v>
      </c>
      <c r="Q27" s="7">
        <f t="shared" si="14"/>
        <v>29.157243158748326</v>
      </c>
      <c r="R27" s="7">
        <f t="shared" si="14"/>
        <v>22.823672836493159</v>
      </c>
      <c r="S27" s="7">
        <f t="shared" si="14"/>
        <v>26.947778128624694</v>
      </c>
      <c r="T27" s="7">
        <f t="shared" si="14"/>
        <v>24.306686936158791</v>
      </c>
      <c r="U27" s="7">
        <f t="shared" si="14"/>
        <v>24.847959672191994</v>
      </c>
      <c r="V27" s="7">
        <f t="shared" si="14"/>
        <v>25.929524506512223</v>
      </c>
      <c r="W27" s="7">
        <f t="shared" si="14"/>
        <v>25.762653369912844</v>
      </c>
      <c r="X27" s="7">
        <f t="shared" si="14"/>
        <v>30.923582153158595</v>
      </c>
      <c r="Y27" s="7">
        <f t="shared" si="14"/>
        <v>29.197571176189747</v>
      </c>
      <c r="Z27" s="7">
        <f t="shared" si="14"/>
        <v>28.535605335479104</v>
      </c>
      <c r="AA27" s="7">
        <f t="shared" si="14"/>
        <v>25.315937971216556</v>
      </c>
      <c r="AB27" s="7">
        <f t="shared" si="14"/>
        <v>24.473768679347373</v>
      </c>
      <c r="AC27" s="155">
        <f t="shared" si="14"/>
        <v>26.767215008214666</v>
      </c>
      <c r="AD27" s="155">
        <f t="shared" si="14"/>
        <v>25.743862653567856</v>
      </c>
      <c r="AE27" s="155">
        <f t="shared" si="14"/>
        <v>25.743862653567859</v>
      </c>
      <c r="AF27" s="155">
        <f t="shared" si="14"/>
        <v>32.31133224353448</v>
      </c>
      <c r="AG27" s="155">
        <f t="shared" ref="AG27:AH27" si="15">AG25/AG26</f>
        <v>27.878844957379645</v>
      </c>
      <c r="AH27" s="155">
        <f t="shared" si="15"/>
        <v>25.843629326772309</v>
      </c>
      <c r="AI27" s="155">
        <f t="shared" ref="AI27:AK27" si="16">AI25/AI26</f>
        <v>27.722352400872072</v>
      </c>
      <c r="AJ27" s="155">
        <f t="shared" si="16"/>
        <v>26.923390232391096</v>
      </c>
      <c r="AK27" s="155">
        <f t="shared" si="16"/>
        <v>27.989026594033934</v>
      </c>
      <c r="AL27" s="155">
        <f t="shared" ref="AL27:AN27" si="17">AL25/AL26</f>
        <v>28.537496014031696</v>
      </c>
      <c r="AM27" s="155">
        <f t="shared" si="17"/>
        <v>28.450371464704155</v>
      </c>
      <c r="AN27" s="155">
        <f t="shared" si="17"/>
        <v>28.351465288066706</v>
      </c>
      <c r="AO27" s="155">
        <f t="shared" ref="AO27:AQ27" si="18">AO25/AO26</f>
        <v>29.648355474868257</v>
      </c>
      <c r="AP27" s="155">
        <f t="shared" si="18"/>
        <v>31.003535737677566</v>
      </c>
      <c r="AQ27" s="155">
        <f t="shared" si="18"/>
        <v>27.664230519797506</v>
      </c>
      <c r="AR27" s="155">
        <f>AVERAGE(AF27:AQ27)</f>
        <v>28.527002521177451</v>
      </c>
      <c r="AS27" s="155">
        <f t="shared" ref="AS27:BD27" si="19">AS25/AS26</f>
        <v>28.850806565798816</v>
      </c>
      <c r="AT27" s="155">
        <f t="shared" si="19"/>
        <v>31.194826016247749</v>
      </c>
      <c r="AU27" s="155">
        <f t="shared" si="19"/>
        <v>24.995450899928478</v>
      </c>
      <c r="AV27" s="155">
        <f t="shared" si="19"/>
        <v>25.10440314571915</v>
      </c>
      <c r="AW27" s="155">
        <f t="shared" si="19"/>
        <v>27.673767247523799</v>
      </c>
      <c r="AX27" s="155" t="e">
        <f t="shared" si="19"/>
        <v>#DIV/0!</v>
      </c>
      <c r="AY27" s="155" t="e">
        <f t="shared" si="19"/>
        <v>#DIV/0!</v>
      </c>
      <c r="AZ27" s="155" t="e">
        <f t="shared" si="19"/>
        <v>#DIV/0!</v>
      </c>
      <c r="BA27" s="155" t="e">
        <f t="shared" si="19"/>
        <v>#DIV/0!</v>
      </c>
      <c r="BB27" s="155" t="e">
        <f t="shared" si="19"/>
        <v>#DIV/0!</v>
      </c>
      <c r="BC27" s="155" t="e">
        <f t="shared" si="19"/>
        <v>#DIV/0!</v>
      </c>
      <c r="BD27" s="155" t="e">
        <f t="shared" si="19"/>
        <v>#DIV/0!</v>
      </c>
      <c r="BE27" s="155" t="e">
        <f>AVERAGE(AS27:BD27)</f>
        <v>#DIV/0!</v>
      </c>
      <c r="BF27" s="580" t="e">
        <f ca="1">BF25/BF26</f>
        <v>#REF!</v>
      </c>
      <c r="BG27" s="7"/>
      <c r="BH27" s="580">
        <f>(BH25-BH8)/BH26+(BH8/BH30)</f>
        <v>25.80915654264081</v>
      </c>
      <c r="BI27" s="580">
        <f t="shared" ref="BI27:BT27" si="20">(BI25-BI8)/BI26+(BI8/BI30)</f>
        <v>26.978854987069109</v>
      </c>
      <c r="BJ27" s="580">
        <f t="shared" si="20"/>
        <v>25.576094006060199</v>
      </c>
      <c r="BK27" s="580">
        <f t="shared" si="20"/>
        <v>25.724288931205137</v>
      </c>
      <c r="BL27" s="580">
        <f t="shared" si="20"/>
        <v>25.584449739332054</v>
      </c>
      <c r="BM27" s="580">
        <f>(BM25-BM8)/BM26+(BM8/BM30)</f>
        <v>25.716272551525048</v>
      </c>
      <c r="BN27" s="580">
        <f t="shared" si="20"/>
        <v>25.521603336526887</v>
      </c>
      <c r="BO27" s="580">
        <f t="shared" si="20"/>
        <v>25.429659249531746</v>
      </c>
      <c r="BP27" s="580">
        <f t="shared" si="20"/>
        <v>25.557697088889828</v>
      </c>
      <c r="BQ27" s="580">
        <f t="shared" si="20"/>
        <v>25.446522801760302</v>
      </c>
      <c r="BR27" s="580">
        <f t="shared" si="20"/>
        <v>25.566370561440156</v>
      </c>
      <c r="BS27" s="580">
        <f t="shared" si="20"/>
        <v>25.484011793979899</v>
      </c>
      <c r="BT27" s="580">
        <f t="shared" si="20"/>
        <v>25.671077044249945</v>
      </c>
    </row>
    <row r="28" spans="1:76" s="10" customFormat="1" ht="28.2" x14ac:dyDescent="0.3">
      <c r="A28" s="105">
        <v>25</v>
      </c>
      <c r="D28" s="88" t="s">
        <v>167</v>
      </c>
      <c r="E28" s="7">
        <f t="shared" ref="E28:Q28" si="21">E25/E26</f>
        <v>40.909428769220959</v>
      </c>
      <c r="F28" s="7">
        <f t="shared" si="21"/>
        <v>35.431965454947076</v>
      </c>
      <c r="G28" s="7">
        <f t="shared" si="21"/>
        <v>33.262036348383766</v>
      </c>
      <c r="H28" s="7">
        <f t="shared" si="21"/>
        <v>32.786143772063483</v>
      </c>
      <c r="I28" s="7">
        <f t="shared" si="21"/>
        <v>30.84774200733472</v>
      </c>
      <c r="J28" s="7">
        <f t="shared" si="21"/>
        <v>34.354961136041524</v>
      </c>
      <c r="K28" s="7">
        <f t="shared" si="21"/>
        <v>27.561146604470586</v>
      </c>
      <c r="L28" s="7">
        <f t="shared" si="21"/>
        <v>26.287271711469138</v>
      </c>
      <c r="M28" s="7">
        <f t="shared" si="21"/>
        <v>27.378657243193498</v>
      </c>
      <c r="N28" s="7">
        <f t="shared" si="21"/>
        <v>24.98155059614259</v>
      </c>
      <c r="O28" s="7">
        <f t="shared" si="21"/>
        <v>29.350019710555816</v>
      </c>
      <c r="P28" s="7">
        <f t="shared" si="21"/>
        <v>24.669994291882883</v>
      </c>
      <c r="Q28" s="7">
        <f t="shared" si="21"/>
        <v>29.157243158748326</v>
      </c>
      <c r="R28" s="7">
        <f t="shared" ref="R28:AE28" si="22">(R25-R29)/R26</f>
        <v>22.499430128960331</v>
      </c>
      <c r="S28" s="7">
        <f t="shared" si="22"/>
        <v>25.874959499649442</v>
      </c>
      <c r="T28" s="7">
        <f t="shared" si="22"/>
        <v>24.319021252791959</v>
      </c>
      <c r="U28" s="7">
        <f t="shared" si="22"/>
        <v>24.507818189397874</v>
      </c>
      <c r="V28" s="7">
        <f t="shared" si="22"/>
        <v>25.58102984259952</v>
      </c>
      <c r="W28" s="7">
        <f t="shared" si="22"/>
        <v>25.322146060745805</v>
      </c>
      <c r="X28" s="7">
        <f t="shared" si="22"/>
        <v>30.098686061309515</v>
      </c>
      <c r="Y28" s="7">
        <f t="shared" si="22"/>
        <v>28.49538283740052</v>
      </c>
      <c r="Z28" s="7">
        <f t="shared" si="22"/>
        <v>27.985628187402206</v>
      </c>
      <c r="AA28" s="7">
        <f t="shared" si="22"/>
        <v>24.95732895631188</v>
      </c>
      <c r="AB28" s="7">
        <f t="shared" si="22"/>
        <v>24.151364937138435</v>
      </c>
      <c r="AC28" s="155">
        <f t="shared" si="22"/>
        <v>25.059689309274933</v>
      </c>
      <c r="AD28" s="155">
        <f t="shared" si="22"/>
        <v>25.233148087204189</v>
      </c>
      <c r="AE28" s="155">
        <f t="shared" si="22"/>
        <v>25.233148087204189</v>
      </c>
      <c r="AF28" s="155">
        <f>(AF25-AF29)/AF26</f>
        <v>31.120940822179946</v>
      </c>
      <c r="AG28" s="155">
        <f t="shared" ref="AG28:AH28" si="23">(AG25-AG29)/AG26</f>
        <v>27.097718065175833</v>
      </c>
      <c r="AH28" s="155">
        <f t="shared" si="23"/>
        <v>25.377010220690085</v>
      </c>
      <c r="AI28" s="155">
        <f t="shared" ref="AI28" si="24">(AI25-AI29)/AI26</f>
        <v>27.208685058202875</v>
      </c>
      <c r="AJ28" s="155">
        <f t="shared" ref="AJ28:AO28" si="25">(AJ25-AJ29)/AJ26</f>
        <v>26.488514976358289</v>
      </c>
      <c r="AK28" s="155">
        <f t="shared" si="25"/>
        <v>27.335034234520432</v>
      </c>
      <c r="AL28" s="155">
        <f t="shared" si="25"/>
        <v>27.869774447165739</v>
      </c>
      <c r="AM28" s="155">
        <f t="shared" si="25"/>
        <v>27.685497437436844</v>
      </c>
      <c r="AN28" s="155">
        <f t="shared" si="25"/>
        <v>27.584063260455299</v>
      </c>
      <c r="AO28" s="155">
        <f t="shared" si="25"/>
        <v>28.546907335376311</v>
      </c>
      <c r="AP28" s="155">
        <f>(AP25-AP29)/AP26</f>
        <v>29.498796034940511</v>
      </c>
      <c r="AQ28" s="155">
        <f>(AQ25-AQ29)/AQ26</f>
        <v>26.916690585652024</v>
      </c>
      <c r="AR28" s="155">
        <f t="shared" si="3"/>
        <v>27.727469373179517</v>
      </c>
      <c r="AS28" s="155">
        <f>(AS25-AS29)/AS26</f>
        <v>28.850806565798816</v>
      </c>
      <c r="AT28" s="155">
        <f t="shared" ref="AT28:BB28" si="26">(AT25-AT29)/AT26</f>
        <v>31.194826016247749</v>
      </c>
      <c r="AU28" s="155">
        <f t="shared" si="26"/>
        <v>24.995450899928478</v>
      </c>
      <c r="AV28" s="155">
        <f t="shared" si="26"/>
        <v>25.10440314571915</v>
      </c>
      <c r="AW28" s="155">
        <f t="shared" si="26"/>
        <v>27.673767247523799</v>
      </c>
      <c r="AX28" s="155" t="e">
        <f t="shared" si="26"/>
        <v>#DIV/0!</v>
      </c>
      <c r="AY28" s="155" t="e">
        <f t="shared" si="26"/>
        <v>#DIV/0!</v>
      </c>
      <c r="AZ28" s="155" t="e">
        <f t="shared" si="26"/>
        <v>#DIV/0!</v>
      </c>
      <c r="BA28" s="155" t="e">
        <f t="shared" si="26"/>
        <v>#DIV/0!</v>
      </c>
      <c r="BB28" s="155" t="e">
        <f t="shared" si="26"/>
        <v>#DIV/0!</v>
      </c>
      <c r="BC28" s="155" t="e">
        <f>(BC25-BC29)/BC26</f>
        <v>#DIV/0!</v>
      </c>
      <c r="BD28" s="155" t="e">
        <f>(BD25-BD29)/BD26</f>
        <v>#DIV/0!</v>
      </c>
      <c r="BE28" s="155" t="e">
        <f t="shared" ref="BE28" si="27">AVERAGE(AS28:BD28)</f>
        <v>#DIV/0!</v>
      </c>
      <c r="BF28" s="580" t="e">
        <f ca="1">(BF25-BF18+BF29)/BF26</f>
        <v>#REF!</v>
      </c>
      <c r="BG28" s="86"/>
      <c r="BH28" s="580">
        <f>(BH25-BH8-BH29)/BH26+(BH8/BH30)</f>
        <v>25.80915654264081</v>
      </c>
      <c r="BI28" s="580">
        <f t="shared" ref="BI28:BT28" si="28">(BI25-BI8-BI29)/BI26+(BI8/BI30)</f>
        <v>26.978854987069109</v>
      </c>
      <c r="BJ28" s="580">
        <f t="shared" si="28"/>
        <v>25.576094006060199</v>
      </c>
      <c r="BK28" s="580">
        <f t="shared" si="28"/>
        <v>25.724288931205137</v>
      </c>
      <c r="BL28" s="580">
        <f t="shared" si="28"/>
        <v>25.584449739332054</v>
      </c>
      <c r="BM28" s="580">
        <f t="shared" si="28"/>
        <v>25.716272551525048</v>
      </c>
      <c r="BN28" s="580">
        <f t="shared" si="28"/>
        <v>25.521603336526887</v>
      </c>
      <c r="BO28" s="580">
        <f t="shared" si="28"/>
        <v>25.429659249531746</v>
      </c>
      <c r="BP28" s="580">
        <f t="shared" si="28"/>
        <v>25.557697088889828</v>
      </c>
      <c r="BQ28" s="580">
        <f t="shared" si="28"/>
        <v>25.446522801760302</v>
      </c>
      <c r="BR28" s="580">
        <f t="shared" si="28"/>
        <v>25.566370561440156</v>
      </c>
      <c r="BS28" s="580">
        <f t="shared" si="28"/>
        <v>25.484011793979899</v>
      </c>
      <c r="BT28" s="580">
        <f t="shared" si="28"/>
        <v>25.671077044249945</v>
      </c>
    </row>
    <row r="29" spans="1:76" s="90" customFormat="1" x14ac:dyDescent="0.3">
      <c r="A29" s="105">
        <v>26</v>
      </c>
      <c r="D29" s="90" t="s">
        <v>211</v>
      </c>
      <c r="M29" s="91"/>
      <c r="R29" s="92">
        <v>1539.6058633333323</v>
      </c>
      <c r="S29" s="92">
        <v>3139.6058633333323</v>
      </c>
      <c r="T29" s="92">
        <v>-60.394216666667489</v>
      </c>
      <c r="U29" s="92">
        <v>1539.6058633333323</v>
      </c>
      <c r="V29" s="92">
        <v>1539.6058633333323</v>
      </c>
      <c r="W29" s="92">
        <v>1539.6058633333323</v>
      </c>
      <c r="X29" s="92">
        <v>1539.6058633333323</v>
      </c>
      <c r="Y29" s="92">
        <v>1539.6058633333323</v>
      </c>
      <c r="Z29" s="92">
        <v>1539.6058633333323</v>
      </c>
      <c r="AA29" s="92">
        <v>1539.6058633333323</v>
      </c>
      <c r="AB29" s="92">
        <v>1539.6058633333323</v>
      </c>
      <c r="AC29" s="633">
        <f>1539.60586333333+4127.060808</f>
        <v>5666.6666713333307</v>
      </c>
      <c r="AD29" s="40">
        <f>SUM(R29:AC29)</f>
        <v>22602.331087999984</v>
      </c>
      <c r="AE29" s="40">
        <f>AVERAGE(R29:AC29)</f>
        <v>1883.5275906666654</v>
      </c>
      <c r="AF29" s="40">
        <v>2190</v>
      </c>
      <c r="AG29" s="40">
        <v>2310</v>
      </c>
      <c r="AH29" s="40">
        <v>2250</v>
      </c>
      <c r="AI29" s="40">
        <v>2100</v>
      </c>
      <c r="AJ29" s="40">
        <v>2100</v>
      </c>
      <c r="AK29" s="40">
        <v>2767.9919239999999</v>
      </c>
      <c r="AL29" s="40">
        <v>3045.9060760000002</v>
      </c>
      <c r="AM29" s="40">
        <v>3495.9060760000002</v>
      </c>
      <c r="AN29" s="40">
        <v>3495.9060760000002</v>
      </c>
      <c r="AO29" s="40">
        <v>3495.9060760000002</v>
      </c>
      <c r="AP29" s="40">
        <v>3495.9060760000002</v>
      </c>
      <c r="AQ29" s="601">
        <f>(2100000000+727914152+667991924)/10^6-840+N("kết chuyển 627 về 642 phần diện tích quản lý thông qua tk632")</f>
        <v>2655.9060760000002</v>
      </c>
      <c r="AR29" s="601">
        <f>AVERAGE(AF29:AQ29)</f>
        <v>2783.6190316666666</v>
      </c>
      <c r="AS29" s="40">
        <v>0</v>
      </c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601"/>
      <c r="BE29" s="601">
        <f>AVERAGE(AS29:BD29)</f>
        <v>0</v>
      </c>
      <c r="BF29" s="40"/>
      <c r="BG29" s="148"/>
      <c r="BH29" s="92"/>
      <c r="BI29" s="92"/>
      <c r="BJ29" s="92"/>
      <c r="BK29" s="92"/>
      <c r="BL29" s="92"/>
      <c r="BM29" s="92"/>
      <c r="BN29" s="92"/>
      <c r="BO29" s="92"/>
      <c r="BP29" s="92"/>
      <c r="BQ29" s="92"/>
      <c r="BR29" s="92"/>
      <c r="BS29" s="92"/>
      <c r="BT29" s="92">
        <f>SUM(BH29:BS29)</f>
        <v>0</v>
      </c>
    </row>
    <row r="30" spans="1:76" s="90" customFormat="1" x14ac:dyDescent="0.3">
      <c r="A30" s="105"/>
      <c r="M30" s="91"/>
      <c r="R30" s="92">
        <f t="shared" ref="R30:AB30" si="29">R32+R31</f>
        <v>1539.6058633333305</v>
      </c>
      <c r="S30" s="92">
        <f t="shared" si="29"/>
        <v>3139.6058633333305</v>
      </c>
      <c r="T30" s="92">
        <f t="shared" si="29"/>
        <v>-60.394216666669308</v>
      </c>
      <c r="U30" s="92">
        <f t="shared" si="29"/>
        <v>1539.6058633333305</v>
      </c>
      <c r="V30" s="92">
        <f t="shared" si="29"/>
        <v>1539.6058633333305</v>
      </c>
      <c r="W30" s="92">
        <f t="shared" si="29"/>
        <v>1539.6058633333305</v>
      </c>
      <c r="X30" s="92">
        <f t="shared" si="29"/>
        <v>1539.6058633333305</v>
      </c>
      <c r="Y30" s="92">
        <f t="shared" si="29"/>
        <v>1539.6058633333305</v>
      </c>
      <c r="Z30" s="92">
        <f t="shared" si="29"/>
        <v>1539.6058633333305</v>
      </c>
      <c r="AA30" s="92">
        <f t="shared" si="29"/>
        <v>1539.6058633333305</v>
      </c>
      <c r="AB30" s="92">
        <f t="shared" si="29"/>
        <v>1539.6058633333305</v>
      </c>
      <c r="AC30" s="92">
        <f>AC32+AC31</f>
        <v>1539.6058633333305</v>
      </c>
      <c r="AD30" s="148"/>
      <c r="AE30" s="148"/>
      <c r="AF30" s="148"/>
      <c r="AG30" s="148"/>
      <c r="AH30" s="148"/>
      <c r="AI30" s="148"/>
      <c r="AJ30" s="148"/>
      <c r="AK30" s="148"/>
      <c r="AL30" s="148"/>
      <c r="AM30" s="148"/>
      <c r="AN30" s="148"/>
      <c r="AO30" s="148"/>
      <c r="AP30" s="148"/>
      <c r="AQ30" s="148"/>
      <c r="AR30" s="148"/>
      <c r="AS30" s="148"/>
      <c r="AT30" s="148"/>
      <c r="AU30" s="148"/>
      <c r="AV30" s="148"/>
      <c r="AW30" s="148"/>
      <c r="AX30" s="148"/>
      <c r="AY30" s="148"/>
      <c r="AZ30" s="148"/>
      <c r="BA30" s="148"/>
      <c r="BB30" s="148"/>
      <c r="BC30" s="148"/>
      <c r="BD30" s="148"/>
      <c r="BE30" s="148"/>
      <c r="BF30" s="148"/>
      <c r="BG30" s="148"/>
      <c r="BH30" s="92">
        <v>4307.222932676138</v>
      </c>
      <c r="BI30" s="92">
        <v>4242.3145678240326</v>
      </c>
      <c r="BJ30" s="92">
        <v>4667.5574034757401</v>
      </c>
      <c r="BK30" s="92">
        <v>4383.231518676721</v>
      </c>
      <c r="BL30" s="92">
        <v>4652.4364391825347</v>
      </c>
      <c r="BM30" s="92">
        <v>4680.9521822275929</v>
      </c>
      <c r="BN30" s="92">
        <v>4678.4225169732681</v>
      </c>
      <c r="BO30" s="92">
        <v>4551.8494989087394</v>
      </c>
      <c r="BP30" s="92">
        <v>4763.6231018888839</v>
      </c>
      <c r="BQ30" s="92">
        <v>4457.6262974285746</v>
      </c>
      <c r="BR30" s="92">
        <v>4709.2431243544625</v>
      </c>
      <c r="BS30" s="92">
        <v>4773.5204185700304</v>
      </c>
      <c r="BT30" s="7">
        <f>SUM(BH30:BS30)</f>
        <v>54868.000002186724</v>
      </c>
      <c r="BU30" s="90" t="s">
        <v>247</v>
      </c>
    </row>
    <row r="31" spans="1:76" s="90" customFormat="1" x14ac:dyDescent="0.3">
      <c r="A31" s="105"/>
      <c r="D31" s="90" t="s">
        <v>213</v>
      </c>
      <c r="M31" s="91"/>
      <c r="R31" s="92">
        <v>-9416.6666666666697</v>
      </c>
      <c r="S31" s="92">
        <v>-9416.6666666666697</v>
      </c>
      <c r="T31" s="92">
        <v>-9416.6666666666697</v>
      </c>
      <c r="U31" s="92">
        <v>-9416.6666666666697</v>
      </c>
      <c r="V31" s="92">
        <v>-9416.6666666666697</v>
      </c>
      <c r="W31" s="92">
        <v>-9416.6666666666697</v>
      </c>
      <c r="X31" s="92">
        <v>-9416.6666666666697</v>
      </c>
      <c r="Y31" s="92">
        <v>-9416.6666666666697</v>
      </c>
      <c r="Z31" s="92">
        <v>-9416.6666666666697</v>
      </c>
      <c r="AA31" s="92">
        <v>-9416.6666666666697</v>
      </c>
      <c r="AB31" s="92">
        <v>-9416.6666666666697</v>
      </c>
      <c r="AC31" s="92">
        <v>-9416.6666666666697</v>
      </c>
      <c r="AD31" s="40"/>
      <c r="AE31" s="148"/>
      <c r="AF31" s="148"/>
      <c r="AG31" s="148"/>
      <c r="AH31" s="148"/>
      <c r="AI31" s="148"/>
      <c r="AJ31" s="148"/>
      <c r="AK31" s="148"/>
      <c r="AL31" s="148"/>
      <c r="AM31" s="148"/>
      <c r="AN31" s="148"/>
      <c r="AO31" s="148"/>
      <c r="AP31" s="148"/>
      <c r="AQ31" s="148">
        <f>2662876497+5737123503+955616384+2058859742</f>
        <v>11414476126</v>
      </c>
      <c r="AR31" s="148"/>
      <c r="AS31" s="148"/>
      <c r="AT31" s="148"/>
      <c r="AU31" s="148"/>
      <c r="AV31" s="148"/>
      <c r="AW31" s="148"/>
      <c r="AX31" s="148"/>
      <c r="AY31" s="148"/>
      <c r="AZ31" s="148"/>
      <c r="BA31" s="148"/>
      <c r="BB31" s="148"/>
      <c r="BC31" s="148"/>
      <c r="BD31" s="148">
        <f>2662876497+5737123503+955616384+2058859742</f>
        <v>11414476126</v>
      </c>
      <c r="BE31" s="148"/>
      <c r="BF31" s="148"/>
      <c r="BG31" s="148"/>
      <c r="BH31" s="92"/>
      <c r="BI31" s="92"/>
      <c r="BJ31" s="92"/>
      <c r="BK31" s="92"/>
      <c r="BL31" s="92"/>
      <c r="BM31" s="92"/>
      <c r="BN31" s="92"/>
      <c r="BO31" s="92"/>
      <c r="BP31" s="92"/>
      <c r="BQ31" s="92"/>
      <c r="BR31" s="92"/>
      <c r="BS31" s="92"/>
      <c r="BT31" s="92"/>
    </row>
    <row r="32" spans="1:76" s="90" customFormat="1" x14ac:dyDescent="0.3">
      <c r="A32" s="105"/>
      <c r="D32" s="90" t="s">
        <v>212</v>
      </c>
      <c r="M32" s="91"/>
      <c r="R32" s="92">
        <v>10956.27253</v>
      </c>
      <c r="S32" s="92">
        <v>12556.27253</v>
      </c>
      <c r="T32" s="92">
        <v>9356.2724500000004</v>
      </c>
      <c r="U32" s="92">
        <v>10956.27253</v>
      </c>
      <c r="V32" s="92">
        <v>10956.27253</v>
      </c>
      <c r="W32" s="92">
        <v>10956.27253</v>
      </c>
      <c r="X32" s="92">
        <v>10956.27253</v>
      </c>
      <c r="Y32" s="92">
        <v>10956.27253</v>
      </c>
      <c r="Z32" s="92">
        <v>10956.27253</v>
      </c>
      <c r="AA32" s="92">
        <v>10956.27253</v>
      </c>
      <c r="AB32" s="92">
        <v>10956.27253</v>
      </c>
      <c r="AC32" s="92">
        <v>10956.27253</v>
      </c>
      <c r="AD32" s="40">
        <f>SUM(R32:AC32)</f>
        <v>131475.27028</v>
      </c>
      <c r="AE32" s="148"/>
      <c r="AF32" s="148"/>
      <c r="AG32" s="148"/>
      <c r="AH32" s="148"/>
      <c r="AI32" s="148"/>
      <c r="AJ32" s="148"/>
      <c r="AK32" s="148"/>
      <c r="AL32" s="148"/>
      <c r="AM32" s="148"/>
      <c r="AN32" s="148"/>
      <c r="AO32" s="148"/>
      <c r="AP32" s="148"/>
      <c r="AQ32" s="148">
        <f>AQ31/10^6</f>
        <v>11414.476126</v>
      </c>
      <c r="AR32" s="148"/>
      <c r="AS32" s="148"/>
      <c r="AT32" s="148"/>
      <c r="AU32" s="148"/>
      <c r="AV32" s="148"/>
      <c r="AW32" s="148"/>
      <c r="AX32" s="148"/>
      <c r="AY32" s="148"/>
      <c r="AZ32" s="148"/>
      <c r="BA32" s="148"/>
      <c r="BB32" s="148"/>
      <c r="BC32" s="148"/>
      <c r="BD32" s="148">
        <f>BD31/10^6</f>
        <v>11414.476126</v>
      </c>
      <c r="BE32" s="148"/>
      <c r="BF32" s="148"/>
      <c r="BG32" s="148"/>
      <c r="BH32" s="92"/>
      <c r="BI32" s="92"/>
      <c r="BJ32" s="92"/>
      <c r="BK32" s="92"/>
      <c r="BL32" s="92"/>
      <c r="BM32" s="92"/>
      <c r="BN32" s="92"/>
      <c r="BO32" s="92"/>
      <c r="BP32" s="92"/>
      <c r="BQ32" s="92"/>
      <c r="BR32" s="92"/>
      <c r="BS32" s="92"/>
      <c r="BT32" s="92"/>
    </row>
    <row r="33" spans="2:72" s="12" customFormat="1" x14ac:dyDescent="0.3">
      <c r="M33" s="84"/>
      <c r="R33" s="87"/>
      <c r="S33" s="87"/>
      <c r="T33" s="87"/>
      <c r="U33" s="87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  <c r="AQ33" s="86"/>
      <c r="AR33" s="86"/>
      <c r="AS33" s="86"/>
      <c r="AT33" s="86"/>
      <c r="AU33" s="86"/>
      <c r="AV33" s="86"/>
      <c r="AW33" s="86"/>
      <c r="AX33" s="86"/>
      <c r="AY33" s="86"/>
      <c r="AZ33" s="86"/>
      <c r="BA33" s="86"/>
      <c r="BB33" s="86"/>
      <c r="BC33" s="86"/>
      <c r="BD33" s="86"/>
      <c r="BE33" s="86"/>
      <c r="BF33" s="86"/>
      <c r="BG33" s="86"/>
    </row>
    <row r="34" spans="2:72" s="12" customFormat="1" x14ac:dyDescent="0.3">
      <c r="D34" s="13" t="s">
        <v>100</v>
      </c>
    </row>
    <row r="35" spans="2:72" s="89" customFormat="1" ht="26.4" x14ac:dyDescent="0.3">
      <c r="B35" s="74" t="s">
        <v>57</v>
      </c>
      <c r="C35" s="74" t="s">
        <v>58</v>
      </c>
      <c r="D35" s="74" t="s">
        <v>59</v>
      </c>
      <c r="E35" s="76" t="s">
        <v>60</v>
      </c>
      <c r="F35" s="76" t="s">
        <v>61</v>
      </c>
      <c r="G35" s="76" t="s">
        <v>62</v>
      </c>
      <c r="H35" s="76" t="s">
        <v>63</v>
      </c>
      <c r="I35" s="76" t="s">
        <v>64</v>
      </c>
      <c r="J35" s="76" t="s">
        <v>65</v>
      </c>
      <c r="K35" s="76" t="s">
        <v>66</v>
      </c>
      <c r="L35" s="76" t="s">
        <v>67</v>
      </c>
      <c r="M35" s="76" t="s">
        <v>68</v>
      </c>
      <c r="N35" s="76" t="s">
        <v>69</v>
      </c>
      <c r="O35" s="76" t="s">
        <v>70</v>
      </c>
      <c r="P35" s="76" t="s">
        <v>71</v>
      </c>
      <c r="Q35" s="76" t="s">
        <v>171</v>
      </c>
      <c r="R35" s="76" t="s">
        <v>72</v>
      </c>
      <c r="S35" s="76" t="s">
        <v>73</v>
      </c>
      <c r="T35" s="76" t="s">
        <v>74</v>
      </c>
      <c r="U35" s="76" t="s">
        <v>75</v>
      </c>
      <c r="V35" s="76" t="s">
        <v>76</v>
      </c>
      <c r="W35" s="76" t="s">
        <v>77</v>
      </c>
      <c r="X35" s="76" t="s">
        <v>78</v>
      </c>
      <c r="Y35" s="76" t="s">
        <v>79</v>
      </c>
      <c r="Z35" s="76" t="s">
        <v>80</v>
      </c>
      <c r="AA35" s="76" t="s">
        <v>81</v>
      </c>
      <c r="AB35" s="76" t="s">
        <v>82</v>
      </c>
      <c r="AC35" s="76" t="s">
        <v>83</v>
      </c>
      <c r="AD35" s="73" t="str">
        <f>AD4</f>
        <v>Lũy kế TT 2024</v>
      </c>
      <c r="AE35" s="72" t="s">
        <v>185</v>
      </c>
      <c r="AF35" s="70" t="s">
        <v>229</v>
      </c>
      <c r="AG35" s="70" t="s">
        <v>230</v>
      </c>
      <c r="AH35" s="70" t="s">
        <v>231</v>
      </c>
      <c r="AI35" s="70" t="s">
        <v>232</v>
      </c>
      <c r="AJ35" s="70" t="s">
        <v>233</v>
      </c>
      <c r="AK35" s="70" t="s">
        <v>234</v>
      </c>
      <c r="AL35" s="70" t="s">
        <v>235</v>
      </c>
      <c r="AM35" s="70" t="s">
        <v>236</v>
      </c>
      <c r="AN35" s="70" t="s">
        <v>237</v>
      </c>
      <c r="AO35" s="70" t="s">
        <v>238</v>
      </c>
      <c r="AP35" s="70" t="s">
        <v>239</v>
      </c>
      <c r="AQ35" s="70" t="s">
        <v>240</v>
      </c>
      <c r="AR35" s="70" t="s">
        <v>250</v>
      </c>
      <c r="AS35" s="70" t="str">
        <f>AS4</f>
        <v>T1.26</v>
      </c>
      <c r="AT35" s="70" t="str">
        <f t="shared" ref="AT35:BE35" si="30">AT4</f>
        <v>T2.26</v>
      </c>
      <c r="AU35" s="70" t="str">
        <f t="shared" si="30"/>
        <v>T3.26</v>
      </c>
      <c r="AV35" s="70" t="str">
        <f t="shared" si="30"/>
        <v>T4.26</v>
      </c>
      <c r="AW35" s="70" t="str">
        <f t="shared" si="30"/>
        <v>T5.26</v>
      </c>
      <c r="AX35" s="70" t="str">
        <f t="shared" si="30"/>
        <v>T6.26</v>
      </c>
      <c r="AY35" s="70" t="str">
        <f t="shared" si="30"/>
        <v>T7.26</v>
      </c>
      <c r="AZ35" s="70" t="str">
        <f t="shared" si="30"/>
        <v>T8.26</v>
      </c>
      <c r="BA35" s="70" t="str">
        <f t="shared" si="30"/>
        <v>T9.26</v>
      </c>
      <c r="BB35" s="70" t="str">
        <f t="shared" si="30"/>
        <v>T10.26</v>
      </c>
      <c r="BC35" s="70" t="str">
        <f t="shared" si="30"/>
        <v>T11.26</v>
      </c>
      <c r="BD35" s="70" t="str">
        <f t="shared" si="30"/>
        <v>T12.26</v>
      </c>
      <c r="BE35" s="70" t="str">
        <f t="shared" si="30"/>
        <v>BQ 2026</v>
      </c>
      <c r="BF35" s="73" t="str">
        <f>BF4</f>
        <v>KH T2.2026</v>
      </c>
      <c r="BG35" s="149"/>
    </row>
    <row r="36" spans="2:72" s="12" customFormat="1" x14ac:dyDescent="0.3">
      <c r="B36" s="81" t="s">
        <v>162</v>
      </c>
      <c r="C36" s="77" t="s">
        <v>163</v>
      </c>
      <c r="D36" s="77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9"/>
      <c r="AE36" s="79"/>
      <c r="AF36" s="79"/>
      <c r="AG36" s="79"/>
      <c r="AH36" s="79"/>
      <c r="AI36" s="79"/>
      <c r="AJ36" s="79"/>
      <c r="AK36" s="79"/>
      <c r="AL36" s="79"/>
      <c r="AM36" s="79"/>
      <c r="AN36" s="79"/>
      <c r="AO36" s="79"/>
      <c r="AP36" s="79"/>
      <c r="AQ36" s="79"/>
      <c r="AR36" s="79"/>
      <c r="AS36" s="79"/>
      <c r="AT36" s="79"/>
      <c r="AU36" s="79"/>
      <c r="AV36" s="79"/>
      <c r="AW36" s="79"/>
      <c r="AX36" s="79"/>
      <c r="AY36" s="79"/>
      <c r="AZ36" s="79"/>
      <c r="BA36" s="79"/>
      <c r="BB36" s="79"/>
      <c r="BC36" s="79"/>
      <c r="BD36" s="79"/>
      <c r="BE36" s="79"/>
      <c r="BF36" s="79"/>
      <c r="BG36" s="147"/>
      <c r="BH36" s="80"/>
      <c r="BI36" s="80"/>
      <c r="BJ36" s="80"/>
      <c r="BK36" s="80"/>
      <c r="BL36" s="80"/>
      <c r="BM36" s="80"/>
      <c r="BN36" s="80"/>
      <c r="BO36" s="80"/>
      <c r="BP36" s="80"/>
      <c r="BQ36" s="80"/>
      <c r="BR36" s="80"/>
      <c r="BS36" s="80"/>
      <c r="BT36" s="80"/>
    </row>
    <row r="37" spans="2:72" s="12" customFormat="1" x14ac:dyDescent="0.3">
      <c r="B37" s="3">
        <v>1</v>
      </c>
      <c r="C37" s="3" t="s">
        <v>96</v>
      </c>
      <c r="D37" s="3" t="s">
        <v>47</v>
      </c>
      <c r="E37" s="15">
        <f t="shared" ref="E37:AE37" si="31">E6/E$25</f>
        <v>0.55703483178111934</v>
      </c>
      <c r="F37" s="15">
        <f t="shared" si="31"/>
        <v>0.63503585233586823</v>
      </c>
      <c r="G37" s="15">
        <f t="shared" si="31"/>
        <v>0.65906487628532739</v>
      </c>
      <c r="H37" s="15">
        <f t="shared" si="31"/>
        <v>0.6428714784688323</v>
      </c>
      <c r="I37" s="15">
        <f t="shared" si="31"/>
        <v>0.67443854639654777</v>
      </c>
      <c r="J37" s="15">
        <f t="shared" si="31"/>
        <v>0.63418488859827293</v>
      </c>
      <c r="K37" s="15">
        <f t="shared" si="31"/>
        <v>0.66739303680836892</v>
      </c>
      <c r="L37" s="15">
        <f t="shared" si="31"/>
        <v>0.668208192525797</v>
      </c>
      <c r="M37" s="15">
        <f t="shared" si="31"/>
        <v>0.6671624957133091</v>
      </c>
      <c r="N37" s="15">
        <f t="shared" si="31"/>
        <v>0.67396420723888473</v>
      </c>
      <c r="O37" s="15">
        <f t="shared" si="31"/>
        <v>0.61363454317677679</v>
      </c>
      <c r="P37" s="15">
        <f t="shared" si="31"/>
        <v>0.74476772781553624</v>
      </c>
      <c r="Q37" s="15">
        <f t="shared" si="31"/>
        <v>0.66282755247492631</v>
      </c>
      <c r="R37" s="15">
        <f t="shared" si="31"/>
        <v>0.7602197692430045</v>
      </c>
      <c r="S37" s="15">
        <f t="shared" si="31"/>
        <v>0.69334832401402502</v>
      </c>
      <c r="T37" s="15">
        <f t="shared" si="31"/>
        <v>0.77489470819953277</v>
      </c>
      <c r="U37" s="15">
        <f t="shared" si="31"/>
        <v>0.75401729620918534</v>
      </c>
      <c r="V37" s="15">
        <f t="shared" si="31"/>
        <v>0.75085342499749297</v>
      </c>
      <c r="W37" s="15">
        <f t="shared" si="31"/>
        <v>0.70443637817365024</v>
      </c>
      <c r="X37" s="15">
        <f t="shared" si="31"/>
        <v>0.59125083283202562</v>
      </c>
      <c r="Y37" s="15">
        <f t="shared" si="31"/>
        <v>0.62201245766764401</v>
      </c>
      <c r="Z37" s="15">
        <f t="shared" si="31"/>
        <v>0.66573661512789328</v>
      </c>
      <c r="AA37" s="15">
        <f t="shared" si="31"/>
        <v>0.73828483213305052</v>
      </c>
      <c r="AB37" s="15">
        <f t="shared" si="31"/>
        <v>0.7485159204692875</v>
      </c>
      <c r="AC37" s="14">
        <f t="shared" si="31"/>
        <v>0.68308889463478639</v>
      </c>
      <c r="AD37" s="15">
        <f t="shared" si="31"/>
        <v>0.71890447386563017</v>
      </c>
      <c r="AE37" s="15">
        <f t="shared" si="31"/>
        <v>0.71890447386563006</v>
      </c>
      <c r="AF37" s="15">
        <f>AF6/AF$25</f>
        <v>0.56675296479787496</v>
      </c>
      <c r="AG37" s="15">
        <f t="shared" ref="AG37:AH37" si="32">AG6/AG$25</f>
        <v>0.66692529626759744</v>
      </c>
      <c r="AH37" s="15">
        <f t="shared" si="32"/>
        <v>0.75025382612095559</v>
      </c>
      <c r="AI37" s="15">
        <f t="shared" ref="AI37:AJ37" si="33">AI6/AI$25</f>
        <v>0.72169706571674541</v>
      </c>
      <c r="AJ37" s="15">
        <f t="shared" si="33"/>
        <v>0.74803570058240954</v>
      </c>
      <c r="AK37" s="15">
        <f t="shared" ref="AK37:AL37" si="34">AK6/AK$25</f>
        <v>0.71538782408672541</v>
      </c>
      <c r="AL37" s="15">
        <f t="shared" si="34"/>
        <v>0.71906835234908584</v>
      </c>
      <c r="AM37" s="15">
        <f t="shared" ref="AM37:AN37" si="35">AM6/AM$25</f>
        <v>0.71982719111543259</v>
      </c>
      <c r="AN37" s="15">
        <f t="shared" si="35"/>
        <v>0.71406764830858704</v>
      </c>
      <c r="AO37" s="15">
        <f t="shared" ref="AO37:AP37" si="36">AO6/AO$25</f>
        <v>0.64387776763049853</v>
      </c>
      <c r="AP37" s="15">
        <f t="shared" si="36"/>
        <v>0.5801194553233614</v>
      </c>
      <c r="AQ37" s="15"/>
      <c r="AR37" s="15">
        <f>AR6/AR$25</f>
        <v>0.69741456837357896</v>
      </c>
      <c r="AS37" s="15">
        <f>AS6/AS$25</f>
        <v>0.65590386577560389</v>
      </c>
      <c r="AT37" s="15">
        <f t="shared" ref="AT37:BE37" si="37">AT6/AT$25</f>
        <v>0.58035924927606364</v>
      </c>
      <c r="AU37" s="15">
        <f t="shared" si="37"/>
        <v>0.73855994075006826</v>
      </c>
      <c r="AV37" s="15">
        <f t="shared" si="37"/>
        <v>0.70826357702853848</v>
      </c>
      <c r="AW37" s="15">
        <f t="shared" si="37"/>
        <v>0.67780558921699174</v>
      </c>
      <c r="AX37" s="15" t="e">
        <f t="shared" si="37"/>
        <v>#DIV/0!</v>
      </c>
      <c r="AY37" s="15" t="e">
        <f t="shared" si="37"/>
        <v>#DIV/0!</v>
      </c>
      <c r="AZ37" s="15" t="e">
        <f t="shared" si="37"/>
        <v>#DIV/0!</v>
      </c>
      <c r="BA37" s="15" t="e">
        <f t="shared" si="37"/>
        <v>#DIV/0!</v>
      </c>
      <c r="BB37" s="15" t="e">
        <f t="shared" si="37"/>
        <v>#DIV/0!</v>
      </c>
      <c r="BC37" s="15" t="e">
        <f t="shared" si="37"/>
        <v>#DIV/0!</v>
      </c>
      <c r="BD37" s="15" t="e">
        <f t="shared" si="37"/>
        <v>#DIV/0!</v>
      </c>
      <c r="BE37" s="15">
        <f t="shared" si="37"/>
        <v>0.68334489352897754</v>
      </c>
      <c r="BF37" s="15">
        <f t="shared" ref="BF37:BF47" si="38">BF6/BF$25</f>
        <v>0.66069977463783758</v>
      </c>
      <c r="BG37" s="150"/>
    </row>
    <row r="38" spans="2:72" s="12" customFormat="1" x14ac:dyDescent="0.3">
      <c r="B38" s="3">
        <f>+B37+1</f>
        <v>2</v>
      </c>
      <c r="C38" s="3" t="s">
        <v>96</v>
      </c>
      <c r="D38" s="3" t="s">
        <v>25</v>
      </c>
      <c r="E38" s="15">
        <f t="shared" ref="E38:AF38" si="39">E7/E$25</f>
        <v>3.99802772804254E-2</v>
      </c>
      <c r="F38" s="15">
        <f t="shared" si="39"/>
        <v>4.7895743872994057E-2</v>
      </c>
      <c r="G38" s="15">
        <f t="shared" si="39"/>
        <v>4.5983295437796896E-2</v>
      </c>
      <c r="H38" s="15">
        <f t="shared" si="39"/>
        <v>4.880095138981505E-2</v>
      </c>
      <c r="I38" s="15">
        <f t="shared" si="39"/>
        <v>4.7569116801237377E-2</v>
      </c>
      <c r="J38" s="15">
        <f t="shared" si="39"/>
        <v>5.1003851462730648E-2</v>
      </c>
      <c r="K38" s="15">
        <f t="shared" si="39"/>
        <v>5.2223660926674242E-2</v>
      </c>
      <c r="L38" s="15">
        <f t="shared" si="39"/>
        <v>4.7721322485280999E-2</v>
      </c>
      <c r="M38" s="15">
        <f t="shared" si="39"/>
        <v>5.2789033660662656E-2</v>
      </c>
      <c r="N38" s="15">
        <f t="shared" si="39"/>
        <v>5.3417903702734207E-2</v>
      </c>
      <c r="O38" s="15">
        <f t="shared" si="39"/>
        <v>5.5091337428441793E-2</v>
      </c>
      <c r="P38" s="15">
        <f t="shared" si="39"/>
        <v>5.4204711141660464E-2</v>
      </c>
      <c r="Q38" s="15">
        <f t="shared" si="39"/>
        <v>5.0303526465740087E-2</v>
      </c>
      <c r="R38" s="15">
        <f t="shared" si="39"/>
        <v>5.0471979970335035E-2</v>
      </c>
      <c r="S38" s="15">
        <f t="shared" si="39"/>
        <v>5.229399583778109E-2</v>
      </c>
      <c r="T38" s="15">
        <f t="shared" si="39"/>
        <v>4.2705375245644488E-2</v>
      </c>
      <c r="U38" s="15">
        <f t="shared" si="39"/>
        <v>4.8942872115159852E-2</v>
      </c>
      <c r="V38" s="15">
        <f t="shared" si="39"/>
        <v>5.1874810347320451E-2</v>
      </c>
      <c r="W38" s="15">
        <f t="shared" si="39"/>
        <v>5.314198635535259E-2</v>
      </c>
      <c r="X38" s="15">
        <f t="shared" si="39"/>
        <v>5.2043820634979629E-2</v>
      </c>
      <c r="Y38" s="15">
        <f t="shared" si="39"/>
        <v>5.4408756306695019E-2</v>
      </c>
      <c r="Z38" s="15">
        <f t="shared" si="39"/>
        <v>5.7957552278198085E-2</v>
      </c>
      <c r="AA38" s="15">
        <f t="shared" si="39"/>
        <v>5.0662788131025933E-2</v>
      </c>
      <c r="AB38" s="15">
        <f t="shared" si="39"/>
        <v>5.4505275967000416E-2</v>
      </c>
      <c r="AC38" s="14">
        <f t="shared" si="39"/>
        <v>5.4809579794744732E-2</v>
      </c>
      <c r="AD38" s="15">
        <f t="shared" si="39"/>
        <v>5.158369946862084E-2</v>
      </c>
      <c r="AE38" s="15">
        <f t="shared" si="39"/>
        <v>5.1583699468620833E-2</v>
      </c>
      <c r="AF38" s="15">
        <f t="shared" si="39"/>
        <v>5.2653317922712904E-2</v>
      </c>
      <c r="AG38" s="15">
        <f t="shared" ref="AG38:AH38" si="40">AG7/AG$25</f>
        <v>5.032575255250811E-2</v>
      </c>
      <c r="AH38" s="15">
        <f t="shared" si="40"/>
        <v>5.2100020745933673E-2</v>
      </c>
      <c r="AI38" s="15">
        <f t="shared" ref="AI38:AJ38" si="41">AI7/AI$25</f>
        <v>5.4039146412174534E-2</v>
      </c>
      <c r="AJ38" s="15">
        <f t="shared" si="41"/>
        <v>5.0414909223827083E-2</v>
      </c>
      <c r="AK38" s="15">
        <f t="shared" ref="AK38:AL38" si="42">AK7/AK$25</f>
        <v>5.3624757693173715E-2</v>
      </c>
      <c r="AL38" s="15">
        <f t="shared" si="42"/>
        <v>5.4195709694839826E-2</v>
      </c>
      <c r="AM38" s="15">
        <f t="shared" ref="AM38:AN38" si="43">AM7/AM$25</f>
        <v>5.558755177838897E-2</v>
      </c>
      <c r="AN38" s="15">
        <f t="shared" si="43"/>
        <v>5.4248519178116981E-2</v>
      </c>
      <c r="AO38" s="15">
        <f t="shared" ref="AO38:AP38" si="44">AO7/AO$25</f>
        <v>6.6010751658046443E-2</v>
      </c>
      <c r="AP38" s="15">
        <f t="shared" si="44"/>
        <v>5.9386856771399488E-2</v>
      </c>
      <c r="AQ38" s="15"/>
      <c r="AR38" s="15">
        <f t="shared" ref="AR38" si="45">AR7/AR$25</f>
        <v>5.4162444026009983E-2</v>
      </c>
      <c r="AS38" s="15">
        <f t="shared" ref="AS38" si="46">AS7/AS$25</f>
        <v>4.8850381273721585E-2</v>
      </c>
      <c r="AT38" s="15">
        <f t="shared" ref="AT38:BE38" si="47">AT7/AT$25</f>
        <v>4.3582016272298373E-2</v>
      </c>
      <c r="AU38" s="15">
        <f t="shared" si="47"/>
        <v>5.2768453345224071E-2</v>
      </c>
      <c r="AV38" s="15">
        <f t="shared" si="47"/>
        <v>5.1674475231563613E-2</v>
      </c>
      <c r="AW38" s="15">
        <f t="shared" si="47"/>
        <v>5.8246161753231572E-2</v>
      </c>
      <c r="AX38" s="15" t="e">
        <f t="shared" si="47"/>
        <v>#DIV/0!</v>
      </c>
      <c r="AY38" s="15" t="e">
        <f t="shared" si="47"/>
        <v>#DIV/0!</v>
      </c>
      <c r="AZ38" s="15" t="e">
        <f t="shared" si="47"/>
        <v>#DIV/0!</v>
      </c>
      <c r="BA38" s="15" t="e">
        <f t="shared" si="47"/>
        <v>#DIV/0!</v>
      </c>
      <c r="BB38" s="15" t="e">
        <f t="shared" si="47"/>
        <v>#DIV/0!</v>
      </c>
      <c r="BC38" s="15" t="e">
        <f t="shared" si="47"/>
        <v>#DIV/0!</v>
      </c>
      <c r="BD38" s="15" t="e">
        <f t="shared" si="47"/>
        <v>#DIV/0!</v>
      </c>
      <c r="BE38" s="15">
        <f t="shared" si="47"/>
        <v>5.1849006155713563E-2</v>
      </c>
      <c r="BF38" s="15">
        <f t="shared" si="38"/>
        <v>4.3658554028380689E-2</v>
      </c>
      <c r="BG38" s="150"/>
    </row>
    <row r="39" spans="2:72" s="1" customFormat="1" x14ac:dyDescent="0.3">
      <c r="B39" s="3">
        <f t="shared" ref="B39:B47" si="48">+B38+1</f>
        <v>3</v>
      </c>
      <c r="C39" s="3" t="s">
        <v>96</v>
      </c>
      <c r="D39" s="3" t="s">
        <v>166</v>
      </c>
      <c r="E39" s="15">
        <f t="shared" ref="E39:AF39" si="49">E8/E$25</f>
        <v>0</v>
      </c>
      <c r="F39" s="15">
        <f t="shared" si="49"/>
        <v>0</v>
      </c>
      <c r="G39" s="15">
        <f t="shared" si="49"/>
        <v>9.0273429316429475E-3</v>
      </c>
      <c r="H39" s="15">
        <f t="shared" si="49"/>
        <v>7.8505812745807615E-3</v>
      </c>
      <c r="I39" s="15">
        <f t="shared" si="49"/>
        <v>6.3754389081411376E-3</v>
      </c>
      <c r="J39" s="15">
        <f t="shared" si="49"/>
        <v>1.2422746729444777E-2</v>
      </c>
      <c r="K39" s="15">
        <f t="shared" si="49"/>
        <v>7.6928020967309422E-3</v>
      </c>
      <c r="L39" s="15">
        <f t="shared" si="49"/>
        <v>1.1419390222232328E-2</v>
      </c>
      <c r="M39" s="15">
        <f t="shared" si="49"/>
        <v>6.7479885005025629E-3</v>
      </c>
      <c r="N39" s="15">
        <f t="shared" si="49"/>
        <v>1.1947658327792317E-2</v>
      </c>
      <c r="O39" s="15">
        <f t="shared" si="49"/>
        <v>1.2267497876366034E-2</v>
      </c>
      <c r="P39" s="15">
        <f t="shared" si="49"/>
        <v>5.5380325795145692E-3</v>
      </c>
      <c r="Q39" s="15">
        <f t="shared" si="49"/>
        <v>7.8426323062220846E-3</v>
      </c>
      <c r="R39" s="15">
        <f t="shared" si="49"/>
        <v>9.2273103433406387E-5</v>
      </c>
      <c r="S39" s="15">
        <f t="shared" si="49"/>
        <v>0</v>
      </c>
      <c r="T39" s="15">
        <f t="shared" si="49"/>
        <v>-4.2011092660419364E-5</v>
      </c>
      <c r="U39" s="15">
        <f t="shared" si="49"/>
        <v>0</v>
      </c>
      <c r="V39" s="15">
        <f t="shared" si="49"/>
        <v>2.7934570721222673E-4</v>
      </c>
      <c r="W39" s="15">
        <f t="shared" si="49"/>
        <v>0</v>
      </c>
      <c r="X39" s="15">
        <f t="shared" si="49"/>
        <v>0</v>
      </c>
      <c r="Y39" s="15">
        <f t="shared" si="49"/>
        <v>0</v>
      </c>
      <c r="Z39" s="15">
        <f t="shared" si="49"/>
        <v>0</v>
      </c>
      <c r="AA39" s="15">
        <f t="shared" si="49"/>
        <v>0</v>
      </c>
      <c r="AB39" s="15">
        <f t="shared" si="49"/>
        <v>2.0010869753381223E-4</v>
      </c>
      <c r="AC39" s="14">
        <f t="shared" si="49"/>
        <v>0</v>
      </c>
      <c r="AD39" s="15">
        <f t="shared" si="49"/>
        <v>5.3002389303351632E-5</v>
      </c>
      <c r="AE39" s="15">
        <f t="shared" si="49"/>
        <v>5.3002389303351619E-5</v>
      </c>
      <c r="AF39" s="15">
        <f t="shared" si="49"/>
        <v>0</v>
      </c>
      <c r="AG39" s="15">
        <f t="shared" ref="AG39:AH39" si="50">AG8/AG$25</f>
        <v>0</v>
      </c>
      <c r="AH39" s="15">
        <f t="shared" si="50"/>
        <v>0</v>
      </c>
      <c r="AI39" s="15">
        <f t="shared" ref="AI39:AJ39" si="51">AI8/AI$25</f>
        <v>0</v>
      </c>
      <c r="AJ39" s="15">
        <f t="shared" si="51"/>
        <v>0</v>
      </c>
      <c r="AK39" s="15">
        <f t="shared" ref="AK39:AL39" si="52">AK8/AK$25</f>
        <v>0</v>
      </c>
      <c r="AL39" s="15">
        <f t="shared" si="52"/>
        <v>0</v>
      </c>
      <c r="AM39" s="15">
        <f t="shared" ref="AM39:AN39" si="53">AM8/AM$25</f>
        <v>0</v>
      </c>
      <c r="AN39" s="15">
        <f t="shared" si="53"/>
        <v>0</v>
      </c>
      <c r="AO39" s="15">
        <f t="shared" ref="AO39:AP39" si="54">AO8/AO$25</f>
        <v>0</v>
      </c>
      <c r="AP39" s="15">
        <f t="shared" si="54"/>
        <v>0</v>
      </c>
      <c r="AQ39" s="15"/>
      <c r="AR39" s="15">
        <f t="shared" ref="AR39" si="55">AR8/AR$25</f>
        <v>0</v>
      </c>
      <c r="AS39" s="15">
        <f t="shared" ref="AS39" si="56">AS8/AS$25</f>
        <v>0</v>
      </c>
      <c r="AT39" s="15">
        <f t="shared" ref="AT39:BE39" si="57">AT8/AT$25</f>
        <v>0</v>
      </c>
      <c r="AU39" s="15">
        <f t="shared" si="57"/>
        <v>0</v>
      </c>
      <c r="AV39" s="15">
        <f t="shared" si="57"/>
        <v>0</v>
      </c>
      <c r="AW39" s="15">
        <f t="shared" si="57"/>
        <v>0</v>
      </c>
      <c r="AX39" s="15" t="e">
        <f t="shared" si="57"/>
        <v>#DIV/0!</v>
      </c>
      <c r="AY39" s="15" t="e">
        <f t="shared" si="57"/>
        <v>#DIV/0!</v>
      </c>
      <c r="AZ39" s="15" t="e">
        <f t="shared" si="57"/>
        <v>#DIV/0!</v>
      </c>
      <c r="BA39" s="15" t="e">
        <f t="shared" si="57"/>
        <v>#DIV/0!</v>
      </c>
      <c r="BB39" s="15" t="e">
        <f t="shared" si="57"/>
        <v>#DIV/0!</v>
      </c>
      <c r="BC39" s="15" t="e">
        <f t="shared" si="57"/>
        <v>#DIV/0!</v>
      </c>
      <c r="BD39" s="15" t="e">
        <f t="shared" si="57"/>
        <v>#DIV/0!</v>
      </c>
      <c r="BE39" s="15">
        <f t="shared" si="57"/>
        <v>0</v>
      </c>
      <c r="BF39" s="15">
        <f t="shared" si="38"/>
        <v>0</v>
      </c>
      <c r="BG39" s="150"/>
    </row>
    <row r="40" spans="2:72" s="1" customFormat="1" x14ac:dyDescent="0.3">
      <c r="B40" s="3">
        <f t="shared" si="48"/>
        <v>4</v>
      </c>
      <c r="C40" s="3" t="s">
        <v>96</v>
      </c>
      <c r="D40" s="3" t="s">
        <v>54</v>
      </c>
      <c r="E40" s="15">
        <f t="shared" ref="E40:AF40" si="58">E9/E$25</f>
        <v>1.9601561818778242E-3</v>
      </c>
      <c r="F40" s="15">
        <f t="shared" si="58"/>
        <v>3.1645898015389101E-3</v>
      </c>
      <c r="G40" s="15">
        <f t="shared" si="58"/>
        <v>9.1538342553767922E-3</v>
      </c>
      <c r="H40" s="15">
        <f t="shared" si="58"/>
        <v>1.3672594959554684E-2</v>
      </c>
      <c r="I40" s="15">
        <f t="shared" si="58"/>
        <v>1.6828343038524502E-2</v>
      </c>
      <c r="J40" s="15">
        <f t="shared" si="58"/>
        <v>8.7754423893876259E-3</v>
      </c>
      <c r="K40" s="15">
        <f t="shared" si="58"/>
        <v>1.7567660103056437E-2</v>
      </c>
      <c r="L40" s="15">
        <f t="shared" si="58"/>
        <v>1.8897649696290209E-2</v>
      </c>
      <c r="M40" s="15">
        <f t="shared" si="58"/>
        <v>2.0868062767456199E-2</v>
      </c>
      <c r="N40" s="15">
        <f t="shared" si="58"/>
        <v>2.8479755387925434E-2</v>
      </c>
      <c r="O40" s="15">
        <f t="shared" si="58"/>
        <v>3.0428740637590334E-2</v>
      </c>
      <c r="P40" s="15">
        <f t="shared" si="58"/>
        <v>2.1202648897902906E-2</v>
      </c>
      <c r="Q40" s="15">
        <f t="shared" si="58"/>
        <v>1.6962834739959385E-2</v>
      </c>
      <c r="R40" s="15">
        <f t="shared" si="58"/>
        <v>1.5959717441498402E-2</v>
      </c>
      <c r="S40" s="15">
        <f t="shared" si="58"/>
        <v>1.9241671580907681E-2</v>
      </c>
      <c r="T40" s="15">
        <f t="shared" si="58"/>
        <v>1.4853381441848878E-2</v>
      </c>
      <c r="U40" s="15">
        <f t="shared" si="58"/>
        <v>9.2988653729923539E-3</v>
      </c>
      <c r="V40" s="15">
        <f t="shared" si="58"/>
        <v>8.4853373300012996E-3</v>
      </c>
      <c r="W40" s="15">
        <f t="shared" si="58"/>
        <v>6.5657464702683632E-3</v>
      </c>
      <c r="X40" s="15">
        <f t="shared" si="58"/>
        <v>1.86652271453727E-2</v>
      </c>
      <c r="Y40" s="15">
        <f t="shared" si="58"/>
        <v>8.5803961292058566E-3</v>
      </c>
      <c r="Z40" s="15">
        <f t="shared" si="58"/>
        <v>1.3418387401463266E-2</v>
      </c>
      <c r="AA40" s="15">
        <f t="shared" si="58"/>
        <v>1.7421438576803748E-2</v>
      </c>
      <c r="AB40" s="15">
        <f t="shared" si="58"/>
        <v>1.4722737819007087E-2</v>
      </c>
      <c r="AC40" s="14">
        <f t="shared" si="58"/>
        <v>3.6209541961516765E-3</v>
      </c>
      <c r="AD40" s="15">
        <f t="shared" si="58"/>
        <v>1.251461913753954E-2</v>
      </c>
      <c r="AE40" s="15">
        <f t="shared" si="58"/>
        <v>1.2514619137539538E-2</v>
      </c>
      <c r="AF40" s="15">
        <f t="shared" si="58"/>
        <v>5.6019229534797115E-3</v>
      </c>
      <c r="AG40" s="15">
        <f t="shared" ref="AG40:AH40" si="59">AG9/AG$25</f>
        <v>1.0685247086294513E-2</v>
      </c>
      <c r="AH40" s="15">
        <f t="shared" si="59"/>
        <v>1.260225978078347E-2</v>
      </c>
      <c r="AI40" s="15">
        <f t="shared" ref="AI40:AJ40" si="60">AI9/AI$25</f>
        <v>1.4449284776420478E-2</v>
      </c>
      <c r="AJ40" s="15">
        <f t="shared" si="60"/>
        <v>1.5082977976903585E-2</v>
      </c>
      <c r="AK40" s="15">
        <f t="shared" ref="AK40:AL40" si="61">AK9/AK$25</f>
        <v>1.6594939476519022E-2</v>
      </c>
      <c r="AL40" s="15">
        <f t="shared" si="61"/>
        <v>1.9566407191098228E-2</v>
      </c>
      <c r="AM40" s="15">
        <f t="shared" ref="AM40:AN40" si="62">AM9/AM$25</f>
        <v>1.7599311536966058E-2</v>
      </c>
      <c r="AN40" s="15">
        <f t="shared" si="62"/>
        <v>1.5194598710130437E-2</v>
      </c>
      <c r="AO40" s="15">
        <f t="shared" ref="AO40:AP40" si="63">AO9/AO$25</f>
        <v>6.6031651144914678E-3</v>
      </c>
      <c r="AP40" s="15">
        <f t="shared" si="63"/>
        <v>8.0334672717142872E-3</v>
      </c>
      <c r="AQ40" s="15"/>
      <c r="AR40" s="15">
        <f t="shared" ref="AR40" si="64">AR9/AR$25</f>
        <v>1.3641853099829409E-2</v>
      </c>
      <c r="AS40" s="15">
        <f t="shared" ref="AS40" si="65">AS9/AS$25</f>
        <v>1.0768143563645251E-2</v>
      </c>
      <c r="AT40" s="15">
        <f t="shared" ref="AT40:BE40" si="66">AT9/AT$25</f>
        <v>5.1075553472287273E-3</v>
      </c>
      <c r="AU40" s="15">
        <f t="shared" si="66"/>
        <v>1.6484739435024369E-2</v>
      </c>
      <c r="AV40" s="15">
        <f t="shared" si="66"/>
        <v>1.2638349283693581E-2</v>
      </c>
      <c r="AW40" s="15">
        <f t="shared" si="66"/>
        <v>1.8255741861045637E-2</v>
      </c>
      <c r="AX40" s="15" t="e">
        <f t="shared" si="66"/>
        <v>#DIV/0!</v>
      </c>
      <c r="AY40" s="15" t="e">
        <f t="shared" si="66"/>
        <v>#DIV/0!</v>
      </c>
      <c r="AZ40" s="15" t="e">
        <f t="shared" si="66"/>
        <v>#DIV/0!</v>
      </c>
      <c r="BA40" s="15" t="e">
        <f t="shared" si="66"/>
        <v>#DIV/0!</v>
      </c>
      <c r="BB40" s="15" t="e">
        <f t="shared" si="66"/>
        <v>#DIV/0!</v>
      </c>
      <c r="BC40" s="15" t="e">
        <f t="shared" si="66"/>
        <v>#DIV/0!</v>
      </c>
      <c r="BD40" s="15" t="e">
        <f t="shared" si="66"/>
        <v>#DIV/0!</v>
      </c>
      <c r="BE40" s="15">
        <f t="shared" si="66"/>
        <v>1.3494134688277475E-2</v>
      </c>
      <c r="BF40" s="15">
        <f t="shared" si="38"/>
        <v>1.2128263456000299E-2</v>
      </c>
      <c r="BG40" s="150"/>
    </row>
    <row r="41" spans="2:72" s="1" customFormat="1" x14ac:dyDescent="0.3">
      <c r="B41" s="3">
        <f t="shared" si="48"/>
        <v>5</v>
      </c>
      <c r="C41" s="3" t="s">
        <v>96</v>
      </c>
      <c r="D41" s="3" t="s">
        <v>49</v>
      </c>
      <c r="E41" s="15">
        <f t="shared" ref="E41:AF41" si="67">E10/E$25</f>
        <v>1.4697345295632889E-2</v>
      </c>
      <c r="F41" s="15">
        <f t="shared" si="67"/>
        <v>1.4526559279128409E-2</v>
      </c>
      <c r="G41" s="15">
        <f t="shared" si="67"/>
        <v>1.000216838735034E-2</v>
      </c>
      <c r="H41" s="15">
        <f t="shared" si="67"/>
        <v>1.1449947661128506E-2</v>
      </c>
      <c r="I41" s="15">
        <f t="shared" si="67"/>
        <v>1.3637343088059497E-2</v>
      </c>
      <c r="J41" s="15">
        <f t="shared" si="67"/>
        <v>1.6771015414850907E-2</v>
      </c>
      <c r="K41" s="15">
        <f t="shared" si="67"/>
        <v>1.2689751907888552E-2</v>
      </c>
      <c r="L41" s="15">
        <f t="shared" si="67"/>
        <v>1.0340527695557912E-2</v>
      </c>
      <c r="M41" s="15">
        <f t="shared" si="67"/>
        <v>6.3404008114158333E-3</v>
      </c>
      <c r="N41" s="15">
        <f t="shared" si="67"/>
        <v>1.0087408677654163E-2</v>
      </c>
      <c r="O41" s="15">
        <f t="shared" si="67"/>
        <v>6.735791865499721E-3</v>
      </c>
      <c r="P41" s="15">
        <f t="shared" si="67"/>
        <v>6.8463947842233646E-3</v>
      </c>
      <c r="Q41" s="15">
        <f t="shared" si="67"/>
        <v>1.0765821834744256E-2</v>
      </c>
      <c r="R41" s="15">
        <f t="shared" si="67"/>
        <v>9.4501807350307922E-3</v>
      </c>
      <c r="S41" s="15">
        <f t="shared" si="67"/>
        <v>6.2726305619408666E-3</v>
      </c>
      <c r="T41" s="15">
        <f t="shared" si="67"/>
        <v>6.9948543723254439E-3</v>
      </c>
      <c r="U41" s="15">
        <f t="shared" si="67"/>
        <v>1.1687318582269407E-2</v>
      </c>
      <c r="V41" s="15">
        <f t="shared" si="67"/>
        <v>7.7127813213283174E-3</v>
      </c>
      <c r="W41" s="15">
        <f t="shared" si="67"/>
        <v>1.000684110589822E-2</v>
      </c>
      <c r="X41" s="15">
        <f t="shared" si="67"/>
        <v>7.281057154466245E-3</v>
      </c>
      <c r="Y41" s="15">
        <f t="shared" si="67"/>
        <v>8.533622536786337E-3</v>
      </c>
      <c r="Z41" s="15">
        <f t="shared" si="67"/>
        <v>7.2907379462251298E-3</v>
      </c>
      <c r="AA41" s="15">
        <f t="shared" si="67"/>
        <v>5.5230573667041857E-3</v>
      </c>
      <c r="AB41" s="15">
        <f t="shared" si="67"/>
        <v>3.238188484606672E-3</v>
      </c>
      <c r="AC41" s="14">
        <f t="shared" si="67"/>
        <v>6.8252040708415198E-3</v>
      </c>
      <c r="AD41" s="15">
        <f t="shared" si="67"/>
        <v>7.5345832666415804E-3</v>
      </c>
      <c r="AE41" s="15">
        <f t="shared" si="67"/>
        <v>7.5345832666415796E-3</v>
      </c>
      <c r="AF41" s="15">
        <f t="shared" si="67"/>
        <v>1.0191436690890338E-2</v>
      </c>
      <c r="AG41" s="15">
        <f t="shared" ref="AG41:AH41" si="68">AG10/AG$25</f>
        <v>7.6677329464790349E-3</v>
      </c>
      <c r="AH41" s="15">
        <f t="shared" si="68"/>
        <v>5.0659703899542333E-3</v>
      </c>
      <c r="AI41" s="15">
        <f t="shared" ref="AI41:AJ41" si="69">AI10/AI$25</f>
        <v>8.4042266700173687E-3</v>
      </c>
      <c r="AJ41" s="15">
        <f t="shared" si="69"/>
        <v>5.2966322219936083E-3</v>
      </c>
      <c r="AK41" s="15">
        <f t="shared" ref="AK41:AL41" si="70">AK10/AK$25</f>
        <v>5.9768133165484056E-3</v>
      </c>
      <c r="AL41" s="15">
        <f t="shared" si="70"/>
        <v>5.4673276717315785E-3</v>
      </c>
      <c r="AM41" s="15">
        <f t="shared" ref="AM41:AN41" si="71">AM10/AM$25</f>
        <v>6.3471627306800772E-3</v>
      </c>
      <c r="AN41" s="15">
        <f t="shared" si="71"/>
        <v>5.9519718873666692E-3</v>
      </c>
      <c r="AO41" s="15">
        <f t="shared" ref="AO41:AP41" si="72">AO10/AO$25</f>
        <v>5.1613178392343837E-3</v>
      </c>
      <c r="AP41" s="15">
        <f t="shared" si="72"/>
        <v>7.9241852346947968E-3</v>
      </c>
      <c r="AQ41" s="15"/>
      <c r="AR41" s="15">
        <f t="shared" ref="AR41" si="73">AR10/AR$25</f>
        <v>6.3848947730510506E-3</v>
      </c>
      <c r="AS41" s="15">
        <f t="shared" ref="AS41" si="74">AS10/AS$25</f>
        <v>8.6607649111436254E-3</v>
      </c>
      <c r="AT41" s="15">
        <f t="shared" ref="AT41:BE41" si="75">AT10/AT$25</f>
        <v>7.3633192487828911E-3</v>
      </c>
      <c r="AU41" s="15">
        <f t="shared" si="75"/>
        <v>9.3084359650457259E-3</v>
      </c>
      <c r="AV41" s="15">
        <f t="shared" si="75"/>
        <v>6.8931447015136618E-3</v>
      </c>
      <c r="AW41" s="15">
        <f t="shared" si="75"/>
        <v>6.6449234976418007E-3</v>
      </c>
      <c r="AX41" s="15" t="e">
        <f t="shared" si="75"/>
        <v>#DIV/0!</v>
      </c>
      <c r="AY41" s="15" t="e">
        <f t="shared" si="75"/>
        <v>#DIV/0!</v>
      </c>
      <c r="AZ41" s="15" t="e">
        <f t="shared" si="75"/>
        <v>#DIV/0!</v>
      </c>
      <c r="BA41" s="15" t="e">
        <f t="shared" si="75"/>
        <v>#DIV/0!</v>
      </c>
      <c r="BB41" s="15" t="e">
        <f t="shared" si="75"/>
        <v>#DIV/0!</v>
      </c>
      <c r="BC41" s="15" t="e">
        <f t="shared" si="75"/>
        <v>#DIV/0!</v>
      </c>
      <c r="BD41" s="15" t="e">
        <f t="shared" si="75"/>
        <v>#DIV/0!</v>
      </c>
      <c r="BE41" s="15">
        <f t="shared" si="75"/>
        <v>7.7859119462574478E-3</v>
      </c>
      <c r="BF41" s="15">
        <f t="shared" si="38"/>
        <v>9.3829621739476374E-3</v>
      </c>
      <c r="BG41" s="150"/>
    </row>
    <row r="42" spans="2:72" s="1" customFormat="1" x14ac:dyDescent="0.3">
      <c r="B42" s="3">
        <f t="shared" si="48"/>
        <v>6</v>
      </c>
      <c r="C42" s="3" t="s">
        <v>96</v>
      </c>
      <c r="D42" s="3" t="s">
        <v>56</v>
      </c>
      <c r="E42" s="15">
        <f t="shared" ref="E42:AF42" si="76">E11/E$25</f>
        <v>4.414870032347089E-3</v>
      </c>
      <c r="F42" s="15">
        <f t="shared" si="76"/>
        <v>6.3813397879634521E-3</v>
      </c>
      <c r="G42" s="15">
        <f t="shared" si="76"/>
        <v>5.4599187692070906E-3</v>
      </c>
      <c r="H42" s="15">
        <f t="shared" si="76"/>
        <v>5.6794874804628097E-3</v>
      </c>
      <c r="I42" s="15">
        <f t="shared" si="76"/>
        <v>6.4098976101703625E-3</v>
      </c>
      <c r="J42" s="15">
        <f t="shared" si="76"/>
        <v>7.1034828673087773E-3</v>
      </c>
      <c r="K42" s="15">
        <f t="shared" si="76"/>
        <v>6.4490669924899512E-3</v>
      </c>
      <c r="L42" s="15">
        <f t="shared" si="76"/>
        <v>6.2704499409967354E-3</v>
      </c>
      <c r="M42" s="15">
        <f t="shared" si="76"/>
        <v>6.8980012879922186E-3</v>
      </c>
      <c r="N42" s="15">
        <f t="shared" si="76"/>
        <v>6.7125427339748099E-3</v>
      </c>
      <c r="O42" s="15">
        <f t="shared" si="76"/>
        <v>6.2814390049088396E-3</v>
      </c>
      <c r="P42" s="15">
        <f t="shared" si="76"/>
        <v>7.1083363402096615E-3</v>
      </c>
      <c r="Q42" s="15">
        <f t="shared" si="76"/>
        <v>6.3768402061542733E-3</v>
      </c>
      <c r="R42" s="15">
        <f t="shared" si="76"/>
        <v>8.4340401801760567E-3</v>
      </c>
      <c r="S42" s="15">
        <f t="shared" si="76"/>
        <v>5.4186015686114074E-3</v>
      </c>
      <c r="T42" s="15">
        <f t="shared" si="76"/>
        <v>6.395173558668088E-3</v>
      </c>
      <c r="U42" s="15">
        <f t="shared" si="76"/>
        <v>6.0115930538605202E-3</v>
      </c>
      <c r="V42" s="15">
        <f t="shared" si="76"/>
        <v>6.0498898995628436E-3</v>
      </c>
      <c r="W42" s="15">
        <f t="shared" si="76"/>
        <v>8.6955852044412127E-3</v>
      </c>
      <c r="X42" s="15">
        <f t="shared" si="76"/>
        <v>5.5694757558778169E-3</v>
      </c>
      <c r="Y42" s="15">
        <f t="shared" si="76"/>
        <v>5.6465653554912077E-3</v>
      </c>
      <c r="Z42" s="15">
        <f t="shared" si="76"/>
        <v>6.4643293427053888E-3</v>
      </c>
      <c r="AA42" s="15">
        <f t="shared" si="76"/>
        <v>6.50685338992646E-3</v>
      </c>
      <c r="AB42" s="15">
        <f t="shared" si="76"/>
        <v>7.0549064566526008E-3</v>
      </c>
      <c r="AC42" s="14">
        <f t="shared" si="76"/>
        <v>6.8921454195228979E-3</v>
      </c>
      <c r="AD42" s="15">
        <f t="shared" si="76"/>
        <v>6.6687706616463645E-3</v>
      </c>
      <c r="AE42" s="15">
        <f t="shared" si="76"/>
        <v>6.6687706616463636E-3</v>
      </c>
      <c r="AF42" s="15">
        <f t="shared" si="76"/>
        <v>5.055854471235262E-3</v>
      </c>
      <c r="AG42" s="15">
        <f t="shared" ref="AG42:AH42" si="77">AG11/AG$25</f>
        <v>6.1570768506077588E-3</v>
      </c>
      <c r="AH42" s="15">
        <f t="shared" si="77"/>
        <v>6.3398449058265985E-3</v>
      </c>
      <c r="AI42" s="15">
        <f t="shared" ref="AI42:AJ42" si="78">AI11/AI$25</f>
        <v>5.844767464957097E-3</v>
      </c>
      <c r="AJ42" s="15">
        <f t="shared" si="78"/>
        <v>7.3515807638217705E-3</v>
      </c>
      <c r="AK42" s="15">
        <f t="shared" ref="AK42:AL42" si="79">AK11/AK$25</f>
        <v>6.3819216799574693E-3</v>
      </c>
      <c r="AL42" s="15">
        <f t="shared" si="79"/>
        <v>6.5759099634727152E-3</v>
      </c>
      <c r="AM42" s="15">
        <f t="shared" ref="AM42:AN42" si="80">AM11/AM$25</f>
        <v>6.6960420087843996E-3</v>
      </c>
      <c r="AN42" s="15">
        <f t="shared" si="80"/>
        <v>6.8630753454718176E-3</v>
      </c>
      <c r="AO42" s="15">
        <f t="shared" ref="AO42:AP42" si="81">AO11/AO$25</f>
        <v>6.7560620372887235E-3</v>
      </c>
      <c r="AP42" s="15">
        <f t="shared" si="81"/>
        <v>7.4132072641287898E-3</v>
      </c>
      <c r="AQ42" s="15"/>
      <c r="AR42" s="15">
        <f t="shared" ref="AR42" si="82">AR11/AR$25</f>
        <v>6.6224749413528313E-3</v>
      </c>
      <c r="AS42" s="15">
        <f t="shared" ref="AS42" si="83">AS11/AS$25</f>
        <v>7.3301552076849661E-3</v>
      </c>
      <c r="AT42" s="15">
        <f t="shared" ref="AT42:BE42" si="84">AT11/AT$25</f>
        <v>6.1535177864337079E-3</v>
      </c>
      <c r="AU42" s="15">
        <f t="shared" si="84"/>
        <v>7.6088741082855193E-3</v>
      </c>
      <c r="AV42" s="15">
        <f t="shared" si="84"/>
        <v>9.3370289399801083E-3</v>
      </c>
      <c r="AW42" s="15">
        <f t="shared" si="84"/>
        <v>7.8993125019215446E-3</v>
      </c>
      <c r="AX42" s="15" t="e">
        <f t="shared" si="84"/>
        <v>#DIV/0!</v>
      </c>
      <c r="AY42" s="15" t="e">
        <f t="shared" si="84"/>
        <v>#DIV/0!</v>
      </c>
      <c r="AZ42" s="15" t="e">
        <f t="shared" si="84"/>
        <v>#DIV/0!</v>
      </c>
      <c r="BA42" s="15" t="e">
        <f t="shared" si="84"/>
        <v>#DIV/0!</v>
      </c>
      <c r="BB42" s="15" t="e">
        <f t="shared" si="84"/>
        <v>#DIV/0!</v>
      </c>
      <c r="BC42" s="15" t="e">
        <f t="shared" si="84"/>
        <v>#DIV/0!</v>
      </c>
      <c r="BD42" s="15" t="e">
        <f t="shared" si="84"/>
        <v>#DIV/0!</v>
      </c>
      <c r="BE42" s="15">
        <f t="shared" si="84"/>
        <v>7.8574411401887111E-3</v>
      </c>
      <c r="BF42" s="15">
        <f t="shared" si="38"/>
        <v>6.4229383209915948E-3</v>
      </c>
      <c r="BG42" s="150"/>
    </row>
    <row r="43" spans="2:72" s="1" customFormat="1" x14ac:dyDescent="0.3">
      <c r="B43" s="3">
        <f t="shared" si="48"/>
        <v>7</v>
      </c>
      <c r="C43" s="3" t="s">
        <v>96</v>
      </c>
      <c r="D43" s="3" t="s">
        <v>28</v>
      </c>
      <c r="E43" s="15">
        <f t="shared" ref="E43:AF43" si="85">E12/E$25</f>
        <v>5.3015473728359411E-3</v>
      </c>
      <c r="F43" s="15">
        <f t="shared" si="85"/>
        <v>5.5316806742799953E-3</v>
      </c>
      <c r="G43" s="15">
        <f t="shared" si="85"/>
        <v>5.3876665218982791E-3</v>
      </c>
      <c r="H43" s="15">
        <f t="shared" si="85"/>
        <v>6.1121130950650511E-3</v>
      </c>
      <c r="I43" s="15">
        <f t="shared" si="85"/>
        <v>3.2415747373385618E-3</v>
      </c>
      <c r="J43" s="15">
        <f t="shared" si="85"/>
        <v>7.216725275801689E-3</v>
      </c>
      <c r="K43" s="15">
        <f t="shared" si="85"/>
        <v>5.3352941959415017E-3</v>
      </c>
      <c r="L43" s="15">
        <f t="shared" si="85"/>
        <v>5.8891139368006298E-3</v>
      </c>
      <c r="M43" s="15">
        <f t="shared" si="85"/>
        <v>6.401101414453012E-3</v>
      </c>
      <c r="N43" s="15">
        <f t="shared" si="85"/>
        <v>6.2151711621611649E-3</v>
      </c>
      <c r="O43" s="15">
        <f t="shared" si="85"/>
        <v>8.7493898706754239E-3</v>
      </c>
      <c r="P43" s="15">
        <f t="shared" si="85"/>
        <v>4.0874747606096471E-3</v>
      </c>
      <c r="Q43" s="15">
        <f t="shared" si="85"/>
        <v>5.6666626282621518E-3</v>
      </c>
      <c r="R43" s="15">
        <f t="shared" si="85"/>
        <v>3.48328113299482E-3</v>
      </c>
      <c r="S43" s="15">
        <f t="shared" si="85"/>
        <v>3.2366206576945715E-3</v>
      </c>
      <c r="T43" s="15">
        <f t="shared" si="85"/>
        <v>3.3161331638667754E-3</v>
      </c>
      <c r="U43" s="15">
        <f t="shared" si="85"/>
        <v>3.3015207343698298E-3</v>
      </c>
      <c r="V43" s="15">
        <f t="shared" si="85"/>
        <v>3.2090072242625407E-3</v>
      </c>
      <c r="W43" s="15">
        <f t="shared" si="85"/>
        <v>3.6255266401023574E-3</v>
      </c>
      <c r="X43" s="15">
        <f t="shared" si="85"/>
        <v>5.1517688027557735E-3</v>
      </c>
      <c r="Y43" s="15">
        <f t="shared" si="85"/>
        <v>3.9431315464513875E-3</v>
      </c>
      <c r="Z43" s="15">
        <f t="shared" si="85"/>
        <v>3.1482259358012956E-3</v>
      </c>
      <c r="AA43" s="15">
        <f t="shared" si="85"/>
        <v>2.7035088772386509E-3</v>
      </c>
      <c r="AB43" s="15">
        <f t="shared" si="85"/>
        <v>2.5859069621441667E-3</v>
      </c>
      <c r="AC43" s="14">
        <f t="shared" si="85"/>
        <v>3.0752322688017098E-3</v>
      </c>
      <c r="AD43" s="15">
        <f t="shared" si="85"/>
        <v>3.3030840448687658E-3</v>
      </c>
      <c r="AE43" s="15">
        <f t="shared" si="85"/>
        <v>3.3030840448687654E-3</v>
      </c>
      <c r="AF43" s="15">
        <f t="shared" si="85"/>
        <v>2.7899970354119271E-3</v>
      </c>
      <c r="AG43" s="15">
        <f t="shared" ref="AG43:AH43" si="86">AG12/AG$25</f>
        <v>2.5256982000236693E-3</v>
      </c>
      <c r="AH43" s="15">
        <f t="shared" si="86"/>
        <v>2.1029846223619693E-3</v>
      </c>
      <c r="AI43" s="15">
        <f t="shared" ref="AI43:AJ43" si="87">AI12/AI$25</f>
        <v>1.956564073234442E-3</v>
      </c>
      <c r="AJ43" s="15">
        <f t="shared" si="87"/>
        <v>1.7436156361230364E-3</v>
      </c>
      <c r="AK43" s="15">
        <f t="shared" ref="AK43:AL43" si="88">AK12/AK$25</f>
        <v>1.7951137490134041E-3</v>
      </c>
      <c r="AL43" s="15">
        <f t="shared" si="88"/>
        <v>1.8294361965875681E-3</v>
      </c>
      <c r="AM43" s="15">
        <f t="shared" ref="AM43:AN43" si="89">AM12/AM$25</f>
        <v>1.3274019007190835E-3</v>
      </c>
      <c r="AN43" s="15">
        <f t="shared" si="89"/>
        <v>2.0081110795959283E-3</v>
      </c>
      <c r="AO43" s="15">
        <f t="shared" ref="AO43:AP43" si="90">AO12/AO$25</f>
        <v>2.1431084207831296E-3</v>
      </c>
      <c r="AP43" s="15">
        <f t="shared" si="90"/>
        <v>2.4841223148026762E-3</v>
      </c>
      <c r="AQ43" s="15"/>
      <c r="AR43" s="15">
        <f t="shared" ref="AR43" si="91">AR12/AR$25</f>
        <v>1.9717698248347599E-3</v>
      </c>
      <c r="AS43" s="15">
        <f t="shared" ref="AS43" si="92">AS12/AS$25</f>
        <v>1.8147859264421096E-3</v>
      </c>
      <c r="AT43" s="15">
        <f t="shared" ref="AT43:BE43" si="93">AT12/AT$25</f>
        <v>1.8059083912867751E-3</v>
      </c>
      <c r="AU43" s="15">
        <f t="shared" si="93"/>
        <v>3.153128829691678E-3</v>
      </c>
      <c r="AV43" s="15">
        <f t="shared" si="93"/>
        <v>3.538472026627409E-3</v>
      </c>
      <c r="AW43" s="15">
        <f t="shared" si="93"/>
        <v>3.5490323029136756E-3</v>
      </c>
      <c r="AX43" s="15" t="e">
        <f t="shared" si="93"/>
        <v>#DIV/0!</v>
      </c>
      <c r="AY43" s="15" t="e">
        <f t="shared" si="93"/>
        <v>#DIV/0!</v>
      </c>
      <c r="AZ43" s="15" t="e">
        <f t="shared" si="93"/>
        <v>#DIV/0!</v>
      </c>
      <c r="BA43" s="15" t="e">
        <f t="shared" si="93"/>
        <v>#DIV/0!</v>
      </c>
      <c r="BB43" s="15" t="e">
        <f t="shared" si="93"/>
        <v>#DIV/0!</v>
      </c>
      <c r="BC43" s="15" t="e">
        <f t="shared" si="93"/>
        <v>#DIV/0!</v>
      </c>
      <c r="BD43" s="15" t="e">
        <f t="shared" si="93"/>
        <v>#DIV/0!</v>
      </c>
      <c r="BE43" s="15">
        <f t="shared" si="93"/>
        <v>2.9220233612598815E-3</v>
      </c>
      <c r="BF43" s="15">
        <f t="shared" si="38"/>
        <v>2.4457891823479226E-3</v>
      </c>
      <c r="BG43" s="150"/>
    </row>
    <row r="44" spans="2:72" s="1" customFormat="1" x14ac:dyDescent="0.3">
      <c r="B44" s="3">
        <f t="shared" si="48"/>
        <v>8</v>
      </c>
      <c r="C44" s="3" t="s">
        <v>96</v>
      </c>
      <c r="D44" s="3" t="s">
        <v>53</v>
      </c>
      <c r="E44" s="15">
        <f t="shared" ref="E44:AF44" si="94">E13/E$25</f>
        <v>5.4767853006419207E-3</v>
      </c>
      <c r="F44" s="15">
        <f t="shared" si="94"/>
        <v>4.2379425864923249E-3</v>
      </c>
      <c r="G44" s="15">
        <f t="shared" si="94"/>
        <v>8.2224021379564312E-3</v>
      </c>
      <c r="H44" s="15">
        <f t="shared" si="94"/>
        <v>7.8020113411567775E-3</v>
      </c>
      <c r="I44" s="15">
        <f t="shared" si="94"/>
        <v>4.7692910453770894E-3</v>
      </c>
      <c r="J44" s="15">
        <f t="shared" si="94"/>
        <v>5.1714997854465554E-3</v>
      </c>
      <c r="K44" s="15">
        <f t="shared" si="94"/>
        <v>3.4141453077296074E-3</v>
      </c>
      <c r="L44" s="15">
        <f t="shared" si="94"/>
        <v>2.3164352239782682E-3</v>
      </c>
      <c r="M44" s="15">
        <f t="shared" si="94"/>
        <v>3.8010419125165179E-3</v>
      </c>
      <c r="N44" s="15">
        <f t="shared" si="94"/>
        <v>2.8670164913558141E-3</v>
      </c>
      <c r="O44" s="15">
        <f t="shared" si="94"/>
        <v>2.7295714297052107E-3</v>
      </c>
      <c r="P44" s="15">
        <f t="shared" si="94"/>
        <v>2.4305907757072799E-3</v>
      </c>
      <c r="Q44" s="15">
        <f t="shared" si="94"/>
        <v>4.2227916321193933E-3</v>
      </c>
      <c r="R44" s="15">
        <f t="shared" si="94"/>
        <v>1.5587707358508786E-3</v>
      </c>
      <c r="S44" s="15">
        <f t="shared" si="94"/>
        <v>1.7633077122068208E-3</v>
      </c>
      <c r="T44" s="15">
        <f t="shared" si="94"/>
        <v>1.1005452777246008E-3</v>
      </c>
      <c r="U44" s="15">
        <f t="shared" si="94"/>
        <v>1.9217695578605241E-3</v>
      </c>
      <c r="V44" s="15">
        <f t="shared" si="94"/>
        <v>2.6614369727312129E-3</v>
      </c>
      <c r="W44" s="15">
        <f t="shared" si="94"/>
        <v>3.2782802152584267E-3</v>
      </c>
      <c r="X44" s="15">
        <f t="shared" si="94"/>
        <v>3.2367400404867113E-3</v>
      </c>
      <c r="Y44" s="15">
        <f t="shared" si="94"/>
        <v>3.6281058558210104E-3</v>
      </c>
      <c r="Z44" s="15">
        <f t="shared" si="94"/>
        <v>1.8159985344978243E-3</v>
      </c>
      <c r="AA44" s="15">
        <f t="shared" si="94"/>
        <v>2.5050447569865616E-3</v>
      </c>
      <c r="AB44" s="15">
        <f t="shared" si="94"/>
        <v>2.3290270090145964E-3</v>
      </c>
      <c r="AC44" s="14">
        <f t="shared" si="94"/>
        <v>3.4542961462892233E-3</v>
      </c>
      <c r="AD44" s="15">
        <f t="shared" si="94"/>
        <v>2.3440447475239381E-3</v>
      </c>
      <c r="AE44" s="15">
        <f t="shared" si="94"/>
        <v>2.3440447475239377E-3</v>
      </c>
      <c r="AF44" s="15">
        <f t="shared" si="94"/>
        <v>3.5455680842339456E-3</v>
      </c>
      <c r="AG44" s="15">
        <f t="shared" ref="AG44:AH44" si="95">AG13/AG$25</f>
        <v>2.2851770108474668E-3</v>
      </c>
      <c r="AH44" s="15">
        <f t="shared" si="95"/>
        <v>2.2701412918266564E-3</v>
      </c>
      <c r="AI44" s="15">
        <f t="shared" ref="AI44:AJ44" si="96">AI13/AI$25</f>
        <v>1.7264741042014333E-3</v>
      </c>
      <c r="AJ44" s="15">
        <f t="shared" si="96"/>
        <v>2.2653164006651827E-3</v>
      </c>
      <c r="AK44" s="15">
        <f t="shared" ref="AK44:AL44" si="97">AK13/AK$25</f>
        <v>2.6252995816705448E-3</v>
      </c>
      <c r="AL44" s="15">
        <f t="shared" si="97"/>
        <v>3.6398567102048432E-3</v>
      </c>
      <c r="AM44" s="15">
        <f t="shared" ref="AM44:AN44" si="98">AM13/AM$25</f>
        <v>3.3852141993299741E-3</v>
      </c>
      <c r="AN44" s="15">
        <f t="shared" si="98"/>
        <v>3.47292957756098E-3</v>
      </c>
      <c r="AO44" s="15">
        <f t="shared" ref="AO44:AP44" si="99">AO13/AO$25</f>
        <v>4.9573170169183002E-3</v>
      </c>
      <c r="AP44" s="15">
        <f t="shared" si="99"/>
        <v>2.4457232826026977E-3</v>
      </c>
      <c r="AQ44" s="15"/>
      <c r="AR44" s="15">
        <f t="shared" ref="AR44" si="100">AR13/AR$25</f>
        <v>2.9395159135016031E-3</v>
      </c>
      <c r="AS44" s="15">
        <f t="shared" ref="AS44" si="101">AS13/AS$25</f>
        <v>3.0491537816502812E-3</v>
      </c>
      <c r="AT44" s="15">
        <f t="shared" ref="AT44:BE44" si="102">AT13/AT$25</f>
        <v>1.416394245222655E-3</v>
      </c>
      <c r="AU44" s="15">
        <f t="shared" si="102"/>
        <v>3.2606647293277075E-3</v>
      </c>
      <c r="AV44" s="15">
        <f t="shared" si="102"/>
        <v>4.1773378882232837E-3</v>
      </c>
      <c r="AW44" s="15">
        <f t="shared" si="102"/>
        <v>3.8791367253578905E-3</v>
      </c>
      <c r="AX44" s="15" t="e">
        <f t="shared" si="102"/>
        <v>#DIV/0!</v>
      </c>
      <c r="AY44" s="15" t="e">
        <f t="shared" si="102"/>
        <v>#DIV/0!</v>
      </c>
      <c r="AZ44" s="15" t="e">
        <f t="shared" si="102"/>
        <v>#DIV/0!</v>
      </c>
      <c r="BA44" s="15" t="e">
        <f t="shared" si="102"/>
        <v>#DIV/0!</v>
      </c>
      <c r="BB44" s="15" t="e">
        <f t="shared" si="102"/>
        <v>#DIV/0!</v>
      </c>
      <c r="BC44" s="15" t="e">
        <f t="shared" si="102"/>
        <v>#DIV/0!</v>
      </c>
      <c r="BD44" s="15" t="e">
        <f t="shared" si="102"/>
        <v>#DIV/0!</v>
      </c>
      <c r="BE44" s="15">
        <f t="shared" si="102"/>
        <v>3.3493003985684226E-3</v>
      </c>
      <c r="BF44" s="15">
        <f t="shared" si="38"/>
        <v>4.1348619135572699E-3</v>
      </c>
      <c r="BG44" s="150"/>
    </row>
    <row r="45" spans="2:72" s="1" customFormat="1" x14ac:dyDescent="0.3">
      <c r="B45" s="3">
        <f t="shared" si="48"/>
        <v>9</v>
      </c>
      <c r="C45" s="3" t="s">
        <v>97</v>
      </c>
      <c r="D45" s="3" t="s">
        <v>42</v>
      </c>
      <c r="E45" s="15">
        <f t="shared" ref="E45:AF45" si="103">E14/E$25</f>
        <v>2.6959767145218615E-3</v>
      </c>
      <c r="F45" s="15">
        <f t="shared" si="103"/>
        <v>2.4445097901859628E-3</v>
      </c>
      <c r="G45" s="15">
        <f t="shared" si="103"/>
        <v>2.8516354085943406E-3</v>
      </c>
      <c r="H45" s="15">
        <f t="shared" si="103"/>
        <v>2.2127613093182743E-3</v>
      </c>
      <c r="I45" s="15">
        <f t="shared" si="103"/>
        <v>2.7775520234750144E-3</v>
      </c>
      <c r="J45" s="15">
        <f t="shared" si="103"/>
        <v>3.7133966917342301E-3</v>
      </c>
      <c r="K45" s="15">
        <f t="shared" si="103"/>
        <v>2.2505215073857776E-3</v>
      </c>
      <c r="L45" s="15">
        <f t="shared" si="103"/>
        <v>1.5052412779905282E-3</v>
      </c>
      <c r="M45" s="15">
        <f t="shared" si="103"/>
        <v>1.071240504681962E-3</v>
      </c>
      <c r="N45" s="15">
        <f t="shared" si="103"/>
        <v>8.9483712545768471E-4</v>
      </c>
      <c r="O45" s="15">
        <f t="shared" si="103"/>
        <v>9.8405846436811634E-4</v>
      </c>
      <c r="P45" s="15">
        <f t="shared" si="103"/>
        <v>1.2311508315563592E-3</v>
      </c>
      <c r="Q45" s="15">
        <f t="shared" si="103"/>
        <v>1.9638941156485137E-3</v>
      </c>
      <c r="R45" s="15">
        <f t="shared" si="103"/>
        <v>6.3986081377578527E-4</v>
      </c>
      <c r="S45" s="15">
        <f t="shared" si="103"/>
        <v>8.3305458537345637E-4</v>
      </c>
      <c r="T45" s="15">
        <f t="shared" si="103"/>
        <v>6.0477052475091484E-4</v>
      </c>
      <c r="U45" s="15">
        <f t="shared" si="103"/>
        <v>7.7801841591890457E-4</v>
      </c>
      <c r="V45" s="15">
        <f t="shared" si="103"/>
        <v>1.5857593929635829E-3</v>
      </c>
      <c r="W45" s="15">
        <f t="shared" si="103"/>
        <v>9.0898496156603323E-4</v>
      </c>
      <c r="X45" s="15">
        <f t="shared" si="103"/>
        <v>1.2654610706372966E-3</v>
      </c>
      <c r="Y45" s="15">
        <f t="shared" si="103"/>
        <v>1.2422374823440354E-3</v>
      </c>
      <c r="Z45" s="15">
        <f t="shared" si="103"/>
        <v>7.5558415016242558E-4</v>
      </c>
      <c r="AA45" s="15">
        <f t="shared" si="103"/>
        <v>8.0413300644083577E-4</v>
      </c>
      <c r="AB45" s="15">
        <f t="shared" si="103"/>
        <v>6.397366230631484E-4</v>
      </c>
      <c r="AC45" s="14">
        <f t="shared" si="103"/>
        <v>8.0802547816762494E-4</v>
      </c>
      <c r="AD45" s="15">
        <f t="shared" si="103"/>
        <v>8.8200320780305571E-4</v>
      </c>
      <c r="AE45" s="15">
        <f t="shared" si="103"/>
        <v>8.8200320780305549E-4</v>
      </c>
      <c r="AF45" s="15">
        <f t="shared" si="103"/>
        <v>7.6924936483739506E-4</v>
      </c>
      <c r="AG45" s="15">
        <f t="shared" ref="AG45:AH45" si="104">AG14/AG$25</f>
        <v>6.4337130038248083E-4</v>
      </c>
      <c r="AH45" s="15">
        <f t="shared" si="104"/>
        <v>5.4933845352671078E-4</v>
      </c>
      <c r="AI45" s="15">
        <f t="shared" ref="AI45:AJ45" si="105">AI14/AI$25</f>
        <v>8.7646576225739565E-4</v>
      </c>
      <c r="AJ45" s="15">
        <f t="shared" si="105"/>
        <v>6.5359062319746565E-4</v>
      </c>
      <c r="AK45" s="15">
        <f t="shared" ref="AK45:AL45" si="106">AK14/AK$25</f>
        <v>6.1371899822957395E-4</v>
      </c>
      <c r="AL45" s="15">
        <f t="shared" si="106"/>
        <v>1.0666378088665576E-3</v>
      </c>
      <c r="AM45" s="15">
        <f t="shared" ref="AM45:AN45" si="107">AM14/AM$25</f>
        <v>7.3675770985239235E-4</v>
      </c>
      <c r="AN45" s="15">
        <f t="shared" si="107"/>
        <v>1.0957413245142192E-3</v>
      </c>
      <c r="AO45" s="15">
        <f t="shared" ref="AO45:AP45" si="108">AO14/AO$25</f>
        <v>1.4531503317991063E-3</v>
      </c>
      <c r="AP45" s="15">
        <f t="shared" si="108"/>
        <v>7.5042742862665014E-4</v>
      </c>
      <c r="AQ45" s="15"/>
      <c r="AR45" s="15">
        <f t="shared" ref="AR45" si="109">AR14/AR$25</f>
        <v>8.3550364063772269E-4</v>
      </c>
      <c r="AS45" s="15">
        <f t="shared" ref="AS45" si="110">AS14/AS$25</f>
        <v>8.4616854744174212E-4</v>
      </c>
      <c r="AT45" s="15">
        <f t="shared" ref="AT45:BE45" si="111">AT14/AT$25</f>
        <v>7.3374407718814264E-4</v>
      </c>
      <c r="AU45" s="15">
        <f t="shared" si="111"/>
        <v>9.2841675493237632E-4</v>
      </c>
      <c r="AV45" s="15">
        <f t="shared" si="111"/>
        <v>9.9893190315438743E-4</v>
      </c>
      <c r="AW45" s="15">
        <f t="shared" si="111"/>
        <v>8.4623517222518873E-4</v>
      </c>
      <c r="AX45" s="15" t="e">
        <f t="shared" si="111"/>
        <v>#DIV/0!</v>
      </c>
      <c r="AY45" s="15" t="e">
        <f t="shared" si="111"/>
        <v>#DIV/0!</v>
      </c>
      <c r="AZ45" s="15" t="e">
        <f t="shared" si="111"/>
        <v>#DIV/0!</v>
      </c>
      <c r="BA45" s="15" t="e">
        <f t="shared" si="111"/>
        <v>#DIV/0!</v>
      </c>
      <c r="BB45" s="15" t="e">
        <f t="shared" si="111"/>
        <v>#DIV/0!</v>
      </c>
      <c r="BC45" s="15" t="e">
        <f t="shared" si="111"/>
        <v>#DIV/0!</v>
      </c>
      <c r="BD45" s="15" t="e">
        <f t="shared" si="111"/>
        <v>#DIV/0!</v>
      </c>
      <c r="BE45" s="15">
        <f t="shared" si="111"/>
        <v>8.8836155373655655E-4</v>
      </c>
      <c r="BF45" s="15">
        <f t="shared" si="38"/>
        <v>1.486167360414313E-3</v>
      </c>
      <c r="BG45" s="150"/>
    </row>
    <row r="46" spans="2:72" s="1" customFormat="1" x14ac:dyDescent="0.3">
      <c r="B46" s="3">
        <f t="shared" si="48"/>
        <v>10</v>
      </c>
      <c r="C46" s="3" t="s">
        <v>96</v>
      </c>
      <c r="D46" s="3" t="s">
        <v>52</v>
      </c>
      <c r="E46" s="15">
        <f t="shared" ref="E46:AF46" si="112">E15/E$25</f>
        <v>4.3035446112269079E-3</v>
      </c>
      <c r="F46" s="15">
        <f t="shared" si="112"/>
        <v>3.0510552087654628E-3</v>
      </c>
      <c r="G46" s="15">
        <f t="shared" si="112"/>
        <v>2.4116232889415663E-3</v>
      </c>
      <c r="H46" s="15">
        <f t="shared" si="112"/>
        <v>2.4503404909470825E-3</v>
      </c>
      <c r="I46" s="15">
        <f t="shared" si="112"/>
        <v>2.6571580274003977E-3</v>
      </c>
      <c r="J46" s="15">
        <f t="shared" si="112"/>
        <v>1.9234472326376355E-3</v>
      </c>
      <c r="K46" s="15">
        <f t="shared" si="112"/>
        <v>1.832922836485097E-3</v>
      </c>
      <c r="L46" s="15">
        <f t="shared" si="112"/>
        <v>2.0974659062118432E-3</v>
      </c>
      <c r="M46" s="15">
        <f t="shared" si="112"/>
        <v>2.3518625372316742E-3</v>
      </c>
      <c r="N46" s="15">
        <f t="shared" si="112"/>
        <v>1.9570542698446967E-3</v>
      </c>
      <c r="O46" s="15">
        <f t="shared" si="112"/>
        <v>2.232582180149374E-3</v>
      </c>
      <c r="P46" s="15">
        <f t="shared" si="112"/>
        <v>1.3864628102476053E-3</v>
      </c>
      <c r="Q46" s="15">
        <f t="shared" si="112"/>
        <v>2.2532210892724351E-3</v>
      </c>
      <c r="R46" s="15">
        <f t="shared" si="112"/>
        <v>9.8021313621114562E-4</v>
      </c>
      <c r="S46" s="15">
        <f t="shared" si="112"/>
        <v>1.2086215646178705E-3</v>
      </c>
      <c r="T46" s="15">
        <f t="shared" si="112"/>
        <v>1.0009071575531761E-3</v>
      </c>
      <c r="U46" s="15">
        <f t="shared" si="112"/>
        <v>1.0768391761904106E-3</v>
      </c>
      <c r="V46" s="15">
        <f t="shared" si="112"/>
        <v>9.4885139875853966E-4</v>
      </c>
      <c r="W46" s="15">
        <f t="shared" si="112"/>
        <v>1.2730257868274906E-3</v>
      </c>
      <c r="X46" s="15">
        <f t="shared" si="112"/>
        <v>1.5895917238719166E-3</v>
      </c>
      <c r="Y46" s="15">
        <f t="shared" si="112"/>
        <v>1.4544699053601249E-3</v>
      </c>
      <c r="Z46" s="15">
        <f t="shared" si="112"/>
        <v>1.0846083370411738E-3</v>
      </c>
      <c r="AA46" s="15">
        <f t="shared" si="112"/>
        <v>9.7683469683272151E-4</v>
      </c>
      <c r="AB46" s="15">
        <f t="shared" si="112"/>
        <v>1.0339644035916174E-3</v>
      </c>
      <c r="AC46" s="14">
        <f t="shared" si="112"/>
        <v>1.1910864261927825E-3</v>
      </c>
      <c r="AD46" s="15">
        <f t="shared" si="112"/>
        <v>1.1141823604987116E-3</v>
      </c>
      <c r="AE46" s="15">
        <f t="shared" si="112"/>
        <v>1.1141823604987114E-3</v>
      </c>
      <c r="AF46" s="15">
        <f t="shared" si="112"/>
        <v>1.3357806815907339E-3</v>
      </c>
      <c r="AG46" s="15">
        <f t="shared" ref="AG46:AH46" si="113">AG15/AG$25</f>
        <v>1.4548017075410402E-3</v>
      </c>
      <c r="AH46" s="15">
        <f t="shared" si="113"/>
        <v>8.3578134918376292E-4</v>
      </c>
      <c r="AI46" s="15">
        <f t="shared" ref="AI46:AJ46" si="114">AI15/AI$25</f>
        <v>9.1793236596260678E-4</v>
      </c>
      <c r="AJ46" s="15">
        <f t="shared" si="114"/>
        <v>1.0846955851991332E-3</v>
      </c>
      <c r="AK46" s="15">
        <f t="shared" ref="AK46:AL46" si="115">AK15/AK$25</f>
        <v>1.1329248584316363E-3</v>
      </c>
      <c r="AL46" s="15">
        <f t="shared" si="115"/>
        <v>1.0468205453618166E-3</v>
      </c>
      <c r="AM46" s="15">
        <f t="shared" ref="AM46:AN46" si="116">AM15/AM$25</f>
        <v>1.3205683707336799E-3</v>
      </c>
      <c r="AN46" s="15">
        <f t="shared" si="116"/>
        <v>1.1274297039038693E-3</v>
      </c>
      <c r="AO46" s="15">
        <f t="shared" ref="AO46:AP46" si="117">AO15/AO$25</f>
        <v>1.6109029715307074E-3</v>
      </c>
      <c r="AP46" s="15">
        <f t="shared" si="117"/>
        <v>1.6484957206497469E-3</v>
      </c>
      <c r="AQ46" s="15"/>
      <c r="AR46" s="15">
        <f t="shared" ref="AR46" si="118">AR15/AR$25</f>
        <v>1.1821881894913302E-3</v>
      </c>
      <c r="AS46" s="15">
        <f t="shared" ref="AS46" si="119">AS15/AS$25</f>
        <v>1.1744692343616961E-3</v>
      </c>
      <c r="AT46" s="15">
        <f t="shared" ref="AT46:BE46" si="120">AT15/AT$25</f>
        <v>1.2399128934640711E-3</v>
      </c>
      <c r="AU46" s="15">
        <f t="shared" si="120"/>
        <v>8.4439792311571189E-4</v>
      </c>
      <c r="AV46" s="15">
        <f t="shared" si="120"/>
        <v>9.6349931453578103E-4</v>
      </c>
      <c r="AW46" s="15">
        <f t="shared" si="120"/>
        <v>1.0590457324087272E-3</v>
      </c>
      <c r="AX46" s="15" t="e">
        <f t="shared" si="120"/>
        <v>#DIV/0!</v>
      </c>
      <c r="AY46" s="15" t="e">
        <f t="shared" si="120"/>
        <v>#DIV/0!</v>
      </c>
      <c r="AZ46" s="15" t="e">
        <f t="shared" si="120"/>
        <v>#DIV/0!</v>
      </c>
      <c r="BA46" s="15" t="e">
        <f t="shared" si="120"/>
        <v>#DIV/0!</v>
      </c>
      <c r="BB46" s="15" t="e">
        <f t="shared" si="120"/>
        <v>#DIV/0!</v>
      </c>
      <c r="BC46" s="15" t="e">
        <f t="shared" si="120"/>
        <v>#DIV/0!</v>
      </c>
      <c r="BD46" s="15" t="e">
        <f t="shared" si="120"/>
        <v>#DIV/0!</v>
      </c>
      <c r="BE46" s="15">
        <f t="shared" si="120"/>
        <v>1.0290208882494556E-3</v>
      </c>
      <c r="BF46" s="15">
        <f t="shared" si="38"/>
        <v>1.6335745797633184E-3</v>
      </c>
      <c r="BG46" s="150"/>
    </row>
    <row r="47" spans="2:72" s="1" customFormat="1" x14ac:dyDescent="0.3">
      <c r="B47" s="3">
        <f t="shared" si="48"/>
        <v>11</v>
      </c>
      <c r="C47" s="3" t="s">
        <v>96</v>
      </c>
      <c r="D47" s="3" t="s">
        <v>55</v>
      </c>
      <c r="E47" s="15">
        <f t="shared" ref="E47:AF47" si="121">E16/E$25</f>
        <v>0</v>
      </c>
      <c r="F47" s="15">
        <f t="shared" si="121"/>
        <v>0</v>
      </c>
      <c r="G47" s="15">
        <f t="shared" si="121"/>
        <v>0</v>
      </c>
      <c r="H47" s="15">
        <f t="shared" si="121"/>
        <v>1.6634154544257155E-3</v>
      </c>
      <c r="I47" s="15">
        <f t="shared" si="121"/>
        <v>9.218874348174335E-4</v>
      </c>
      <c r="J47" s="15">
        <f t="shared" si="121"/>
        <v>1.1829425365572032E-3</v>
      </c>
      <c r="K47" s="15">
        <f t="shared" si="121"/>
        <v>5.6017080144487284E-4</v>
      </c>
      <c r="L47" s="15">
        <f t="shared" si="121"/>
        <v>1.0974433499227046E-3</v>
      </c>
      <c r="M47" s="15">
        <f t="shared" si="121"/>
        <v>8.1338173263206066E-4</v>
      </c>
      <c r="N47" s="15">
        <f t="shared" si="121"/>
        <v>0</v>
      </c>
      <c r="O47" s="15">
        <f t="shared" si="121"/>
        <v>4.3912195258822255E-4</v>
      </c>
      <c r="P47" s="15">
        <f t="shared" si="121"/>
        <v>1.4023923652971559E-6</v>
      </c>
      <c r="Q47" s="15">
        <f t="shared" si="121"/>
        <v>5.3607905015485755E-4</v>
      </c>
      <c r="R47" s="15">
        <f t="shared" si="121"/>
        <v>2.1198148266404683E-4</v>
      </c>
      <c r="S47" s="15">
        <f t="shared" si="121"/>
        <v>0</v>
      </c>
      <c r="T47" s="15">
        <f t="shared" si="121"/>
        <v>1.9363702415729303E-4</v>
      </c>
      <c r="U47" s="15">
        <f t="shared" si="121"/>
        <v>0</v>
      </c>
      <c r="V47" s="15">
        <f t="shared" si="121"/>
        <v>0</v>
      </c>
      <c r="W47" s="15">
        <f t="shared" si="121"/>
        <v>1.1674361006858604E-4</v>
      </c>
      <c r="X47" s="15">
        <f t="shared" si="121"/>
        <v>3.507383923911298E-4</v>
      </c>
      <c r="Y47" s="15">
        <f t="shared" si="121"/>
        <v>4.6222973782395578E-4</v>
      </c>
      <c r="Z47" s="15">
        <f t="shared" si="121"/>
        <v>1.4137628151793222E-6</v>
      </c>
      <c r="AA47" s="15">
        <f t="shared" si="121"/>
        <v>3.7013939742575307E-4</v>
      </c>
      <c r="AB47" s="15">
        <f t="shared" si="121"/>
        <v>9.6259187000189667E-5</v>
      </c>
      <c r="AC47" s="14">
        <f t="shared" si="121"/>
        <v>8.4430168821676734E-5</v>
      </c>
      <c r="AD47" s="15">
        <f t="shared" si="121"/>
        <v>1.4522445594962146E-4</v>
      </c>
      <c r="AE47" s="15">
        <f t="shared" si="121"/>
        <v>1.4522445594962143E-4</v>
      </c>
      <c r="AF47" s="15">
        <f t="shared" si="121"/>
        <v>1.1666495159542648E-3</v>
      </c>
      <c r="AG47" s="15">
        <f t="shared" ref="AG47:AH47" si="122">AG16/AG$25</f>
        <v>3.0009790637134309E-4</v>
      </c>
      <c r="AH47" s="15">
        <f t="shared" si="122"/>
        <v>2.1715416853074012E-4</v>
      </c>
      <c r="AI47" s="15">
        <f t="shared" ref="AI47:AJ47" si="123">AI16/AI$25</f>
        <v>5.2414661863734097E-4</v>
      </c>
      <c r="AJ47" s="15">
        <f t="shared" si="123"/>
        <v>4.9860559064126685E-4</v>
      </c>
      <c r="AK47" s="15">
        <f t="shared" ref="AK47:AL47" si="124">AK16/AK$25</f>
        <v>4.3059671320586334E-4</v>
      </c>
      <c r="AL47" s="15">
        <f t="shared" si="124"/>
        <v>1.0230775744518118E-6</v>
      </c>
      <c r="AM47" s="15">
        <f t="shared" ref="AM47:AN47" si="125">AM16/AM$25</f>
        <v>1.7247610264057228E-4</v>
      </c>
      <c r="AN47" s="15">
        <f t="shared" si="125"/>
        <v>8.0120607843665978E-4</v>
      </c>
      <c r="AO47" s="15">
        <f t="shared" ref="AO47:AP47" si="126">AO16/AO$25</f>
        <v>1.5715123135230397E-3</v>
      </c>
      <c r="AP47" s="15">
        <f t="shared" si="126"/>
        <v>1.4716473260126088E-3</v>
      </c>
      <c r="AQ47" s="15"/>
      <c r="AR47" s="15">
        <f t="shared" ref="AR47" si="127">AR16/AR$25</f>
        <v>6.2494605663974295E-4</v>
      </c>
      <c r="AS47" s="15">
        <f t="shared" ref="AS47" si="128">AS16/AS$25</f>
        <v>1.4509330775549735E-3</v>
      </c>
      <c r="AT47" s="15">
        <f t="shared" ref="AT47:BE47" si="129">AT16/AT$25</f>
        <v>7.0216180559628334E-4</v>
      </c>
      <c r="AU47" s="15">
        <f t="shared" si="129"/>
        <v>1.8675125689583956E-3</v>
      </c>
      <c r="AV47" s="15">
        <f t="shared" si="129"/>
        <v>3.6876207087761071E-4</v>
      </c>
      <c r="AW47" s="15">
        <f t="shared" si="129"/>
        <v>2.670407034559125E-5</v>
      </c>
      <c r="AX47" s="15" t="e">
        <f t="shared" si="129"/>
        <v>#DIV/0!</v>
      </c>
      <c r="AY47" s="15" t="e">
        <f t="shared" si="129"/>
        <v>#DIV/0!</v>
      </c>
      <c r="AZ47" s="15" t="e">
        <f t="shared" si="129"/>
        <v>#DIV/0!</v>
      </c>
      <c r="BA47" s="15" t="e">
        <f t="shared" si="129"/>
        <v>#DIV/0!</v>
      </c>
      <c r="BB47" s="15" t="e">
        <f t="shared" si="129"/>
        <v>#DIV/0!</v>
      </c>
      <c r="BC47" s="15" t="e">
        <f t="shared" si="129"/>
        <v>#DIV/0!</v>
      </c>
      <c r="BD47" s="15" t="e">
        <f t="shared" si="129"/>
        <v>#DIV/0!</v>
      </c>
      <c r="BE47" s="15">
        <f t="shared" si="129"/>
        <v>8.84191134879855E-4</v>
      </c>
      <c r="BF47" s="15">
        <f t="shared" si="38"/>
        <v>5.3771065112542512E-4</v>
      </c>
      <c r="BG47" s="150"/>
    </row>
    <row r="48" spans="2:72" s="12" customFormat="1" x14ac:dyDescent="0.3">
      <c r="B48" s="81" t="s">
        <v>164</v>
      </c>
      <c r="C48" s="77" t="s">
        <v>165</v>
      </c>
      <c r="D48" s="77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9"/>
      <c r="AE48" s="79"/>
      <c r="AF48" s="79"/>
      <c r="AG48" s="79"/>
      <c r="AH48" s="79"/>
      <c r="AI48" s="79"/>
      <c r="AJ48" s="79"/>
      <c r="AK48" s="79"/>
      <c r="AL48" s="79"/>
      <c r="AM48" s="79"/>
      <c r="AN48" s="79"/>
      <c r="AO48" s="79"/>
      <c r="AP48" s="79"/>
      <c r="AQ48" s="79"/>
      <c r="AR48" s="79"/>
      <c r="AS48" s="79"/>
      <c r="AT48" s="79"/>
      <c r="AU48" s="79"/>
      <c r="AV48" s="79"/>
      <c r="AW48" s="79"/>
      <c r="AX48" s="79"/>
      <c r="AY48" s="79"/>
      <c r="AZ48" s="79"/>
      <c r="BA48" s="79"/>
      <c r="BB48" s="79"/>
      <c r="BC48" s="79"/>
      <c r="BD48" s="79"/>
      <c r="BE48" s="79"/>
      <c r="BF48" s="79"/>
      <c r="BG48" s="147"/>
      <c r="BH48" s="80"/>
      <c r="BI48" s="80"/>
      <c r="BJ48" s="80"/>
      <c r="BK48" s="80"/>
      <c r="BL48" s="80"/>
      <c r="BM48" s="80"/>
      <c r="BN48" s="80"/>
      <c r="BO48" s="80"/>
      <c r="BP48" s="80"/>
      <c r="BQ48" s="80"/>
      <c r="BR48" s="80"/>
      <c r="BS48" s="80"/>
      <c r="BT48" s="80"/>
    </row>
    <row r="49" spans="2:59" s="12" customFormat="1" x14ac:dyDescent="0.3">
      <c r="B49" s="3">
        <v>1</v>
      </c>
      <c r="C49" s="3" t="s">
        <v>97</v>
      </c>
      <c r="D49" s="3" t="s">
        <v>169</v>
      </c>
      <c r="E49" s="15">
        <f t="shared" ref="E49:AF49" si="130">E18/E$25</f>
        <v>8.795177721804262E-2</v>
      </c>
      <c r="F49" s="15">
        <f t="shared" si="130"/>
        <v>6.540003627430975E-2</v>
      </c>
      <c r="G49" s="15">
        <f t="shared" si="130"/>
        <v>5.4094540357370498E-2</v>
      </c>
      <c r="H49" s="15">
        <f t="shared" si="130"/>
        <v>2.4516071546436487E-2</v>
      </c>
      <c r="I49" s="15">
        <f t="shared" si="130"/>
        <v>2.3577633490577864E-2</v>
      </c>
      <c r="J49" s="15">
        <f t="shared" si="130"/>
        <v>2.5308056784291103E-2</v>
      </c>
      <c r="K49" s="15">
        <f t="shared" si="130"/>
        <v>2.1950736460587726E-2</v>
      </c>
      <c r="L49" s="15">
        <f t="shared" si="130"/>
        <v>1.8894273386222616E-2</v>
      </c>
      <c r="M49" s="15">
        <f t="shared" si="130"/>
        <v>0</v>
      </c>
      <c r="N49" s="15">
        <f t="shared" si="130"/>
        <v>1.2712510198295726E-3</v>
      </c>
      <c r="O49" s="15">
        <f t="shared" si="130"/>
        <v>1.5554937178743355E-3</v>
      </c>
      <c r="P49" s="15">
        <f t="shared" si="130"/>
        <v>8.2416697205487776E-4</v>
      </c>
      <c r="Q49" s="15">
        <f t="shared" si="130"/>
        <v>2.2987570711126702E-2</v>
      </c>
      <c r="R49" s="15">
        <f t="shared" si="130"/>
        <v>5.4712969270870826E-2</v>
      </c>
      <c r="S49" s="15">
        <f t="shared" si="130"/>
        <v>9.547552447147846E-2</v>
      </c>
      <c r="T49" s="15">
        <f t="shared" si="130"/>
        <v>6.3684279966971083E-2</v>
      </c>
      <c r="U49" s="15">
        <f t="shared" si="130"/>
        <v>6.6378352808098784E-2</v>
      </c>
      <c r="V49" s="15">
        <f t="shared" si="130"/>
        <v>6.7144599193949411E-2</v>
      </c>
      <c r="W49" s="15">
        <f t="shared" si="130"/>
        <v>8.3756570233222513E-2</v>
      </c>
      <c r="X49" s="15">
        <f t="shared" si="130"/>
        <v>0.13066696565400421</v>
      </c>
      <c r="Y49" s="15">
        <f t="shared" si="130"/>
        <v>0.11780486974668937</v>
      </c>
      <c r="Z49" s="15">
        <f t="shared" si="130"/>
        <v>9.4409111661273012E-2</v>
      </c>
      <c r="AA49" s="15">
        <f t="shared" si="130"/>
        <v>6.3867488103246273E-2</v>
      </c>
      <c r="AB49" s="15">
        <f t="shared" si="130"/>
        <v>5.8111816653193642E-2</v>
      </c>
      <c r="AC49" s="14">
        <f t="shared" si="130"/>
        <v>8.0105468008319816E-2</v>
      </c>
      <c r="AD49" s="15">
        <f t="shared" si="130"/>
        <v>7.6546318987327167E-2</v>
      </c>
      <c r="AE49" s="15">
        <f t="shared" si="130"/>
        <v>7.6546318987327167E-2</v>
      </c>
      <c r="AF49" s="15">
        <f t="shared" si="130"/>
        <v>0.12756290144584209</v>
      </c>
      <c r="AG49" s="15">
        <f t="shared" ref="AG49" si="131">AG18/AG$25</f>
        <v>9.1974707082000923E-2</v>
      </c>
      <c r="AH49" s="15">
        <f t="shared" ref="AH49:AM49" si="132">AH18/AH$25</f>
        <v>6.1283260529020188E-2</v>
      </c>
      <c r="AI49" s="15">
        <f t="shared" si="132"/>
        <v>6.6059128885899765E-2</v>
      </c>
      <c r="AJ49" s="15">
        <f t="shared" si="132"/>
        <v>5.7785849229567643E-2</v>
      </c>
      <c r="AK49" s="15">
        <f t="shared" si="132"/>
        <v>6.9783793288546642E-2</v>
      </c>
      <c r="AL49" s="15">
        <f t="shared" si="132"/>
        <v>6.5638363936561375E-2</v>
      </c>
      <c r="AM49" s="15">
        <f t="shared" si="132"/>
        <v>6.9171453286337239E-2</v>
      </c>
      <c r="AN49" s="15">
        <f t="shared" ref="AN49:AO49" si="133">AN18/AN$25</f>
        <v>6.9642180502317005E-2</v>
      </c>
      <c r="AO49" s="15">
        <f t="shared" si="133"/>
        <v>9.5584697960247017E-2</v>
      </c>
      <c r="AP49" s="15">
        <f t="shared" ref="AP49" si="134">AP18/AP$25</f>
        <v>0.12487487964444584</v>
      </c>
      <c r="AQ49" s="15"/>
      <c r="AR49" s="15">
        <f t="shared" ref="AR49" si="135">AR18/AR$25</f>
        <v>7.6976807215329957E-2</v>
      </c>
      <c r="AS49" s="15">
        <f t="shared" ref="AS49" si="136">AS18/AS$25</f>
        <v>0.11196963016471684</v>
      </c>
      <c r="AT49" s="15">
        <f t="shared" ref="AT49:BE49" si="137">AT18/AT$25</f>
        <v>0.16402065542894123</v>
      </c>
      <c r="AU49" s="15">
        <f t="shared" si="137"/>
        <v>8.6630466176162171E-2</v>
      </c>
      <c r="AV49" s="15">
        <f t="shared" si="137"/>
        <v>8.4462482407107339E-2</v>
      </c>
      <c r="AW49" s="15">
        <f t="shared" si="137"/>
        <v>9.3204413724255128E-2</v>
      </c>
      <c r="AX49" s="15" t="e">
        <f t="shared" si="137"/>
        <v>#DIV/0!</v>
      </c>
      <c r="AY49" s="15" t="e">
        <f t="shared" si="137"/>
        <v>#DIV/0!</v>
      </c>
      <c r="AZ49" s="15" t="e">
        <f t="shared" si="137"/>
        <v>#DIV/0!</v>
      </c>
      <c r="BA49" s="15" t="e">
        <f t="shared" si="137"/>
        <v>#DIV/0!</v>
      </c>
      <c r="BB49" s="15" t="e">
        <f t="shared" si="137"/>
        <v>#DIV/0!</v>
      </c>
      <c r="BC49" s="15" t="e">
        <f t="shared" si="137"/>
        <v>#DIV/0!</v>
      </c>
      <c r="BD49" s="15" t="e">
        <f t="shared" si="137"/>
        <v>#DIV/0!</v>
      </c>
      <c r="BE49" s="15">
        <f t="shared" si="137"/>
        <v>0.10175061679160413</v>
      </c>
      <c r="BF49" s="15">
        <f t="shared" ref="BF49:BF55" si="138">BF18/BF$25</f>
        <v>6.567946851532111E-2</v>
      </c>
      <c r="BG49" s="150"/>
    </row>
    <row r="50" spans="2:59" s="12" customFormat="1" x14ac:dyDescent="0.3">
      <c r="B50" s="3">
        <f t="shared" ref="B50:B55" si="139">B49+1</f>
        <v>2</v>
      </c>
      <c r="C50" s="3" t="s">
        <v>97</v>
      </c>
      <c r="D50" s="3" t="s">
        <v>48</v>
      </c>
      <c r="E50" s="15">
        <f t="shared" ref="E50:AF50" si="140">E19/E$25</f>
        <v>0.17785647280143574</v>
      </c>
      <c r="F50" s="15">
        <f t="shared" si="140"/>
        <v>0.1322641595060659</v>
      </c>
      <c r="G50" s="15">
        <f t="shared" si="140"/>
        <v>0.11441817796722221</v>
      </c>
      <c r="H50" s="15">
        <f t="shared" si="140"/>
        <v>0.14390704151415445</v>
      </c>
      <c r="I50" s="15">
        <f t="shared" si="140"/>
        <v>0.12580536245945184</v>
      </c>
      <c r="J50" s="15">
        <f t="shared" si="140"/>
        <v>0.14540876058976368</v>
      </c>
      <c r="K50" s="15">
        <f t="shared" si="140"/>
        <v>0.12485835930704316</v>
      </c>
      <c r="L50" s="15">
        <f t="shared" si="140"/>
        <v>0.13307960258831816</v>
      </c>
      <c r="M50" s="15">
        <f t="shared" si="140"/>
        <v>0.14561764310471037</v>
      </c>
      <c r="N50" s="15">
        <f t="shared" si="140"/>
        <v>0.1269982757038344</v>
      </c>
      <c r="O50" s="15">
        <f t="shared" si="140"/>
        <v>0.16240354231375778</v>
      </c>
      <c r="P50" s="15">
        <f t="shared" si="140"/>
        <v>8.8391285052569046E-2</v>
      </c>
      <c r="Q50" s="15">
        <f t="shared" si="140"/>
        <v>0.13046980416516524</v>
      </c>
      <c r="R50" s="15">
        <f t="shared" si="140"/>
        <v>5.6042003496510825E-2</v>
      </c>
      <c r="S50" s="15">
        <f t="shared" si="140"/>
        <v>6.7553911022709759E-2</v>
      </c>
      <c r="T50" s="15">
        <f t="shared" si="140"/>
        <v>4.7253169341173899E-2</v>
      </c>
      <c r="U50" s="15">
        <f t="shared" si="140"/>
        <v>5.6275999418509533E-2</v>
      </c>
      <c r="V50" s="15">
        <f t="shared" si="140"/>
        <v>5.7458407479530675E-2</v>
      </c>
      <c r="W50" s="15">
        <f t="shared" si="140"/>
        <v>7.2201975475636837E-2</v>
      </c>
      <c r="X50" s="15">
        <f t="shared" si="140"/>
        <v>0.1075779423020036</v>
      </c>
      <c r="Y50" s="15">
        <f t="shared" si="140"/>
        <v>9.7931607275811461E-2</v>
      </c>
      <c r="Z50" s="15">
        <f t="shared" si="140"/>
        <v>8.3100621101931074E-2</v>
      </c>
      <c r="AA50" s="15">
        <f t="shared" si="140"/>
        <v>6.3436977371711223E-2</v>
      </c>
      <c r="AB50" s="15">
        <f t="shared" si="140"/>
        <v>6.0615828580737295E-2</v>
      </c>
      <c r="AC50" s="14">
        <f t="shared" si="140"/>
        <v>8.7315841165948066E-2</v>
      </c>
      <c r="AD50" s="15">
        <f t="shared" si="140"/>
        <v>6.7838045227803373E-2</v>
      </c>
      <c r="AE50" s="15">
        <f t="shared" si="140"/>
        <v>6.7838045227803359E-2</v>
      </c>
      <c r="AF50" s="15">
        <f t="shared" si="140"/>
        <v>0.12836341231749762</v>
      </c>
      <c r="AG50" s="15">
        <f t="shared" ref="AG50:AH50" si="141">AG19/AG$25</f>
        <v>8.9979117487925128E-2</v>
      </c>
      <c r="AH50" s="15">
        <f t="shared" si="141"/>
        <v>5.8483188738392526E-2</v>
      </c>
      <c r="AI50" s="15">
        <f t="shared" ref="AI50:AJ50" si="142">AI19/AI$25</f>
        <v>7.0421590202353501E-2</v>
      </c>
      <c r="AJ50" s="15">
        <f t="shared" si="142"/>
        <v>6.3122294747444518E-2</v>
      </c>
      <c r="AK50" s="15">
        <f t="shared" ref="AK50:AL50" si="143">AK19/AK$25</f>
        <v>7.0554746246448308E-2</v>
      </c>
      <c r="AL50" s="15">
        <f t="shared" si="143"/>
        <v>7.1017624211578867E-2</v>
      </c>
      <c r="AM50" s="15">
        <f t="shared" ref="AM50:AN50" si="144">AM19/AM$25</f>
        <v>6.7951736469794063E-2</v>
      </c>
      <c r="AN50" s="15">
        <f t="shared" si="144"/>
        <v>7.4188025237868216E-2</v>
      </c>
      <c r="AO50" s="15">
        <f t="shared" ref="AO50:AP50" si="145">AO19/AO$25</f>
        <v>9.1945136314473999E-2</v>
      </c>
      <c r="AP50" s="15">
        <f t="shared" si="145"/>
        <v>0.11121919009944267</v>
      </c>
      <c r="AQ50" s="15"/>
      <c r="AR50" s="15">
        <f t="shared" ref="AR50" si="146">AR19/AR$25</f>
        <v>7.8352166136623352E-2</v>
      </c>
      <c r="AS50" s="15">
        <f t="shared" ref="AS50" si="147">AS19/AS$25</f>
        <v>9.8940323783674525E-2</v>
      </c>
      <c r="AT50" s="15">
        <f t="shared" ref="AT50:BE50" si="148">AT19/AT$25</f>
        <v>0.12422134619263489</v>
      </c>
      <c r="AU50" s="15">
        <f t="shared" si="148"/>
        <v>4.2838692143916071E-2</v>
      </c>
      <c r="AV50" s="15">
        <f t="shared" si="148"/>
        <v>7.7538584144052722E-2</v>
      </c>
      <c r="AW50" s="15">
        <f t="shared" si="148"/>
        <v>8.2332266306389748E-2</v>
      </c>
      <c r="AX50" s="15" t="e">
        <f t="shared" si="148"/>
        <v>#DIV/0!</v>
      </c>
      <c r="AY50" s="15" t="e">
        <f t="shared" si="148"/>
        <v>#DIV/0!</v>
      </c>
      <c r="AZ50" s="15" t="e">
        <f t="shared" si="148"/>
        <v>#DIV/0!</v>
      </c>
      <c r="BA50" s="15" t="e">
        <f t="shared" si="148"/>
        <v>#DIV/0!</v>
      </c>
      <c r="BB50" s="15" t="e">
        <f t="shared" si="148"/>
        <v>#DIV/0!</v>
      </c>
      <c r="BC50" s="15" t="e">
        <f t="shared" si="148"/>
        <v>#DIV/0!</v>
      </c>
      <c r="BD50" s="15" t="e">
        <f t="shared" si="148"/>
        <v>#DIV/0!</v>
      </c>
      <c r="BE50" s="15">
        <f t="shared" si="148"/>
        <v>8.0115625585034017E-2</v>
      </c>
      <c r="BF50" s="15">
        <f t="shared" si="138"/>
        <v>0.10598068404637025</v>
      </c>
      <c r="BG50" s="150"/>
    </row>
    <row r="51" spans="2:59" s="1" customFormat="1" x14ac:dyDescent="0.3">
      <c r="B51" s="3">
        <f t="shared" si="139"/>
        <v>3</v>
      </c>
      <c r="C51" s="3" t="s">
        <v>96</v>
      </c>
      <c r="D51" s="3" t="s">
        <v>16</v>
      </c>
      <c r="E51" s="15">
        <f t="shared" ref="E51:AF51" si="149">E20/E$25</f>
        <v>5.8063068967948432E-2</v>
      </c>
      <c r="F51" s="15">
        <f t="shared" si="149"/>
        <v>4.661533371652328E-2</v>
      </c>
      <c r="G51" s="15">
        <f t="shared" si="149"/>
        <v>4.206308350771875E-2</v>
      </c>
      <c r="H51" s="15">
        <f t="shared" si="149"/>
        <v>5.1143413851996465E-2</v>
      </c>
      <c r="I51" s="15">
        <f t="shared" si="149"/>
        <v>4.1870465981334891E-2</v>
      </c>
      <c r="J51" s="15">
        <f t="shared" si="149"/>
        <v>4.793602116826419E-2</v>
      </c>
      <c r="K51" s="15">
        <f t="shared" si="149"/>
        <v>4.3404685937291965E-2</v>
      </c>
      <c r="L51" s="15">
        <f t="shared" si="149"/>
        <v>4.4012999190639571E-2</v>
      </c>
      <c r="M51" s="15">
        <f t="shared" si="149"/>
        <v>5.1590748055597081E-2</v>
      </c>
      <c r="N51" s="15">
        <f t="shared" si="149"/>
        <v>4.6157199034926787E-2</v>
      </c>
      <c r="O51" s="15">
        <f t="shared" si="149"/>
        <v>5.6565893050042344E-2</v>
      </c>
      <c r="P51" s="15">
        <f t="shared" si="149"/>
        <v>3.1497673258327287E-2</v>
      </c>
      <c r="Q51" s="15">
        <f t="shared" si="149"/>
        <v>4.5290631560775951E-2</v>
      </c>
      <c r="R51" s="15">
        <f t="shared" si="149"/>
        <v>2.6376673476234184E-2</v>
      </c>
      <c r="S51" s="15">
        <f t="shared" si="149"/>
        <v>3.6308956966753611E-2</v>
      </c>
      <c r="T51" s="15">
        <f t="shared" si="149"/>
        <v>2.4059712284733286E-2</v>
      </c>
      <c r="U51" s="15">
        <f t="shared" si="149"/>
        <v>2.6548408091324489E-2</v>
      </c>
      <c r="V51" s="15">
        <f t="shared" si="149"/>
        <v>2.6530514982179575E-2</v>
      </c>
      <c r="W51" s="15">
        <f t="shared" si="149"/>
        <v>3.378780896260155E-2</v>
      </c>
      <c r="X51" s="15">
        <f t="shared" si="149"/>
        <v>5.3301755644952112E-2</v>
      </c>
      <c r="Y51" s="15">
        <f t="shared" si="149"/>
        <v>4.8382031539516882E-2</v>
      </c>
      <c r="Z51" s="15">
        <f t="shared" si="149"/>
        <v>4.0517061030447166E-2</v>
      </c>
      <c r="AA51" s="15">
        <f t="shared" si="149"/>
        <v>2.9779568538878667E-2</v>
      </c>
      <c r="AB51" s="15">
        <f t="shared" si="149"/>
        <v>2.7823594687968998E-2</v>
      </c>
      <c r="AC51" s="14">
        <f t="shared" si="149"/>
        <v>3.9916571330127368E-2</v>
      </c>
      <c r="AD51" s="15">
        <f t="shared" si="149"/>
        <v>3.2560879585404157E-2</v>
      </c>
      <c r="AE51" s="15">
        <f t="shared" si="149"/>
        <v>3.2560879585404157E-2</v>
      </c>
      <c r="AF51" s="15">
        <f t="shared" si="149"/>
        <v>6.0102908465010749E-2</v>
      </c>
      <c r="AG51" s="15">
        <f t="shared" ref="AG51:AH51" si="150">AG20/AG$25</f>
        <v>4.3353804073948149E-2</v>
      </c>
      <c r="AH51" s="15">
        <f t="shared" si="150"/>
        <v>3.0239652942798251E-2</v>
      </c>
      <c r="AI51" s="15">
        <f t="shared" ref="AI51:AJ51" si="151">AI20/AI$25</f>
        <v>3.2244410982211084E-2</v>
      </c>
      <c r="AJ51" s="15">
        <f t="shared" si="151"/>
        <v>2.9544193887861933E-2</v>
      </c>
      <c r="AK51" s="15">
        <f t="shared" ref="AK51:AL51" si="152">AK20/AK$25</f>
        <v>3.2392501633996242E-2</v>
      </c>
      <c r="AL51" s="15">
        <f t="shared" si="152"/>
        <v>2.953338243451201E-2</v>
      </c>
      <c r="AM51" s="15">
        <f t="shared" ref="AM51:AN51" si="153">AM20/AM$25</f>
        <v>2.956414648879304E-2</v>
      </c>
      <c r="AN51" s="15">
        <f t="shared" si="153"/>
        <v>3.2238526764041327E-2</v>
      </c>
      <c r="AO51" s="15">
        <f t="shared" ref="AO51:AP51" si="154">AO20/AO$25</f>
        <v>4.219872933380913E-2</v>
      </c>
      <c r="AP51" s="15">
        <f t="shared" si="154"/>
        <v>5.7366260379184721E-2</v>
      </c>
      <c r="AQ51" s="15"/>
      <c r="AR51" s="15">
        <f t="shared" ref="AR51" si="155">AR20/AR$25</f>
        <v>3.6163601530208103E-2</v>
      </c>
      <c r="AS51" s="15">
        <f t="shared" ref="AS51" si="156">AS20/AS$25</f>
        <v>2.4709111615129672E-2</v>
      </c>
      <c r="AT51" s="15">
        <f t="shared" ref="AT51:BE51" si="157">AT20/AT$25</f>
        <v>3.5647594701287671E-2</v>
      </c>
      <c r="AU51" s="15">
        <f t="shared" si="157"/>
        <v>1.9040706319039931E-2</v>
      </c>
      <c r="AV51" s="15">
        <f t="shared" si="157"/>
        <v>2.0018604947155495E-2</v>
      </c>
      <c r="AW51" s="15">
        <f t="shared" si="157"/>
        <v>2.2604399528785731E-2</v>
      </c>
      <c r="AX51" s="15" t="e">
        <f t="shared" si="157"/>
        <v>#DIV/0!</v>
      </c>
      <c r="AY51" s="15" t="e">
        <f t="shared" si="157"/>
        <v>#DIV/0!</v>
      </c>
      <c r="AZ51" s="15" t="e">
        <f t="shared" si="157"/>
        <v>#DIV/0!</v>
      </c>
      <c r="BA51" s="15" t="e">
        <f t="shared" si="157"/>
        <v>#DIV/0!</v>
      </c>
      <c r="BB51" s="15" t="e">
        <f t="shared" si="157"/>
        <v>#DIV/0!</v>
      </c>
      <c r="BC51" s="15" t="e">
        <f t="shared" si="157"/>
        <v>#DIV/0!</v>
      </c>
      <c r="BD51" s="15" t="e">
        <f t="shared" si="157"/>
        <v>#DIV/0!</v>
      </c>
      <c r="BE51" s="15">
        <f t="shared" si="157"/>
        <v>2.3145049389658907E-2</v>
      </c>
      <c r="BF51" s="15">
        <f t="shared" si="138"/>
        <v>6.4032528537712519E-2</v>
      </c>
      <c r="BG51" s="150"/>
    </row>
    <row r="52" spans="2:59" s="1" customFormat="1" x14ac:dyDescent="0.3">
      <c r="B52" s="3">
        <f t="shared" si="139"/>
        <v>4</v>
      </c>
      <c r="C52" s="3" t="s">
        <v>97</v>
      </c>
      <c r="D52" s="3" t="s">
        <v>36</v>
      </c>
      <c r="E52" s="15">
        <f t="shared" ref="E52:AF52" si="158">E21/E$25</f>
        <v>1.8310076669571851E-2</v>
      </c>
      <c r="F52" s="15">
        <f t="shared" si="158"/>
        <v>1.8441522343880447E-2</v>
      </c>
      <c r="G52" s="15">
        <f t="shared" si="158"/>
        <v>1.7257939452804925E-2</v>
      </c>
      <c r="H52" s="15">
        <f t="shared" si="158"/>
        <v>1.5413941489310424E-2</v>
      </c>
      <c r="I52" s="15">
        <f t="shared" si="158"/>
        <v>1.12419782888227E-2</v>
      </c>
      <c r="J52" s="15">
        <f t="shared" si="158"/>
        <v>1.4754384950947769E-2</v>
      </c>
      <c r="K52" s="15">
        <f t="shared" si="158"/>
        <v>1.3372386711690191E-2</v>
      </c>
      <c r="L52" s="15">
        <f t="shared" si="158"/>
        <v>1.0511910467217243E-2</v>
      </c>
      <c r="M52" s="15">
        <f t="shared" si="158"/>
        <v>1.0707069701839784E-2</v>
      </c>
      <c r="N52" s="15">
        <f t="shared" si="158"/>
        <v>1.0056357380583834E-2</v>
      </c>
      <c r="O52" s="15">
        <f t="shared" si="158"/>
        <v>1.2520863989271823E-2</v>
      </c>
      <c r="P52" s="15">
        <f t="shared" si="158"/>
        <v>1.1316288027578949E-2</v>
      </c>
      <c r="Q52" s="15">
        <f t="shared" si="158"/>
        <v>1.3218794007717785E-2</v>
      </c>
      <c r="R52" s="15">
        <f t="shared" si="158"/>
        <v>1.2107224859513792E-3</v>
      </c>
      <c r="S52" s="15">
        <f t="shared" si="158"/>
        <v>2.2918634165669913E-3</v>
      </c>
      <c r="T52" s="15">
        <f t="shared" si="158"/>
        <v>1.7309620117320545E-3</v>
      </c>
      <c r="U52" s="15">
        <f t="shared" si="158"/>
        <v>2.0496473361713624E-3</v>
      </c>
      <c r="V52" s="15">
        <f t="shared" si="158"/>
        <v>1.9920188211458973E-3</v>
      </c>
      <c r="W52" s="15">
        <f t="shared" si="158"/>
        <v>2.4379797899930929E-3</v>
      </c>
      <c r="X52" s="15">
        <f t="shared" si="158"/>
        <v>3.6458653425457026E-3</v>
      </c>
      <c r="Y52" s="15">
        <f t="shared" si="158"/>
        <v>3.6704038105172896E-3</v>
      </c>
      <c r="Z52" s="15">
        <f t="shared" si="158"/>
        <v>2.3420186490480826E-3</v>
      </c>
      <c r="AA52" s="15">
        <f t="shared" si="158"/>
        <v>2.1591201236416772E-3</v>
      </c>
      <c r="AB52" s="15">
        <f t="shared" si="158"/>
        <v>2.3229083986084885E-3</v>
      </c>
      <c r="AC52" s="14">
        <f t="shared" si="158"/>
        <v>4.4329317604629975E-3</v>
      </c>
      <c r="AD52" s="15">
        <f t="shared" si="158"/>
        <v>2.3949435921019574E-3</v>
      </c>
      <c r="AE52" s="15">
        <f t="shared" si="158"/>
        <v>2.3949435921019569E-3</v>
      </c>
      <c r="AF52" s="15">
        <f t="shared" si="158"/>
        <v>6.8612647042801877E-3</v>
      </c>
      <c r="AG52" s="15">
        <f t="shared" ref="AG52:AH52" si="159">AG21/AG$25</f>
        <v>4.4089784606590361E-3</v>
      </c>
      <c r="AH52" s="15">
        <f t="shared" si="159"/>
        <v>3.2820013652282536E-3</v>
      </c>
      <c r="AI52" s="15">
        <f t="shared" ref="AI52:AJ52" si="160">AI21/AI$25</f>
        <v>3.0472532139249188E-3</v>
      </c>
      <c r="AJ52" s="15">
        <f t="shared" si="160"/>
        <v>2.6780685026791032E-3</v>
      </c>
      <c r="AK52" s="15">
        <f t="shared" ref="AK52:AL52" si="161">AK21/AK$25</f>
        <v>5.7195789766496764E-3</v>
      </c>
      <c r="AL52" s="15">
        <f t="shared" si="161"/>
        <v>5.3941567229786984E-3</v>
      </c>
      <c r="AM52" s="15">
        <f t="shared" ref="AM52:AN52" si="162">AM21/AM$25</f>
        <v>5.1015138708714108E-3</v>
      </c>
      <c r="AN52" s="15">
        <f t="shared" si="162"/>
        <v>4.992017993511815E-3</v>
      </c>
      <c r="AO52" s="15">
        <f t="shared" ref="AO52:AP52" si="163">AO21/AO$25</f>
        <v>9.8502056848875971E-3</v>
      </c>
      <c r="AP52" s="15">
        <f t="shared" si="163"/>
        <v>8.5874272801582819E-3</v>
      </c>
      <c r="AQ52" s="15"/>
      <c r="AR52" s="15">
        <f t="shared" ref="AR52" si="164">AR21/AR$25</f>
        <v>5.197291031375114E-3</v>
      </c>
      <c r="AS52" s="15">
        <f t="shared" ref="AS52" si="165">AS21/AS$25</f>
        <v>7.9846075258588629E-3</v>
      </c>
      <c r="AT52" s="15">
        <f t="shared" ref="AT52:BE52" si="166">AT21/AT$25</f>
        <v>8.7653585242480399E-3</v>
      </c>
      <c r="AU52" s="15">
        <f t="shared" si="166"/>
        <v>4.5806867595858643E-3</v>
      </c>
      <c r="AV52" s="15">
        <f t="shared" si="166"/>
        <v>5.7801501929379039E-3</v>
      </c>
      <c r="AW52" s="15">
        <f t="shared" si="166"/>
        <v>6.6308625121479572E-3</v>
      </c>
      <c r="AX52" s="15" t="e">
        <f t="shared" si="166"/>
        <v>#DIV/0!</v>
      </c>
      <c r="AY52" s="15" t="e">
        <f t="shared" si="166"/>
        <v>#DIV/0!</v>
      </c>
      <c r="AZ52" s="15" t="e">
        <f t="shared" si="166"/>
        <v>#DIV/0!</v>
      </c>
      <c r="BA52" s="15" t="e">
        <f t="shared" si="166"/>
        <v>#DIV/0!</v>
      </c>
      <c r="BB52" s="15" t="e">
        <f t="shared" si="166"/>
        <v>#DIV/0!</v>
      </c>
      <c r="BC52" s="15" t="e">
        <f t="shared" si="166"/>
        <v>#DIV/0!</v>
      </c>
      <c r="BD52" s="15" t="e">
        <f t="shared" si="166"/>
        <v>#DIV/0!</v>
      </c>
      <c r="BE52" s="15">
        <f t="shared" si="166"/>
        <v>6.455160268025696E-3</v>
      </c>
      <c r="BF52" s="15">
        <f t="shared" si="138"/>
        <v>6.3876861784004134E-3</v>
      </c>
      <c r="BG52" s="150"/>
    </row>
    <row r="53" spans="2:59" s="1" customFormat="1" x14ac:dyDescent="0.3">
      <c r="B53" s="3">
        <f t="shared" si="139"/>
        <v>5</v>
      </c>
      <c r="C53" s="3" t="s">
        <v>97</v>
      </c>
      <c r="D53" s="3" t="s">
        <v>12</v>
      </c>
      <c r="E53" s="15">
        <f t="shared" ref="E53:AF53" si="167">E22/E$25</f>
        <v>1.3509493415941988E-2</v>
      </c>
      <c r="F53" s="15">
        <f t="shared" si="167"/>
        <v>1.077117812039422E-2</v>
      </c>
      <c r="G53" s="15">
        <f t="shared" si="167"/>
        <v>8.665501236852809E-3</v>
      </c>
      <c r="H53" s="15">
        <f t="shared" si="167"/>
        <v>8.8251558162587493E-3</v>
      </c>
      <c r="I53" s="15">
        <f t="shared" si="167"/>
        <v>9.8746138772229063E-3</v>
      </c>
      <c r="J53" s="15">
        <f t="shared" si="167"/>
        <v>9.2385729008845532E-3</v>
      </c>
      <c r="K53" s="15">
        <f t="shared" si="167"/>
        <v>8.3767735935625087E-3</v>
      </c>
      <c r="L53" s="15">
        <f t="shared" si="167"/>
        <v>8.8794139103326748E-3</v>
      </c>
      <c r="M53" s="15">
        <f t="shared" si="167"/>
        <v>8.5009475913343201E-3</v>
      </c>
      <c r="N53" s="15">
        <f t="shared" si="167"/>
        <v>8.7669473679787471E-3</v>
      </c>
      <c r="O53" s="15">
        <f t="shared" si="167"/>
        <v>1.2064017718195246E-2</v>
      </c>
      <c r="P53" s="15">
        <f t="shared" si="167"/>
        <v>7.0676608803657125E-3</v>
      </c>
      <c r="Q53" s="15">
        <f t="shared" si="167"/>
        <v>9.2294061584045749E-3</v>
      </c>
      <c r="R53" s="15">
        <f t="shared" si="167"/>
        <v>5.4840101654881337E-3</v>
      </c>
      <c r="S53" s="15">
        <f t="shared" si="167"/>
        <v>7.2325455721655024E-3</v>
      </c>
      <c r="T53" s="15">
        <f t="shared" si="167"/>
        <v>5.67087769429994E-3</v>
      </c>
      <c r="U53" s="15">
        <f t="shared" si="167"/>
        <v>6.4311006387497175E-3</v>
      </c>
      <c r="V53" s="15">
        <f t="shared" si="167"/>
        <v>6.9368063045196771E-3</v>
      </c>
      <c r="W53" s="15">
        <f t="shared" si="167"/>
        <v>6.9579170344223167E-3</v>
      </c>
      <c r="X53" s="15">
        <f t="shared" si="167"/>
        <v>9.1184724307095209E-3</v>
      </c>
      <c r="Y53" s="15">
        <f t="shared" si="167"/>
        <v>1.0566506570088631E-2</v>
      </c>
      <c r="Z53" s="15">
        <f t="shared" si="167"/>
        <v>1.1110544232377196E-2</v>
      </c>
      <c r="AA53" s="15">
        <f t="shared" si="167"/>
        <v>6.3932419898897795E-3</v>
      </c>
      <c r="AB53" s="15">
        <f t="shared" si="167"/>
        <v>7.2105354780353167E-3</v>
      </c>
      <c r="AC53" s="14">
        <f t="shared" si="167"/>
        <v>1.0403279054874407E-2</v>
      </c>
      <c r="AD53" s="15">
        <f t="shared" si="167"/>
        <v>7.4921956388843249E-3</v>
      </c>
      <c r="AE53" s="15">
        <f t="shared" si="167"/>
        <v>7.4921956388843249E-3</v>
      </c>
      <c r="AF53" s="15">
        <f t="shared" si="167"/>
        <v>1.1928508923554397E-2</v>
      </c>
      <c r="AG53" s="15">
        <f t="shared" ref="AG53:AH53" si="168">AG22/AG$25</f>
        <v>1.0490334201908823E-2</v>
      </c>
      <c r="AH53" s="15">
        <f t="shared" si="168"/>
        <v>6.8128183850776694E-3</v>
      </c>
      <c r="AI53" s="15">
        <f t="shared" ref="AI53:AJ53" si="169">AI22/AI$25</f>
        <v>8.7457895994042262E-3</v>
      </c>
      <c r="AJ53" s="15">
        <f t="shared" si="169"/>
        <v>7.0586854331850871E-3</v>
      </c>
      <c r="AK53" s="15">
        <f t="shared" ref="AK53:AL53" si="170">AK22/AK$25</f>
        <v>6.9296520557530486E-3</v>
      </c>
      <c r="AL53" s="15">
        <f t="shared" si="170"/>
        <v>6.4388744291845991E-3</v>
      </c>
      <c r="AM53" s="15">
        <f t="shared" ref="AM53:AN53" si="171">AM22/AM$25</f>
        <v>6.2553738728872961E-3</v>
      </c>
      <c r="AN53" s="15">
        <f t="shared" si="171"/>
        <v>6.556041025307627E-3</v>
      </c>
      <c r="AO53" s="15">
        <f t="shared" ref="AO53:AP53" si="172">AO22/AO$25</f>
        <v>8.6890797082848602E-3</v>
      </c>
      <c r="AP53" s="15">
        <f t="shared" si="172"/>
        <v>1.243037466127779E-2</v>
      </c>
      <c r="AQ53" s="15"/>
      <c r="AR53" s="15">
        <f t="shared" ref="AR53" si="173">AR22/AR$25</f>
        <v>7.9127906718359127E-3</v>
      </c>
      <c r="AS53" s="15">
        <f t="shared" ref="AS53" si="174">AS22/AS$25</f>
        <v>6.4933842431057782E-3</v>
      </c>
      <c r="AT53" s="15">
        <f t="shared" ref="AT53:BE53" si="175">AT22/AT$25</f>
        <v>8.0925107438804874E-3</v>
      </c>
      <c r="AU53" s="15">
        <f t="shared" si="175"/>
        <v>5.0831072685195164E-3</v>
      </c>
      <c r="AV53" s="15">
        <f t="shared" si="175"/>
        <v>4.6615140128517937E-3</v>
      </c>
      <c r="AW53" s="15">
        <f t="shared" si="175"/>
        <v>5.3467140191476633E-3</v>
      </c>
      <c r="AX53" s="15" t="e">
        <f t="shared" si="175"/>
        <v>#DIV/0!</v>
      </c>
      <c r="AY53" s="15" t="e">
        <f t="shared" si="175"/>
        <v>#DIV/0!</v>
      </c>
      <c r="AZ53" s="15" t="e">
        <f t="shared" si="175"/>
        <v>#DIV/0!</v>
      </c>
      <c r="BA53" s="15" t="e">
        <f t="shared" si="175"/>
        <v>#DIV/0!</v>
      </c>
      <c r="BB53" s="15" t="e">
        <f t="shared" si="175"/>
        <v>#DIV/0!</v>
      </c>
      <c r="BC53" s="15" t="e">
        <f t="shared" si="175"/>
        <v>#DIV/0!</v>
      </c>
      <c r="BD53" s="15" t="e">
        <f t="shared" si="175"/>
        <v>#DIV/0!</v>
      </c>
      <c r="BE53" s="15">
        <f t="shared" si="175"/>
        <v>5.6687769713458531E-3</v>
      </c>
      <c r="BF53" s="15">
        <f t="shared" si="138"/>
        <v>7.0873972065904536E-3</v>
      </c>
      <c r="BG53" s="150"/>
    </row>
    <row r="54" spans="2:59" s="1" customFormat="1" x14ac:dyDescent="0.3">
      <c r="B54" s="3">
        <f t="shared" si="139"/>
        <v>6</v>
      </c>
      <c r="C54" s="3" t="s">
        <v>97</v>
      </c>
      <c r="D54" s="3" t="s">
        <v>51</v>
      </c>
      <c r="E54" s="15">
        <f t="shared" ref="E54:AF54" si="176">E23/E$25</f>
        <v>7.1568943954708128E-3</v>
      </c>
      <c r="F54" s="15">
        <f t="shared" si="176"/>
        <v>4.2384967016097421E-3</v>
      </c>
      <c r="G54" s="15">
        <f t="shared" si="176"/>
        <v>5.0659069297889943E-3</v>
      </c>
      <c r="H54" s="15">
        <f t="shared" si="176"/>
        <v>4.0721777708232019E-3</v>
      </c>
      <c r="I54" s="15">
        <f t="shared" si="176"/>
        <v>6.8296990560384315E-3</v>
      </c>
      <c r="J54" s="15">
        <f t="shared" si="176"/>
        <v>7.3422443038440467E-3</v>
      </c>
      <c r="K54" s="15">
        <f t="shared" si="176"/>
        <v>9.1056451870487262E-3</v>
      </c>
      <c r="L54" s="15">
        <f t="shared" si="176"/>
        <v>7.3551657413066657E-3</v>
      </c>
      <c r="M54" s="15">
        <f t="shared" si="176"/>
        <v>6.3581518765015495E-3</v>
      </c>
      <c r="N54" s="15">
        <f t="shared" si="176"/>
        <v>8.125552996327846E-3</v>
      </c>
      <c r="O54" s="15">
        <f t="shared" si="176"/>
        <v>1.2229304676139325E-2</v>
      </c>
      <c r="P54" s="15">
        <f t="shared" si="176"/>
        <v>8.8095099675016154E-3</v>
      </c>
      <c r="Q54" s="15">
        <f t="shared" si="176"/>
        <v>7.3780028846434347E-3</v>
      </c>
      <c r="R54" s="15">
        <f t="shared" si="176"/>
        <v>4.6715531299699551E-3</v>
      </c>
      <c r="S54" s="15">
        <f t="shared" si="176"/>
        <v>7.5203704671669503E-3</v>
      </c>
      <c r="T54" s="15">
        <f t="shared" si="176"/>
        <v>5.5835238276778854E-3</v>
      </c>
      <c r="U54" s="15">
        <f t="shared" si="176"/>
        <v>5.2803984893388858E-3</v>
      </c>
      <c r="V54" s="15">
        <f t="shared" si="176"/>
        <v>6.277008627040578E-3</v>
      </c>
      <c r="W54" s="15">
        <f t="shared" si="176"/>
        <v>8.8086499806901766E-3</v>
      </c>
      <c r="X54" s="15">
        <f t="shared" si="176"/>
        <v>9.2842850729199511E-3</v>
      </c>
      <c r="Y54" s="15">
        <f t="shared" si="176"/>
        <v>1.1732608533753382E-2</v>
      </c>
      <c r="Z54" s="15">
        <f t="shared" si="176"/>
        <v>1.0847190508120485E-2</v>
      </c>
      <c r="AA54" s="15">
        <f t="shared" si="176"/>
        <v>8.6049735401970001E-3</v>
      </c>
      <c r="AB54" s="15">
        <f t="shared" si="176"/>
        <v>8.993284122554554E-3</v>
      </c>
      <c r="AC54" s="14">
        <f t="shared" si="176"/>
        <v>1.3976060075947124E-2</v>
      </c>
      <c r="AD54" s="15">
        <f t="shared" si="176"/>
        <v>8.1199293624530967E-3</v>
      </c>
      <c r="AE54" s="15">
        <f t="shared" si="176"/>
        <v>8.1199293624530967E-3</v>
      </c>
      <c r="AF54" s="15">
        <f t="shared" si="176"/>
        <v>1.5318262625593619E-2</v>
      </c>
      <c r="AG54" s="15">
        <f t="shared" ref="AG54:AH54" si="177">AG23/AG$25</f>
        <v>1.082280686490515E-2</v>
      </c>
      <c r="AH54" s="15">
        <f t="shared" si="177"/>
        <v>7.5617562105993463E-3</v>
      </c>
      <c r="AI54" s="15">
        <f t="shared" ref="AI54:AJ54" si="178">AI23/AI$25</f>
        <v>9.0457531515981768E-3</v>
      </c>
      <c r="AJ54" s="15">
        <f t="shared" si="178"/>
        <v>7.383283594479751E-3</v>
      </c>
      <c r="AK54" s="15">
        <f t="shared" ref="AK54:AL54" si="179">AK23/AK$25</f>
        <v>1.0055817645130935E-2</v>
      </c>
      <c r="AL54" s="15">
        <f t="shared" si="179"/>
        <v>9.5201170563609869E-3</v>
      </c>
      <c r="AM54" s="15">
        <f t="shared" ref="AM54:AN54" si="180">AM23/AM$25</f>
        <v>8.95609855778896E-3</v>
      </c>
      <c r="AN54" s="15">
        <f t="shared" si="180"/>
        <v>7.5519772832694189E-3</v>
      </c>
      <c r="AO54" s="15">
        <f t="shared" ref="AO54:AP54" si="181">AO23/AO$25</f>
        <v>1.15870956641835E-2</v>
      </c>
      <c r="AP54" s="15">
        <f t="shared" si="181"/>
        <v>1.3844279997497523E-2</v>
      </c>
      <c r="AQ54" s="15"/>
      <c r="AR54" s="15">
        <f t="shared" ref="AR54" si="182">AR23/AR$25</f>
        <v>9.6171845756999105E-3</v>
      </c>
      <c r="AS54" s="15">
        <f t="shared" ref="AS54" si="183">AS23/AS$25</f>
        <v>1.0054121368264463E-2</v>
      </c>
      <c r="AT54" s="15">
        <f t="shared" ref="AT54:BE54" si="184">AT23/AT$25</f>
        <v>1.0788755065442414E-2</v>
      </c>
      <c r="AU54" s="15">
        <f t="shared" si="184"/>
        <v>7.0417769231026078E-3</v>
      </c>
      <c r="AV54" s="15">
        <f t="shared" si="184"/>
        <v>8.685085907187003E-3</v>
      </c>
      <c r="AW54" s="15">
        <f t="shared" si="184"/>
        <v>1.1669461075190476E-2</v>
      </c>
      <c r="AX54" s="15" t="e">
        <f t="shared" si="184"/>
        <v>#DIV/0!</v>
      </c>
      <c r="AY54" s="15" t="e">
        <f t="shared" si="184"/>
        <v>#DIV/0!</v>
      </c>
      <c r="AZ54" s="15" t="e">
        <f t="shared" si="184"/>
        <v>#DIV/0!</v>
      </c>
      <c r="BA54" s="15" t="e">
        <f t="shared" si="184"/>
        <v>#DIV/0!</v>
      </c>
      <c r="BB54" s="15" t="e">
        <f t="shared" si="184"/>
        <v>#DIV/0!</v>
      </c>
      <c r="BC54" s="15" t="e">
        <f t="shared" si="184"/>
        <v>#DIV/0!</v>
      </c>
      <c r="BD54" s="15" t="e">
        <f t="shared" si="184"/>
        <v>#DIV/0!</v>
      </c>
      <c r="BE54" s="15">
        <f t="shared" si="184"/>
        <v>9.4604861982224824E-3</v>
      </c>
      <c r="BF54" s="15">
        <f t="shared" si="138"/>
        <v>8.3016392112392045E-3</v>
      </c>
      <c r="BG54" s="150"/>
    </row>
    <row r="55" spans="2:59" s="1" customFormat="1" x14ac:dyDescent="0.3">
      <c r="B55" s="3">
        <f t="shared" si="139"/>
        <v>7</v>
      </c>
      <c r="C55" s="3" t="s">
        <v>97</v>
      </c>
      <c r="D55" s="3" t="s">
        <v>40</v>
      </c>
      <c r="E55" s="15">
        <f t="shared" ref="E55:AF55" si="185">E24/E$25</f>
        <v>1.286881960959512E-3</v>
      </c>
      <c r="F55" s="15">
        <f t="shared" si="185"/>
        <v>0</v>
      </c>
      <c r="G55" s="15">
        <f t="shared" si="185"/>
        <v>8.7008712414951496E-4</v>
      </c>
      <c r="H55" s="15">
        <f t="shared" si="185"/>
        <v>1.5565150857332029E-3</v>
      </c>
      <c r="I55" s="15">
        <f t="shared" si="185"/>
        <v>1.1740977354621725E-3</v>
      </c>
      <c r="J55" s="15">
        <f t="shared" si="185"/>
        <v>5.4252031783166453E-4</v>
      </c>
      <c r="K55" s="15">
        <f t="shared" si="185"/>
        <v>1.5223793185797632E-3</v>
      </c>
      <c r="L55" s="15">
        <f t="shared" si="185"/>
        <v>1.5034024549036966E-3</v>
      </c>
      <c r="M55" s="15">
        <f t="shared" si="185"/>
        <v>1.9808288271629206E-3</v>
      </c>
      <c r="N55" s="15">
        <f t="shared" si="185"/>
        <v>2.0808613787339117E-3</v>
      </c>
      <c r="O55" s="15">
        <f t="shared" si="185"/>
        <v>3.0868106476493844E-3</v>
      </c>
      <c r="P55" s="15">
        <f t="shared" si="185"/>
        <v>3.2884827120692357E-3</v>
      </c>
      <c r="Q55" s="15">
        <f t="shared" si="185"/>
        <v>1.7039339689627225E-3</v>
      </c>
      <c r="R55" s="15">
        <f t="shared" si="185"/>
        <v>0</v>
      </c>
      <c r="S55" s="15">
        <f t="shared" si="185"/>
        <v>0</v>
      </c>
      <c r="T55" s="15">
        <f t="shared" si="185"/>
        <v>0</v>
      </c>
      <c r="U55" s="15">
        <f t="shared" si="185"/>
        <v>0</v>
      </c>
      <c r="V55" s="15">
        <f t="shared" si="185"/>
        <v>0</v>
      </c>
      <c r="W55" s="15">
        <f t="shared" si="185"/>
        <v>0</v>
      </c>
      <c r="X55" s="15">
        <f t="shared" si="185"/>
        <v>0</v>
      </c>
      <c r="Y55" s="15">
        <f t="shared" si="185"/>
        <v>0</v>
      </c>
      <c r="Z55" s="15">
        <f t="shared" si="185"/>
        <v>0</v>
      </c>
      <c r="AA55" s="15">
        <f t="shared" si="185"/>
        <v>0</v>
      </c>
      <c r="AB55" s="15">
        <f t="shared" si="185"/>
        <v>0</v>
      </c>
      <c r="AC55" s="14">
        <f t="shared" si="185"/>
        <v>0</v>
      </c>
      <c r="AD55" s="15">
        <f t="shared" si="185"/>
        <v>0</v>
      </c>
      <c r="AE55" s="15">
        <f t="shared" si="185"/>
        <v>0</v>
      </c>
      <c r="AF55" s="15">
        <f t="shared" si="185"/>
        <v>0</v>
      </c>
      <c r="AG55" s="15">
        <f t="shared" ref="AG55:AH55" si="186">AG24/AG$25</f>
        <v>0</v>
      </c>
      <c r="AH55" s="15">
        <f t="shared" si="186"/>
        <v>0</v>
      </c>
      <c r="AI55" s="15">
        <f t="shared" ref="AI55:AJ55" si="187">AI24/AI$25</f>
        <v>0</v>
      </c>
      <c r="AJ55" s="15">
        <f t="shared" si="187"/>
        <v>0</v>
      </c>
      <c r="AK55" s="15">
        <f t="shared" ref="AK55:AL55" si="188">AK24/AK$25</f>
        <v>0</v>
      </c>
      <c r="AL55" s="15">
        <f t="shared" si="188"/>
        <v>0</v>
      </c>
      <c r="AM55" s="15">
        <f t="shared" ref="AM55:AN55" si="189">AM24/AM$25</f>
        <v>0</v>
      </c>
      <c r="AN55" s="15">
        <f t="shared" si="189"/>
        <v>0</v>
      </c>
      <c r="AO55" s="15">
        <f t="shared" ref="AO55:AP55" si="190">AO24/AO$25</f>
        <v>0</v>
      </c>
      <c r="AP55" s="15">
        <f t="shared" si="190"/>
        <v>0</v>
      </c>
      <c r="AQ55" s="15"/>
      <c r="AR55" s="15">
        <f t="shared" ref="AR55" si="191">AR24/AR$25</f>
        <v>0</v>
      </c>
      <c r="AS55" s="15">
        <f t="shared" ref="AS55" si="192">AS24/AS$25</f>
        <v>0</v>
      </c>
      <c r="AT55" s="15">
        <f t="shared" ref="AT55:BE55" si="193">AT24/AT$25</f>
        <v>0</v>
      </c>
      <c r="AU55" s="15">
        <f t="shared" si="193"/>
        <v>0</v>
      </c>
      <c r="AV55" s="15">
        <f t="shared" si="193"/>
        <v>0</v>
      </c>
      <c r="AW55" s="15">
        <f t="shared" si="193"/>
        <v>0</v>
      </c>
      <c r="AX55" s="15" t="e">
        <f t="shared" si="193"/>
        <v>#DIV/0!</v>
      </c>
      <c r="AY55" s="15" t="e">
        <f t="shared" si="193"/>
        <v>#DIV/0!</v>
      </c>
      <c r="AZ55" s="15" t="e">
        <f t="shared" si="193"/>
        <v>#DIV/0!</v>
      </c>
      <c r="BA55" s="15" t="e">
        <f t="shared" si="193"/>
        <v>#DIV/0!</v>
      </c>
      <c r="BB55" s="15" t="e">
        <f t="shared" si="193"/>
        <v>#DIV/0!</v>
      </c>
      <c r="BC55" s="15" t="e">
        <f t="shared" si="193"/>
        <v>#DIV/0!</v>
      </c>
      <c r="BD55" s="15" t="e">
        <f t="shared" si="193"/>
        <v>#DIV/0!</v>
      </c>
      <c r="BE55" s="15">
        <f t="shared" si="193"/>
        <v>0</v>
      </c>
      <c r="BF55" s="15">
        <f t="shared" si="138"/>
        <v>0</v>
      </c>
      <c r="BG55" s="150"/>
    </row>
    <row r="56" spans="2:59" s="17" customFormat="1" ht="13.8" x14ac:dyDescent="0.25">
      <c r="B56" s="16"/>
      <c r="C56" s="16"/>
      <c r="D56" s="16"/>
      <c r="E56" s="18">
        <f t="shared" ref="E56:Z56" si="194">SUM(E37:E55)</f>
        <v>1.0000000000000002</v>
      </c>
      <c r="F56" s="18">
        <f t="shared" si="194"/>
        <v>1</v>
      </c>
      <c r="G56" s="18">
        <f t="shared" si="194"/>
        <v>0.99999999999999967</v>
      </c>
      <c r="H56" s="18">
        <f t="shared" si="194"/>
        <v>1</v>
      </c>
      <c r="I56" s="18">
        <f t="shared" si="194"/>
        <v>1</v>
      </c>
      <c r="J56" s="18">
        <f t="shared" si="194"/>
        <v>0.99999999999999989</v>
      </c>
      <c r="K56" s="18">
        <f t="shared" si="194"/>
        <v>0.99999999999999989</v>
      </c>
      <c r="L56" s="18">
        <f t="shared" si="194"/>
        <v>0.99999999999999989</v>
      </c>
      <c r="M56" s="18">
        <f t="shared" si="194"/>
        <v>0.99999999999999978</v>
      </c>
      <c r="N56" s="18">
        <f t="shared" si="194"/>
        <v>1.0000000000000002</v>
      </c>
      <c r="O56" s="18">
        <f t="shared" si="194"/>
        <v>1</v>
      </c>
      <c r="P56" s="18">
        <f t="shared" si="194"/>
        <v>1.0000000000000002</v>
      </c>
      <c r="Q56" s="18">
        <f t="shared" si="194"/>
        <v>1</v>
      </c>
      <c r="R56" s="18">
        <f t="shared" si="194"/>
        <v>0.99999999999999989</v>
      </c>
      <c r="S56" s="18">
        <f t="shared" si="194"/>
        <v>0.99999999999999989</v>
      </c>
      <c r="T56" s="18">
        <f t="shared" si="194"/>
        <v>1.0000000000000002</v>
      </c>
      <c r="U56" s="18">
        <f t="shared" si="194"/>
        <v>1.0000000000000002</v>
      </c>
      <c r="V56" s="18">
        <f t="shared" si="194"/>
        <v>0.99999999999999989</v>
      </c>
      <c r="W56" s="18">
        <f t="shared" si="194"/>
        <v>1.0000000000000002</v>
      </c>
      <c r="X56" s="18">
        <f t="shared" si="194"/>
        <v>1</v>
      </c>
      <c r="Y56" s="18">
        <f t="shared" si="194"/>
        <v>1.0000000000000002</v>
      </c>
      <c r="Z56" s="18">
        <f t="shared" si="194"/>
        <v>1</v>
      </c>
      <c r="AA56" s="18">
        <f t="shared" ref="AA56:AC56" si="195">SUM(AA37:AA55)</f>
        <v>1.0000000000000002</v>
      </c>
      <c r="AB56" s="18">
        <f t="shared" si="195"/>
        <v>1.0000000000000002</v>
      </c>
      <c r="AC56" s="18">
        <f t="shared" si="195"/>
        <v>1</v>
      </c>
      <c r="AD56" s="18">
        <f>SUM(AD37:AD55)</f>
        <v>1.0000000000000002</v>
      </c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>
        <f>SUM(BF37:BF55)</f>
        <v>1.0000000000000002</v>
      </c>
      <c r="BG56" s="151"/>
    </row>
    <row r="57" spans="2:59" s="17" customFormat="1" ht="13.8" x14ac:dyDescent="0.25">
      <c r="B57" s="16"/>
      <c r="C57" s="16"/>
      <c r="D57" s="16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51"/>
    </row>
    <row r="58" spans="2:59" s="17" customFormat="1" ht="13.8" x14ac:dyDescent="0.25">
      <c r="B58" s="16"/>
      <c r="C58" s="16"/>
      <c r="D58" s="16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51"/>
    </row>
    <row r="59" spans="2:59" s="12" customFormat="1" hidden="1" x14ac:dyDescent="0.3">
      <c r="D59" s="13" t="s">
        <v>101</v>
      </c>
    </row>
    <row r="60" spans="2:59" s="12" customFormat="1" hidden="1" x14ac:dyDescent="0.3">
      <c r="B60" s="67" t="s">
        <v>57</v>
      </c>
      <c r="C60" s="67" t="s">
        <v>58</v>
      </c>
      <c r="D60" s="67" t="s">
        <v>59</v>
      </c>
      <c r="E60" s="68" t="s">
        <v>60</v>
      </c>
      <c r="F60" s="68" t="s">
        <v>61</v>
      </c>
      <c r="G60" s="68" t="s">
        <v>62</v>
      </c>
      <c r="H60" s="68" t="s">
        <v>63</v>
      </c>
      <c r="I60" s="68" t="s">
        <v>64</v>
      </c>
      <c r="J60" s="68" t="s">
        <v>65</v>
      </c>
      <c r="K60" s="68" t="s">
        <v>66</v>
      </c>
      <c r="L60" s="68" t="s">
        <v>67</v>
      </c>
      <c r="M60" s="68" t="s">
        <v>68</v>
      </c>
      <c r="N60" s="68" t="s">
        <v>69</v>
      </c>
      <c r="O60" s="68" t="s">
        <v>70</v>
      </c>
      <c r="P60" s="68" t="s">
        <v>71</v>
      </c>
      <c r="Q60" s="68"/>
      <c r="R60" s="68" t="s">
        <v>72</v>
      </c>
      <c r="S60" s="68" t="s">
        <v>73</v>
      </c>
      <c r="T60" s="68" t="s">
        <v>74</v>
      </c>
      <c r="U60" s="68" t="s">
        <v>75</v>
      </c>
      <c r="V60" s="68"/>
      <c r="W60" s="68"/>
      <c r="X60" s="68"/>
      <c r="Y60" s="68"/>
      <c r="Z60" s="68"/>
      <c r="AA60" s="68"/>
      <c r="AB60" s="68"/>
      <c r="AC60" s="68"/>
      <c r="AD60" s="69" t="s">
        <v>46</v>
      </c>
      <c r="AE60" s="69"/>
      <c r="AF60" s="69"/>
      <c r="AG60" s="69"/>
      <c r="AH60" s="69"/>
      <c r="AI60" s="69"/>
      <c r="AJ60" s="69"/>
      <c r="AK60" s="69"/>
      <c r="AL60" s="69"/>
      <c r="AM60" s="69"/>
      <c r="AN60" s="69"/>
      <c r="AO60" s="69"/>
      <c r="AP60" s="69"/>
      <c r="AQ60" s="69"/>
      <c r="AR60" s="69"/>
      <c r="AS60" s="69"/>
      <c r="AT60" s="69"/>
      <c r="AU60" s="69"/>
      <c r="AV60" s="69"/>
      <c r="AW60" s="69"/>
      <c r="AX60" s="69"/>
      <c r="AY60" s="69"/>
      <c r="AZ60" s="69"/>
      <c r="BA60" s="69"/>
      <c r="BB60" s="69"/>
      <c r="BC60" s="69"/>
      <c r="BD60" s="69"/>
      <c r="BE60" s="69"/>
      <c r="BF60" s="69"/>
      <c r="BG60" s="152"/>
    </row>
    <row r="61" spans="2:59" s="12" customFormat="1" hidden="1" x14ac:dyDescent="0.3">
      <c r="B61" s="3">
        <v>1</v>
      </c>
      <c r="C61" s="3" t="s">
        <v>96</v>
      </c>
      <c r="D61" s="3" t="s">
        <v>47</v>
      </c>
      <c r="E61" s="15">
        <f t="shared" ref="E61:P61" si="196">E6/E$80</f>
        <v>0.76783821932904528</v>
      </c>
      <c r="F61" s="15">
        <f t="shared" si="196"/>
        <v>1.2764779875276311</v>
      </c>
      <c r="G61" s="15">
        <f t="shared" si="196"/>
        <v>0.62327591949431649</v>
      </c>
      <c r="H61" s="15">
        <f t="shared" si="196"/>
        <v>0.57963999536816313</v>
      </c>
      <c r="I61" s="15">
        <f t="shared" si="196"/>
        <v>0.71275516384912119</v>
      </c>
      <c r="J61" s="15">
        <f t="shared" si="196"/>
        <v>0.63623020239639139</v>
      </c>
      <c r="K61" s="15">
        <f t="shared" si="196"/>
        <v>0.73482145034279223</v>
      </c>
      <c r="L61" s="15">
        <f t="shared" si="196"/>
        <v>0.5328254183268436</v>
      </c>
      <c r="M61" s="15">
        <f t="shared" si="196"/>
        <v>0.63101863947040182</v>
      </c>
      <c r="N61" s="15">
        <f t="shared" si="196"/>
        <v>0.59326055415633816</v>
      </c>
      <c r="O61" s="15">
        <f t="shared" si="196"/>
        <v>0.4980693697440986</v>
      </c>
      <c r="P61" s="15">
        <f t="shared" si="196"/>
        <v>0.72087202585346544</v>
      </c>
      <c r="Q61" s="15"/>
      <c r="R61" s="15">
        <f>R6/R$80</f>
        <v>1.2194382496683762</v>
      </c>
      <c r="S61" s="15">
        <f>S6/S$80</f>
        <v>0.77995377207151628</v>
      </c>
      <c r="T61" s="15">
        <f>T6/T$80</f>
        <v>1.0012539883918541</v>
      </c>
      <c r="U61" s="15">
        <f>U6/U$80</f>
        <v>0.86989326418633661</v>
      </c>
      <c r="V61" s="15"/>
      <c r="W61" s="15"/>
      <c r="X61" s="15"/>
      <c r="Y61" s="15"/>
      <c r="Z61" s="15"/>
      <c r="AA61" s="15"/>
      <c r="AB61" s="15"/>
      <c r="AC61" s="15"/>
      <c r="AD61" s="15">
        <f>AD6/AD$80</f>
        <v>0.80239522672154839</v>
      </c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0"/>
    </row>
    <row r="62" spans="2:59" s="12" customFormat="1" hidden="1" x14ac:dyDescent="0.3">
      <c r="B62" s="3">
        <f>+B61+1</f>
        <v>2</v>
      </c>
      <c r="C62" s="3" t="s">
        <v>97</v>
      </c>
      <c r="D62" s="3" t="s">
        <v>48</v>
      </c>
      <c r="E62" s="15">
        <f t="shared" ref="E62:P62" si="197">E19/E$80</f>
        <v>0.24516419724657521</v>
      </c>
      <c r="F62" s="15">
        <f t="shared" si="197"/>
        <v>0.26586260842961323</v>
      </c>
      <c r="G62" s="15">
        <f t="shared" si="197"/>
        <v>0.10820496986780848</v>
      </c>
      <c r="H62" s="15">
        <f t="shared" si="197"/>
        <v>0.12975264834486608</v>
      </c>
      <c r="I62" s="15">
        <f t="shared" si="197"/>
        <v>0.13295269407713031</v>
      </c>
      <c r="J62" s="15">
        <f t="shared" si="197"/>
        <v>0.14587771932679525</v>
      </c>
      <c r="K62" s="15">
        <f t="shared" si="197"/>
        <v>0.13747311645950996</v>
      </c>
      <c r="L62" s="15">
        <f t="shared" si="197"/>
        <v>0.10611691941677776</v>
      </c>
      <c r="M62" s="15">
        <f t="shared" si="197"/>
        <v>0.13772873569066213</v>
      </c>
      <c r="N62" s="15">
        <f t="shared" si="197"/>
        <v>0.11179090315437343</v>
      </c>
      <c r="O62" s="15">
        <f t="shared" si="197"/>
        <v>0.13181824730020125</v>
      </c>
      <c r="P62" s="15">
        <f t="shared" si="197"/>
        <v>8.5555270917187801E-2</v>
      </c>
      <c r="Q62" s="15"/>
      <c r="R62" s="15">
        <f>R19/R$80</f>
        <v>8.9894745462544459E-2</v>
      </c>
      <c r="S62" s="15">
        <f>S19/S$80</f>
        <v>7.5992002714180162E-2</v>
      </c>
      <c r="T62" s="15">
        <f>T19/T$80</f>
        <v>6.1056584548030313E-2</v>
      </c>
      <c r="U62" s="15">
        <f>U19/U$80</f>
        <v>6.4924389766165796E-2</v>
      </c>
      <c r="V62" s="15"/>
      <c r="W62" s="15"/>
      <c r="X62" s="15"/>
      <c r="Y62" s="15"/>
      <c r="Z62" s="15"/>
      <c r="AA62" s="15"/>
      <c r="AB62" s="15"/>
      <c r="AC62" s="15"/>
      <c r="AD62" s="15">
        <f>AD19/AD$80</f>
        <v>7.5716490381841681E-2</v>
      </c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0"/>
    </row>
    <row r="63" spans="2:59" s="12" customFormat="1" hidden="1" x14ac:dyDescent="0.3">
      <c r="B63" s="3">
        <f>+B62+1</f>
        <v>3</v>
      </c>
      <c r="C63" s="3" t="s">
        <v>96</v>
      </c>
      <c r="D63" s="3" t="s">
        <v>25</v>
      </c>
      <c r="E63" s="15">
        <f t="shared" ref="E63:P63" si="198">E7/E$80</f>
        <v>5.5110350670756467E-2</v>
      </c>
      <c r="F63" s="15">
        <f t="shared" si="198"/>
        <v>9.6274663115875111E-2</v>
      </c>
      <c r="G63" s="15">
        <f t="shared" si="198"/>
        <v>4.3486281512844331E-2</v>
      </c>
      <c r="H63" s="15">
        <f t="shared" si="198"/>
        <v>4.4000992709969412E-2</v>
      </c>
      <c r="I63" s="15">
        <f t="shared" si="198"/>
        <v>5.0271642718191879E-2</v>
      </c>
      <c r="J63" s="15">
        <f t="shared" si="198"/>
        <v>5.1168344314940488E-2</v>
      </c>
      <c r="K63" s="15">
        <f t="shared" si="198"/>
        <v>5.7499950026250808E-2</v>
      </c>
      <c r="L63" s="15">
        <f t="shared" si="198"/>
        <v>3.8052711566161183E-2</v>
      </c>
      <c r="M63" s="15">
        <f t="shared" si="198"/>
        <v>4.9929161806215837E-2</v>
      </c>
      <c r="N63" s="15">
        <f t="shared" si="198"/>
        <v>4.7021391955494922E-2</v>
      </c>
      <c r="O63" s="15">
        <f t="shared" si="198"/>
        <v>4.4716041520887317E-2</v>
      </c>
      <c r="P63" s="15">
        <f t="shared" si="198"/>
        <v>5.2465565399966801E-2</v>
      </c>
      <c r="Q63" s="15"/>
      <c r="R63" s="15">
        <f>R7/R$80</f>
        <v>8.0960092597446034E-2</v>
      </c>
      <c r="S63" s="15">
        <f>S7/S$80</f>
        <v>5.8825986733826004E-2</v>
      </c>
      <c r="T63" s="15">
        <f>T7/T$80</f>
        <v>5.5180306224858131E-2</v>
      </c>
      <c r="U63" s="15">
        <f>U7/U$80</f>
        <v>5.6464321172679473E-2</v>
      </c>
      <c r="V63" s="15"/>
      <c r="W63" s="15"/>
      <c r="X63" s="15"/>
      <c r="Y63" s="15"/>
      <c r="Z63" s="15"/>
      <c r="AA63" s="15"/>
      <c r="AB63" s="15"/>
      <c r="AC63" s="15"/>
      <c r="AD63" s="15">
        <f>AD7/AD$80</f>
        <v>5.7574428501882574E-2</v>
      </c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0"/>
    </row>
    <row r="64" spans="2:59" s="12" customFormat="1" hidden="1" x14ac:dyDescent="0.3">
      <c r="B64" s="3">
        <f>+B63+1</f>
        <v>4</v>
      </c>
      <c r="C64" s="3" t="s">
        <v>96</v>
      </c>
      <c r="D64" s="3" t="s">
        <v>16</v>
      </c>
      <c r="E64" s="15">
        <f t="shared" ref="E64:P64" si="199">E20/E$80</f>
        <v>8.0036365665993911E-2</v>
      </c>
      <c r="F64" s="15">
        <f t="shared" si="199"/>
        <v>9.3700925942249644E-2</v>
      </c>
      <c r="G64" s="15">
        <f t="shared" si="199"/>
        <v>3.9778947404700719E-2</v>
      </c>
      <c r="H64" s="15">
        <f t="shared" si="199"/>
        <v>4.6113055503551194E-2</v>
      </c>
      <c r="I64" s="15">
        <f t="shared" si="199"/>
        <v>4.4249236643450186E-2</v>
      </c>
      <c r="J64" s="15">
        <f t="shared" si="199"/>
        <v>4.8090619941090609E-2</v>
      </c>
      <c r="K64" s="15">
        <f t="shared" si="199"/>
        <v>4.7789971595511752E-2</v>
      </c>
      <c r="L64" s="15">
        <f t="shared" si="199"/>
        <v>3.5095715628578127E-2</v>
      </c>
      <c r="M64" s="15">
        <f t="shared" si="199"/>
        <v>4.8795793912990659E-2</v>
      </c>
      <c r="N64" s="15">
        <f t="shared" si="199"/>
        <v>4.0630118311400398E-2</v>
      </c>
      <c r="O64" s="15">
        <f t="shared" si="199"/>
        <v>4.5912895572324947E-2</v>
      </c>
      <c r="P64" s="15">
        <f t="shared" si="199"/>
        <v>3.0487077626200093E-2</v>
      </c>
      <c r="Q64" s="15"/>
      <c r="R64" s="15">
        <f>R20/R$80</f>
        <v>4.2309771249387007E-2</v>
      </c>
      <c r="S64" s="15">
        <f>S20/S$80</f>
        <v>4.0844272590509635E-2</v>
      </c>
      <c r="T64" s="15">
        <f>T20/T$80</f>
        <v>3.1087943471213676E-2</v>
      </c>
      <c r="U64" s="15">
        <f>U20/U$80</f>
        <v>3.0628317798039231E-2</v>
      </c>
      <c r="V64" s="15"/>
      <c r="W64" s="15"/>
      <c r="X64" s="15"/>
      <c r="Y64" s="15"/>
      <c r="Z64" s="15"/>
      <c r="AA64" s="15"/>
      <c r="AB64" s="15"/>
      <c r="AC64" s="15"/>
      <c r="AD64" s="15">
        <f>AD20/AD$80</f>
        <v>3.634237274487559E-2</v>
      </c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0"/>
    </row>
    <row r="65" spans="2:59" s="12" customFormat="1" hidden="1" x14ac:dyDescent="0.3">
      <c r="B65" s="3">
        <f>+B64+1</f>
        <v>5</v>
      </c>
      <c r="C65" s="3" t="s">
        <v>96</v>
      </c>
      <c r="D65" s="3" t="s">
        <v>54</v>
      </c>
      <c r="E65" s="15">
        <f t="shared" ref="E65:P65" si="200">E9/E$80</f>
        <v>2.7019546111459224E-3</v>
      </c>
      <c r="F65" s="15">
        <f t="shared" si="200"/>
        <v>6.3611041901967457E-3</v>
      </c>
      <c r="G65" s="15">
        <f t="shared" si="200"/>
        <v>8.6567569714465133E-3</v>
      </c>
      <c r="H65" s="15">
        <f t="shared" si="200"/>
        <v>1.2327787348573866E-2</v>
      </c>
      <c r="I65" s="15">
        <f t="shared" si="200"/>
        <v>1.7784405212036E-2</v>
      </c>
      <c r="J65" s="15">
        <f t="shared" si="200"/>
        <v>8.8037441255631455E-3</v>
      </c>
      <c r="K65" s="15">
        <f t="shared" si="200"/>
        <v>1.9342565421106985E-2</v>
      </c>
      <c r="L65" s="15">
        <f t="shared" si="200"/>
        <v>1.5068878558281439E-2</v>
      </c>
      <c r="M65" s="15">
        <f t="shared" si="200"/>
        <v>1.9737525206395483E-2</v>
      </c>
      <c r="N65" s="15">
        <f t="shared" si="200"/>
        <v>2.5069455146434643E-2</v>
      </c>
      <c r="O65" s="15">
        <f t="shared" si="200"/>
        <v>2.469812666185776E-2</v>
      </c>
      <c r="P65" s="15">
        <f t="shared" si="200"/>
        <v>2.0522366764362063E-2</v>
      </c>
      <c r="Q65" s="15"/>
      <c r="R65" s="15">
        <f>R9/R$80</f>
        <v>2.5600347017339493E-2</v>
      </c>
      <c r="S65" s="15">
        <f>S9/S$80</f>
        <v>2.1645129598938311E-2</v>
      </c>
      <c r="T65" s="15">
        <f>T9/T$80</f>
        <v>1.919229445289649E-2</v>
      </c>
      <c r="U65" s="15">
        <f>U9/U$80</f>
        <v>1.0727897613501821E-2</v>
      </c>
      <c r="V65" s="15"/>
      <c r="W65" s="15"/>
      <c r="X65" s="15"/>
      <c r="Y65" s="15"/>
      <c r="Z65" s="15"/>
      <c r="AA65" s="15"/>
      <c r="AB65" s="15"/>
      <c r="AC65" s="15"/>
      <c r="AD65" s="15">
        <f>AD9/AD$80</f>
        <v>1.396801804028938E-2</v>
      </c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0"/>
    </row>
    <row r="66" spans="2:59" s="12" customFormat="1" hidden="1" x14ac:dyDescent="0.3">
      <c r="B66" s="3">
        <f t="shared" ref="B66:B77" si="201">+B65+1</f>
        <v>6</v>
      </c>
      <c r="C66" s="3" t="s">
        <v>97</v>
      </c>
      <c r="D66" s="3" t="s">
        <v>36</v>
      </c>
      <c r="E66" s="15">
        <f t="shared" ref="E66:P66" si="202">E21/E$80</f>
        <v>2.5239313349199578E-2</v>
      </c>
      <c r="F66" s="15">
        <f t="shared" si="202"/>
        <v>3.7069083960966712E-2</v>
      </c>
      <c r="G66" s="15">
        <f t="shared" si="202"/>
        <v>1.6320787934642512E-2</v>
      </c>
      <c r="H66" s="15">
        <f t="shared" si="202"/>
        <v>1.3897858705365158E-2</v>
      </c>
      <c r="I66" s="15">
        <f t="shared" si="202"/>
        <v>1.1880664472767003E-2</v>
      </c>
      <c r="J66" s="15">
        <f t="shared" si="202"/>
        <v>1.4801969413563437E-2</v>
      </c>
      <c r="K66" s="15">
        <f t="shared" si="202"/>
        <v>1.4723432903976095E-2</v>
      </c>
      <c r="L66" s="15">
        <f t="shared" si="202"/>
        <v>8.382137715100102E-3</v>
      </c>
      <c r="M66" s="15">
        <f t="shared" si="202"/>
        <v>1.0127008936175306E-2</v>
      </c>
      <c r="N66" s="15">
        <f t="shared" si="202"/>
        <v>8.8521617147017135E-3</v>
      </c>
      <c r="O66" s="15">
        <f t="shared" si="202"/>
        <v>1.0162822326629753E-2</v>
      </c>
      <c r="P66" s="15">
        <f t="shared" si="202"/>
        <v>1.0953207518146681E-2</v>
      </c>
      <c r="Q66" s="15"/>
      <c r="R66" s="15">
        <f>R21/R$80</f>
        <v>1.9420717124639295E-3</v>
      </c>
      <c r="S66" s="15">
        <f>S21/S$80</f>
        <v>2.5781377915149893E-3</v>
      </c>
      <c r="T66" s="15">
        <f>T21/T$80</f>
        <v>2.2366040181490453E-3</v>
      </c>
      <c r="U66" s="15">
        <f>U21/U$80</f>
        <v>2.364633305703758E-3</v>
      </c>
      <c r="V66" s="15"/>
      <c r="W66" s="15"/>
      <c r="X66" s="15"/>
      <c r="Y66" s="15"/>
      <c r="Z66" s="15"/>
      <c r="AA66" s="15"/>
      <c r="AB66" s="15"/>
      <c r="AC66" s="15"/>
      <c r="AD66" s="15">
        <f>AD21/AD$80</f>
        <v>2.6730829705883166E-3</v>
      </c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0"/>
    </row>
    <row r="67" spans="2:59" s="12" customFormat="1" hidden="1" x14ac:dyDescent="0.3">
      <c r="B67" s="3">
        <f t="shared" si="201"/>
        <v>7</v>
      </c>
      <c r="C67" s="3" t="s">
        <v>96</v>
      </c>
      <c r="D67" s="3" t="s">
        <v>49</v>
      </c>
      <c r="E67" s="15">
        <f t="shared" ref="E67:P67" si="203">E10/E$80</f>
        <v>2.0259385583803607E-2</v>
      </c>
      <c r="F67" s="15">
        <f t="shared" si="203"/>
        <v>2.9199663430208078E-2</v>
      </c>
      <c r="G67" s="15">
        <f t="shared" si="203"/>
        <v>9.4590243280751746E-3</v>
      </c>
      <c r="H67" s="15">
        <f t="shared" si="203"/>
        <v>1.0323754951875664E-2</v>
      </c>
      <c r="I67" s="15">
        <f t="shared" si="203"/>
        <v>1.4412116210038555E-2</v>
      </c>
      <c r="J67" s="15">
        <f t="shared" si="203"/>
        <v>1.682510372545741E-2</v>
      </c>
      <c r="K67" s="15">
        <f t="shared" si="203"/>
        <v>1.39718297722101E-2</v>
      </c>
      <c r="L67" s="15">
        <f t="shared" si="203"/>
        <v>8.2454780661690968E-3</v>
      </c>
      <c r="M67" s="15">
        <f t="shared" si="203"/>
        <v>5.9969064799408464E-3</v>
      </c>
      <c r="N67" s="15">
        <f t="shared" si="203"/>
        <v>8.8794947830002306E-3</v>
      </c>
      <c r="O67" s="15">
        <f t="shared" si="203"/>
        <v>5.4672469900547789E-3</v>
      </c>
      <c r="P67" s="15">
        <f t="shared" si="203"/>
        <v>6.6267297757000654E-3</v>
      </c>
      <c r="Q67" s="15"/>
      <c r="R67" s="15">
        <f>R10/R$80</f>
        <v>1.5158658483783964E-2</v>
      </c>
      <c r="S67" s="15">
        <f>S10/S$80</f>
        <v>7.0561385931869527E-3</v>
      </c>
      <c r="T67" s="15">
        <f>T10/T$80</f>
        <v>9.038164494353006E-3</v>
      </c>
      <c r="U67" s="15">
        <f>U10/U$80</f>
        <v>1.3483403845281862E-2</v>
      </c>
      <c r="V67" s="15"/>
      <c r="W67" s="15"/>
      <c r="X67" s="15"/>
      <c r="Y67" s="15"/>
      <c r="Z67" s="15"/>
      <c r="AA67" s="15"/>
      <c r="AB67" s="15"/>
      <c r="AC67" s="15"/>
      <c r="AD67" s="15">
        <f>AD10/AD$80</f>
        <v>8.4096202879094268E-3</v>
      </c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0"/>
    </row>
    <row r="68" spans="2:59" s="12" customFormat="1" hidden="1" x14ac:dyDescent="0.3">
      <c r="B68" s="3">
        <f t="shared" si="201"/>
        <v>8</v>
      </c>
      <c r="C68" s="3" t="s">
        <v>97</v>
      </c>
      <c r="D68" s="3" t="s">
        <v>12</v>
      </c>
      <c r="E68" s="15">
        <f t="shared" ref="E68:P68" si="204">E22/E$80</f>
        <v>1.86220049029364E-2</v>
      </c>
      <c r="F68" s="15">
        <f t="shared" si="204"/>
        <v>2.1651016584100798E-2</v>
      </c>
      <c r="G68" s="15">
        <f t="shared" si="204"/>
        <v>8.1949417206392434E-3</v>
      </c>
      <c r="H68" s="15">
        <f t="shared" si="204"/>
        <v>7.9571320983834008E-3</v>
      </c>
      <c r="I68" s="15">
        <f t="shared" si="204"/>
        <v>1.0435616513337003E-2</v>
      </c>
      <c r="J68" s="15">
        <f t="shared" si="204"/>
        <v>9.2683682822769873E-3</v>
      </c>
      <c r="K68" s="15">
        <f t="shared" si="204"/>
        <v>9.2231003048092002E-3</v>
      </c>
      <c r="L68" s="15">
        <f t="shared" si="204"/>
        <v>7.080394230706096E-3</v>
      </c>
      <c r="M68" s="15">
        <f t="shared" si="204"/>
        <v>8.0404045757363485E-3</v>
      </c>
      <c r="N68" s="15">
        <f t="shared" si="204"/>
        <v>7.7171517388059342E-3</v>
      </c>
      <c r="O68" s="15">
        <f t="shared" si="204"/>
        <v>9.7920134521373315E-3</v>
      </c>
      <c r="P68" s="15">
        <f t="shared" si="204"/>
        <v>6.8408965998274507E-3</v>
      </c>
      <c r="Q68" s="15"/>
      <c r="R68" s="15">
        <f t="shared" ref="R68:U69" si="205">R22/R$80</f>
        <v>8.7966822594280607E-3</v>
      </c>
      <c r="S68" s="15">
        <f t="shared" si="205"/>
        <v>8.1359556305432412E-3</v>
      </c>
      <c r="T68" s="15">
        <f t="shared" si="205"/>
        <v>7.3274328099271957E-3</v>
      </c>
      <c r="U68" s="15">
        <f t="shared" si="205"/>
        <v>7.4194201579704773E-3</v>
      </c>
      <c r="V68" s="15"/>
      <c r="W68" s="15"/>
      <c r="X68" s="15"/>
      <c r="Y68" s="15"/>
      <c r="Z68" s="15"/>
      <c r="AA68" s="15"/>
      <c r="AB68" s="15"/>
      <c r="AC68" s="15"/>
      <c r="AD68" s="15">
        <f>AD22/AD$80</f>
        <v>8.3623099269075161E-3</v>
      </c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0"/>
    </row>
    <row r="69" spans="2:59" hidden="1" x14ac:dyDescent="0.3">
      <c r="B69" s="3">
        <f t="shared" si="201"/>
        <v>9</v>
      </c>
      <c r="C69" s="3" t="s">
        <v>97</v>
      </c>
      <c r="D69" s="3" t="s">
        <v>51</v>
      </c>
      <c r="E69" s="15">
        <f t="shared" ref="E69:P69" si="206">E23/E$80</f>
        <v>9.8653382787086911E-3</v>
      </c>
      <c r="F69" s="15">
        <f t="shared" si="206"/>
        <v>8.5197516327815016E-3</v>
      </c>
      <c r="G69" s="15">
        <f t="shared" si="206"/>
        <v>4.7908148550309245E-3</v>
      </c>
      <c r="H69" s="15">
        <f t="shared" si="206"/>
        <v>3.6716469516429699E-3</v>
      </c>
      <c r="I69" s="15">
        <f t="shared" si="206"/>
        <v>7.2177121188217088E-3</v>
      </c>
      <c r="J69" s="15">
        <f t="shared" si="206"/>
        <v>7.3659238235768516E-3</v>
      </c>
      <c r="K69" s="15">
        <f t="shared" si="206"/>
        <v>1.0025611646552478E-2</v>
      </c>
      <c r="L69" s="15">
        <f t="shared" si="206"/>
        <v>5.8649673961064077E-3</v>
      </c>
      <c r="M69" s="15">
        <f t="shared" si="206"/>
        <v>6.0136958723475088E-3</v>
      </c>
      <c r="N69" s="15">
        <f t="shared" si="206"/>
        <v>7.1525609545011271E-3</v>
      </c>
      <c r="O69" s="15">
        <f t="shared" si="206"/>
        <v>9.9261720843159158E-3</v>
      </c>
      <c r="P69" s="15">
        <f t="shared" si="206"/>
        <v>8.5268588579634069E-3</v>
      </c>
      <c r="Q69" s="15"/>
      <c r="R69" s="15">
        <f t="shared" si="205"/>
        <v>7.4934522917180849E-3</v>
      </c>
      <c r="S69" s="15">
        <f t="shared" si="205"/>
        <v>8.4597324462897892E-3</v>
      </c>
      <c r="T69" s="15">
        <f t="shared" si="205"/>
        <v>7.2145614656899852E-3</v>
      </c>
      <c r="U69" s="15">
        <f t="shared" si="205"/>
        <v>6.0918802541915056E-3</v>
      </c>
      <c r="V69" s="15"/>
      <c r="W69" s="15"/>
      <c r="X69" s="15"/>
      <c r="Y69" s="15"/>
      <c r="Z69" s="15"/>
      <c r="AA69" s="15"/>
      <c r="AB69" s="15"/>
      <c r="AC69" s="15"/>
      <c r="AD69" s="15">
        <f>AD23/AD$80</f>
        <v>9.0629461891014694E-3</v>
      </c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0"/>
    </row>
    <row r="70" spans="2:59" hidden="1" x14ac:dyDescent="0.3">
      <c r="B70" s="3">
        <f t="shared" si="201"/>
        <v>10</v>
      </c>
      <c r="C70" s="3" t="s">
        <v>96</v>
      </c>
      <c r="D70" s="3" t="s">
        <v>56</v>
      </c>
      <c r="E70" s="15">
        <f t="shared" ref="E70:P70" si="207">E11/E$80</f>
        <v>6.085626518843223E-3</v>
      </c>
      <c r="F70" s="15">
        <f t="shared" si="207"/>
        <v>1.2827054945492097E-2</v>
      </c>
      <c r="G70" s="15">
        <f t="shared" si="207"/>
        <v>5.1634308149180724E-3</v>
      </c>
      <c r="H70" s="15">
        <f t="shared" si="207"/>
        <v>5.1208650673224866E-3</v>
      </c>
      <c r="I70" s="15">
        <f t="shared" si="207"/>
        <v>6.774060655048663E-3</v>
      </c>
      <c r="J70" s="15">
        <f t="shared" si="207"/>
        <v>7.1263923559837881E-3</v>
      </c>
      <c r="K70" s="15">
        <f t="shared" si="207"/>
        <v>7.1006326098964033E-3</v>
      </c>
      <c r="L70" s="15">
        <f t="shared" si="207"/>
        <v>5.0000211764541207E-3</v>
      </c>
      <c r="M70" s="15">
        <f t="shared" si="207"/>
        <v>6.5242986765317E-3</v>
      </c>
      <c r="N70" s="15">
        <f t="shared" si="207"/>
        <v>5.9087512057513268E-3</v>
      </c>
      <c r="O70" s="15">
        <f t="shared" si="207"/>
        <v>5.0984619445708966E-3</v>
      </c>
      <c r="P70" s="15">
        <f t="shared" si="207"/>
        <v>6.8802669968587938E-3</v>
      </c>
      <c r="Q70" s="15"/>
      <c r="R70" s="15">
        <f>R11/R$80</f>
        <v>1.352870789612301E-2</v>
      </c>
      <c r="S70" s="15">
        <f>S11/S$80</f>
        <v>6.0954336895543051E-3</v>
      </c>
      <c r="T70" s="15">
        <f>T11/T$80</f>
        <v>8.2633072136372738E-3</v>
      </c>
      <c r="U70" s="15">
        <f>U11/U$80</f>
        <v>6.9354434319658393E-3</v>
      </c>
      <c r="V70" s="15"/>
      <c r="W70" s="15"/>
      <c r="X70" s="15"/>
      <c r="Y70" s="15"/>
      <c r="Z70" s="15"/>
      <c r="AA70" s="15"/>
      <c r="AB70" s="15"/>
      <c r="AC70" s="15"/>
      <c r="AD70" s="15">
        <f>AD11/AD$80</f>
        <v>7.4432555944920903E-3</v>
      </c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0"/>
    </row>
    <row r="71" spans="2:59" hidden="1" x14ac:dyDescent="0.3">
      <c r="B71" s="3">
        <f t="shared" si="201"/>
        <v>11</v>
      </c>
      <c r="C71" s="3" t="s">
        <v>96</v>
      </c>
      <c r="D71" s="3" t="s">
        <v>28</v>
      </c>
      <c r="E71" s="15">
        <f t="shared" ref="E71:P71" si="208">E8/E$80</f>
        <v>0</v>
      </c>
      <c r="F71" s="15">
        <f t="shared" si="208"/>
        <v>0</v>
      </c>
      <c r="G71" s="15">
        <f t="shared" si="208"/>
        <v>8.5371344593918232E-3</v>
      </c>
      <c r="H71" s="15">
        <f t="shared" si="208"/>
        <v>7.0784146536934881E-3</v>
      </c>
      <c r="I71" s="15">
        <f t="shared" si="208"/>
        <v>6.7376442640489304E-3</v>
      </c>
      <c r="J71" s="15">
        <f t="shared" si="208"/>
        <v>1.2462811410507148E-2</v>
      </c>
      <c r="K71" s="15">
        <f t="shared" si="208"/>
        <v>8.4700254305215706E-3</v>
      </c>
      <c r="L71" s="15">
        <f t="shared" si="208"/>
        <v>9.1057569186620019E-3</v>
      </c>
      <c r="M71" s="15">
        <f t="shared" si="208"/>
        <v>6.3824129055641988E-3</v>
      </c>
      <c r="N71" s="15">
        <f t="shared" si="208"/>
        <v>1.0516989365733944E-2</v>
      </c>
      <c r="O71" s="15">
        <f t="shared" si="208"/>
        <v>9.9571723977385368E-3</v>
      </c>
      <c r="P71" s="15">
        <f t="shared" si="208"/>
        <v>5.3603460726562926E-3</v>
      </c>
      <c r="Q71" s="15"/>
      <c r="R71" s="15">
        <f>R8/R$80</f>
        <v>1.4801160966169854E-4</v>
      </c>
      <c r="S71" s="15">
        <f>S8/S$80</f>
        <v>0</v>
      </c>
      <c r="T71" s="15">
        <f>T8/T$80</f>
        <v>-5.4283212464671218E-5</v>
      </c>
      <c r="U71" s="15">
        <f>U8/U$80</f>
        <v>0</v>
      </c>
      <c r="V71" s="15"/>
      <c r="W71" s="15"/>
      <c r="X71" s="15"/>
      <c r="Y71" s="15"/>
      <c r="Z71" s="15"/>
      <c r="AA71" s="15"/>
      <c r="AB71" s="15"/>
      <c r="AC71" s="15"/>
      <c r="AD71" s="15">
        <f>AD8/AD$80</f>
        <v>5.9157879423345523E-5</v>
      </c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0"/>
    </row>
    <row r="72" spans="2:59" hidden="1" x14ac:dyDescent="0.3">
      <c r="B72" s="3">
        <f t="shared" si="201"/>
        <v>12</v>
      </c>
      <c r="C72" s="3" t="s">
        <v>96</v>
      </c>
      <c r="D72" s="3" t="s">
        <v>50</v>
      </c>
      <c r="E72" s="15">
        <f t="shared" ref="E72:P72" si="209">E12/E$80</f>
        <v>7.3078566405457316E-3</v>
      </c>
      <c r="F72" s="15">
        <f t="shared" si="209"/>
        <v>1.1119165301892031E-2</v>
      </c>
      <c r="G72" s="15">
        <f t="shared" si="209"/>
        <v>5.0951020547347807E-3</v>
      </c>
      <c r="H72" s="15">
        <f t="shared" si="209"/>
        <v>5.5109385386817381E-3</v>
      </c>
      <c r="I72" s="15">
        <f t="shared" si="209"/>
        <v>3.4257370747644814E-3</v>
      </c>
      <c r="J72" s="15">
        <f t="shared" si="209"/>
        <v>7.2399999833029239E-3</v>
      </c>
      <c r="K72" s="15">
        <f t="shared" si="209"/>
        <v>5.8743325189844929E-3</v>
      </c>
      <c r="L72" s="15">
        <f t="shared" si="209"/>
        <v>4.6959460121092401E-3</v>
      </c>
      <c r="M72" s="15">
        <f t="shared" si="209"/>
        <v>6.05431859796256E-3</v>
      </c>
      <c r="N72" s="15">
        <f t="shared" si="209"/>
        <v>5.470937251914481E-3</v>
      </c>
      <c r="O72" s="15">
        <f t="shared" si="209"/>
        <v>7.1016261176765367E-3</v>
      </c>
      <c r="P72" s="15">
        <f t="shared" si="209"/>
        <v>3.9563290691287641E-3</v>
      </c>
      <c r="Q72" s="15"/>
      <c r="R72" s="15">
        <f>R12/R$80</f>
        <v>5.5873925143405737E-3</v>
      </c>
      <c r="S72" s="15">
        <f>S12/S$80</f>
        <v>3.6409037179448191E-3</v>
      </c>
      <c r="T72" s="15">
        <f>T12/T$80</f>
        <v>4.2848293080679327E-3</v>
      </c>
      <c r="U72" s="15">
        <f>U12/U$80</f>
        <v>3.8088922665814786E-3</v>
      </c>
      <c r="V72" s="15"/>
      <c r="W72" s="15"/>
      <c r="X72" s="15"/>
      <c r="Y72" s="15"/>
      <c r="Z72" s="15"/>
      <c r="AA72" s="15"/>
      <c r="AB72" s="15"/>
      <c r="AC72" s="15"/>
      <c r="AD72" s="15">
        <f>AD12/AD$80</f>
        <v>3.6866913024082562E-3</v>
      </c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0"/>
    </row>
    <row r="73" spans="2:59" hidden="1" x14ac:dyDescent="0.3">
      <c r="B73" s="3">
        <f t="shared" si="201"/>
        <v>13</v>
      </c>
      <c r="C73" s="3" t="s">
        <v>97</v>
      </c>
      <c r="D73" s="3" t="s">
        <v>42</v>
      </c>
      <c r="E73" s="15">
        <f t="shared" ref="E73:P73" si="210">E24/E$80</f>
        <v>1.7738875506767076E-3</v>
      </c>
      <c r="F73" s="15">
        <f t="shared" si="210"/>
        <v>0</v>
      </c>
      <c r="G73" s="15">
        <f t="shared" si="210"/>
        <v>8.228391040970538E-4</v>
      </c>
      <c r="H73" s="15">
        <f t="shared" si="210"/>
        <v>1.4034195438779465E-3</v>
      </c>
      <c r="I73" s="15">
        <f t="shared" si="210"/>
        <v>1.2408012980358121E-3</v>
      </c>
      <c r="J73" s="15">
        <f t="shared" si="210"/>
        <v>5.4427000362798389E-4</v>
      </c>
      <c r="K73" s="15">
        <f t="shared" si="210"/>
        <v>1.6761891676311618E-3</v>
      </c>
      <c r="L73" s="15">
        <f t="shared" si="210"/>
        <v>1.198804580530102E-3</v>
      </c>
      <c r="M73" s="15">
        <f t="shared" si="210"/>
        <v>1.8735164514961252E-3</v>
      </c>
      <c r="N73" s="15">
        <f t="shared" si="210"/>
        <v>1.8316892223812708E-3</v>
      </c>
      <c r="O73" s="15">
        <f t="shared" si="210"/>
        <v>2.5054747176304118E-3</v>
      </c>
      <c r="P73" s="15">
        <f t="shared" si="210"/>
        <v>3.1829724974611028E-3</v>
      </c>
      <c r="Q73" s="15"/>
      <c r="R73" s="15">
        <f>R24/R$80</f>
        <v>0</v>
      </c>
      <c r="S73" s="15">
        <f>S24/S$80</f>
        <v>0</v>
      </c>
      <c r="T73" s="15">
        <f>T24/T$80</f>
        <v>0</v>
      </c>
      <c r="U73" s="15">
        <f>U24/U$80</f>
        <v>0</v>
      </c>
      <c r="V73" s="15"/>
      <c r="W73" s="15"/>
      <c r="X73" s="15"/>
      <c r="Y73" s="15"/>
      <c r="Z73" s="15"/>
      <c r="AA73" s="15"/>
      <c r="AB73" s="15"/>
      <c r="AC73" s="15"/>
      <c r="AD73" s="15">
        <f>AD24/AD$80</f>
        <v>0</v>
      </c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0"/>
    </row>
    <row r="74" spans="2:59" hidden="1" x14ac:dyDescent="0.3">
      <c r="B74" s="3">
        <f t="shared" si="201"/>
        <v>14</v>
      </c>
      <c r="C74" s="3" t="s">
        <v>96</v>
      </c>
      <c r="D74" s="3" t="s">
        <v>53</v>
      </c>
      <c r="E74" s="15">
        <f t="shared" ref="E74:P74" si="211">E13/E$80</f>
        <v>7.5494113347382248E-3</v>
      </c>
      <c r="F74" s="15">
        <f t="shared" si="211"/>
        <v>8.5186378125974328E-3</v>
      </c>
      <c r="G74" s="15">
        <f t="shared" si="211"/>
        <v>7.775904068612738E-3</v>
      </c>
      <c r="H74" s="15">
        <f t="shared" si="211"/>
        <v>7.0346219565093427E-3</v>
      </c>
      <c r="I74" s="15">
        <f t="shared" si="211"/>
        <v>5.0402469411841636E-3</v>
      </c>
      <c r="J74" s="15">
        <f t="shared" si="211"/>
        <v>5.1881784229516528E-3</v>
      </c>
      <c r="K74" s="15">
        <f t="shared" si="211"/>
        <v>3.7590850793177612E-3</v>
      </c>
      <c r="L74" s="15">
        <f t="shared" si="211"/>
        <v>1.847112293816431E-3</v>
      </c>
      <c r="M74" s="15">
        <f t="shared" si="211"/>
        <v>3.5951185979687245E-3</v>
      </c>
      <c r="N74" s="15">
        <f t="shared" si="211"/>
        <v>2.5237064137357606E-3</v>
      </c>
      <c r="O74" s="15">
        <f t="shared" si="211"/>
        <v>2.2155140006078844E-3</v>
      </c>
      <c r="P74" s="15">
        <f t="shared" si="211"/>
        <v>2.3526058273819609E-3</v>
      </c>
      <c r="Q74" s="15"/>
      <c r="R74" s="15">
        <f>R13/R$80</f>
        <v>2.5003620461659989E-3</v>
      </c>
      <c r="S74" s="15">
        <f>S13/S$80</f>
        <v>1.9835607209612092E-3</v>
      </c>
      <c r="T74" s="15">
        <f>T13/T$80</f>
        <v>1.4220323575159005E-3</v>
      </c>
      <c r="U74" s="15">
        <f>U13/U$80</f>
        <v>2.2171035095691471E-3</v>
      </c>
      <c r="V74" s="15"/>
      <c r="W74" s="15"/>
      <c r="X74" s="15"/>
      <c r="Y74" s="15"/>
      <c r="Z74" s="15"/>
      <c r="AA74" s="15"/>
      <c r="AB74" s="15"/>
      <c r="AC74" s="15"/>
      <c r="AD74" s="15">
        <f>AD13/AD$80</f>
        <v>2.6162729333445117E-3</v>
      </c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0"/>
    </row>
    <row r="75" spans="2:59" hidden="1" x14ac:dyDescent="0.3">
      <c r="B75" s="3">
        <f t="shared" si="201"/>
        <v>15</v>
      </c>
      <c r="C75" s="3" t="s">
        <v>96</v>
      </c>
      <c r="D75" s="3" t="s">
        <v>52</v>
      </c>
      <c r="E75" s="15">
        <f t="shared" ref="E75:P75" si="212">E15/E$80</f>
        <v>5.9321712800646104E-3</v>
      </c>
      <c r="F75" s="15">
        <f t="shared" si="212"/>
        <v>6.1328896603160474E-3</v>
      </c>
      <c r="G75" s="15">
        <f t="shared" si="212"/>
        <v>2.2806657993381307E-3</v>
      </c>
      <c r="H75" s="15">
        <f t="shared" si="212"/>
        <v>2.2093301669034136E-3</v>
      </c>
      <c r="I75" s="15">
        <f t="shared" si="212"/>
        <v>2.8081181233067082E-3</v>
      </c>
      <c r="J75" s="15">
        <f t="shared" si="212"/>
        <v>1.9296505547848441E-3</v>
      </c>
      <c r="K75" s="15">
        <f t="shared" si="212"/>
        <v>2.0181076858599824E-3</v>
      </c>
      <c r="L75" s="15">
        <f t="shared" si="212"/>
        <v>1.6725074032379089E-3</v>
      </c>
      <c r="M75" s="15">
        <f t="shared" si="212"/>
        <v>2.2244492278880551E-3</v>
      </c>
      <c r="N75" s="15">
        <f t="shared" si="212"/>
        <v>1.7227073606752592E-3</v>
      </c>
      <c r="O75" s="15">
        <f t="shared" si="212"/>
        <v>1.8121222342083227E-3</v>
      </c>
      <c r="P75" s="15">
        <f t="shared" si="212"/>
        <v>1.3419784685423783E-3</v>
      </c>
      <c r="Q75" s="15"/>
      <c r="R75" s="15">
        <f>R15/R$80</f>
        <v>1.5723208465277204E-3</v>
      </c>
      <c r="S75" s="15">
        <f>S15/S$80</f>
        <v>1.3595892795604675E-3</v>
      </c>
      <c r="T75" s="15">
        <f>T15/T$80</f>
        <v>1.2932883305379575E-3</v>
      </c>
      <c r="U75" s="15">
        <f>U15/U$80</f>
        <v>1.2423258069668012E-3</v>
      </c>
      <c r="V75" s="15"/>
      <c r="W75" s="15"/>
      <c r="X75" s="15"/>
      <c r="Y75" s="15"/>
      <c r="Z75" s="15"/>
      <c r="AA75" s="15"/>
      <c r="AB75" s="15"/>
      <c r="AC75" s="15"/>
      <c r="AD75" s="15">
        <f>AD15/AD$80</f>
        <v>1.2435791405696734E-3</v>
      </c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0"/>
    </row>
    <row r="76" spans="2:59" hidden="1" x14ac:dyDescent="0.3">
      <c r="B76" s="3">
        <f t="shared" si="201"/>
        <v>16</v>
      </c>
      <c r="C76" s="3" t="s">
        <v>97</v>
      </c>
      <c r="D76" s="3" t="s">
        <v>40</v>
      </c>
      <c r="E76" s="15">
        <f t="shared" ref="E76:P76" si="213">E14/E$80</f>
        <v>3.7162379113923143E-3</v>
      </c>
      <c r="F76" s="15">
        <f t="shared" si="213"/>
        <v>4.9136799536442875E-3</v>
      </c>
      <c r="G76" s="15">
        <f t="shared" si="213"/>
        <v>2.696784103215845E-3</v>
      </c>
      <c r="H76" s="15">
        <f t="shared" si="213"/>
        <v>1.9951187726339275E-3</v>
      </c>
      <c r="I76" s="15">
        <f t="shared" si="213"/>
        <v>2.9353520171241584E-3</v>
      </c>
      <c r="J76" s="15">
        <f t="shared" si="213"/>
        <v>3.7253727914932123E-3</v>
      </c>
      <c r="K76" s="15">
        <f t="shared" si="213"/>
        <v>2.4778974110868739E-3</v>
      </c>
      <c r="L76" s="15">
        <f t="shared" si="213"/>
        <v>1.200270847617859E-3</v>
      </c>
      <c r="M76" s="15">
        <f t="shared" si="213"/>
        <v>1.013205523621752E-3</v>
      </c>
      <c r="N76" s="15">
        <f t="shared" si="213"/>
        <v>7.876851073495136E-4</v>
      </c>
      <c r="O76" s="15">
        <f t="shared" si="213"/>
        <v>7.9873172817452676E-4</v>
      </c>
      <c r="P76" s="15">
        <f t="shared" si="213"/>
        <v>1.191649639114099E-3</v>
      </c>
      <c r="Q76" s="15"/>
      <c r="R76" s="15">
        <f>R14/R$80</f>
        <v>1.0263752435155534E-3</v>
      </c>
      <c r="S76" s="15">
        <f>S14/S$80</f>
        <v>9.3711060328510634E-4</v>
      </c>
      <c r="T76" s="15">
        <f>T14/T$80</f>
        <v>7.8143377875896703E-4</v>
      </c>
      <c r="U76" s="15">
        <f>U14/U$80</f>
        <v>8.9758283108802518E-4</v>
      </c>
      <c r="V76" s="15"/>
      <c r="W76" s="15"/>
      <c r="X76" s="15"/>
      <c r="Y76" s="15"/>
      <c r="Z76" s="15"/>
      <c r="AA76" s="15"/>
      <c r="AB76" s="15"/>
      <c r="AC76" s="15"/>
      <c r="AD76" s="15">
        <f>AD14/AD$80</f>
        <v>9.8443560948897955E-4</v>
      </c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0"/>
    </row>
    <row r="77" spans="2:59" hidden="1" x14ac:dyDescent="0.3">
      <c r="B77" s="3">
        <f t="shared" si="201"/>
        <v>17</v>
      </c>
      <c r="C77" s="3" t="s">
        <v>96</v>
      </c>
      <c r="D77" s="3" t="s">
        <v>55</v>
      </c>
      <c r="E77" s="15">
        <f t="shared" ref="E77:P77" si="214">E16/E$80</f>
        <v>0</v>
      </c>
      <c r="F77" s="15">
        <f t="shared" si="214"/>
        <v>0</v>
      </c>
      <c r="G77" s="15">
        <f t="shared" si="214"/>
        <v>0</v>
      </c>
      <c r="H77" s="15">
        <f t="shared" si="214"/>
        <v>1.4998054177097829E-3</v>
      </c>
      <c r="I77" s="15">
        <f t="shared" si="214"/>
        <v>9.7426227069086322E-4</v>
      </c>
      <c r="J77" s="15">
        <f t="shared" si="214"/>
        <v>1.1867576522054954E-3</v>
      </c>
      <c r="K77" s="15">
        <f t="shared" si="214"/>
        <v>6.1676628022056717E-4</v>
      </c>
      <c r="L77" s="15">
        <f t="shared" si="214"/>
        <v>8.7509509544063662E-4</v>
      </c>
      <c r="M77" s="15">
        <f t="shared" si="214"/>
        <v>7.6931637733443131E-4</v>
      </c>
      <c r="N77" s="15">
        <f t="shared" si="214"/>
        <v>0</v>
      </c>
      <c r="O77" s="15">
        <f t="shared" si="214"/>
        <v>3.5642255899437966E-4</v>
      </c>
      <c r="P77" s="15">
        <f t="shared" si="214"/>
        <v>1.3573969274667398E-6</v>
      </c>
      <c r="Q77" s="15"/>
      <c r="R77" s="15">
        <f>R16/R$80</f>
        <v>3.4003105238811991E-4</v>
      </c>
      <c r="S77" s="15">
        <f>S16/S$80</f>
        <v>0</v>
      </c>
      <c r="T77" s="15">
        <f>T16/T$80</f>
        <v>2.5020153149361298E-4</v>
      </c>
      <c r="U77" s="15">
        <f>U16/U$80</f>
        <v>0</v>
      </c>
      <c r="V77" s="15"/>
      <c r="W77" s="15"/>
      <c r="X77" s="15"/>
      <c r="Y77" s="15"/>
      <c r="Z77" s="15"/>
      <c r="AA77" s="15"/>
      <c r="AB77" s="15"/>
      <c r="AC77" s="15"/>
      <c r="AD77" s="15">
        <f>AD16/AD$80</f>
        <v>1.620902560678598E-4</v>
      </c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0"/>
    </row>
    <row r="78" spans="2:59" hidden="1" x14ac:dyDescent="0.3">
      <c r="B78" s="16"/>
      <c r="C78" s="16"/>
      <c r="D78" s="16"/>
      <c r="E78" s="18">
        <f t="shared" ref="E78:AD78" si="215">SUM(E61:E77)</f>
        <v>1.2572023208744258</v>
      </c>
      <c r="F78" s="18">
        <f t="shared" si="215"/>
        <v>1.8786282324875647</v>
      </c>
      <c r="G78" s="18">
        <f t="shared" si="215"/>
        <v>0.89454030449381294</v>
      </c>
      <c r="H78" s="18">
        <f t="shared" si="215"/>
        <v>0.8795373860997231</v>
      </c>
      <c r="I78" s="18">
        <f t="shared" si="215"/>
        <v>1.0318954744590976</v>
      </c>
      <c r="J78" s="18">
        <f t="shared" si="215"/>
        <v>0.97783542852451277</v>
      </c>
      <c r="K78" s="18">
        <f t="shared" si="215"/>
        <v>1.0768640646562384</v>
      </c>
      <c r="L78" s="18">
        <f t="shared" si="215"/>
        <v>0.78232813523259204</v>
      </c>
      <c r="M78" s="18">
        <f t="shared" si="215"/>
        <v>0.94582450830923348</v>
      </c>
      <c r="N78" s="18">
        <f t="shared" si="215"/>
        <v>0.87913625784259219</v>
      </c>
      <c r="O78" s="18">
        <f t="shared" si="215"/>
        <v>0.81040846135210909</v>
      </c>
      <c r="P78" s="18">
        <f t="shared" si="215"/>
        <v>0.9671175052808908</v>
      </c>
      <c r="Q78" s="18"/>
      <c r="R78" s="18">
        <f t="shared" si="215"/>
        <v>1.5162972719512102</v>
      </c>
      <c r="S78" s="18">
        <f t="shared" si="215"/>
        <v>1.0175077261818111</v>
      </c>
      <c r="T78" s="18">
        <f t="shared" si="215"/>
        <v>1.2098286891845187</v>
      </c>
      <c r="U78" s="18">
        <f t="shared" si="215"/>
        <v>1.0770988759460418</v>
      </c>
      <c r="V78" s="18">
        <f t="shared" si="215"/>
        <v>0</v>
      </c>
      <c r="W78" s="18">
        <f t="shared" si="215"/>
        <v>0</v>
      </c>
      <c r="X78" s="18">
        <f t="shared" si="215"/>
        <v>0</v>
      </c>
      <c r="Y78" s="18">
        <f t="shared" si="215"/>
        <v>0</v>
      </c>
      <c r="Z78" s="18">
        <f t="shared" si="215"/>
        <v>0</v>
      </c>
      <c r="AA78" s="18">
        <f t="shared" si="215"/>
        <v>0</v>
      </c>
      <c r="AB78" s="18">
        <f t="shared" si="215"/>
        <v>0</v>
      </c>
      <c r="AC78" s="18">
        <f t="shared" si="215"/>
        <v>0</v>
      </c>
      <c r="AD78" s="18">
        <f t="shared" si="215"/>
        <v>1.0306999784807391</v>
      </c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51"/>
    </row>
    <row r="79" spans="2:59" hidden="1" x14ac:dyDescent="0.3"/>
    <row r="80" spans="2:59" hidden="1" x14ac:dyDescent="0.3">
      <c r="D80" t="s">
        <v>102</v>
      </c>
      <c r="E80" s="8">
        <v>24985.455241</v>
      </c>
      <c r="F80" s="8">
        <v>23042.319008999999</v>
      </c>
      <c r="G80" s="8">
        <v>59212.533479999998</v>
      </c>
      <c r="H80" s="8">
        <v>54287.042198000003</v>
      </c>
      <c r="I80" s="8">
        <v>55449.234385000003</v>
      </c>
      <c r="J80" s="8">
        <v>51903.698186000001</v>
      </c>
      <c r="K80" s="8">
        <v>54526.327197999999</v>
      </c>
      <c r="L80" s="8">
        <v>78282.463650999998</v>
      </c>
      <c r="M80" s="8">
        <v>58392.881425</v>
      </c>
      <c r="N80" s="8">
        <v>70970.846697999994</v>
      </c>
      <c r="O80" s="8">
        <v>62903.041444000002</v>
      </c>
      <c r="P80" s="8">
        <v>99555.993730000002</v>
      </c>
      <c r="Q80" s="8"/>
      <c r="R80" s="8">
        <v>67562.267735999994</v>
      </c>
      <c r="S80" s="8">
        <v>70105.871996000002</v>
      </c>
      <c r="T80" s="8">
        <v>92109.508132999996</v>
      </c>
      <c r="U80" s="8">
        <v>97489.092894000001</v>
      </c>
      <c r="V80" s="8"/>
      <c r="W80" s="8"/>
      <c r="X80" s="8"/>
      <c r="Y80" s="8"/>
      <c r="Z80" s="8"/>
      <c r="AA80" s="8"/>
      <c r="AB80" s="8"/>
      <c r="AC80" s="8"/>
      <c r="AD80" s="8">
        <f>SUM(E80:U80)</f>
        <v>1020778.5774039999</v>
      </c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153"/>
    </row>
  </sheetData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3DB92-4D86-45B1-B3B4-32D1A743297F}">
  <sheetPr codeName="Sheet4"/>
  <dimension ref="A1:FR115"/>
  <sheetViews>
    <sheetView showGridLines="0" zoomScaleNormal="100" workbookViewId="0">
      <pane xSplit="5" ySplit="2" topLeftCell="AU13" activePane="bottomRight" state="frozen"/>
      <selection activeCell="A14" sqref="A14:XFD14"/>
      <selection pane="topRight" activeCell="A14" sqref="A14:XFD14"/>
      <selection pane="bottomLeft" activeCell="A14" sqref="A14:XFD14"/>
      <selection pane="bottomRight" activeCell="AZ4" sqref="AZ4:AZ49"/>
    </sheetView>
  </sheetViews>
  <sheetFormatPr defaultColWidth="8.5546875" defaultRowHeight="13.8" outlineLevelCol="1" x14ac:dyDescent="0.25"/>
  <cols>
    <col min="1" max="1" width="3.5546875" style="21" customWidth="1"/>
    <col min="2" max="2" width="8.5546875" style="21" customWidth="1"/>
    <col min="3" max="3" width="23.5546875" style="21" customWidth="1"/>
    <col min="4" max="4" width="25" style="21" customWidth="1"/>
    <col min="5" max="5" width="9.5546875" style="21" customWidth="1"/>
    <col min="6" max="11" width="9.44140625" style="23" customWidth="1" outlineLevel="1"/>
    <col min="12" max="13" width="9.5546875" style="23" customWidth="1" outlineLevel="1"/>
    <col min="14" max="17" width="9.44140625" style="23" customWidth="1" outlineLevel="1"/>
    <col min="18" max="18" width="9.44140625" style="23" customWidth="1"/>
    <col min="19" max="27" width="12.21875" style="23" customWidth="1" outlineLevel="1"/>
    <col min="28" max="29" width="13.21875" style="23" customWidth="1" outlineLevel="1"/>
    <col min="30" max="30" width="12.5546875" style="23" customWidth="1" outlineLevel="1"/>
    <col min="31" max="31" width="11.44140625" style="23" customWidth="1" outlineLevel="1"/>
    <col min="32" max="32" width="14.5546875" style="23" customWidth="1"/>
    <col min="33" max="33" width="11.44140625" style="23" customWidth="1"/>
    <col min="34" max="45" width="11.44140625" style="23" customWidth="1" outlineLevel="1"/>
    <col min="46" max="46" width="9.21875" style="23" customWidth="1" outlineLevel="1"/>
    <col min="47" max="60" width="11.44140625" style="23" customWidth="1"/>
    <col min="61" max="61" width="13.77734375" style="23" bestFit="1" customWidth="1"/>
    <col min="62" max="62" width="24" style="23" customWidth="1"/>
    <col min="63" max="63" width="10.21875" style="595" customWidth="1"/>
    <col min="64" max="75" width="10.44140625" style="21" customWidth="1"/>
    <col min="76" max="76" width="11.44140625" style="21" customWidth="1"/>
    <col min="77" max="77" width="8.5546875" style="21" customWidth="1"/>
    <col min="78" max="78" width="9.77734375" style="21" bestFit="1" customWidth="1"/>
    <col min="79" max="86" width="9.77734375" style="21" hidden="1" customWidth="1" outlineLevel="1"/>
    <col min="87" max="88" width="10.21875" style="21" hidden="1" customWidth="1" outlineLevel="1"/>
    <col min="89" max="89" width="10.21875" style="21" bestFit="1" customWidth="1" collapsed="1"/>
    <col min="90" max="90" width="15" style="21" bestFit="1" customWidth="1"/>
    <col min="91" max="91" width="8.5546875" style="21"/>
    <col min="92" max="92" width="9.77734375" style="21" bestFit="1" customWidth="1"/>
    <col min="93" max="100" width="9.77734375" style="21" hidden="1" customWidth="1" outlineLevel="1"/>
    <col min="101" max="102" width="10.21875" style="21" hidden="1" customWidth="1" outlineLevel="1"/>
    <col min="103" max="103" width="10.21875" style="21" bestFit="1" customWidth="1" collapsed="1"/>
    <col min="104" max="104" width="15" style="21" bestFit="1" customWidth="1"/>
    <col min="105" max="105" width="8.5546875" style="21"/>
    <col min="106" max="106" width="9.77734375" style="21" bestFit="1" customWidth="1"/>
    <col min="107" max="114" width="9.77734375" style="21" hidden="1" customWidth="1" outlineLevel="1"/>
    <col min="115" max="116" width="10.21875" style="21" hidden="1" customWidth="1" outlineLevel="1"/>
    <col min="117" max="117" width="10.21875" style="21" bestFit="1" customWidth="1" collapsed="1"/>
    <col min="118" max="118" width="15" style="21" bestFit="1" customWidth="1"/>
    <col min="119" max="119" width="8.5546875" style="21"/>
    <col min="120" max="120" width="9.77734375" style="21" bestFit="1" customWidth="1"/>
    <col min="121" max="128" width="9.77734375" style="21" hidden="1" customWidth="1" outlineLevel="1"/>
    <col min="129" max="130" width="10.21875" style="21" hidden="1" customWidth="1" outlineLevel="1"/>
    <col min="131" max="131" width="10.21875" style="21" bestFit="1" customWidth="1" collapsed="1"/>
    <col min="132" max="132" width="15" style="21" bestFit="1" customWidth="1"/>
    <col min="133" max="133" width="8.5546875" style="21"/>
    <col min="134" max="134" width="9.77734375" style="21" bestFit="1" customWidth="1"/>
    <col min="135" max="142" width="9.77734375" style="21" hidden="1" customWidth="1" outlineLevel="1"/>
    <col min="143" max="144" width="10.21875" style="21" hidden="1" customWidth="1" outlineLevel="1"/>
    <col min="145" max="145" width="10.21875" style="21" bestFit="1" customWidth="1" collapsed="1"/>
    <col min="146" max="146" width="15" style="21" bestFit="1" customWidth="1"/>
    <col min="147" max="147" width="8.5546875" style="21"/>
    <col min="148" max="148" width="11.5546875" style="21" bestFit="1" customWidth="1"/>
    <col min="149" max="156" width="9.77734375" style="21" hidden="1" customWidth="1" outlineLevel="1"/>
    <col min="157" max="158" width="10.21875" style="21" hidden="1" customWidth="1" outlineLevel="1"/>
    <col min="159" max="159" width="10.21875" style="21" bestFit="1" customWidth="1" collapsed="1"/>
    <col min="160" max="160" width="15" style="21" bestFit="1" customWidth="1"/>
    <col min="161" max="161" width="8.5546875" style="21"/>
    <col min="162" max="162" width="9.77734375" style="21" bestFit="1" customWidth="1"/>
    <col min="163" max="170" width="9.77734375" style="21" hidden="1" customWidth="1" outlineLevel="1"/>
    <col min="171" max="172" width="10.21875" style="21" hidden="1" customWidth="1" outlineLevel="1"/>
    <col min="173" max="173" width="10.21875" style="21" bestFit="1" customWidth="1" collapsed="1"/>
    <col min="174" max="174" width="15" style="21" bestFit="1" customWidth="1"/>
    <col min="175" max="16384" width="8.5546875" style="21"/>
  </cols>
  <sheetData>
    <row r="1" spans="1:174" ht="14.4" thickBot="1" x14ac:dyDescent="0.3">
      <c r="F1" s="22"/>
      <c r="G1" s="22"/>
      <c r="H1" s="22"/>
      <c r="I1" s="22"/>
      <c r="J1" s="22"/>
      <c r="K1" s="22"/>
      <c r="L1" s="22"/>
      <c r="M1" s="22"/>
      <c r="N1" s="635">
        <v>2670.8606060000002</v>
      </c>
      <c r="O1" s="22"/>
      <c r="P1" s="22"/>
      <c r="Q1" s="22"/>
      <c r="R1" s="22">
        <v>1000000</v>
      </c>
      <c r="S1" s="22">
        <f>SUBTOTAL(9,S4:S49)</f>
        <v>106680.33657393405</v>
      </c>
      <c r="T1" s="22">
        <f t="shared" ref="T1:AF1" si="0">SUBTOTAL(9,T4:T49)</f>
        <v>75877.120725643093</v>
      </c>
      <c r="U1" s="22">
        <f t="shared" si="0"/>
        <v>119076.57978497817</v>
      </c>
      <c r="V1" s="22">
        <f t="shared" si="0"/>
        <v>110931.42851012667</v>
      </c>
      <c r="W1" s="22">
        <f t="shared" si="0"/>
        <v>113013.79221587433</v>
      </c>
      <c r="X1" s="22">
        <f t="shared" si="0"/>
        <v>88502.786982188161</v>
      </c>
      <c r="Y1" s="22">
        <f t="shared" si="0"/>
        <v>56176.910033293541</v>
      </c>
      <c r="Z1" s="22">
        <f t="shared" si="0"/>
        <v>62478.477740084723</v>
      </c>
      <c r="AA1" s="22">
        <f t="shared" si="0"/>
        <v>78342.959152125288</v>
      </c>
      <c r="AB1" s="22">
        <f t="shared" si="0"/>
        <v>107148.58912425852</v>
      </c>
      <c r="AC1" s="22">
        <f t="shared" si="0"/>
        <v>115332.35566671607</v>
      </c>
      <c r="AD1" s="22">
        <f t="shared" si="0"/>
        <v>83164.139954679718</v>
      </c>
      <c r="AE1" s="22">
        <f t="shared" si="0"/>
        <v>0</v>
      </c>
      <c r="AF1" s="22">
        <f t="shared" si="0"/>
        <v>1116725.4764639016</v>
      </c>
      <c r="AG1" s="22"/>
      <c r="AH1" s="22">
        <v>1000000</v>
      </c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L1" s="13">
        <v>2</v>
      </c>
      <c r="BV1" s="29"/>
      <c r="BW1" s="29"/>
      <c r="BZ1" s="16" t="s">
        <v>314</v>
      </c>
      <c r="CN1" s="16" t="s">
        <v>315</v>
      </c>
      <c r="CP1" s="627"/>
      <c r="DB1" s="16" t="s">
        <v>316</v>
      </c>
      <c r="DP1" s="16" t="s">
        <v>317</v>
      </c>
      <c r="ED1" s="16" t="s">
        <v>318</v>
      </c>
      <c r="ER1" s="16" t="s">
        <v>319</v>
      </c>
      <c r="FF1" s="16" t="s">
        <v>320</v>
      </c>
      <c r="FG1" s="627"/>
    </row>
    <row r="2" spans="1:174" s="594" customFormat="1" ht="27" customHeight="1" thickTop="1" x14ac:dyDescent="0.3">
      <c r="A2" s="584" t="s">
        <v>57</v>
      </c>
      <c r="B2" s="584" t="s">
        <v>58</v>
      </c>
      <c r="C2" s="585" t="s">
        <v>45</v>
      </c>
      <c r="D2" s="584" t="s">
        <v>59</v>
      </c>
      <c r="E2" s="584" t="s">
        <v>103</v>
      </c>
      <c r="F2" s="586" t="s">
        <v>60</v>
      </c>
      <c r="G2" s="586" t="s">
        <v>61</v>
      </c>
      <c r="H2" s="587" t="s">
        <v>62</v>
      </c>
      <c r="I2" s="587" t="s">
        <v>63</v>
      </c>
      <c r="J2" s="587" t="s">
        <v>64</v>
      </c>
      <c r="K2" s="587" t="s">
        <v>65</v>
      </c>
      <c r="L2" s="587" t="s">
        <v>66</v>
      </c>
      <c r="M2" s="588" t="s">
        <v>67</v>
      </c>
      <c r="N2" s="587" t="s">
        <v>68</v>
      </c>
      <c r="O2" s="587" t="s">
        <v>69</v>
      </c>
      <c r="P2" s="587" t="s">
        <v>70</v>
      </c>
      <c r="Q2" s="589" t="s">
        <v>71</v>
      </c>
      <c r="R2" s="590" t="s">
        <v>171</v>
      </c>
      <c r="S2" s="591" t="s">
        <v>84</v>
      </c>
      <c r="T2" s="584" t="s">
        <v>85</v>
      </c>
      <c r="U2" s="584" t="s">
        <v>86</v>
      </c>
      <c r="V2" s="584" t="s">
        <v>87</v>
      </c>
      <c r="W2" s="584" t="s">
        <v>88</v>
      </c>
      <c r="X2" s="584" t="s">
        <v>89</v>
      </c>
      <c r="Y2" s="584" t="s">
        <v>90</v>
      </c>
      <c r="Z2" s="584" t="s">
        <v>91</v>
      </c>
      <c r="AA2" s="584" t="s">
        <v>92</v>
      </c>
      <c r="AB2" s="584" t="s">
        <v>93</v>
      </c>
      <c r="AC2" s="584" t="s">
        <v>94</v>
      </c>
      <c r="AD2" s="584" t="s">
        <v>95</v>
      </c>
      <c r="AE2" s="584" t="s">
        <v>257</v>
      </c>
      <c r="AF2" s="592" t="s">
        <v>210</v>
      </c>
      <c r="AG2" s="590" t="s">
        <v>185</v>
      </c>
      <c r="AH2" s="591" t="s">
        <v>229</v>
      </c>
      <c r="AI2" s="584" t="s">
        <v>230</v>
      </c>
      <c r="AJ2" s="584" t="s">
        <v>231</v>
      </c>
      <c r="AK2" s="584" t="s">
        <v>232</v>
      </c>
      <c r="AL2" s="584" t="s">
        <v>233</v>
      </c>
      <c r="AM2" s="584" t="s">
        <v>234</v>
      </c>
      <c r="AN2" s="584" t="s">
        <v>235</v>
      </c>
      <c r="AO2" s="584" t="s">
        <v>236</v>
      </c>
      <c r="AP2" s="584" t="s">
        <v>237</v>
      </c>
      <c r="AQ2" s="584" t="s">
        <v>238</v>
      </c>
      <c r="AR2" s="584" t="s">
        <v>239</v>
      </c>
      <c r="AS2" s="584" t="s">
        <v>240</v>
      </c>
      <c r="AT2" s="584" t="s">
        <v>309</v>
      </c>
      <c r="AU2" s="590" t="s">
        <v>250</v>
      </c>
      <c r="AV2" s="591" t="s">
        <v>263</v>
      </c>
      <c r="AW2" s="584" t="s">
        <v>264</v>
      </c>
      <c r="AX2" s="584" t="s">
        <v>265</v>
      </c>
      <c r="AY2" s="584" t="s">
        <v>266</v>
      </c>
      <c r="AZ2" s="584" t="s">
        <v>267</v>
      </c>
      <c r="BA2" s="584" t="s">
        <v>268</v>
      </c>
      <c r="BB2" s="584" t="s">
        <v>269</v>
      </c>
      <c r="BC2" s="584" t="s">
        <v>270</v>
      </c>
      <c r="BD2" s="584" t="s">
        <v>271</v>
      </c>
      <c r="BE2" s="584" t="s">
        <v>272</v>
      </c>
      <c r="BF2" s="584" t="s">
        <v>273</v>
      </c>
      <c r="BG2" s="584" t="s">
        <v>274</v>
      </c>
      <c r="BH2" s="584" t="s">
        <v>307</v>
      </c>
      <c r="BI2" s="588" t="str">
        <f xml:space="preserve"> "KH"&amp;" T"&amp;BL1&amp;".2026"</f>
        <v>KH T2.2026</v>
      </c>
      <c r="BJ2" s="587" t="s">
        <v>104</v>
      </c>
      <c r="BK2" s="596"/>
      <c r="BL2" s="593" t="s">
        <v>294</v>
      </c>
      <c r="BM2" s="593" t="s">
        <v>295</v>
      </c>
      <c r="BN2" s="593" t="s">
        <v>296</v>
      </c>
      <c r="BO2" s="593" t="s">
        <v>297</v>
      </c>
      <c r="BP2" s="593" t="s">
        <v>298</v>
      </c>
      <c r="BQ2" s="593" t="s">
        <v>299</v>
      </c>
      <c r="BR2" s="593" t="s">
        <v>300</v>
      </c>
      <c r="BS2" s="593" t="s">
        <v>301</v>
      </c>
      <c r="BT2" s="593" t="s">
        <v>302</v>
      </c>
      <c r="BU2" s="593" t="s">
        <v>303</v>
      </c>
      <c r="BV2" s="593" t="s">
        <v>304</v>
      </c>
      <c r="BW2" s="593" t="s">
        <v>305</v>
      </c>
      <c r="BX2" s="593" t="s">
        <v>306</v>
      </c>
      <c r="BZ2" s="593" t="s">
        <v>294</v>
      </c>
      <c r="CA2" s="593" t="s">
        <v>295</v>
      </c>
      <c r="CB2" s="593" t="s">
        <v>296</v>
      </c>
      <c r="CC2" s="593" t="s">
        <v>297</v>
      </c>
      <c r="CD2" s="593" t="s">
        <v>298</v>
      </c>
      <c r="CE2" s="593" t="s">
        <v>299</v>
      </c>
      <c r="CF2" s="593" t="s">
        <v>300</v>
      </c>
      <c r="CG2" s="593" t="s">
        <v>301</v>
      </c>
      <c r="CH2" s="593" t="s">
        <v>302</v>
      </c>
      <c r="CI2" s="593" t="s">
        <v>303</v>
      </c>
      <c r="CJ2" s="593" t="s">
        <v>304</v>
      </c>
      <c r="CK2" s="593" t="s">
        <v>305</v>
      </c>
      <c r="CL2" s="593" t="s">
        <v>306</v>
      </c>
      <c r="CN2" s="593" t="s">
        <v>294</v>
      </c>
      <c r="CO2" s="593" t="s">
        <v>295</v>
      </c>
      <c r="CP2" s="593" t="s">
        <v>296</v>
      </c>
      <c r="CQ2" s="593" t="s">
        <v>297</v>
      </c>
      <c r="CR2" s="593" t="s">
        <v>298</v>
      </c>
      <c r="CS2" s="593" t="s">
        <v>299</v>
      </c>
      <c r="CT2" s="593" t="s">
        <v>300</v>
      </c>
      <c r="CU2" s="593" t="s">
        <v>301</v>
      </c>
      <c r="CV2" s="593" t="s">
        <v>302</v>
      </c>
      <c r="CW2" s="593" t="s">
        <v>303</v>
      </c>
      <c r="CX2" s="593" t="s">
        <v>304</v>
      </c>
      <c r="CY2" s="593" t="s">
        <v>305</v>
      </c>
      <c r="CZ2" s="593" t="s">
        <v>306</v>
      </c>
      <c r="DB2" s="593" t="s">
        <v>294</v>
      </c>
      <c r="DC2" s="593" t="s">
        <v>295</v>
      </c>
      <c r="DD2" s="593" t="s">
        <v>296</v>
      </c>
      <c r="DE2" s="593" t="s">
        <v>297</v>
      </c>
      <c r="DF2" s="593" t="s">
        <v>298</v>
      </c>
      <c r="DG2" s="593" t="s">
        <v>299</v>
      </c>
      <c r="DH2" s="593" t="s">
        <v>300</v>
      </c>
      <c r="DI2" s="593" t="s">
        <v>301</v>
      </c>
      <c r="DJ2" s="593" t="s">
        <v>302</v>
      </c>
      <c r="DK2" s="593" t="s">
        <v>303</v>
      </c>
      <c r="DL2" s="593" t="s">
        <v>304</v>
      </c>
      <c r="DM2" s="593" t="s">
        <v>305</v>
      </c>
      <c r="DN2" s="593" t="s">
        <v>306</v>
      </c>
      <c r="DP2" s="593" t="s">
        <v>294</v>
      </c>
      <c r="DQ2" s="593" t="s">
        <v>295</v>
      </c>
      <c r="DR2" s="593" t="s">
        <v>296</v>
      </c>
      <c r="DS2" s="593" t="s">
        <v>297</v>
      </c>
      <c r="DT2" s="593" t="s">
        <v>298</v>
      </c>
      <c r="DU2" s="593" t="s">
        <v>299</v>
      </c>
      <c r="DV2" s="593" t="s">
        <v>300</v>
      </c>
      <c r="DW2" s="593" t="s">
        <v>301</v>
      </c>
      <c r="DX2" s="593" t="s">
        <v>302</v>
      </c>
      <c r="DY2" s="593" t="s">
        <v>303</v>
      </c>
      <c r="DZ2" s="593" t="s">
        <v>304</v>
      </c>
      <c r="EA2" s="593" t="s">
        <v>305</v>
      </c>
      <c r="EB2" s="593" t="s">
        <v>306</v>
      </c>
      <c r="ED2" s="593" t="s">
        <v>294</v>
      </c>
      <c r="EE2" s="593" t="s">
        <v>295</v>
      </c>
      <c r="EF2" s="593" t="s">
        <v>296</v>
      </c>
      <c r="EG2" s="593" t="s">
        <v>297</v>
      </c>
      <c r="EH2" s="593" t="s">
        <v>298</v>
      </c>
      <c r="EI2" s="593" t="s">
        <v>299</v>
      </c>
      <c r="EJ2" s="593" t="s">
        <v>300</v>
      </c>
      <c r="EK2" s="593" t="s">
        <v>301</v>
      </c>
      <c r="EL2" s="593" t="s">
        <v>302</v>
      </c>
      <c r="EM2" s="593" t="s">
        <v>303</v>
      </c>
      <c r="EN2" s="593" t="s">
        <v>304</v>
      </c>
      <c r="EO2" s="593" t="s">
        <v>305</v>
      </c>
      <c r="EP2" s="593" t="s">
        <v>306</v>
      </c>
      <c r="ER2" s="593" t="s">
        <v>294</v>
      </c>
      <c r="ES2" s="593" t="s">
        <v>295</v>
      </c>
      <c r="ET2" s="593" t="s">
        <v>296</v>
      </c>
      <c r="EU2" s="593" t="s">
        <v>297</v>
      </c>
      <c r="EV2" s="593" t="s">
        <v>298</v>
      </c>
      <c r="EW2" s="593" t="s">
        <v>299</v>
      </c>
      <c r="EX2" s="593" t="s">
        <v>300</v>
      </c>
      <c r="EY2" s="593" t="s">
        <v>301</v>
      </c>
      <c r="EZ2" s="593" t="s">
        <v>302</v>
      </c>
      <c r="FA2" s="593" t="s">
        <v>303</v>
      </c>
      <c r="FB2" s="593" t="s">
        <v>304</v>
      </c>
      <c r="FC2" s="593" t="s">
        <v>305</v>
      </c>
      <c r="FD2" s="593" t="s">
        <v>306</v>
      </c>
      <c r="FF2" s="593" t="s">
        <v>294</v>
      </c>
      <c r="FG2" s="593" t="s">
        <v>295</v>
      </c>
      <c r="FH2" s="593" t="s">
        <v>296</v>
      </c>
      <c r="FI2" s="593" t="s">
        <v>297</v>
      </c>
      <c r="FJ2" s="593" t="s">
        <v>298</v>
      </c>
      <c r="FK2" s="593" t="s">
        <v>299</v>
      </c>
      <c r="FL2" s="593" t="s">
        <v>300</v>
      </c>
      <c r="FM2" s="593" t="s">
        <v>301</v>
      </c>
      <c r="FN2" s="593" t="s">
        <v>302</v>
      </c>
      <c r="FO2" s="593" t="s">
        <v>303</v>
      </c>
      <c r="FP2" s="593" t="s">
        <v>304</v>
      </c>
      <c r="FQ2" s="593" t="s">
        <v>305</v>
      </c>
      <c r="FR2" s="593" t="s">
        <v>306</v>
      </c>
    </row>
    <row r="3" spans="1:174" s="24" customFormat="1" x14ac:dyDescent="0.25">
      <c r="A3" s="81" t="s">
        <v>162</v>
      </c>
      <c r="B3" s="77" t="s">
        <v>163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547"/>
      <c r="R3" s="554"/>
      <c r="S3" s="565">
        <f t="shared" ref="S3:AC3" si="1">SUM(S4:S21)</f>
        <v>92280.63609993401</v>
      </c>
      <c r="T3" s="565">
        <f t="shared" si="1"/>
        <v>61798.159663643084</v>
      </c>
      <c r="U3" s="565">
        <f t="shared" si="1"/>
        <v>101403.86989697817</v>
      </c>
      <c r="V3" s="565">
        <f t="shared" si="1"/>
        <v>94142.315212126647</v>
      </c>
      <c r="W3" s="565">
        <f t="shared" si="1"/>
        <v>95498.659682874306</v>
      </c>
      <c r="X3" s="565">
        <f t="shared" si="1"/>
        <v>71317.99608218814</v>
      </c>
      <c r="Y3" s="565">
        <f t="shared" si="1"/>
        <v>39616.888561293548</v>
      </c>
      <c r="Z3" s="565">
        <f t="shared" si="1"/>
        <v>45447.204008084715</v>
      </c>
      <c r="AA3" s="565">
        <f t="shared" si="1"/>
        <v>60524.898855125277</v>
      </c>
      <c r="AB3" s="565">
        <f t="shared" si="1"/>
        <v>89750.215026258506</v>
      </c>
      <c r="AC3" s="565">
        <f t="shared" si="1"/>
        <v>97578.975613716102</v>
      </c>
      <c r="AD3" s="565">
        <f>SUM(AD4:AD21)</f>
        <v>67853.398192679713</v>
      </c>
      <c r="AE3" s="565">
        <f>SUM(AE4:AE21)</f>
        <v>0</v>
      </c>
      <c r="AF3" s="565">
        <f>SUM(S3:AE3)</f>
        <v>917213.21689490229</v>
      </c>
      <c r="AG3" s="554"/>
      <c r="AH3" s="550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554"/>
      <c r="AV3" s="550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 s="77"/>
      <c r="BH3" s="77"/>
      <c r="BI3" s="77"/>
      <c r="BJ3" s="77"/>
      <c r="BK3" s="597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</row>
    <row r="4" spans="1:174" ht="17.850000000000001" customHeight="1" x14ac:dyDescent="0.3">
      <c r="A4" s="3">
        <v>1</v>
      </c>
      <c r="B4" s="3" t="s">
        <v>96</v>
      </c>
      <c r="C4" s="636" t="s">
        <v>261</v>
      </c>
      <c r="D4" s="636" t="s">
        <v>261</v>
      </c>
      <c r="E4" s="26" t="s">
        <v>105</v>
      </c>
      <c r="F4" s="20">
        <v>19184.787461375003</v>
      </c>
      <c r="G4" s="20">
        <v>29413.012996578</v>
      </c>
      <c r="H4" s="20">
        <v>36905.746250334996</v>
      </c>
      <c r="I4" s="20">
        <v>31466.940888199999</v>
      </c>
      <c r="J4" s="20">
        <v>39521.728139389001</v>
      </c>
      <c r="K4" s="20">
        <f>32055.886902+966.8135</f>
        <v>33022.700401999995</v>
      </c>
      <c r="L4" s="20">
        <v>40067.114833499996</v>
      </c>
      <c r="M4" s="20">
        <v>41710.886442499999</v>
      </c>
      <c r="N4" s="20">
        <v>36846.996591559997</v>
      </c>
      <c r="O4" s="20">
        <v>42104.203841000002</v>
      </c>
      <c r="P4" s="20">
        <v>31330.078206999995</v>
      </c>
      <c r="Q4" s="548">
        <v>71767.130885999999</v>
      </c>
      <c r="R4" s="557">
        <f>AVERAGE(F4:Q4)</f>
        <v>37778.443911619746</v>
      </c>
      <c r="S4" s="551">
        <v>82388.013511614045</v>
      </c>
      <c r="T4" s="20">
        <v>54679.33930764308</v>
      </c>
      <c r="U4" s="20">
        <v>92225.012386978167</v>
      </c>
      <c r="V4" s="20">
        <v>84805.10524012665</v>
      </c>
      <c r="W4" s="20">
        <v>86012.811292874307</v>
      </c>
      <c r="X4" s="20">
        <v>63429.137098188141</v>
      </c>
      <c r="Y4" s="20">
        <v>34124.938092043485</v>
      </c>
      <c r="Z4" s="20">
        <v>39820.045517334758</v>
      </c>
      <c r="AA4" s="20">
        <v>53180.748441125281</v>
      </c>
      <c r="AB4" s="20">
        <v>80242.8457912585</v>
      </c>
      <c r="AC4" s="20">
        <v>87480.523861716094</v>
      </c>
      <c r="AD4" s="20">
        <v>60679.337507679702</v>
      </c>
      <c r="AE4" s="20"/>
      <c r="AF4" s="556">
        <f>SUM(S4:AE4)</f>
        <v>819067.8580485821</v>
      </c>
      <c r="AG4" s="557">
        <f>SUM(S4:AE4)/12</f>
        <v>68255.654837381837</v>
      </c>
      <c r="AH4" s="551">
        <v>33690.153681729942</v>
      </c>
      <c r="AI4" s="20">
        <v>54984.762966730275</v>
      </c>
      <c r="AJ4" s="20">
        <v>93493.565616349893</v>
      </c>
      <c r="AK4" s="20">
        <v>81794.17166151281</v>
      </c>
      <c r="AL4" s="20">
        <v>97253.819962899841</v>
      </c>
      <c r="AM4" s="20">
        <v>84746.443805998701</v>
      </c>
      <c r="AN4" s="20">
        <v>93606.744682943565</v>
      </c>
      <c r="AO4" s="20">
        <v>93602.194561389799</v>
      </c>
      <c r="AP4" s="20">
        <v>92225.640568510207</v>
      </c>
      <c r="AQ4" s="20">
        <v>60589.830985082903</v>
      </c>
      <c r="AR4" s="20">
        <v>41785.637411524003</v>
      </c>
      <c r="AS4" s="20">
        <v>66382.966178182702</v>
      </c>
      <c r="AT4" s="20"/>
      <c r="AU4" s="557">
        <f>SUM(AH4:AT4)/12</f>
        <v>74512.994340237885</v>
      </c>
      <c r="AV4" s="638">
        <v>54282.9558583486</v>
      </c>
      <c r="AW4" s="571">
        <v>32788.527139026301</v>
      </c>
      <c r="AX4" s="571">
        <v>79002.100402284006</v>
      </c>
      <c r="AY4" s="571">
        <v>77706.009766450486</v>
      </c>
      <c r="AZ4" s="571">
        <v>67389.4959113683</v>
      </c>
      <c r="BA4" s="571"/>
      <c r="BB4" s="571"/>
      <c r="BC4" s="571"/>
      <c r="BD4" s="571"/>
      <c r="BE4" s="571"/>
      <c r="BF4" s="571"/>
      <c r="BG4" s="571"/>
      <c r="BH4" s="20">
        <f>AVERAGE(AV4:BG4)</f>
        <v>62233.817815495539</v>
      </c>
      <c r="BI4" s="41" cm="1">
        <f t="array" ref="BI4">INDEX(BL4:BW4,$BL$1)</f>
        <v>57841.876465266527</v>
      </c>
      <c r="BJ4" s="27"/>
      <c r="BK4" s="598"/>
      <c r="BL4" s="20">
        <f>BZ4+CN4+DB4</f>
        <v>70449.79433851775</v>
      </c>
      <c r="BM4" s="20">
        <f t="shared" ref="BM4:BM21" si="2">CA4+CO4+DC4</f>
        <v>57841.876465266527</v>
      </c>
      <c r="BN4" s="20">
        <f t="shared" ref="BN4:BN21" si="3">CB4+CP4+DD4</f>
        <v>73858.796242105935</v>
      </c>
      <c r="BO4" s="20">
        <f t="shared" ref="BO4:BO21" si="4">CC4+CQ4+DE4</f>
        <v>74028.379274825609</v>
      </c>
      <c r="BP4" s="20">
        <f t="shared" ref="BP4:BP21" si="5">CD4+CR4+DF4</f>
        <v>73858.796242105935</v>
      </c>
      <c r="BQ4" s="20">
        <f t="shared" ref="BQ4:BQ21" si="6">CE4+CS4+DG4</f>
        <v>75365.564327104483</v>
      </c>
      <c r="BR4" s="20">
        <f t="shared" ref="BR4:BR21" si="7">CF4+CT4+DH4</f>
        <v>77176.424886965047</v>
      </c>
      <c r="BS4" s="20">
        <f t="shared" ref="BS4:BS21" si="8">CG4+CU4+DI4</f>
        <v>77920.06932472506</v>
      </c>
      <c r="BT4" s="20">
        <f t="shared" ref="BT4:BT21" si="9">CH4+CV4+DJ4</f>
        <v>77600.382468764248</v>
      </c>
      <c r="BU4" s="20">
        <f t="shared" ref="BU4:BU21" si="10">CI4+CW4+DK4</f>
        <v>78089.652357444735</v>
      </c>
      <c r="BV4" s="20">
        <f t="shared" ref="BV4:BV21" si="11">CJ4+CX4+DL4</f>
        <v>77006.841854245373</v>
      </c>
      <c r="BW4" s="20">
        <f t="shared" ref="BW4:BW21" si="12">CK4+CY4+DM4</f>
        <v>77920.06932472506</v>
      </c>
      <c r="BX4" s="28">
        <f>SUM(BL4:BW4)</f>
        <v>891116.6471067958</v>
      </c>
      <c r="BY4" s="628"/>
      <c r="BZ4" s="20">
        <v>70449.79433851775</v>
      </c>
      <c r="CA4" s="20">
        <v>57841.876465266527</v>
      </c>
      <c r="CB4" s="20">
        <v>73858.796242105935</v>
      </c>
      <c r="CC4" s="20">
        <v>74028.379274825609</v>
      </c>
      <c r="CD4" s="20">
        <v>73858.796242105935</v>
      </c>
      <c r="CE4" s="20">
        <v>75365.564327104483</v>
      </c>
      <c r="CF4" s="20">
        <v>77176.424886965047</v>
      </c>
      <c r="CG4" s="20">
        <v>77920.06932472506</v>
      </c>
      <c r="CH4" s="20">
        <v>77600.382468764248</v>
      </c>
      <c r="CI4" s="20">
        <v>78089.652357444735</v>
      </c>
      <c r="CJ4" s="20">
        <v>77006.841854245373</v>
      </c>
      <c r="CK4" s="20">
        <v>77920.06932472506</v>
      </c>
      <c r="CL4" s="28">
        <f>SUM(BZ4:CK4)</f>
        <v>891116.6471067958</v>
      </c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8">
        <f>SUM(CN4:CY4)</f>
        <v>0</v>
      </c>
      <c r="DB4" s="20">
        <v>0</v>
      </c>
      <c r="DC4" s="20">
        <v>0</v>
      </c>
      <c r="DD4" s="20">
        <v>0</v>
      </c>
      <c r="DE4" s="20">
        <v>0</v>
      </c>
      <c r="DF4" s="20">
        <v>0</v>
      </c>
      <c r="DG4" s="20">
        <v>0</v>
      </c>
      <c r="DH4" s="20">
        <v>0</v>
      </c>
      <c r="DI4" s="20">
        <v>0</v>
      </c>
      <c r="DJ4" s="20">
        <v>0</v>
      </c>
      <c r="DK4" s="20">
        <v>0</v>
      </c>
      <c r="DL4" s="20">
        <v>0</v>
      </c>
      <c r="DM4" s="20">
        <v>0</v>
      </c>
      <c r="DN4" s="28">
        <f>SUM(DB4:DM4)</f>
        <v>0</v>
      </c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8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8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8"/>
      <c r="FF4" s="20"/>
      <c r="FG4" s="20"/>
      <c r="FH4" s="20"/>
      <c r="FI4" s="20"/>
      <c r="FJ4" s="20"/>
      <c r="FK4" s="20"/>
      <c r="FL4" s="20"/>
      <c r="FM4" s="20"/>
      <c r="FN4" s="20"/>
      <c r="FO4" s="20"/>
      <c r="FP4" s="20"/>
      <c r="FQ4" s="20"/>
      <c r="FR4" s="28"/>
    </row>
    <row r="5" spans="1:174" ht="14.4" x14ac:dyDescent="0.3">
      <c r="A5" s="3">
        <f t="shared" ref="A5:A21" si="13">A4+1</f>
        <v>2</v>
      </c>
      <c r="B5" s="3" t="s">
        <v>96</v>
      </c>
      <c r="C5" s="3" t="s">
        <v>25</v>
      </c>
      <c r="D5" s="3" t="s">
        <v>25</v>
      </c>
      <c r="E5" s="26" t="s">
        <v>105</v>
      </c>
      <c r="F5" s="20">
        <v>1376.9572000000001</v>
      </c>
      <c r="G5" s="20">
        <v>2218.3915000000002</v>
      </c>
      <c r="H5" s="20">
        <v>2574.9328999999998</v>
      </c>
      <c r="I5" s="20">
        <v>2388.6837479999999</v>
      </c>
      <c r="J5" s="20">
        <v>2787.5241000000001</v>
      </c>
      <c r="K5" s="20">
        <v>2655.8263000000002</v>
      </c>
      <c r="L5" s="20">
        <v>3135.2610890000001</v>
      </c>
      <c r="M5" s="20">
        <v>2978.8600099999999</v>
      </c>
      <c r="N5" s="20">
        <v>2915.5076250000002</v>
      </c>
      <c r="O5" s="20">
        <v>3337.1480000000001</v>
      </c>
      <c r="P5" s="20">
        <v>2812.7750129999999</v>
      </c>
      <c r="Q5" s="548">
        <v>5223.2614999999996</v>
      </c>
      <c r="R5" s="557">
        <f t="shared" ref="R5:R48" si="14">AVERAGE(F5:Q5)</f>
        <v>2867.0940820833334</v>
      </c>
      <c r="S5" s="551">
        <v>5469.847452</v>
      </c>
      <c r="T5" s="20">
        <v>4124.0470960000002</v>
      </c>
      <c r="U5" s="20">
        <v>5082.6308650000001</v>
      </c>
      <c r="V5" s="20">
        <v>5504.655452</v>
      </c>
      <c r="W5" s="20">
        <v>5942.4358000000002</v>
      </c>
      <c r="X5" s="20">
        <v>4785.0316119999998</v>
      </c>
      <c r="Y5" s="20">
        <v>3003.7880009999999</v>
      </c>
      <c r="Z5" s="20">
        <v>3483.1443100000001</v>
      </c>
      <c r="AA5" s="20">
        <v>4629.7979379999997</v>
      </c>
      <c r="AB5" s="20">
        <v>5506.4469950000002</v>
      </c>
      <c r="AC5" s="20">
        <v>6370.138516</v>
      </c>
      <c r="AD5" s="20">
        <v>4868.779184</v>
      </c>
      <c r="AE5" s="20"/>
      <c r="AF5" s="556">
        <f t="shared" ref="AF5:AF49" si="15">SUM(S5:AE5)</f>
        <v>58770.743220999997</v>
      </c>
      <c r="AG5" s="557">
        <f t="shared" ref="AG5:AG49" si="16">SUM(S5:AE5)/12</f>
        <v>4897.5619350833331</v>
      </c>
      <c r="AH5" s="551">
        <v>3129.932233</v>
      </c>
      <c r="AI5" s="20">
        <v>4149.1147369999999</v>
      </c>
      <c r="AJ5" s="20">
        <v>6492.4916590000003</v>
      </c>
      <c r="AK5" s="20">
        <v>6124.5741850000004</v>
      </c>
      <c r="AL5" s="20">
        <v>6554.5568229999999</v>
      </c>
      <c r="AM5" s="20">
        <v>6352.5088930000002</v>
      </c>
      <c r="AN5" s="20">
        <v>7055.0789000000004</v>
      </c>
      <c r="AO5" s="20">
        <v>7228.28604</v>
      </c>
      <c r="AP5" s="20">
        <v>7006.4852300000002</v>
      </c>
      <c r="AQ5" s="20">
        <v>6211.7073879999998</v>
      </c>
      <c r="AR5" s="20">
        <v>4277.5977279999997</v>
      </c>
      <c r="AS5" s="20">
        <v>4859.3911179999996</v>
      </c>
      <c r="AT5" s="20"/>
      <c r="AU5" s="557">
        <f t="shared" ref="AU5:AU49" si="17">SUM(AH5:AT5)/12</f>
        <v>5786.8104111666662</v>
      </c>
      <c r="AV5" s="551">
        <v>4042.883765</v>
      </c>
      <c r="AW5" s="20">
        <v>2462.2509679999998</v>
      </c>
      <c r="AX5" s="20">
        <v>5644.5231039999999</v>
      </c>
      <c r="AY5" s="20">
        <v>5669.3827090000004</v>
      </c>
      <c r="AZ5" s="20">
        <v>5791.0107879999996</v>
      </c>
      <c r="BA5" s="20"/>
      <c r="BB5" s="20"/>
      <c r="BC5" s="20"/>
      <c r="BD5" s="20"/>
      <c r="BE5" s="20"/>
      <c r="BF5" s="20"/>
      <c r="BG5" s="20"/>
      <c r="BH5" s="20">
        <f t="shared" ref="BH5:BH21" si="18">AVERAGE(AV5:BG5)</f>
        <v>4722.0102668</v>
      </c>
      <c r="BI5" s="41" cm="1">
        <f t="array" ref="BI5">INDEX(BL5:BW5,$BL$1)</f>
        <v>3822.1485547592306</v>
      </c>
      <c r="BJ5" s="27"/>
      <c r="BK5" s="598"/>
      <c r="BL5" s="20">
        <f t="shared" ref="BL5:BL21" si="19">BZ5+CN5+DB5</f>
        <v>4625.4909577444878</v>
      </c>
      <c r="BM5" s="20">
        <f t="shared" si="2"/>
        <v>3822.1485547592306</v>
      </c>
      <c r="BN5" s="20">
        <f t="shared" si="3"/>
        <v>4770.530982744488</v>
      </c>
      <c r="BO5" s="20">
        <f t="shared" si="4"/>
        <v>4814.412044733529</v>
      </c>
      <c r="BP5" s="20">
        <f t="shared" si="5"/>
        <v>4778.7154113159168</v>
      </c>
      <c r="BQ5" s="20">
        <f t="shared" si="6"/>
        <v>4943.8432947335305</v>
      </c>
      <c r="BR5" s="20">
        <f t="shared" si="7"/>
        <v>5284.2897992390808</v>
      </c>
      <c r="BS5" s="20">
        <f t="shared" si="8"/>
        <v>5351.2330262390806</v>
      </c>
      <c r="BT5" s="20">
        <f t="shared" si="9"/>
        <v>5359.7203192035959</v>
      </c>
      <c r="BU5" s="20">
        <f t="shared" si="10"/>
        <v>5509.6976562948239</v>
      </c>
      <c r="BV5" s="20">
        <f t="shared" si="11"/>
        <v>5455.5872916879098</v>
      </c>
      <c r="BW5" s="20">
        <f t="shared" si="12"/>
        <v>5490.0688782948246</v>
      </c>
      <c r="BX5" s="28">
        <f t="shared" ref="BX5:BX21" si="20">SUM(BL5:BW5)</f>
        <v>60205.738216990503</v>
      </c>
      <c r="BY5" s="628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8">
        <f t="shared" ref="CL5" si="21">SUM(BZ5:CK5)</f>
        <v>0</v>
      </c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8">
        <f t="shared" ref="CZ5" si="22">SUM(CN5:CY5)</f>
        <v>0</v>
      </c>
      <c r="DB5" s="20">
        <v>4625.4909577444878</v>
      </c>
      <c r="DC5" s="20">
        <v>3822.1485547592306</v>
      </c>
      <c r="DD5" s="20">
        <v>4770.530982744488</v>
      </c>
      <c r="DE5" s="20">
        <v>4814.412044733529</v>
      </c>
      <c r="DF5" s="20">
        <v>4778.7154113159168</v>
      </c>
      <c r="DG5" s="20">
        <v>4943.8432947335305</v>
      </c>
      <c r="DH5" s="20">
        <v>5284.2897992390808</v>
      </c>
      <c r="DI5" s="20">
        <v>5351.2330262390806</v>
      </c>
      <c r="DJ5" s="20">
        <v>5359.7203192035959</v>
      </c>
      <c r="DK5" s="20">
        <v>5509.6976562948239</v>
      </c>
      <c r="DL5" s="20">
        <v>5455.5872916879098</v>
      </c>
      <c r="DM5" s="20">
        <v>5490.0688782948246</v>
      </c>
      <c r="DN5" s="28">
        <f t="shared" ref="DN5" si="23">SUM(DB5:DM5)</f>
        <v>60205.738216990503</v>
      </c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8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8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8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8"/>
    </row>
    <row r="6" spans="1:174" ht="13.5" customHeight="1" x14ac:dyDescent="0.25">
      <c r="A6" s="3">
        <f t="shared" si="13"/>
        <v>3</v>
      </c>
      <c r="B6" s="3" t="s">
        <v>96</v>
      </c>
      <c r="C6" s="3"/>
      <c r="D6" s="3" t="s">
        <v>3</v>
      </c>
      <c r="E6" s="26" t="s">
        <v>105</v>
      </c>
      <c r="F6" s="20">
        <v>264.84462400000001</v>
      </c>
      <c r="G6" s="20">
        <v>513.47748899999999</v>
      </c>
      <c r="H6" s="20">
        <v>1035.771162</v>
      </c>
      <c r="I6" s="20">
        <v>269.06593099999998</v>
      </c>
      <c r="J6" s="20">
        <v>1173.7370989999999</v>
      </c>
      <c r="K6" s="20">
        <v>430.87844100000001</v>
      </c>
      <c r="L6" s="20">
        <v>596.20799699999998</v>
      </c>
      <c r="M6" s="20">
        <v>1310.92329</v>
      </c>
      <c r="N6" s="20">
        <v>742.50320299999998</v>
      </c>
      <c r="O6" s="20">
        <v>1298.0400959999999</v>
      </c>
      <c r="P6" s="20">
        <v>942.67765899999995</v>
      </c>
      <c r="Q6" s="548">
        <v>2339.9914739999999</v>
      </c>
      <c r="R6" s="557">
        <f t="shared" si="14"/>
        <v>909.84320541666659</v>
      </c>
      <c r="S6" s="551">
        <v>0</v>
      </c>
      <c r="T6" s="20">
        <v>0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571"/>
      <c r="AF6" s="556">
        <f t="shared" si="15"/>
        <v>0</v>
      </c>
      <c r="AG6" s="557">
        <f t="shared" si="16"/>
        <v>0</v>
      </c>
      <c r="AH6" s="551">
        <v>0</v>
      </c>
      <c r="AI6" s="20">
        <v>0</v>
      </c>
      <c r="AJ6" s="20">
        <v>0</v>
      </c>
      <c r="AK6" s="20">
        <v>0</v>
      </c>
      <c r="AL6" s="20">
        <v>0</v>
      </c>
      <c r="AM6" s="20">
        <v>0</v>
      </c>
      <c r="AN6" s="20">
        <v>0</v>
      </c>
      <c r="AO6" s="20">
        <v>0</v>
      </c>
      <c r="AP6" s="20">
        <v>0</v>
      </c>
      <c r="AQ6" s="20">
        <v>0</v>
      </c>
      <c r="AR6" s="20">
        <v>0</v>
      </c>
      <c r="AS6" s="20">
        <v>0</v>
      </c>
      <c r="AT6" s="20"/>
      <c r="AU6" s="557">
        <f t="shared" si="17"/>
        <v>0</v>
      </c>
      <c r="AV6" s="551">
        <v>0</v>
      </c>
      <c r="AW6" s="20">
        <v>0</v>
      </c>
      <c r="AX6" s="20">
        <v>0</v>
      </c>
      <c r="AY6" s="20">
        <v>0</v>
      </c>
      <c r="AZ6" s="20">
        <v>0</v>
      </c>
      <c r="BA6" s="20"/>
      <c r="BB6" s="20"/>
      <c r="BC6" s="20"/>
      <c r="BD6" s="20"/>
      <c r="BE6" s="20"/>
      <c r="BF6" s="20"/>
      <c r="BG6" s="20"/>
      <c r="BH6" s="20">
        <f t="shared" si="18"/>
        <v>0</v>
      </c>
      <c r="BI6" s="41" cm="1">
        <f t="array" ref="BI6">INDEX(BL6:BW6,$BL$1)</f>
        <v>0</v>
      </c>
      <c r="BJ6" s="30"/>
      <c r="BK6" s="598"/>
      <c r="BL6" s="20">
        <f t="shared" si="19"/>
        <v>0</v>
      </c>
      <c r="BM6" s="20">
        <f t="shared" si="2"/>
        <v>0</v>
      </c>
      <c r="BN6" s="20">
        <f t="shared" si="3"/>
        <v>0</v>
      </c>
      <c r="BO6" s="20">
        <f t="shared" si="4"/>
        <v>0</v>
      </c>
      <c r="BP6" s="20">
        <f t="shared" si="5"/>
        <v>0</v>
      </c>
      <c r="BQ6" s="20">
        <f t="shared" si="6"/>
        <v>0</v>
      </c>
      <c r="BR6" s="20">
        <f t="shared" si="7"/>
        <v>0</v>
      </c>
      <c r="BS6" s="20">
        <f t="shared" si="8"/>
        <v>0</v>
      </c>
      <c r="BT6" s="20">
        <f t="shared" si="9"/>
        <v>0</v>
      </c>
      <c r="BU6" s="20">
        <f t="shared" si="10"/>
        <v>0</v>
      </c>
      <c r="BV6" s="20">
        <f t="shared" si="11"/>
        <v>0</v>
      </c>
      <c r="BW6" s="20">
        <f t="shared" si="12"/>
        <v>0</v>
      </c>
      <c r="BX6" s="29">
        <f>SUM(BL6:BW6)</f>
        <v>0</v>
      </c>
      <c r="BY6" s="628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9">
        <f>SUM(BZ6:CK6)</f>
        <v>0</v>
      </c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9">
        <f>SUM(CN6:CY6)</f>
        <v>0</v>
      </c>
      <c r="DB6" s="20">
        <v>0</v>
      </c>
      <c r="DC6" s="20">
        <v>0</v>
      </c>
      <c r="DD6" s="20">
        <v>0</v>
      </c>
      <c r="DE6" s="20">
        <v>0</v>
      </c>
      <c r="DF6" s="20">
        <v>0</v>
      </c>
      <c r="DG6" s="20">
        <v>0</v>
      </c>
      <c r="DH6" s="20">
        <v>0</v>
      </c>
      <c r="DI6" s="20">
        <v>0</v>
      </c>
      <c r="DJ6" s="20">
        <v>0</v>
      </c>
      <c r="DK6" s="20">
        <v>0</v>
      </c>
      <c r="DL6" s="20">
        <v>0</v>
      </c>
      <c r="DM6" s="20">
        <v>0</v>
      </c>
      <c r="DN6" s="29">
        <f>SUM(DB6:DM6)</f>
        <v>0</v>
      </c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9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9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9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9"/>
    </row>
    <row r="7" spans="1:174" ht="15.6" customHeight="1" x14ac:dyDescent="0.3">
      <c r="A7" s="3">
        <f t="shared" si="13"/>
        <v>4</v>
      </c>
      <c r="B7" s="3" t="s">
        <v>96</v>
      </c>
      <c r="C7" s="636" t="s">
        <v>54</v>
      </c>
      <c r="D7" s="636" t="s">
        <v>54</v>
      </c>
      <c r="E7" s="26" t="s">
        <v>105</v>
      </c>
      <c r="F7" s="20">
        <v>67.509566000000007</v>
      </c>
      <c r="G7" s="20">
        <v>146.57459200000002</v>
      </c>
      <c r="H7" s="20">
        <v>512.58851200000004</v>
      </c>
      <c r="I7" s="20">
        <v>669.23911199999998</v>
      </c>
      <c r="J7" s="20">
        <v>986.13165299999991</v>
      </c>
      <c r="K7" s="20">
        <v>456.94687799999997</v>
      </c>
      <c r="L7" s="20">
        <v>1054.6790510000001</v>
      </c>
      <c r="M7" s="20">
        <v>1179.6289380000001</v>
      </c>
      <c r="N7" s="20">
        <v>1152.5309690000001</v>
      </c>
      <c r="O7" s="20">
        <v>1779.200458</v>
      </c>
      <c r="P7" s="20">
        <v>1553.5872850000001</v>
      </c>
      <c r="Q7" s="548">
        <v>2043.1246169175902</v>
      </c>
      <c r="R7" s="557">
        <f t="shared" si="14"/>
        <v>966.81180257646599</v>
      </c>
      <c r="S7" s="551">
        <v>1729.6174993199998</v>
      </c>
      <c r="T7" s="20">
        <v>1517.450685</v>
      </c>
      <c r="U7" s="20">
        <v>1767.7928019999999</v>
      </c>
      <c r="V7" s="20">
        <v>1045.8530069999999</v>
      </c>
      <c r="W7" s="20">
        <v>972.024225</v>
      </c>
      <c r="X7" s="20">
        <v>591.19552299999998</v>
      </c>
      <c r="Y7" s="20">
        <f>1583.965548-506.673668749945</f>
        <v>1077.291879250055</v>
      </c>
      <c r="Z7" s="20">
        <f>42.626848+506.673668749945</f>
        <v>549.30051674994502</v>
      </c>
      <c r="AA7" s="20">
        <v>1071.8952039999999</v>
      </c>
      <c r="AB7" s="20">
        <v>1893.504713</v>
      </c>
      <c r="AC7" s="20">
        <v>1720.675248</v>
      </c>
      <c r="AD7" s="20">
        <v>321.65228200000001</v>
      </c>
      <c r="AE7" s="20"/>
      <c r="AF7" s="556">
        <f t="shared" si="15"/>
        <v>14258.253584319998</v>
      </c>
      <c r="AG7" s="557">
        <f t="shared" si="16"/>
        <v>1188.1877986933332</v>
      </c>
      <c r="AH7" s="551">
        <v>333.00160199999999</v>
      </c>
      <c r="AI7" s="20">
        <v>880.94690900000001</v>
      </c>
      <c r="AJ7" s="20">
        <v>1570.44211</v>
      </c>
      <c r="AK7" s="20">
        <v>1637.622398</v>
      </c>
      <c r="AL7" s="20">
        <v>1960.972215</v>
      </c>
      <c r="AM7" s="20">
        <v>1965.8736960000001</v>
      </c>
      <c r="AN7" s="20">
        <v>2547.1120740000001</v>
      </c>
      <c r="AO7" s="20">
        <v>2288.513414</v>
      </c>
      <c r="AP7" s="20">
        <v>1962.463364</v>
      </c>
      <c r="AQ7" s="20">
        <v>621.36740599999996</v>
      </c>
      <c r="AR7" s="20">
        <v>578.64556600000003</v>
      </c>
      <c r="AS7" s="20">
        <v>1143.2730710000001</v>
      </c>
      <c r="AT7" s="20"/>
      <c r="AU7" s="557">
        <f t="shared" si="17"/>
        <v>1457.5194854166666</v>
      </c>
      <c r="AV7" s="638">
        <v>891.17733899999996</v>
      </c>
      <c r="AW7" s="571">
        <v>288.56129600000003</v>
      </c>
      <c r="AX7" s="571">
        <v>1763.335605</v>
      </c>
      <c r="AY7" s="571">
        <v>1386.5963529999999</v>
      </c>
      <c r="AZ7" s="571">
        <v>1815.041453</v>
      </c>
      <c r="BA7" s="571"/>
      <c r="BB7" s="571"/>
      <c r="BC7" s="571"/>
      <c r="BD7" s="571"/>
      <c r="BE7" s="571"/>
      <c r="BF7" s="571"/>
      <c r="BG7" s="571"/>
      <c r="BH7" s="20">
        <f t="shared" si="18"/>
        <v>1228.9424091999999</v>
      </c>
      <c r="BI7" s="41" cm="1">
        <f t="array" ref="BI7">INDEX(BL7:BW7,$BL$1)</f>
        <v>1061.7856150241835</v>
      </c>
      <c r="BJ7" s="27"/>
      <c r="BK7" s="598"/>
      <c r="BL7" s="20">
        <f t="shared" si="19"/>
        <v>1261.1159216334902</v>
      </c>
      <c r="BM7" s="20">
        <f t="shared" si="2"/>
        <v>1061.7856150241835</v>
      </c>
      <c r="BN7" s="20">
        <f t="shared" si="3"/>
        <v>1335.6927381118819</v>
      </c>
      <c r="BO7" s="20">
        <f t="shared" si="4"/>
        <v>1335.6927381118819</v>
      </c>
      <c r="BP7" s="20">
        <f t="shared" si="5"/>
        <v>1335.6927381118819</v>
      </c>
      <c r="BQ7" s="20">
        <f t="shared" si="6"/>
        <v>1367.5559174597081</v>
      </c>
      <c r="BR7" s="20">
        <f t="shared" si="7"/>
        <v>1380.1000858728389</v>
      </c>
      <c r="BS7" s="20">
        <f t="shared" si="8"/>
        <v>1411.9632652206651</v>
      </c>
      <c r="BT7" s="20">
        <f t="shared" si="9"/>
        <v>1380.1000858728389</v>
      </c>
      <c r="BU7" s="20">
        <f t="shared" si="10"/>
        <v>1411.9632652206651</v>
      </c>
      <c r="BV7" s="20">
        <f t="shared" si="11"/>
        <v>1380.1000858728389</v>
      </c>
      <c r="BW7" s="20">
        <f t="shared" si="12"/>
        <v>1411.9632652206651</v>
      </c>
      <c r="BX7" s="28">
        <f t="shared" si="20"/>
        <v>16073.725721733541</v>
      </c>
      <c r="BY7" s="628"/>
      <c r="BZ7" s="20">
        <v>1261.1159216334902</v>
      </c>
      <c r="CA7" s="20">
        <v>1061.7856150241835</v>
      </c>
      <c r="CB7" s="20">
        <v>1335.6927381118819</v>
      </c>
      <c r="CC7" s="20">
        <v>1335.6927381118819</v>
      </c>
      <c r="CD7" s="20">
        <v>1335.6927381118819</v>
      </c>
      <c r="CE7" s="20">
        <v>1367.5559174597081</v>
      </c>
      <c r="CF7" s="20">
        <v>1380.1000858728389</v>
      </c>
      <c r="CG7" s="20">
        <v>1411.9632652206651</v>
      </c>
      <c r="CH7" s="20">
        <v>1380.1000858728389</v>
      </c>
      <c r="CI7" s="20">
        <v>1411.9632652206651</v>
      </c>
      <c r="CJ7" s="20">
        <v>1380.1000858728389</v>
      </c>
      <c r="CK7" s="20">
        <v>1411.9632652206651</v>
      </c>
      <c r="CL7" s="28">
        <f t="shared" ref="CL7:CL8" si="24">SUM(BZ7:CK7)</f>
        <v>16073.725721733541</v>
      </c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8">
        <f t="shared" ref="CZ7:CZ8" si="25">SUM(CN7:CY7)</f>
        <v>0</v>
      </c>
      <c r="DB7" s="20">
        <v>0</v>
      </c>
      <c r="DC7" s="20">
        <v>0</v>
      </c>
      <c r="DD7" s="20">
        <v>0</v>
      </c>
      <c r="DE7" s="20">
        <v>0</v>
      </c>
      <c r="DF7" s="20">
        <v>0</v>
      </c>
      <c r="DG7" s="20">
        <v>0</v>
      </c>
      <c r="DH7" s="20">
        <v>0</v>
      </c>
      <c r="DI7" s="20">
        <v>0</v>
      </c>
      <c r="DJ7" s="20">
        <v>0</v>
      </c>
      <c r="DK7" s="20">
        <v>0</v>
      </c>
      <c r="DL7" s="20">
        <v>0</v>
      </c>
      <c r="DM7" s="20">
        <v>0</v>
      </c>
      <c r="DN7" s="28">
        <f t="shared" ref="DN7:DN8" si="26">SUM(DB7:DM7)</f>
        <v>0</v>
      </c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8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8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8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8"/>
    </row>
    <row r="8" spans="1:174" ht="14.85" customHeight="1" x14ac:dyDescent="0.3">
      <c r="A8" s="3">
        <f t="shared" si="13"/>
        <v>5</v>
      </c>
      <c r="B8" s="3" t="s">
        <v>96</v>
      </c>
      <c r="C8" s="636" t="s">
        <v>56</v>
      </c>
      <c r="D8" s="636" t="s">
        <v>56</v>
      </c>
      <c r="E8" s="26" t="s">
        <v>105</v>
      </c>
      <c r="F8" s="20">
        <v>152.05214899999999</v>
      </c>
      <c r="G8" s="20">
        <v>295.56509199999999</v>
      </c>
      <c r="H8" s="20">
        <v>305.73982000000001</v>
      </c>
      <c r="I8" s="20">
        <v>277.99661799999996</v>
      </c>
      <c r="J8" s="20">
        <v>375.61647699999997</v>
      </c>
      <c r="K8" s="20">
        <v>369.88611800000001</v>
      </c>
      <c r="L8" s="20">
        <v>387.17141699999996</v>
      </c>
      <c r="M8" s="20">
        <v>391.41397599999993</v>
      </c>
      <c r="N8" s="20">
        <v>380.972599</v>
      </c>
      <c r="O8" s="20">
        <v>419.34907600000003</v>
      </c>
      <c r="P8" s="20">
        <v>320.70876299999998</v>
      </c>
      <c r="Q8" s="548">
        <v>684.97181799999998</v>
      </c>
      <c r="R8" s="557">
        <f t="shared" si="14"/>
        <v>363.45366024999998</v>
      </c>
      <c r="S8" s="551">
        <v>914.03018499999996</v>
      </c>
      <c r="T8" s="20">
        <v>427.32569400000011</v>
      </c>
      <c r="U8" s="20">
        <v>761.12916300000006</v>
      </c>
      <c r="V8" s="20">
        <v>676.13008899999988</v>
      </c>
      <c r="W8" s="20">
        <v>693.03544600000009</v>
      </c>
      <c r="X8" s="20">
        <v>782.97129899999982</v>
      </c>
      <c r="Y8" s="20">
        <v>321.45073600000001</v>
      </c>
      <c r="Z8" s="20">
        <v>361.48229300000003</v>
      </c>
      <c r="AA8" s="20">
        <v>516.38720899999998</v>
      </c>
      <c r="AB8" s="20">
        <v>707.21815000000004</v>
      </c>
      <c r="AC8" s="20">
        <v>824.52075600000001</v>
      </c>
      <c r="AD8" s="20">
        <v>612.23483699999997</v>
      </c>
      <c r="AE8" s="20"/>
      <c r="AF8" s="556">
        <f t="shared" si="15"/>
        <v>7597.9158569999991</v>
      </c>
      <c r="AG8" s="557">
        <f t="shared" si="16"/>
        <v>633.15965474999996</v>
      </c>
      <c r="AH8" s="551">
        <v>300.54102</v>
      </c>
      <c r="AI8" s="20">
        <v>507.62118800000002</v>
      </c>
      <c r="AJ8" s="20">
        <v>790.04556200000002</v>
      </c>
      <c r="AK8" s="20">
        <v>662.42186100000004</v>
      </c>
      <c r="AL8" s="20">
        <v>955.79570799999999</v>
      </c>
      <c r="AM8" s="20">
        <v>756.01673500000004</v>
      </c>
      <c r="AN8" s="20">
        <v>856.03756999999996</v>
      </c>
      <c r="AO8" s="20">
        <v>870.71485299999995</v>
      </c>
      <c r="AP8" s="20">
        <v>886.40273999999999</v>
      </c>
      <c r="AQ8" s="20">
        <v>635.75522799999999</v>
      </c>
      <c r="AR8" s="20">
        <v>533.96862999999996</v>
      </c>
      <c r="AS8" s="20">
        <v>735.36080700000002</v>
      </c>
      <c r="AT8" s="20"/>
      <c r="AU8" s="557">
        <f t="shared" si="17"/>
        <v>707.55682516666673</v>
      </c>
      <c r="AV8" s="638">
        <v>606.64757799999995</v>
      </c>
      <c r="AW8" s="571">
        <v>347.65498300000002</v>
      </c>
      <c r="AX8" s="571">
        <v>813.90419799999995</v>
      </c>
      <c r="AY8" s="571">
        <v>1024.397252</v>
      </c>
      <c r="AZ8" s="571">
        <v>785.37370599999997</v>
      </c>
      <c r="BA8" s="571"/>
      <c r="BB8" s="571"/>
      <c r="BC8" s="571"/>
      <c r="BD8" s="571"/>
      <c r="BE8" s="571"/>
      <c r="BF8" s="571"/>
      <c r="BG8" s="571"/>
      <c r="BH8" s="20">
        <f t="shared" si="18"/>
        <v>715.5955434</v>
      </c>
      <c r="BI8" s="41" cm="1">
        <f t="array" ref="BI8">INDEX(BL8:BW8,$BL$1)</f>
        <v>562.30502743922989</v>
      </c>
      <c r="BJ8" s="27"/>
      <c r="BK8" s="598"/>
      <c r="BL8" s="20">
        <f t="shared" si="19"/>
        <v>679.00817341923403</v>
      </c>
      <c r="BM8" s="20">
        <f t="shared" si="2"/>
        <v>562.30502743922989</v>
      </c>
      <c r="BN8" s="20">
        <f t="shared" si="3"/>
        <v>711.9129784782557</v>
      </c>
      <c r="BO8" s="20">
        <f t="shared" si="4"/>
        <v>715.21167396458748</v>
      </c>
      <c r="BP8" s="20">
        <f t="shared" si="5"/>
        <v>711.9129784782557</v>
      </c>
      <c r="BQ8" s="20">
        <f t="shared" si="6"/>
        <v>735.360959548555</v>
      </c>
      <c r="BR8" s="20">
        <f t="shared" si="7"/>
        <v>745.36358318346674</v>
      </c>
      <c r="BS8" s="20">
        <f t="shared" si="8"/>
        <v>753.96743456527292</v>
      </c>
      <c r="BT8" s="20">
        <f t="shared" si="9"/>
        <v>753.61032189929642</v>
      </c>
      <c r="BU8" s="20">
        <f t="shared" si="10"/>
        <v>757.2661300516047</v>
      </c>
      <c r="BV8" s="20">
        <f t="shared" si="11"/>
        <v>742.06488769713496</v>
      </c>
      <c r="BW8" s="20">
        <f t="shared" si="12"/>
        <v>753.96743456527292</v>
      </c>
      <c r="BX8" s="28">
        <f t="shared" si="20"/>
        <v>8621.951583290167</v>
      </c>
      <c r="BY8" s="628"/>
      <c r="BZ8" s="20">
        <v>679.00817341923403</v>
      </c>
      <c r="CA8" s="20">
        <v>562.30502743922989</v>
      </c>
      <c r="CB8" s="20">
        <v>711.9129784782557</v>
      </c>
      <c r="CC8" s="20">
        <v>715.21167396458748</v>
      </c>
      <c r="CD8" s="20">
        <v>711.9129784782557</v>
      </c>
      <c r="CE8" s="20">
        <v>735.360959548555</v>
      </c>
      <c r="CF8" s="20">
        <v>745.36358318346674</v>
      </c>
      <c r="CG8" s="20">
        <v>753.96743456527292</v>
      </c>
      <c r="CH8" s="20">
        <v>753.61032189929642</v>
      </c>
      <c r="CI8" s="20">
        <v>757.2661300516047</v>
      </c>
      <c r="CJ8" s="20">
        <v>742.06488769713496</v>
      </c>
      <c r="CK8" s="20">
        <v>753.96743456527292</v>
      </c>
      <c r="CL8" s="28">
        <f t="shared" si="24"/>
        <v>8621.951583290167</v>
      </c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8">
        <f t="shared" si="25"/>
        <v>0</v>
      </c>
      <c r="DB8" s="20">
        <v>0</v>
      </c>
      <c r="DC8" s="20">
        <v>0</v>
      </c>
      <c r="DD8" s="20">
        <v>0</v>
      </c>
      <c r="DE8" s="20">
        <v>0</v>
      </c>
      <c r="DF8" s="20">
        <v>0</v>
      </c>
      <c r="DG8" s="20">
        <v>0</v>
      </c>
      <c r="DH8" s="20">
        <v>0</v>
      </c>
      <c r="DI8" s="20">
        <v>0</v>
      </c>
      <c r="DJ8" s="20">
        <v>0</v>
      </c>
      <c r="DK8" s="20">
        <v>0</v>
      </c>
      <c r="DL8" s="20">
        <v>0</v>
      </c>
      <c r="DM8" s="20">
        <v>0</v>
      </c>
      <c r="DN8" s="28">
        <f t="shared" si="26"/>
        <v>0</v>
      </c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8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8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8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8"/>
    </row>
    <row r="9" spans="1:174" ht="14.85" customHeight="1" x14ac:dyDescent="0.25">
      <c r="A9" s="3">
        <f t="shared" si="13"/>
        <v>6</v>
      </c>
      <c r="B9" s="3" t="s">
        <v>96</v>
      </c>
      <c r="C9" s="3" t="s">
        <v>166</v>
      </c>
      <c r="D9" s="3" t="s">
        <v>29</v>
      </c>
      <c r="E9" s="26" t="s">
        <v>105</v>
      </c>
      <c r="F9" s="20">
        <v>0</v>
      </c>
      <c r="G9" s="20">
        <v>0</v>
      </c>
      <c r="H9" s="20">
        <v>426.75335999999999</v>
      </c>
      <c r="I9" s="20">
        <v>314.04383999999999</v>
      </c>
      <c r="J9" s="20">
        <v>316.64791600000001</v>
      </c>
      <c r="K9" s="20">
        <v>377.27540199999999</v>
      </c>
      <c r="L9" s="20">
        <v>339.93937799999998</v>
      </c>
      <c r="M9" s="20">
        <v>613.21908499999995</v>
      </c>
      <c r="N9" s="20">
        <v>372.68747999999999</v>
      </c>
      <c r="O9" s="20">
        <v>500.14404000000002</v>
      </c>
      <c r="P9" s="20">
        <v>484.915728</v>
      </c>
      <c r="Q9" s="548">
        <v>325.56348000000003</v>
      </c>
      <c r="R9" s="557">
        <f t="shared" si="14"/>
        <v>339.26580908333335</v>
      </c>
      <c r="S9" s="551">
        <v>0</v>
      </c>
      <c r="T9" s="20">
        <v>0</v>
      </c>
      <c r="U9" s="20">
        <v>0</v>
      </c>
      <c r="V9" s="20">
        <v>0</v>
      </c>
      <c r="W9" s="20">
        <v>0</v>
      </c>
      <c r="X9" s="20">
        <v>0</v>
      </c>
      <c r="Y9" s="20">
        <v>0</v>
      </c>
      <c r="Z9" s="20">
        <v>0</v>
      </c>
      <c r="AA9" s="20">
        <v>0</v>
      </c>
      <c r="AB9" s="20">
        <v>0</v>
      </c>
      <c r="AC9" s="20">
        <v>0</v>
      </c>
      <c r="AD9" s="20">
        <v>0</v>
      </c>
      <c r="AE9" s="571"/>
      <c r="AF9" s="556">
        <f t="shared" si="15"/>
        <v>0</v>
      </c>
      <c r="AG9" s="557">
        <f t="shared" si="16"/>
        <v>0</v>
      </c>
      <c r="AH9" s="551">
        <v>0</v>
      </c>
      <c r="AI9" s="20">
        <v>0</v>
      </c>
      <c r="AJ9" s="20">
        <v>0</v>
      </c>
      <c r="AK9" s="20">
        <v>0</v>
      </c>
      <c r="AL9" s="20">
        <v>0</v>
      </c>
      <c r="AM9" s="20">
        <v>0</v>
      </c>
      <c r="AN9" s="20">
        <v>0</v>
      </c>
      <c r="AO9" s="20">
        <v>0</v>
      </c>
      <c r="AP9" s="20">
        <v>0</v>
      </c>
      <c r="AQ9" s="20">
        <v>0</v>
      </c>
      <c r="AR9" s="20">
        <v>0</v>
      </c>
      <c r="AS9" s="20">
        <v>0</v>
      </c>
      <c r="AT9" s="20"/>
      <c r="AU9" s="557">
        <f t="shared" si="17"/>
        <v>0</v>
      </c>
      <c r="AV9" s="551">
        <v>0</v>
      </c>
      <c r="AW9" s="20">
        <v>0</v>
      </c>
      <c r="AX9" s="20">
        <v>0</v>
      </c>
      <c r="AY9" s="20">
        <v>0</v>
      </c>
      <c r="AZ9" s="20">
        <v>0</v>
      </c>
      <c r="BA9" s="20"/>
      <c r="BB9" s="20"/>
      <c r="BC9" s="20"/>
      <c r="BD9" s="20"/>
      <c r="BE9" s="20"/>
      <c r="BF9" s="20"/>
      <c r="BG9" s="20"/>
      <c r="BH9" s="20">
        <f t="shared" si="18"/>
        <v>0</v>
      </c>
      <c r="BI9" s="41" cm="1">
        <f t="array" ref="BI9">INDEX(BL9:BW9,$BL$1)</f>
        <v>0</v>
      </c>
      <c r="BJ9" s="30"/>
      <c r="BK9" s="598"/>
      <c r="BL9" s="20">
        <f t="shared" si="19"/>
        <v>0</v>
      </c>
      <c r="BM9" s="20">
        <f t="shared" si="2"/>
        <v>0</v>
      </c>
      <c r="BN9" s="20">
        <f t="shared" si="3"/>
        <v>0</v>
      </c>
      <c r="BO9" s="20">
        <f t="shared" si="4"/>
        <v>0</v>
      </c>
      <c r="BP9" s="20">
        <f t="shared" si="5"/>
        <v>0</v>
      </c>
      <c r="BQ9" s="20">
        <f t="shared" si="6"/>
        <v>0</v>
      </c>
      <c r="BR9" s="20">
        <f t="shared" si="7"/>
        <v>0</v>
      </c>
      <c r="BS9" s="20">
        <f t="shared" si="8"/>
        <v>0</v>
      </c>
      <c r="BT9" s="20">
        <f t="shared" si="9"/>
        <v>0</v>
      </c>
      <c r="BU9" s="20">
        <f t="shared" si="10"/>
        <v>0</v>
      </c>
      <c r="BV9" s="20">
        <f t="shared" si="11"/>
        <v>0</v>
      </c>
      <c r="BW9" s="20">
        <f t="shared" si="12"/>
        <v>0</v>
      </c>
      <c r="BX9" s="28">
        <f>SUM(BL9:BW9)</f>
        <v>0</v>
      </c>
      <c r="BY9" s="628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8">
        <f>SUM(BZ9:CK9)</f>
        <v>0</v>
      </c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8">
        <f>SUM(CN9:CY9)</f>
        <v>0</v>
      </c>
      <c r="DB9" s="20">
        <v>0</v>
      </c>
      <c r="DC9" s="20">
        <v>0</v>
      </c>
      <c r="DD9" s="20">
        <v>0</v>
      </c>
      <c r="DE9" s="20">
        <v>0</v>
      </c>
      <c r="DF9" s="20">
        <v>0</v>
      </c>
      <c r="DG9" s="20">
        <v>0</v>
      </c>
      <c r="DH9" s="20">
        <v>0</v>
      </c>
      <c r="DI9" s="20">
        <v>0</v>
      </c>
      <c r="DJ9" s="20">
        <v>0</v>
      </c>
      <c r="DK9" s="20">
        <v>0</v>
      </c>
      <c r="DL9" s="20">
        <v>0</v>
      </c>
      <c r="DM9" s="20">
        <v>0</v>
      </c>
      <c r="DN9" s="28">
        <f>SUM(DB9:DM9)</f>
        <v>0</v>
      </c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8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8"/>
      <c r="ER9" s="20"/>
      <c r="ES9" s="20"/>
      <c r="ET9" s="20"/>
      <c r="EU9" s="20"/>
      <c r="EV9" s="20"/>
      <c r="EW9" s="20"/>
      <c r="EX9" s="20"/>
      <c r="EY9" s="20"/>
      <c r="EZ9" s="20"/>
      <c r="FA9" s="20"/>
      <c r="FB9" s="20"/>
      <c r="FC9" s="20"/>
      <c r="FD9" s="28"/>
      <c r="FF9" s="20"/>
      <c r="FG9" s="20"/>
      <c r="FH9" s="20"/>
      <c r="FI9" s="20"/>
      <c r="FJ9" s="20"/>
      <c r="FK9" s="20"/>
      <c r="FL9" s="20"/>
      <c r="FM9" s="20"/>
      <c r="FN9" s="20"/>
      <c r="FO9" s="20"/>
      <c r="FP9" s="20"/>
      <c r="FQ9" s="20"/>
      <c r="FR9" s="28"/>
    </row>
    <row r="10" spans="1:174" ht="14.85" customHeight="1" x14ac:dyDescent="0.25">
      <c r="A10" s="3">
        <f t="shared" si="13"/>
        <v>7</v>
      </c>
      <c r="B10" s="581" t="s">
        <v>96</v>
      </c>
      <c r="C10" s="3" t="s">
        <v>166</v>
      </c>
      <c r="D10" s="3" t="s">
        <v>262</v>
      </c>
      <c r="E10" s="582" t="s">
        <v>105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548"/>
      <c r="R10" s="557"/>
      <c r="S10" s="551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571"/>
      <c r="AF10" s="556"/>
      <c r="AG10" s="557"/>
      <c r="AH10" s="551">
        <v>0</v>
      </c>
      <c r="AI10" s="20">
        <v>0</v>
      </c>
      <c r="AJ10" s="20">
        <v>0</v>
      </c>
      <c r="AK10" s="20">
        <v>0</v>
      </c>
      <c r="AL10" s="20">
        <v>0</v>
      </c>
      <c r="AM10" s="20">
        <v>0</v>
      </c>
      <c r="AN10" s="20">
        <v>0</v>
      </c>
      <c r="AO10" s="20">
        <v>0</v>
      </c>
      <c r="AP10" s="20">
        <v>0</v>
      </c>
      <c r="AQ10" s="20">
        <v>0</v>
      </c>
      <c r="AR10" s="20">
        <v>0</v>
      </c>
      <c r="AS10" s="20">
        <v>0</v>
      </c>
      <c r="AT10" s="20"/>
      <c r="AU10" s="557">
        <f t="shared" si="17"/>
        <v>0</v>
      </c>
      <c r="AV10" s="551">
        <v>0</v>
      </c>
      <c r="AW10" s="551">
        <v>0</v>
      </c>
      <c r="AX10" s="20">
        <v>0</v>
      </c>
      <c r="AY10" s="551">
        <v>0</v>
      </c>
      <c r="AZ10" s="551">
        <v>0</v>
      </c>
      <c r="BA10" s="551"/>
      <c r="BB10" s="551"/>
      <c r="BC10" s="551"/>
      <c r="BD10" s="551"/>
      <c r="BE10" s="20"/>
      <c r="BF10" s="20"/>
      <c r="BG10" s="20"/>
      <c r="BH10" s="20">
        <f t="shared" si="18"/>
        <v>0</v>
      </c>
      <c r="BI10" s="41" cm="1">
        <f t="array" ref="BI10">INDEX(BL10:BW10,$BL$1)</f>
        <v>0</v>
      </c>
      <c r="BJ10" s="30"/>
      <c r="BK10" s="598"/>
      <c r="BL10" s="20">
        <f t="shared" si="19"/>
        <v>0</v>
      </c>
      <c r="BM10" s="20">
        <f t="shared" si="2"/>
        <v>0</v>
      </c>
      <c r="BN10" s="20">
        <f t="shared" si="3"/>
        <v>0</v>
      </c>
      <c r="BO10" s="20">
        <f t="shared" si="4"/>
        <v>0</v>
      </c>
      <c r="BP10" s="20">
        <f t="shared" si="5"/>
        <v>0</v>
      </c>
      <c r="BQ10" s="20">
        <f t="shared" si="6"/>
        <v>0</v>
      </c>
      <c r="BR10" s="20">
        <f t="shared" si="7"/>
        <v>0</v>
      </c>
      <c r="BS10" s="20">
        <f t="shared" si="8"/>
        <v>0</v>
      </c>
      <c r="BT10" s="20">
        <f t="shared" si="9"/>
        <v>0</v>
      </c>
      <c r="BU10" s="20">
        <f t="shared" si="10"/>
        <v>0</v>
      </c>
      <c r="BV10" s="20">
        <f t="shared" si="11"/>
        <v>0</v>
      </c>
      <c r="BW10" s="20">
        <f t="shared" si="12"/>
        <v>0</v>
      </c>
      <c r="BX10" s="28">
        <f>SUM(BL10:BW10)</f>
        <v>0</v>
      </c>
      <c r="BY10" s="628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8">
        <f>SUM(BZ10:CK10)</f>
        <v>0</v>
      </c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8">
        <f>SUM(CN10:CY10)</f>
        <v>0</v>
      </c>
      <c r="DB10" s="20">
        <v>0</v>
      </c>
      <c r="DC10" s="20">
        <v>0</v>
      </c>
      <c r="DD10" s="20">
        <v>0</v>
      </c>
      <c r="DE10" s="20">
        <v>0</v>
      </c>
      <c r="DF10" s="20">
        <v>0</v>
      </c>
      <c r="DG10" s="20">
        <v>0</v>
      </c>
      <c r="DH10" s="20">
        <v>0</v>
      </c>
      <c r="DI10" s="20">
        <v>0</v>
      </c>
      <c r="DJ10" s="20">
        <v>0</v>
      </c>
      <c r="DK10" s="20">
        <v>0</v>
      </c>
      <c r="DL10" s="20">
        <v>0</v>
      </c>
      <c r="DM10" s="20">
        <v>0</v>
      </c>
      <c r="DN10" s="28">
        <f>SUM(DB10:DM10)</f>
        <v>0</v>
      </c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8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8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8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8"/>
    </row>
    <row r="11" spans="1:174" x14ac:dyDescent="0.25">
      <c r="A11" s="3">
        <f t="shared" si="13"/>
        <v>8</v>
      </c>
      <c r="B11" s="3" t="s">
        <v>96</v>
      </c>
      <c r="C11" s="3" t="s">
        <v>28</v>
      </c>
      <c r="D11" s="3" t="s">
        <v>28</v>
      </c>
      <c r="E11" s="26" t="s">
        <v>105</v>
      </c>
      <c r="F11" s="20">
        <v>182.590125</v>
      </c>
      <c r="G11" s="20">
        <v>256.21135399999997</v>
      </c>
      <c r="H11" s="20">
        <v>301.69390099999998</v>
      </c>
      <c r="I11" s="20">
        <v>299.17255299999999</v>
      </c>
      <c r="J11" s="20">
        <v>189.954498</v>
      </c>
      <c r="K11" s="20">
        <v>375.78277400000002</v>
      </c>
      <c r="L11" s="20">
        <v>320.30577699999998</v>
      </c>
      <c r="M11" s="20">
        <v>367.61022300000002</v>
      </c>
      <c r="N11" s="20">
        <v>353.52910800000001</v>
      </c>
      <c r="O11" s="20">
        <v>388.27704899999998</v>
      </c>
      <c r="P11" s="20">
        <v>446.71388200000001</v>
      </c>
      <c r="Q11" s="548">
        <v>393.87627199999997</v>
      </c>
      <c r="R11" s="557">
        <f t="shared" si="14"/>
        <v>322.9764596666667</v>
      </c>
      <c r="S11" s="551">
        <v>377.49690900000002</v>
      </c>
      <c r="T11" s="20">
        <v>255.24872999999999</v>
      </c>
      <c r="U11" s="20">
        <v>394.67352</v>
      </c>
      <c r="V11" s="20">
        <v>371.32545199999998</v>
      </c>
      <c r="W11" s="20">
        <v>367.60268200000002</v>
      </c>
      <c r="X11" s="20">
        <v>326.45109400000001</v>
      </c>
      <c r="Y11" s="20">
        <v>297.34214600000001</v>
      </c>
      <c r="Z11" s="20">
        <v>252.431725</v>
      </c>
      <c r="AA11" s="20">
        <v>251.48836299999999</v>
      </c>
      <c r="AB11" s="20">
        <v>293.83949999999999</v>
      </c>
      <c r="AC11" s="20">
        <v>302.22001899999998</v>
      </c>
      <c r="AD11" s="20">
        <v>273.175363</v>
      </c>
      <c r="AE11" s="571"/>
      <c r="AF11" s="556">
        <f t="shared" si="15"/>
        <v>3763.2955029999994</v>
      </c>
      <c r="AG11" s="557">
        <f t="shared" si="16"/>
        <v>313.6079585833333</v>
      </c>
      <c r="AH11" s="551">
        <v>165.849029</v>
      </c>
      <c r="AI11" s="20">
        <v>208.231593</v>
      </c>
      <c r="AJ11" s="20">
        <v>262.06534900000003</v>
      </c>
      <c r="AK11" s="20">
        <v>221.74891</v>
      </c>
      <c r="AL11" s="20">
        <v>226.691428</v>
      </c>
      <c r="AM11" s="20">
        <v>212.65319500000001</v>
      </c>
      <c r="AN11" s="20">
        <v>238.15200100000001</v>
      </c>
      <c r="AO11" s="20">
        <v>172.607721</v>
      </c>
      <c r="AP11" s="20">
        <v>259.35824300000002</v>
      </c>
      <c r="AQ11" s="20">
        <v>201.66960800000001</v>
      </c>
      <c r="AR11" s="20">
        <v>178.92975899999999</v>
      </c>
      <c r="AS11" s="20">
        <v>180.051275</v>
      </c>
      <c r="AT11" s="20"/>
      <c r="AU11" s="557">
        <f t="shared" si="17"/>
        <v>210.66734258333335</v>
      </c>
      <c r="AV11" s="551">
        <v>150.192657</v>
      </c>
      <c r="AW11" s="20">
        <v>102.02831500000001</v>
      </c>
      <c r="AX11" s="20">
        <v>337.283119</v>
      </c>
      <c r="AY11" s="20">
        <v>388.21782000000002</v>
      </c>
      <c r="AZ11" s="20">
        <v>352.85559999999998</v>
      </c>
      <c r="BA11" s="20"/>
      <c r="BB11" s="20"/>
      <c r="BC11" s="20"/>
      <c r="BD11" s="20"/>
      <c r="BE11" s="20"/>
      <c r="BF11" s="20"/>
      <c r="BG11" s="20"/>
      <c r="BH11" s="20">
        <f t="shared" si="18"/>
        <v>266.11550219999998</v>
      </c>
      <c r="BI11" s="41" cm="1">
        <f t="array" ref="BI11">INDEX(BL11:BW11,$BL$1)</f>
        <v>214.12</v>
      </c>
      <c r="BJ11" s="30"/>
      <c r="BK11" s="598"/>
      <c r="BL11" s="20">
        <f t="shared" si="19"/>
        <v>214.12</v>
      </c>
      <c r="BM11" s="20">
        <f t="shared" si="2"/>
        <v>214.12</v>
      </c>
      <c r="BN11" s="20">
        <f t="shared" si="3"/>
        <v>214.12</v>
      </c>
      <c r="BO11" s="20">
        <f t="shared" si="4"/>
        <v>214.12</v>
      </c>
      <c r="BP11" s="20">
        <f t="shared" si="5"/>
        <v>214.12</v>
      </c>
      <c r="BQ11" s="20">
        <f t="shared" si="6"/>
        <v>214.12</v>
      </c>
      <c r="BR11" s="20">
        <f t="shared" si="7"/>
        <v>214.12</v>
      </c>
      <c r="BS11" s="20">
        <f t="shared" si="8"/>
        <v>214.12</v>
      </c>
      <c r="BT11" s="20">
        <f t="shared" si="9"/>
        <v>214.12</v>
      </c>
      <c r="BU11" s="20">
        <f t="shared" si="10"/>
        <v>214.12</v>
      </c>
      <c r="BV11" s="20">
        <f t="shared" si="11"/>
        <v>214.12</v>
      </c>
      <c r="BW11" s="20">
        <f t="shared" si="12"/>
        <v>214.12</v>
      </c>
      <c r="BX11" s="28">
        <f t="shared" si="20"/>
        <v>2569.4399999999991</v>
      </c>
      <c r="BY11" s="628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8">
        <f t="shared" ref="CL11:CL16" si="27">SUM(BZ11:CK11)</f>
        <v>0</v>
      </c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8">
        <f t="shared" ref="CZ11:CZ16" si="28">SUM(CN11:CY11)</f>
        <v>0</v>
      </c>
      <c r="DB11" s="20">
        <v>214.12</v>
      </c>
      <c r="DC11" s="20">
        <v>214.12</v>
      </c>
      <c r="DD11" s="20">
        <v>214.12</v>
      </c>
      <c r="DE11" s="20">
        <v>214.12</v>
      </c>
      <c r="DF11" s="20">
        <v>214.12</v>
      </c>
      <c r="DG11" s="20">
        <v>214.12</v>
      </c>
      <c r="DH11" s="20">
        <v>214.12</v>
      </c>
      <c r="DI11" s="20">
        <v>214.12</v>
      </c>
      <c r="DJ11" s="20">
        <v>214.12</v>
      </c>
      <c r="DK11" s="20">
        <v>214.12</v>
      </c>
      <c r="DL11" s="20">
        <v>214.12</v>
      </c>
      <c r="DM11" s="20">
        <v>214.12</v>
      </c>
      <c r="DN11" s="28">
        <f t="shared" ref="DN11:DN16" si="29">SUM(DB11:DM11)</f>
        <v>2569.4399999999991</v>
      </c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8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8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8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8"/>
    </row>
    <row r="12" spans="1:174" ht="14.1" customHeight="1" x14ac:dyDescent="0.3">
      <c r="A12" s="3">
        <f t="shared" si="13"/>
        <v>9</v>
      </c>
      <c r="B12" s="3" t="s">
        <v>96</v>
      </c>
      <c r="C12" s="3" t="s">
        <v>49</v>
      </c>
      <c r="D12" s="3" t="s">
        <v>32</v>
      </c>
      <c r="E12" s="26" t="s">
        <v>105</v>
      </c>
      <c r="F12" s="20">
        <v>257.72536071428573</v>
      </c>
      <c r="G12" s="20">
        <v>257.72536071428573</v>
      </c>
      <c r="H12" s="20">
        <v>257.72536071428573</v>
      </c>
      <c r="I12" s="20">
        <v>257.72536071428573</v>
      </c>
      <c r="J12" s="20">
        <v>257.72536071428573</v>
      </c>
      <c r="K12" s="20">
        <v>257.72536071428573</v>
      </c>
      <c r="L12" s="20">
        <v>257.72536071428573</v>
      </c>
      <c r="M12" s="20">
        <v>285.47946899999999</v>
      </c>
      <c r="N12" s="20">
        <v>11.845178000000001</v>
      </c>
      <c r="O12" s="20">
        <v>153.89010300000001</v>
      </c>
      <c r="P12" s="20">
        <v>16.845178000000001</v>
      </c>
      <c r="Q12" s="548">
        <v>24.688371</v>
      </c>
      <c r="R12" s="557">
        <f t="shared" si="14"/>
        <v>191.40215200000003</v>
      </c>
      <c r="S12" s="551">
        <v>616.901117</v>
      </c>
      <c r="T12" s="20">
        <v>232.69113300000001</v>
      </c>
      <c r="U12" s="20">
        <v>520.28488100000004</v>
      </c>
      <c r="V12" s="20">
        <v>1076.524588</v>
      </c>
      <c r="W12" s="20">
        <v>371.48800699999998</v>
      </c>
      <c r="X12" s="20">
        <v>620.00057100000004</v>
      </c>
      <c r="Y12" s="20">
        <v>143.796875</v>
      </c>
      <c r="Z12" s="20">
        <v>143.796874</v>
      </c>
      <c r="AA12" s="20">
        <v>158.897941</v>
      </c>
      <c r="AB12" s="20">
        <v>192.37397799999999</v>
      </c>
      <c r="AC12" s="20">
        <v>0</v>
      </c>
      <c r="AD12" s="20">
        <v>240.846161</v>
      </c>
      <c r="AE12" s="20"/>
      <c r="AF12" s="556">
        <f t="shared" si="15"/>
        <v>4317.6021260000007</v>
      </c>
      <c r="AG12" s="557">
        <f t="shared" si="16"/>
        <v>359.80017716666674</v>
      </c>
      <c r="AH12" s="551">
        <v>314.13016800000003</v>
      </c>
      <c r="AI12" s="20">
        <v>225.87098399999999</v>
      </c>
      <c r="AJ12" s="20">
        <v>157.06508400000001</v>
      </c>
      <c r="AK12" s="20">
        <v>456.408635</v>
      </c>
      <c r="AL12" s="20">
        <v>230.53765100000001</v>
      </c>
      <c r="AM12" s="20">
        <v>227.88798800000001</v>
      </c>
      <c r="AN12" s="20">
        <v>197.89666500000001</v>
      </c>
      <c r="AO12" s="20">
        <v>297.99266999999998</v>
      </c>
      <c r="AP12" s="20">
        <v>300.84171400000002</v>
      </c>
      <c r="AQ12" s="20">
        <v>78.758262000000002</v>
      </c>
      <c r="AR12" s="20">
        <v>145.85</v>
      </c>
      <c r="AS12" s="20">
        <v>173.49562</v>
      </c>
      <c r="AT12" s="20"/>
      <c r="AU12" s="557">
        <f t="shared" si="17"/>
        <v>233.89462008333336</v>
      </c>
      <c r="AV12" s="551">
        <v>243.27062000000001</v>
      </c>
      <c r="AW12" s="20">
        <v>0</v>
      </c>
      <c r="AX12" s="20">
        <v>243.27062000000001</v>
      </c>
      <c r="AY12" s="20">
        <v>242.695684</v>
      </c>
      <c r="AZ12" s="20">
        <v>209.40041400000001</v>
      </c>
      <c r="BA12" s="20"/>
      <c r="BB12" s="20"/>
      <c r="BC12" s="20"/>
      <c r="BD12" s="20"/>
      <c r="BE12" s="20"/>
      <c r="BF12" s="20"/>
      <c r="BG12" s="20"/>
      <c r="BH12" s="20">
        <f t="shared" si="18"/>
        <v>187.72746760000001</v>
      </c>
      <c r="BI12" s="41" cm="1">
        <f t="array" ref="BI12">INDEX(BL12:BW12,$BL$1)</f>
        <v>247.38705701015874</v>
      </c>
      <c r="BJ12" s="27"/>
      <c r="BK12" s="598"/>
      <c r="BL12" s="20">
        <f t="shared" si="19"/>
        <v>258.93196914501794</v>
      </c>
      <c r="BM12" s="20">
        <f t="shared" si="2"/>
        <v>247.38705701015874</v>
      </c>
      <c r="BN12" s="20">
        <f t="shared" si="3"/>
        <v>278.59974234394264</v>
      </c>
      <c r="BO12" s="20">
        <f t="shared" si="4"/>
        <v>285.01968658874074</v>
      </c>
      <c r="BP12" s="20">
        <f t="shared" si="5"/>
        <v>278.59974234394264</v>
      </c>
      <c r="BQ12" s="20">
        <f t="shared" si="6"/>
        <v>285.01968658874074</v>
      </c>
      <c r="BR12" s="20">
        <f t="shared" si="7"/>
        <v>285.0132728098925</v>
      </c>
      <c r="BS12" s="20">
        <f t="shared" si="8"/>
        <v>285.0132728098925</v>
      </c>
      <c r="BT12" s="20">
        <f t="shared" si="9"/>
        <v>291.64700140355558</v>
      </c>
      <c r="BU12" s="20">
        <f t="shared" si="10"/>
        <v>285.0132728098925</v>
      </c>
      <c r="BV12" s="20">
        <f t="shared" si="11"/>
        <v>291.64700140355558</v>
      </c>
      <c r="BW12" s="20">
        <f t="shared" si="12"/>
        <v>285.0132728098925</v>
      </c>
      <c r="BX12" s="28">
        <f t="shared" si="20"/>
        <v>3356.9049780672249</v>
      </c>
      <c r="BY12" s="628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8">
        <f t="shared" si="27"/>
        <v>0</v>
      </c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8">
        <f t="shared" si="28"/>
        <v>0</v>
      </c>
      <c r="DB12" s="20">
        <v>258.93196914501794</v>
      </c>
      <c r="DC12" s="20">
        <v>247.38705701015874</v>
      </c>
      <c r="DD12" s="20">
        <v>278.59974234394264</v>
      </c>
      <c r="DE12" s="20">
        <v>285.01968658874074</v>
      </c>
      <c r="DF12" s="20">
        <v>278.59974234394264</v>
      </c>
      <c r="DG12" s="20">
        <v>285.01968658874074</v>
      </c>
      <c r="DH12" s="20">
        <v>285.0132728098925</v>
      </c>
      <c r="DI12" s="20">
        <v>285.0132728098925</v>
      </c>
      <c r="DJ12" s="20">
        <v>291.64700140355558</v>
      </c>
      <c r="DK12" s="20">
        <v>285.0132728098925</v>
      </c>
      <c r="DL12" s="20">
        <v>291.64700140355558</v>
      </c>
      <c r="DM12" s="20">
        <v>285.0132728098925</v>
      </c>
      <c r="DN12" s="28">
        <f t="shared" si="29"/>
        <v>3356.9049780672249</v>
      </c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8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8"/>
      <c r="ER12" s="20"/>
      <c r="ES12" s="20"/>
      <c r="ET12" s="20"/>
      <c r="EU12" s="20"/>
      <c r="EV12" s="20"/>
      <c r="EW12" s="20"/>
      <c r="EX12" s="20"/>
      <c r="EY12" s="20"/>
      <c r="EZ12" s="20"/>
      <c r="FA12" s="20"/>
      <c r="FB12" s="20"/>
      <c r="FC12" s="20"/>
      <c r="FD12" s="28"/>
      <c r="FF12" s="20"/>
      <c r="FG12" s="20"/>
      <c r="FH12" s="20"/>
      <c r="FI12" s="20"/>
      <c r="FJ12" s="20"/>
      <c r="FK12" s="20"/>
      <c r="FL12" s="20"/>
      <c r="FM12" s="20"/>
      <c r="FN12" s="20"/>
      <c r="FO12" s="20"/>
      <c r="FP12" s="20"/>
      <c r="FQ12" s="20"/>
      <c r="FR12" s="28"/>
    </row>
    <row r="13" spans="1:174" ht="14.1" customHeight="1" x14ac:dyDescent="0.25">
      <c r="A13" s="3">
        <f t="shared" si="13"/>
        <v>10</v>
      </c>
      <c r="B13" s="3" t="s">
        <v>96</v>
      </c>
      <c r="C13" s="637" t="s">
        <v>53</v>
      </c>
      <c r="D13" s="637" t="s">
        <v>53</v>
      </c>
      <c r="E13" s="26" t="s">
        <v>105</v>
      </c>
      <c r="F13" s="20">
        <v>188.62547899999998</v>
      </c>
      <c r="G13" s="20">
        <v>196.28916999999998</v>
      </c>
      <c r="H13" s="20">
        <v>460.43097999999998</v>
      </c>
      <c r="I13" s="20">
        <v>381.88881900000001</v>
      </c>
      <c r="J13" s="20">
        <v>279.47783400000003</v>
      </c>
      <c r="K13" s="20">
        <v>269.28564700000004</v>
      </c>
      <c r="L13" s="20">
        <v>204.96910300000002</v>
      </c>
      <c r="M13" s="20">
        <v>144.59650099999999</v>
      </c>
      <c r="N13" s="20">
        <v>209.92933399999998</v>
      </c>
      <c r="O13" s="20">
        <v>179.10958100000002</v>
      </c>
      <c r="P13" s="20">
        <v>139.36256900000001</v>
      </c>
      <c r="Q13" s="548">
        <v>234.21601099999998</v>
      </c>
      <c r="R13" s="557">
        <f t="shared" si="14"/>
        <v>240.68175233333332</v>
      </c>
      <c r="S13" s="551">
        <v>168.93012999999999</v>
      </c>
      <c r="T13" s="20">
        <v>139.05925400000001</v>
      </c>
      <c r="U13" s="20">
        <v>130.98270099999999</v>
      </c>
      <c r="V13" s="20">
        <v>216.14341000000002</v>
      </c>
      <c r="W13" s="20">
        <v>304.87664899999999</v>
      </c>
      <c r="X13" s="20">
        <v>295.18419499999999</v>
      </c>
      <c r="Y13" s="20">
        <v>186.81335799999999</v>
      </c>
      <c r="Z13" s="20">
        <v>232.26438400000001</v>
      </c>
      <c r="AA13" s="20">
        <v>145.066621</v>
      </c>
      <c r="AB13" s="20">
        <v>272.26879300000002</v>
      </c>
      <c r="AC13" s="20">
        <v>272.19795499999998</v>
      </c>
      <c r="AD13" s="20">
        <v>306.84791300000001</v>
      </c>
      <c r="AE13" s="20"/>
      <c r="AF13" s="556">
        <f t="shared" si="15"/>
        <v>2670.6353630000003</v>
      </c>
      <c r="AG13" s="557">
        <f t="shared" si="16"/>
        <v>222.55294691666668</v>
      </c>
      <c r="AH13" s="551">
        <v>210.76331500000001</v>
      </c>
      <c r="AI13" s="20">
        <v>188.40178499999999</v>
      </c>
      <c r="AJ13" s="20">
        <v>282.89573000000001</v>
      </c>
      <c r="AK13" s="20">
        <v>195.67146099999999</v>
      </c>
      <c r="AL13" s="20">
        <v>294.51892900000001</v>
      </c>
      <c r="AM13" s="20">
        <v>310.99886800000002</v>
      </c>
      <c r="AN13" s="20">
        <v>473.82858199999998</v>
      </c>
      <c r="AO13" s="20">
        <v>440.19381600000003</v>
      </c>
      <c r="AP13" s="20">
        <v>448.54735499999998</v>
      </c>
      <c r="AQ13" s="20">
        <v>466.49071500000002</v>
      </c>
      <c r="AR13" s="20">
        <v>176.16390100000001</v>
      </c>
      <c r="AS13" s="20">
        <v>280.28190499999999</v>
      </c>
      <c r="AT13" s="20"/>
      <c r="AU13" s="557">
        <f t="shared" si="17"/>
        <v>314.06303016666669</v>
      </c>
      <c r="AV13" s="638">
        <v>252.349603</v>
      </c>
      <c r="AW13" s="571">
        <v>80.021953999999994</v>
      </c>
      <c r="AX13" s="571">
        <v>348.78599300000002</v>
      </c>
      <c r="AY13" s="571">
        <v>458.30997000000002</v>
      </c>
      <c r="AZ13" s="571">
        <v>385.67558700000001</v>
      </c>
      <c r="BA13" s="571"/>
      <c r="BB13" s="571"/>
      <c r="BC13" s="571"/>
      <c r="BD13" s="571"/>
      <c r="BE13" s="571"/>
      <c r="BF13" s="571"/>
      <c r="BG13" s="571"/>
      <c r="BH13" s="20">
        <f t="shared" si="18"/>
        <v>305.02862140000002</v>
      </c>
      <c r="BI13" s="41" cm="1">
        <f t="array" ref="BI13">INDEX(BL13:BW13,$BL$1)</f>
        <v>361.99221066181713</v>
      </c>
      <c r="BJ13" s="31"/>
      <c r="BK13" s="598"/>
      <c r="BL13" s="20">
        <f t="shared" si="19"/>
        <v>452.49026332727141</v>
      </c>
      <c r="BM13" s="20">
        <f t="shared" si="2"/>
        <v>361.99221066181713</v>
      </c>
      <c r="BN13" s="20">
        <f t="shared" si="3"/>
        <v>471.88270318415442</v>
      </c>
      <c r="BO13" s="20">
        <f t="shared" si="4"/>
        <v>471.88270318415442</v>
      </c>
      <c r="BP13" s="20">
        <f t="shared" si="5"/>
        <v>471.88270318415442</v>
      </c>
      <c r="BQ13" s="20">
        <f t="shared" si="6"/>
        <v>471.88270318415442</v>
      </c>
      <c r="BR13" s="20">
        <f t="shared" si="7"/>
        <v>496.89225642207646</v>
      </c>
      <c r="BS13" s="20">
        <f t="shared" si="8"/>
        <v>496.89225642207646</v>
      </c>
      <c r="BT13" s="20">
        <f t="shared" si="9"/>
        <v>496.89225642207646</v>
      </c>
      <c r="BU13" s="20">
        <f t="shared" si="10"/>
        <v>496.89225642207646</v>
      </c>
      <c r="BV13" s="20">
        <f t="shared" si="11"/>
        <v>496.89225642207646</v>
      </c>
      <c r="BW13" s="20">
        <f t="shared" si="12"/>
        <v>496.89225642207646</v>
      </c>
      <c r="BX13" s="28">
        <f t="shared" si="20"/>
        <v>5683.3668252581656</v>
      </c>
      <c r="BY13" s="628"/>
      <c r="BZ13" s="20">
        <v>452.49026332727141</v>
      </c>
      <c r="CA13" s="20">
        <v>361.99221066181713</v>
      </c>
      <c r="CB13" s="20">
        <v>471.88270318415442</v>
      </c>
      <c r="CC13" s="20">
        <v>471.88270318415442</v>
      </c>
      <c r="CD13" s="20">
        <v>471.88270318415442</v>
      </c>
      <c r="CE13" s="20">
        <v>471.88270318415442</v>
      </c>
      <c r="CF13" s="20">
        <v>496.89225642207646</v>
      </c>
      <c r="CG13" s="20">
        <v>496.89225642207646</v>
      </c>
      <c r="CH13" s="20">
        <v>496.89225642207646</v>
      </c>
      <c r="CI13" s="20">
        <v>496.89225642207646</v>
      </c>
      <c r="CJ13" s="20">
        <v>496.89225642207646</v>
      </c>
      <c r="CK13" s="20">
        <v>496.89225642207646</v>
      </c>
      <c r="CL13" s="28">
        <f t="shared" si="27"/>
        <v>5683.3668252581656</v>
      </c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8">
        <f t="shared" si="28"/>
        <v>0</v>
      </c>
      <c r="DB13" s="20">
        <v>0</v>
      </c>
      <c r="DC13" s="20">
        <v>0</v>
      </c>
      <c r="DD13" s="20">
        <v>0</v>
      </c>
      <c r="DE13" s="20">
        <v>0</v>
      </c>
      <c r="DF13" s="20">
        <v>0</v>
      </c>
      <c r="DG13" s="20">
        <v>0</v>
      </c>
      <c r="DH13" s="20">
        <v>0</v>
      </c>
      <c r="DI13" s="20">
        <v>0</v>
      </c>
      <c r="DJ13" s="20">
        <v>0</v>
      </c>
      <c r="DK13" s="20">
        <v>0</v>
      </c>
      <c r="DL13" s="20">
        <v>0</v>
      </c>
      <c r="DM13" s="20">
        <v>0</v>
      </c>
      <c r="DN13" s="28">
        <f t="shared" si="29"/>
        <v>0</v>
      </c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8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8"/>
      <c r="ER13" s="20"/>
      <c r="ES13" s="20"/>
      <c r="ET13" s="20"/>
      <c r="EU13" s="20"/>
      <c r="EV13" s="20"/>
      <c r="EW13" s="20"/>
      <c r="EX13" s="20"/>
      <c r="EY13" s="20"/>
      <c r="EZ13" s="20"/>
      <c r="FA13" s="20"/>
      <c r="FB13" s="20"/>
      <c r="FC13" s="20"/>
      <c r="FD13" s="28"/>
      <c r="FF13" s="20"/>
      <c r="FG13" s="20"/>
      <c r="FH13" s="20"/>
      <c r="FI13" s="20"/>
      <c r="FJ13" s="20"/>
      <c r="FK13" s="20"/>
      <c r="FL13" s="20"/>
      <c r="FM13" s="20"/>
      <c r="FN13" s="20"/>
      <c r="FO13" s="20"/>
      <c r="FP13" s="20"/>
      <c r="FQ13" s="20"/>
      <c r="FR13" s="28"/>
    </row>
    <row r="14" spans="1:174" ht="14.1" customHeight="1" x14ac:dyDescent="0.3">
      <c r="A14" s="3">
        <f t="shared" si="13"/>
        <v>11</v>
      </c>
      <c r="B14" s="3" t="s">
        <v>96</v>
      </c>
      <c r="C14" s="3" t="s">
        <v>49</v>
      </c>
      <c r="D14" s="3" t="s">
        <v>33</v>
      </c>
      <c r="E14" s="26" t="s">
        <v>105</v>
      </c>
      <c r="F14" s="20">
        <v>59.905610000000003</v>
      </c>
      <c r="G14" s="20">
        <v>187.22741600000001</v>
      </c>
      <c r="H14" s="20">
        <v>177.07536300000001</v>
      </c>
      <c r="I14" s="20">
        <v>25.791183</v>
      </c>
      <c r="J14" s="20">
        <v>258.34515099999999</v>
      </c>
      <c r="K14" s="20">
        <v>353.55610799999999</v>
      </c>
      <c r="L14" s="20">
        <v>242.862548</v>
      </c>
      <c r="M14" s="20">
        <v>157.31050099999999</v>
      </c>
      <c r="N14" s="20">
        <v>142.576457</v>
      </c>
      <c r="O14" s="20">
        <v>242.58994000000001</v>
      </c>
      <c r="P14" s="20">
        <v>81.511026000000001</v>
      </c>
      <c r="Q14" s="548">
        <f>303.462906+6.954717</f>
        <v>310.41762299999999</v>
      </c>
      <c r="R14" s="557">
        <f t="shared" si="14"/>
        <v>186.5974105</v>
      </c>
      <c r="S14" s="551">
        <v>170.17253500000001</v>
      </c>
      <c r="T14" s="20">
        <v>98.645677000000006</v>
      </c>
      <c r="U14" s="20">
        <v>152.282105</v>
      </c>
      <c r="V14" s="20">
        <v>70.730341999999993</v>
      </c>
      <c r="W14" s="20">
        <v>331.45537100000001</v>
      </c>
      <c r="X14" s="20">
        <v>137.75444899999999</v>
      </c>
      <c r="Y14" s="20">
        <v>130.50222199999999</v>
      </c>
      <c r="Z14" s="20">
        <v>226.962827</v>
      </c>
      <c r="AA14" s="20">
        <v>211.62888100000001</v>
      </c>
      <c r="AB14" s="20">
        <v>169.15491900000001</v>
      </c>
      <c r="AC14" s="20">
        <v>159.268833</v>
      </c>
      <c r="AD14" s="20">
        <v>115.910696</v>
      </c>
      <c r="AE14" s="20"/>
      <c r="AF14" s="556">
        <f t="shared" si="15"/>
        <v>1974.4688570000003</v>
      </c>
      <c r="AG14" s="557">
        <f t="shared" si="16"/>
        <v>164.5390714166667</v>
      </c>
      <c r="AH14" s="551">
        <v>54.276730000000001</v>
      </c>
      <c r="AI14" s="20">
        <v>93.605473000000003</v>
      </c>
      <c r="AJ14" s="20">
        <v>201.59896699999999</v>
      </c>
      <c r="AK14" s="20">
        <v>221.38745499999999</v>
      </c>
      <c r="AL14" s="20">
        <v>185.026994</v>
      </c>
      <c r="AM14" s="20">
        <v>164.58467999999999</v>
      </c>
      <c r="AN14" s="20">
        <v>195.22985</v>
      </c>
      <c r="AO14" s="20">
        <v>202.723263</v>
      </c>
      <c r="AP14" s="20">
        <v>160.963538</v>
      </c>
      <c r="AQ14" s="20">
        <v>135.79445200000001</v>
      </c>
      <c r="AR14" s="20">
        <v>119.64827699999999</v>
      </c>
      <c r="AS14" s="20">
        <v>140.69752399999999</v>
      </c>
      <c r="AT14" s="20"/>
      <c r="AU14" s="557">
        <f t="shared" si="17"/>
        <v>156.29476691666667</v>
      </c>
      <c r="AV14" s="551">
        <v>144.36025699999999</v>
      </c>
      <c r="AW14" s="20">
        <v>72.766227999999998</v>
      </c>
      <c r="AX14" s="20">
        <v>204.661135</v>
      </c>
      <c r="AY14" s="20">
        <v>181.14100400000001</v>
      </c>
      <c r="AZ14" s="20">
        <v>132.13597100000001</v>
      </c>
      <c r="BA14" s="20"/>
      <c r="BB14" s="20"/>
      <c r="BC14" s="20"/>
      <c r="BD14" s="20"/>
      <c r="BE14" s="20"/>
      <c r="BF14" s="20"/>
      <c r="BG14" s="20"/>
      <c r="BH14" s="20">
        <f t="shared" si="18"/>
        <v>147.01291900000001</v>
      </c>
      <c r="BI14" s="41" cm="1">
        <f t="array" ref="BI14">INDEX(BL14:BW14,$BL$1)</f>
        <v>182.41068327619047</v>
      </c>
      <c r="BJ14" s="27"/>
      <c r="BK14" s="598"/>
      <c r="BL14" s="20">
        <f t="shared" si="19"/>
        <v>195.62886148817205</v>
      </c>
      <c r="BM14" s="20">
        <f t="shared" si="2"/>
        <v>182.41068327619047</v>
      </c>
      <c r="BN14" s="20">
        <f t="shared" si="3"/>
        <v>199.59164858494626</v>
      </c>
      <c r="BO14" s="20">
        <f t="shared" si="4"/>
        <v>205.12247626666664</v>
      </c>
      <c r="BP14" s="20">
        <f t="shared" si="5"/>
        <v>199.59164858494626</v>
      </c>
      <c r="BQ14" s="20">
        <f t="shared" si="6"/>
        <v>207.45927626666665</v>
      </c>
      <c r="BR14" s="20">
        <f t="shared" si="7"/>
        <v>205.03168406881724</v>
      </c>
      <c r="BS14" s="20">
        <f t="shared" si="8"/>
        <v>204.12711632688178</v>
      </c>
      <c r="BT14" s="20">
        <f t="shared" si="9"/>
        <v>212.14592626666669</v>
      </c>
      <c r="BU14" s="20">
        <f t="shared" si="10"/>
        <v>205.03168406881724</v>
      </c>
      <c r="BV14" s="20">
        <f t="shared" si="11"/>
        <v>208.87440626666668</v>
      </c>
      <c r="BW14" s="20">
        <f t="shared" si="12"/>
        <v>204.12711632688178</v>
      </c>
      <c r="BX14" s="28">
        <f t="shared" si="20"/>
        <v>2429.1425277923195</v>
      </c>
      <c r="BY14" s="628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8">
        <f t="shared" si="27"/>
        <v>0</v>
      </c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8">
        <f t="shared" si="28"/>
        <v>0</v>
      </c>
      <c r="DB14" s="20">
        <v>195.62886148817205</v>
      </c>
      <c r="DC14" s="20">
        <v>182.41068327619047</v>
      </c>
      <c r="DD14" s="20">
        <v>199.59164858494626</v>
      </c>
      <c r="DE14" s="20">
        <v>205.12247626666664</v>
      </c>
      <c r="DF14" s="20">
        <v>199.59164858494626</v>
      </c>
      <c r="DG14" s="20">
        <v>207.45927626666665</v>
      </c>
      <c r="DH14" s="20">
        <v>205.03168406881724</v>
      </c>
      <c r="DI14" s="20">
        <v>204.12711632688178</v>
      </c>
      <c r="DJ14" s="20">
        <v>212.14592626666669</v>
      </c>
      <c r="DK14" s="20">
        <v>205.03168406881724</v>
      </c>
      <c r="DL14" s="20">
        <v>208.87440626666668</v>
      </c>
      <c r="DM14" s="20">
        <v>204.12711632688178</v>
      </c>
      <c r="DN14" s="28">
        <f t="shared" si="29"/>
        <v>2429.1425277923195</v>
      </c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8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8"/>
      <c r="ER14" s="20"/>
      <c r="ES14" s="20"/>
      <c r="ET14" s="20"/>
      <c r="EU14" s="20"/>
      <c r="EV14" s="20"/>
      <c r="EW14" s="20"/>
      <c r="EX14" s="20"/>
      <c r="EY14" s="20"/>
      <c r="EZ14" s="20"/>
      <c r="FA14" s="20"/>
      <c r="FB14" s="20"/>
      <c r="FC14" s="20"/>
      <c r="FD14" s="28"/>
      <c r="FF14" s="20"/>
      <c r="FG14" s="20"/>
      <c r="FH14" s="20"/>
      <c r="FI14" s="20"/>
      <c r="FJ14" s="20"/>
      <c r="FK14" s="20"/>
      <c r="FL14" s="20"/>
      <c r="FM14" s="20"/>
      <c r="FN14" s="20"/>
      <c r="FO14" s="20"/>
      <c r="FP14" s="20"/>
      <c r="FQ14" s="20"/>
      <c r="FR14" s="28"/>
    </row>
    <row r="15" spans="1:174" ht="14.1" customHeight="1" x14ac:dyDescent="0.3">
      <c r="A15" s="3">
        <f t="shared" si="13"/>
        <v>12</v>
      </c>
      <c r="B15" s="3" t="s">
        <v>96</v>
      </c>
      <c r="C15" s="3" t="s">
        <v>52</v>
      </c>
      <c r="D15" s="3" t="s">
        <v>24</v>
      </c>
      <c r="E15" s="26" t="s">
        <v>105</v>
      </c>
      <c r="F15" s="20">
        <v>148.21799999999999</v>
      </c>
      <c r="G15" s="20">
        <v>141.316</v>
      </c>
      <c r="H15" s="20">
        <v>135.04400000000001</v>
      </c>
      <c r="I15" s="20">
        <v>119.938</v>
      </c>
      <c r="J15" s="20">
        <v>155.708</v>
      </c>
      <c r="K15" s="20">
        <v>100.15600000000001</v>
      </c>
      <c r="L15" s="20">
        <v>110.04</v>
      </c>
      <c r="M15" s="20">
        <v>130.928</v>
      </c>
      <c r="N15" s="20">
        <v>129.892</v>
      </c>
      <c r="O15" s="20">
        <v>122.262</v>
      </c>
      <c r="P15" s="20">
        <v>113.988</v>
      </c>
      <c r="Q15" s="548">
        <v>133.602</v>
      </c>
      <c r="R15" s="557">
        <f t="shared" si="14"/>
        <v>128.42433333333335</v>
      </c>
      <c r="S15" s="551">
        <v>106.229562</v>
      </c>
      <c r="T15" s="20">
        <v>95.315191999999996</v>
      </c>
      <c r="U15" s="20">
        <v>119.124152</v>
      </c>
      <c r="V15" s="20">
        <v>121.11321599999999</v>
      </c>
      <c r="W15" s="20">
        <v>108.694152</v>
      </c>
      <c r="X15" s="20">
        <v>114.626288</v>
      </c>
      <c r="Y15" s="20">
        <v>91.745695999999995</v>
      </c>
      <c r="Z15" s="20">
        <v>93.112375999999998</v>
      </c>
      <c r="AA15" s="20">
        <v>86.641295999999997</v>
      </c>
      <c r="AB15" s="20">
        <v>106.1704</v>
      </c>
      <c r="AC15" s="20">
        <v>120.841448</v>
      </c>
      <c r="AD15" s="20">
        <v>105.80516799999999</v>
      </c>
      <c r="AE15" s="20"/>
      <c r="AF15" s="556">
        <f t="shared" si="15"/>
        <v>1269.418946</v>
      </c>
      <c r="AG15" s="557">
        <f t="shared" si="16"/>
        <v>105.78491216666667</v>
      </c>
      <c r="AH15" s="551">
        <v>79.404359999999997</v>
      </c>
      <c r="AI15" s="20">
        <v>119.94136</v>
      </c>
      <c r="AJ15" s="20">
        <v>104.151656</v>
      </c>
      <c r="AK15" s="20">
        <v>104.034672</v>
      </c>
      <c r="AL15" s="20">
        <v>141.02373600000001</v>
      </c>
      <c r="AM15" s="20">
        <v>134.20881600000001</v>
      </c>
      <c r="AN15" s="20">
        <v>136.272808</v>
      </c>
      <c r="AO15" s="20">
        <v>171.71912800000001</v>
      </c>
      <c r="AP15" s="20">
        <v>145.613552</v>
      </c>
      <c r="AQ15" s="20">
        <v>151.58830399999999</v>
      </c>
      <c r="AR15" s="20">
        <v>118.740104</v>
      </c>
      <c r="AS15" s="20">
        <v>108.986192</v>
      </c>
      <c r="AT15" s="20"/>
      <c r="AU15" s="557">
        <f t="shared" si="17"/>
        <v>126.30705733333333</v>
      </c>
      <c r="AV15" s="551">
        <v>97.199703999999997</v>
      </c>
      <c r="AW15" s="20">
        <v>70.051295999999994</v>
      </c>
      <c r="AX15" s="20">
        <v>90.323352</v>
      </c>
      <c r="AY15" s="20">
        <v>105.708792</v>
      </c>
      <c r="AZ15" s="20">
        <v>105.29355200000001</v>
      </c>
      <c r="BA15" s="20"/>
      <c r="BB15" s="20"/>
      <c r="BC15" s="20"/>
      <c r="BD15" s="20"/>
      <c r="BE15" s="20"/>
      <c r="BF15" s="20"/>
      <c r="BG15" s="20"/>
      <c r="BH15" s="20">
        <f t="shared" si="18"/>
        <v>93.715339199999988</v>
      </c>
      <c r="BI15" s="41" cm="1">
        <f t="array" ref="BI15">INDEX(BL15:BW15,$BL$1)</f>
        <v>143.01354816000003</v>
      </c>
      <c r="BJ15" s="27"/>
      <c r="BK15" s="598"/>
      <c r="BL15" s="20">
        <f t="shared" si="19"/>
        <v>184.84066944000003</v>
      </c>
      <c r="BM15" s="20">
        <f t="shared" si="2"/>
        <v>143.01354816000003</v>
      </c>
      <c r="BN15" s="20">
        <f t="shared" si="3"/>
        <v>184.84066944000003</v>
      </c>
      <c r="BO15" s="20">
        <f t="shared" si="4"/>
        <v>185.1681384</v>
      </c>
      <c r="BP15" s="20">
        <f t="shared" si="5"/>
        <v>185.39188416000002</v>
      </c>
      <c r="BQ15" s="20">
        <f t="shared" si="6"/>
        <v>185.1681384</v>
      </c>
      <c r="BR15" s="20">
        <f t="shared" si="7"/>
        <v>188.51543424000008</v>
      </c>
      <c r="BS15" s="20">
        <f t="shared" si="8"/>
        <v>188.51543424000008</v>
      </c>
      <c r="BT15" s="20">
        <f t="shared" si="9"/>
        <v>188.90217360000003</v>
      </c>
      <c r="BU15" s="20">
        <f t="shared" si="10"/>
        <v>187.59674304000006</v>
      </c>
      <c r="BV15" s="20">
        <f t="shared" si="11"/>
        <v>189.25779600000001</v>
      </c>
      <c r="BW15" s="20">
        <f t="shared" si="12"/>
        <v>187.59674304000006</v>
      </c>
      <c r="BX15" s="28">
        <f t="shared" si="20"/>
        <v>2198.8073721600003</v>
      </c>
      <c r="BY15" s="628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8">
        <f t="shared" si="27"/>
        <v>0</v>
      </c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8">
        <f t="shared" si="28"/>
        <v>0</v>
      </c>
      <c r="DB15" s="20">
        <v>184.84066944000003</v>
      </c>
      <c r="DC15" s="20">
        <v>143.01354816000003</v>
      </c>
      <c r="DD15" s="20">
        <v>184.84066944000003</v>
      </c>
      <c r="DE15" s="20">
        <v>185.1681384</v>
      </c>
      <c r="DF15" s="20">
        <v>185.39188416000002</v>
      </c>
      <c r="DG15" s="20">
        <v>185.1681384</v>
      </c>
      <c r="DH15" s="20">
        <v>188.51543424000008</v>
      </c>
      <c r="DI15" s="20">
        <v>188.51543424000008</v>
      </c>
      <c r="DJ15" s="20">
        <v>188.90217360000003</v>
      </c>
      <c r="DK15" s="20">
        <v>187.59674304000006</v>
      </c>
      <c r="DL15" s="20">
        <v>189.25779600000001</v>
      </c>
      <c r="DM15" s="20">
        <v>187.59674304000006</v>
      </c>
      <c r="DN15" s="28">
        <f t="shared" si="29"/>
        <v>2198.8073721600003</v>
      </c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8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8"/>
      <c r="ER15" s="20"/>
      <c r="ES15" s="20"/>
      <c r="ET15" s="20"/>
      <c r="EU15" s="20"/>
      <c r="EV15" s="20"/>
      <c r="EW15" s="20"/>
      <c r="EX15" s="20"/>
      <c r="EY15" s="20"/>
      <c r="EZ15" s="20"/>
      <c r="FA15" s="20"/>
      <c r="FB15" s="20"/>
      <c r="FC15" s="20"/>
      <c r="FD15" s="28"/>
      <c r="FF15" s="20"/>
      <c r="FG15" s="20"/>
      <c r="FH15" s="20"/>
      <c r="FI15" s="20"/>
      <c r="FJ15" s="20"/>
      <c r="FK15" s="20"/>
      <c r="FL15" s="20"/>
      <c r="FM15" s="20"/>
      <c r="FN15" s="20"/>
      <c r="FO15" s="20"/>
      <c r="FP15" s="20"/>
      <c r="FQ15" s="20"/>
      <c r="FR15" s="28"/>
    </row>
    <row r="16" spans="1:174" ht="14.1" customHeight="1" x14ac:dyDescent="0.3">
      <c r="A16" s="3">
        <f t="shared" si="13"/>
        <v>13</v>
      </c>
      <c r="B16" s="3" t="s">
        <v>96</v>
      </c>
      <c r="C16" s="3" t="s">
        <v>49</v>
      </c>
      <c r="D16" s="3" t="s">
        <v>35</v>
      </c>
      <c r="E16" s="26" t="s">
        <v>105</v>
      </c>
      <c r="F16" s="20">
        <v>77.756324000000006</v>
      </c>
      <c r="G16" s="20">
        <v>86.656323999999998</v>
      </c>
      <c r="H16" s="20">
        <v>96.348770999999999</v>
      </c>
      <c r="I16" s="20">
        <v>121.488354</v>
      </c>
      <c r="J16" s="20">
        <v>105.11398800000001</v>
      </c>
      <c r="K16" s="20">
        <v>149.60844800000001</v>
      </c>
      <c r="L16" s="20">
        <v>133.14721700000001</v>
      </c>
      <c r="M16" s="20">
        <v>126.687878</v>
      </c>
      <c r="N16" s="20">
        <v>116.520274</v>
      </c>
      <c r="O16" s="20">
        <v>119.69473499999999</v>
      </c>
      <c r="P16" s="20">
        <v>133.28872100000001</v>
      </c>
      <c r="Q16" s="548">
        <v>139.639126</v>
      </c>
      <c r="R16" s="557">
        <f t="shared" si="14"/>
        <v>117.16251333333332</v>
      </c>
      <c r="S16" s="551">
        <v>141.09458900000001</v>
      </c>
      <c r="T16" s="20">
        <v>134.933345</v>
      </c>
      <c r="U16" s="20">
        <v>138.53165799999999</v>
      </c>
      <c r="V16" s="20">
        <v>124.11779900000001</v>
      </c>
      <c r="W16" s="20">
        <v>119.77466200000001</v>
      </c>
      <c r="X16" s="20">
        <v>109.54861200000001</v>
      </c>
      <c r="Y16" s="20">
        <v>99.025947000000002</v>
      </c>
      <c r="Z16" s="20">
        <v>117.751276</v>
      </c>
      <c r="AA16" s="20">
        <v>135.853973</v>
      </c>
      <c r="AB16" s="20">
        <v>161.36879300000001</v>
      </c>
      <c r="AC16" s="20">
        <v>155.12281200000001</v>
      </c>
      <c r="AD16" s="20">
        <v>164.211412</v>
      </c>
      <c r="AE16" s="20"/>
      <c r="AF16" s="556">
        <f t="shared" si="15"/>
        <v>1601.3348780000001</v>
      </c>
      <c r="AG16" s="557">
        <f t="shared" si="16"/>
        <v>133.44457316666669</v>
      </c>
      <c r="AH16" s="551">
        <v>186.80962</v>
      </c>
      <c r="AI16" s="20">
        <v>205.223758</v>
      </c>
      <c r="AJ16" s="20">
        <v>212.42631900000001</v>
      </c>
      <c r="AK16" s="20">
        <v>211.27502799999999</v>
      </c>
      <c r="AL16" s="20">
        <v>219.63126800000001</v>
      </c>
      <c r="AM16" s="20">
        <v>234.35812999999999</v>
      </c>
      <c r="AN16" s="20">
        <v>228.682311</v>
      </c>
      <c r="AO16" s="20">
        <v>241.44515000000001</v>
      </c>
      <c r="AP16" s="20">
        <v>230.85844399999999</v>
      </c>
      <c r="AQ16" s="20">
        <v>203.993593</v>
      </c>
      <c r="AR16" s="20">
        <v>195.982675</v>
      </c>
      <c r="AS16" s="20">
        <v>185.77301399999999</v>
      </c>
      <c r="AT16" s="20"/>
      <c r="AU16" s="557">
        <f t="shared" si="17"/>
        <v>213.03827583333336</v>
      </c>
      <c r="AV16" s="551">
        <v>165.94377800000001</v>
      </c>
      <c r="AW16" s="20">
        <v>145.793384</v>
      </c>
      <c r="AX16" s="20">
        <v>161.32664199999999</v>
      </c>
      <c r="AY16" s="20">
        <v>148.295143</v>
      </c>
      <c r="AZ16" s="20">
        <v>144.11939699999999</v>
      </c>
      <c r="BA16" s="20"/>
      <c r="BB16" s="20"/>
      <c r="BC16" s="20"/>
      <c r="BD16" s="20"/>
      <c r="BE16" s="20"/>
      <c r="BF16" s="20"/>
      <c r="BG16" s="20"/>
      <c r="BH16" s="20">
        <f t="shared" si="18"/>
        <v>153.09566879999997</v>
      </c>
      <c r="BI16" s="41" cm="1">
        <f t="array" ref="BI16">INDEX(BL16:BW16,$BL$1)</f>
        <v>167.39207049549748</v>
      </c>
      <c r="BJ16" s="33"/>
      <c r="BK16" s="598"/>
      <c r="BL16" s="20">
        <f t="shared" si="19"/>
        <v>159.64027909069745</v>
      </c>
      <c r="BM16" s="20">
        <f t="shared" si="2"/>
        <v>167.39207049549748</v>
      </c>
      <c r="BN16" s="20">
        <f t="shared" si="3"/>
        <v>172.02539865029743</v>
      </c>
      <c r="BO16" s="20">
        <f t="shared" si="4"/>
        <v>179.32544605509744</v>
      </c>
      <c r="BP16" s="20">
        <f t="shared" si="5"/>
        <v>173.37826738297431</v>
      </c>
      <c r="BQ16" s="20">
        <f t="shared" si="6"/>
        <v>162.77463992879999</v>
      </c>
      <c r="BR16" s="20">
        <f t="shared" si="7"/>
        <v>166.54278575026666</v>
      </c>
      <c r="BS16" s="20">
        <f t="shared" si="8"/>
        <v>158.84286957173333</v>
      </c>
      <c r="BT16" s="20">
        <f t="shared" si="9"/>
        <v>159.92789464320001</v>
      </c>
      <c r="BU16" s="20">
        <f t="shared" si="10"/>
        <v>160.55650871466668</v>
      </c>
      <c r="BV16" s="20">
        <f t="shared" si="11"/>
        <v>161.51952778613335</v>
      </c>
      <c r="BW16" s="20">
        <f t="shared" si="12"/>
        <v>154.72149685760002</v>
      </c>
      <c r="BX16" s="28">
        <f t="shared" si="20"/>
        <v>1976.6471849269642</v>
      </c>
      <c r="BY16" s="628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8">
        <f t="shared" si="27"/>
        <v>0</v>
      </c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8">
        <f t="shared" si="28"/>
        <v>0</v>
      </c>
      <c r="DB16" s="20">
        <v>159.64027909069745</v>
      </c>
      <c r="DC16" s="20">
        <v>167.39207049549748</v>
      </c>
      <c r="DD16" s="20">
        <v>172.02539865029743</v>
      </c>
      <c r="DE16" s="20">
        <v>179.32544605509744</v>
      </c>
      <c r="DF16" s="20">
        <v>173.37826738297431</v>
      </c>
      <c r="DG16" s="20">
        <v>162.77463992879999</v>
      </c>
      <c r="DH16" s="20">
        <v>166.54278575026666</v>
      </c>
      <c r="DI16" s="20">
        <v>158.84286957173333</v>
      </c>
      <c r="DJ16" s="20">
        <v>159.92789464320001</v>
      </c>
      <c r="DK16" s="20">
        <v>160.55650871466668</v>
      </c>
      <c r="DL16" s="20">
        <v>161.51952778613335</v>
      </c>
      <c r="DM16" s="20">
        <v>154.72149685760002</v>
      </c>
      <c r="DN16" s="28">
        <f t="shared" si="29"/>
        <v>1976.6471849269642</v>
      </c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8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8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8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8"/>
    </row>
    <row r="17" spans="1:174" ht="13.5" customHeight="1" x14ac:dyDescent="0.25">
      <c r="A17" s="3">
        <f t="shared" si="13"/>
        <v>14</v>
      </c>
      <c r="B17" s="3" t="s">
        <v>96</v>
      </c>
      <c r="C17" s="3" t="s">
        <v>166</v>
      </c>
      <c r="D17" s="3" t="s">
        <v>41</v>
      </c>
      <c r="E17" s="26" t="s">
        <v>105</v>
      </c>
      <c r="F17" s="4">
        <v>0</v>
      </c>
      <c r="G17" s="4">
        <v>0</v>
      </c>
      <c r="H17" s="4">
        <v>78.751999999999995</v>
      </c>
      <c r="I17" s="4">
        <v>70.222354999999993</v>
      </c>
      <c r="J17" s="4">
        <v>56.949300000000001</v>
      </c>
      <c r="K17" s="20">
        <v>269.59059999999999</v>
      </c>
      <c r="L17" s="20">
        <v>121.9</v>
      </c>
      <c r="M17" s="20">
        <v>99.602000000000004</v>
      </c>
      <c r="N17" s="20">
        <v>0</v>
      </c>
      <c r="O17" s="20">
        <v>246.25559999999999</v>
      </c>
      <c r="P17" s="20">
        <v>141.42070000000001</v>
      </c>
      <c r="Q17" s="548">
        <v>208.09110000000001</v>
      </c>
      <c r="R17" s="557">
        <f t="shared" si="14"/>
        <v>107.73197125000002</v>
      </c>
      <c r="S17" s="551">
        <v>10</v>
      </c>
      <c r="T17" s="20">
        <v>0</v>
      </c>
      <c r="U17" s="20">
        <v>-5</v>
      </c>
      <c r="V17" s="20">
        <v>0</v>
      </c>
      <c r="W17" s="20">
        <v>32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23.387096</v>
      </c>
      <c r="AD17" s="20">
        <v>0</v>
      </c>
      <c r="AE17" s="20"/>
      <c r="AF17" s="556">
        <f t="shared" si="15"/>
        <v>60.387096</v>
      </c>
      <c r="AG17" s="557">
        <f t="shared" si="16"/>
        <v>5.0322579999999997</v>
      </c>
      <c r="AH17" s="551">
        <v>0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>
        <v>0</v>
      </c>
      <c r="AO17" s="20">
        <v>0</v>
      </c>
      <c r="AP17" s="20">
        <v>0</v>
      </c>
      <c r="AQ17" s="20">
        <v>0</v>
      </c>
      <c r="AR17" s="20">
        <v>0</v>
      </c>
      <c r="AS17" s="20">
        <v>0</v>
      </c>
      <c r="AT17" s="20"/>
      <c r="AU17" s="557">
        <f t="shared" si="17"/>
        <v>0</v>
      </c>
      <c r="AV17" s="551">
        <v>0</v>
      </c>
      <c r="AW17" s="20">
        <v>0</v>
      </c>
      <c r="AX17" s="20">
        <v>0</v>
      </c>
      <c r="AY17" s="20">
        <v>0</v>
      </c>
      <c r="AZ17" s="20">
        <v>0</v>
      </c>
      <c r="BA17" s="20"/>
      <c r="BB17" s="20"/>
      <c r="BC17" s="20"/>
      <c r="BD17" s="20"/>
      <c r="BE17" s="20"/>
      <c r="BF17" s="20"/>
      <c r="BG17" s="20"/>
      <c r="BH17" s="20">
        <f t="shared" si="18"/>
        <v>0</v>
      </c>
      <c r="BI17" s="41" cm="1">
        <f t="array" ref="BI17">INDEX(BL17:BW17,$BL$1)</f>
        <v>0</v>
      </c>
      <c r="BJ17" s="44"/>
      <c r="BK17" s="598"/>
      <c r="BL17" s="20">
        <f t="shared" si="19"/>
        <v>0</v>
      </c>
      <c r="BM17" s="20">
        <f t="shared" si="2"/>
        <v>0</v>
      </c>
      <c r="BN17" s="20">
        <f t="shared" si="3"/>
        <v>0</v>
      </c>
      <c r="BO17" s="20">
        <f t="shared" si="4"/>
        <v>0</v>
      </c>
      <c r="BP17" s="20">
        <f t="shared" si="5"/>
        <v>0</v>
      </c>
      <c r="BQ17" s="20">
        <f t="shared" si="6"/>
        <v>0</v>
      </c>
      <c r="BR17" s="20">
        <f t="shared" si="7"/>
        <v>0</v>
      </c>
      <c r="BS17" s="20">
        <f t="shared" si="8"/>
        <v>0</v>
      </c>
      <c r="BT17" s="20">
        <f t="shared" si="9"/>
        <v>0</v>
      </c>
      <c r="BU17" s="20">
        <f t="shared" si="10"/>
        <v>0</v>
      </c>
      <c r="BV17" s="20">
        <f t="shared" si="11"/>
        <v>0</v>
      </c>
      <c r="BW17" s="20">
        <f t="shared" si="12"/>
        <v>0</v>
      </c>
      <c r="BX17" s="28">
        <f>SUM(BL17:BW17)</f>
        <v>0</v>
      </c>
      <c r="BY17" s="628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8">
        <f>SUM(BZ17:CK17)</f>
        <v>0</v>
      </c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8">
        <f>SUM(CN17:CY17)</f>
        <v>0</v>
      </c>
      <c r="DB17" s="20">
        <v>0</v>
      </c>
      <c r="DC17" s="20">
        <v>0</v>
      </c>
      <c r="DD17" s="20">
        <v>0</v>
      </c>
      <c r="DE17" s="20">
        <v>0</v>
      </c>
      <c r="DF17" s="20">
        <v>0</v>
      </c>
      <c r="DG17" s="20">
        <v>0</v>
      </c>
      <c r="DH17" s="20">
        <v>0</v>
      </c>
      <c r="DI17" s="20">
        <v>0</v>
      </c>
      <c r="DJ17" s="20">
        <v>0</v>
      </c>
      <c r="DK17" s="20">
        <v>0</v>
      </c>
      <c r="DL17" s="20">
        <v>0</v>
      </c>
      <c r="DM17" s="20">
        <v>0</v>
      </c>
      <c r="DN17" s="28">
        <f>SUM(DB17:DM17)</f>
        <v>0</v>
      </c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8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8"/>
      <c r="ER17" s="20"/>
      <c r="ES17" s="20"/>
      <c r="ET17" s="20"/>
      <c r="EU17" s="20"/>
      <c r="EV17" s="20"/>
      <c r="EW17" s="20"/>
      <c r="EX17" s="20"/>
      <c r="EY17" s="20"/>
      <c r="EZ17" s="20"/>
      <c r="FA17" s="20"/>
      <c r="FB17" s="20"/>
      <c r="FC17" s="20"/>
      <c r="FD17" s="28"/>
      <c r="FF17" s="20"/>
      <c r="FG17" s="20"/>
      <c r="FH17" s="20"/>
      <c r="FI17" s="20"/>
      <c r="FJ17" s="20"/>
      <c r="FK17" s="20"/>
      <c r="FL17" s="20"/>
      <c r="FM17" s="20"/>
      <c r="FN17" s="20"/>
      <c r="FO17" s="20"/>
      <c r="FP17" s="20"/>
      <c r="FQ17" s="20"/>
      <c r="FR17" s="28"/>
    </row>
    <row r="18" spans="1:174" ht="14.1" customHeight="1" x14ac:dyDescent="0.25">
      <c r="A18" s="3">
        <f t="shared" si="13"/>
        <v>15</v>
      </c>
      <c r="B18" s="3" t="s">
        <v>96</v>
      </c>
      <c r="C18" s="25" t="s">
        <v>42</v>
      </c>
      <c r="D18" s="25" t="s">
        <v>208</v>
      </c>
      <c r="E18" s="26" t="s">
        <v>105</v>
      </c>
      <c r="F18" s="20">
        <v>92.851895999999996</v>
      </c>
      <c r="G18" s="20">
        <v>113.22258100000001</v>
      </c>
      <c r="H18" s="20">
        <v>159.68341899999999</v>
      </c>
      <c r="I18" s="20">
        <v>108.30909699999999</v>
      </c>
      <c r="J18" s="20">
        <v>162.76302200000001</v>
      </c>
      <c r="K18" s="20">
        <v>193.360625</v>
      </c>
      <c r="L18" s="20">
        <v>135.11064500000001</v>
      </c>
      <c r="M18" s="20">
        <v>93.960159000000004</v>
      </c>
      <c r="N18" s="20">
        <v>59.163989999999998</v>
      </c>
      <c r="O18" s="20">
        <v>55.902678999999999</v>
      </c>
      <c r="P18" s="20">
        <v>50.242654999999999</v>
      </c>
      <c r="Q18" s="548">
        <v>118.635864</v>
      </c>
      <c r="R18" s="557">
        <f t="shared" si="14"/>
        <v>111.93388600000002</v>
      </c>
      <c r="S18" s="551">
        <v>69.344239000000002</v>
      </c>
      <c r="T18" s="20">
        <v>65.696956</v>
      </c>
      <c r="U18" s="20">
        <v>71.977480999999997</v>
      </c>
      <c r="V18" s="20">
        <v>87.504536000000002</v>
      </c>
      <c r="W18" s="20">
        <v>181.65412699999999</v>
      </c>
      <c r="X18" s="20">
        <v>81.847181000000006</v>
      </c>
      <c r="Y18" s="20">
        <v>73.038004000000001</v>
      </c>
      <c r="Z18" s="20">
        <v>79.525662999999994</v>
      </c>
      <c r="AA18" s="20">
        <v>60.357999999999997</v>
      </c>
      <c r="AB18" s="20">
        <v>87.399765000000002</v>
      </c>
      <c r="AC18" s="20">
        <v>74.767274</v>
      </c>
      <c r="AD18" s="20">
        <v>71.777555000000007</v>
      </c>
      <c r="AE18" s="20"/>
      <c r="AF18" s="556">
        <f t="shared" si="15"/>
        <v>1004.8907810000001</v>
      </c>
      <c r="AG18" s="557">
        <f t="shared" si="16"/>
        <v>83.740898416666667</v>
      </c>
      <c r="AH18" s="551">
        <v>45.727381999999999</v>
      </c>
      <c r="AI18" s="20">
        <v>53.042850000000001</v>
      </c>
      <c r="AJ18" s="20">
        <v>68.456312999999994</v>
      </c>
      <c r="AK18" s="20">
        <v>99.335018000000005</v>
      </c>
      <c r="AL18" s="20">
        <v>84.974800999999999</v>
      </c>
      <c r="AM18" s="20">
        <v>72.702527000000003</v>
      </c>
      <c r="AN18" s="20">
        <v>138.852576</v>
      </c>
      <c r="AO18" s="20">
        <v>95.803742</v>
      </c>
      <c r="AP18" s="20">
        <v>141.52082899999999</v>
      </c>
      <c r="AQ18" s="20">
        <v>136.74355199999999</v>
      </c>
      <c r="AR18" s="20">
        <v>54.052813</v>
      </c>
      <c r="AS18" s="20">
        <v>79.987669999999994</v>
      </c>
      <c r="AT18" s="20"/>
      <c r="AU18" s="557">
        <f t="shared" si="17"/>
        <v>89.266672750000012</v>
      </c>
      <c r="AV18" s="551">
        <v>70.029363000000004</v>
      </c>
      <c r="AW18" s="20">
        <v>41.454301999999998</v>
      </c>
      <c r="AX18" s="20">
        <v>99.310658000000004</v>
      </c>
      <c r="AY18" s="20">
        <v>109.596222</v>
      </c>
      <c r="AZ18" s="20">
        <v>84.135278</v>
      </c>
      <c r="BA18" s="20"/>
      <c r="BB18" s="20"/>
      <c r="BC18" s="20"/>
      <c r="BD18" s="20"/>
      <c r="BE18" s="20"/>
      <c r="BF18" s="20"/>
      <c r="BG18" s="20"/>
      <c r="BH18" s="20">
        <f t="shared" si="18"/>
        <v>80.905164600000006</v>
      </c>
      <c r="BI18" s="41" cm="1">
        <f t="array" ref="BI18">INDEX(BL18:BW18,$BL$1)</f>
        <v>130.10857906666666</v>
      </c>
      <c r="BJ18" s="30"/>
      <c r="BK18" s="598"/>
      <c r="BL18" s="20">
        <f t="shared" si="19"/>
        <v>117.85857906666668</v>
      </c>
      <c r="BM18" s="20">
        <f t="shared" si="2"/>
        <v>130.10857906666666</v>
      </c>
      <c r="BN18" s="20">
        <f t="shared" si="3"/>
        <v>125.92056526666669</v>
      </c>
      <c r="BO18" s="20">
        <f t="shared" si="4"/>
        <v>121.27056526666668</v>
      </c>
      <c r="BP18" s="20">
        <f t="shared" si="5"/>
        <v>122.35857906666668</v>
      </c>
      <c r="BQ18" s="20">
        <f t="shared" si="6"/>
        <v>133.31656526666669</v>
      </c>
      <c r="BR18" s="20">
        <f t="shared" si="7"/>
        <v>125.77056526666668</v>
      </c>
      <c r="BS18" s="20">
        <f t="shared" si="8"/>
        <v>133.52056526666669</v>
      </c>
      <c r="BT18" s="20">
        <f t="shared" si="9"/>
        <v>122.50857906666668</v>
      </c>
      <c r="BU18" s="20">
        <f t="shared" si="10"/>
        <v>133.52056526666669</v>
      </c>
      <c r="BV18" s="20">
        <f t="shared" si="11"/>
        <v>121.27056526666668</v>
      </c>
      <c r="BW18" s="20">
        <f t="shared" si="12"/>
        <v>117.85857906666668</v>
      </c>
      <c r="BX18" s="28">
        <f t="shared" si="20"/>
        <v>1505.2828522</v>
      </c>
      <c r="BY18" s="628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8">
        <f t="shared" ref="CL18:CL21" si="30">SUM(BZ18:CK18)</f>
        <v>0</v>
      </c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8">
        <f t="shared" ref="CZ18:CZ21" si="31">SUM(CN18:CY18)</f>
        <v>0</v>
      </c>
      <c r="DB18" s="20">
        <v>117.85857906666668</v>
      </c>
      <c r="DC18" s="20">
        <v>130.10857906666666</v>
      </c>
      <c r="DD18" s="20">
        <v>125.92056526666669</v>
      </c>
      <c r="DE18" s="20">
        <v>121.27056526666668</v>
      </c>
      <c r="DF18" s="20">
        <v>122.35857906666668</v>
      </c>
      <c r="DG18" s="20">
        <v>133.31656526666669</v>
      </c>
      <c r="DH18" s="20">
        <v>125.77056526666668</v>
      </c>
      <c r="DI18" s="20">
        <v>133.52056526666669</v>
      </c>
      <c r="DJ18" s="20">
        <v>122.50857906666668</v>
      </c>
      <c r="DK18" s="20">
        <v>133.52056526666669</v>
      </c>
      <c r="DL18" s="20">
        <v>121.27056526666668</v>
      </c>
      <c r="DM18" s="20">
        <v>117.85857906666668</v>
      </c>
      <c r="DN18" s="28">
        <f t="shared" ref="DN18:DN21" si="32">SUM(DB18:DM18)</f>
        <v>1505.2828522</v>
      </c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8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8"/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8"/>
      <c r="FF18" s="20"/>
      <c r="FG18" s="20"/>
      <c r="FH18" s="20"/>
      <c r="FI18" s="20"/>
      <c r="FJ18" s="20"/>
      <c r="FK18" s="20"/>
      <c r="FL18" s="20"/>
      <c r="FM18" s="20"/>
      <c r="FN18" s="20"/>
      <c r="FO18" s="20"/>
      <c r="FP18" s="20"/>
      <c r="FQ18" s="20"/>
      <c r="FR18" s="28"/>
    </row>
    <row r="19" spans="1:174" ht="14.1" customHeight="1" x14ac:dyDescent="0.25">
      <c r="A19" s="3">
        <f t="shared" si="13"/>
        <v>16</v>
      </c>
      <c r="B19" s="3" t="s">
        <v>96</v>
      </c>
      <c r="C19" s="3" t="s">
        <v>49</v>
      </c>
      <c r="D19" s="3" t="s">
        <v>18</v>
      </c>
      <c r="E19" s="26" t="s">
        <v>105</v>
      </c>
      <c r="F19" s="20">
        <v>39.315077000000002</v>
      </c>
      <c r="G19" s="20">
        <v>118.38605</v>
      </c>
      <c r="H19" s="20">
        <v>28.943300000000001</v>
      </c>
      <c r="I19" s="20">
        <v>155.44122300000001</v>
      </c>
      <c r="J19" s="20">
        <v>101.04413700000001</v>
      </c>
      <c r="K19" s="20">
        <v>43.475189</v>
      </c>
      <c r="L19" s="20">
        <v>82.915527999999995</v>
      </c>
      <c r="M19" s="20">
        <v>39.278489</v>
      </c>
      <c r="N19" s="20">
        <v>50.490042000000003</v>
      </c>
      <c r="O19" s="20">
        <v>12.929349999999999</v>
      </c>
      <c r="P19" s="20">
        <v>17.69772</v>
      </c>
      <c r="Q19" s="548">
        <v>41.241410999999999</v>
      </c>
      <c r="R19" s="557">
        <f t="shared" si="14"/>
        <v>60.929792999999997</v>
      </c>
      <c r="S19" s="551">
        <v>14.501901</v>
      </c>
      <c r="T19" s="20">
        <v>2.6986210000000002</v>
      </c>
      <c r="U19" s="20">
        <v>5.3964999999999996</v>
      </c>
      <c r="V19" s="20">
        <v>30.038202999999999</v>
      </c>
      <c r="W19" s="20">
        <v>30.054917</v>
      </c>
      <c r="X19" s="20">
        <v>25.476963999999999</v>
      </c>
      <c r="Y19" s="20">
        <v>28.672740000000001</v>
      </c>
      <c r="Z19" s="20">
        <v>35.380253000000003</v>
      </c>
      <c r="AA19" s="20">
        <v>64.455488000000003</v>
      </c>
      <c r="AB19" s="20">
        <v>53.240661000000003</v>
      </c>
      <c r="AC19" s="20">
        <v>24.896481999999999</v>
      </c>
      <c r="AD19" s="20">
        <v>62.312306999999997</v>
      </c>
      <c r="AE19" s="20"/>
      <c r="AF19" s="556">
        <f t="shared" si="15"/>
        <v>377.12503699999996</v>
      </c>
      <c r="AG19" s="557">
        <f t="shared" si="16"/>
        <v>31.427086416666665</v>
      </c>
      <c r="AH19" s="551">
        <v>38.177303000000002</v>
      </c>
      <c r="AI19" s="20">
        <v>83.424077999999994</v>
      </c>
      <c r="AJ19" s="20">
        <v>25.150424999999998</v>
      </c>
      <c r="AK19" s="20">
        <v>24.584395000000001</v>
      </c>
      <c r="AL19" s="20">
        <v>31.338750000000001</v>
      </c>
      <c r="AM19" s="20">
        <v>31.173096999999999</v>
      </c>
      <c r="AN19" s="20">
        <v>37.089469000000001</v>
      </c>
      <c r="AO19" s="20">
        <v>52.066772</v>
      </c>
      <c r="AP19" s="20">
        <v>37.026648000000002</v>
      </c>
      <c r="AQ19" s="20">
        <v>31.986357000000002</v>
      </c>
      <c r="AR19" s="20">
        <v>78.823627999999999</v>
      </c>
      <c r="AS19" s="20">
        <v>58.738680000000002</v>
      </c>
      <c r="AT19" s="20"/>
      <c r="AU19" s="557">
        <f t="shared" si="17"/>
        <v>44.1316335</v>
      </c>
      <c r="AV19" s="551">
        <v>42.188816000000003</v>
      </c>
      <c r="AW19" s="20">
        <v>86.824235999999999</v>
      </c>
      <c r="AX19" s="20">
        <v>216.01811699999999</v>
      </c>
      <c r="AY19" s="20">
        <v>16.737784000000001</v>
      </c>
      <c r="AZ19" s="20">
        <v>12.202643999999999</v>
      </c>
      <c r="BA19" s="20"/>
      <c r="BB19" s="20"/>
      <c r="BC19" s="20"/>
      <c r="BD19" s="20"/>
      <c r="BE19" s="20"/>
      <c r="BF19" s="20"/>
      <c r="BG19" s="20"/>
      <c r="BH19" s="20">
        <f t="shared" si="18"/>
        <v>74.794319399999992</v>
      </c>
      <c r="BI19" s="41" cm="1">
        <f t="array" ref="BI19">INDEX(BL19:BW19,$BL$1)</f>
        <v>45.498381583333334</v>
      </c>
      <c r="BJ19" s="30"/>
      <c r="BK19" s="598"/>
      <c r="BL19" s="20">
        <f t="shared" si="19"/>
        <v>26.593381583333336</v>
      </c>
      <c r="BM19" s="20">
        <f t="shared" si="2"/>
        <v>45.498381583333334</v>
      </c>
      <c r="BN19" s="20">
        <f t="shared" si="3"/>
        <v>32.123381583333334</v>
      </c>
      <c r="BO19" s="20">
        <f t="shared" si="4"/>
        <v>12.55</v>
      </c>
      <c r="BP19" s="20">
        <f t="shared" si="5"/>
        <v>21.6</v>
      </c>
      <c r="BQ19" s="20">
        <f t="shared" si="6"/>
        <v>23.675000000000001</v>
      </c>
      <c r="BR19" s="20">
        <f t="shared" si="7"/>
        <v>16.3</v>
      </c>
      <c r="BS19" s="20">
        <f t="shared" si="8"/>
        <v>7.8</v>
      </c>
      <c r="BT19" s="20">
        <f t="shared" si="9"/>
        <v>2.52</v>
      </c>
      <c r="BU19" s="20">
        <f t="shared" si="10"/>
        <v>51.255000000000003</v>
      </c>
      <c r="BV19" s="20">
        <f t="shared" si="11"/>
        <v>7.8</v>
      </c>
      <c r="BW19" s="20">
        <f t="shared" si="12"/>
        <v>2.5499999999999998</v>
      </c>
      <c r="BX19" s="28">
        <f t="shared" si="20"/>
        <v>250.26514475000008</v>
      </c>
      <c r="BY19" s="628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8">
        <f t="shared" si="30"/>
        <v>0</v>
      </c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8">
        <f t="shared" si="31"/>
        <v>0</v>
      </c>
      <c r="DB19" s="20">
        <v>26.593381583333336</v>
      </c>
      <c r="DC19" s="20">
        <v>45.498381583333334</v>
      </c>
      <c r="DD19" s="20">
        <v>32.123381583333334</v>
      </c>
      <c r="DE19" s="20">
        <v>12.55</v>
      </c>
      <c r="DF19" s="20">
        <v>21.6</v>
      </c>
      <c r="DG19" s="20">
        <v>23.675000000000001</v>
      </c>
      <c r="DH19" s="20">
        <v>16.3</v>
      </c>
      <c r="DI19" s="20">
        <v>7.8</v>
      </c>
      <c r="DJ19" s="20">
        <v>2.52</v>
      </c>
      <c r="DK19" s="20">
        <v>51.255000000000003</v>
      </c>
      <c r="DL19" s="20">
        <v>7.8</v>
      </c>
      <c r="DM19" s="20">
        <v>2.5499999999999998</v>
      </c>
      <c r="DN19" s="28">
        <f t="shared" si="32"/>
        <v>250.26514475000008</v>
      </c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8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8"/>
      <c r="ER19" s="20"/>
      <c r="ES19" s="20"/>
      <c r="ET19" s="20"/>
      <c r="EU19" s="20"/>
      <c r="EV19" s="20"/>
      <c r="EW19" s="20"/>
      <c r="EX19" s="20"/>
      <c r="EY19" s="20"/>
      <c r="EZ19" s="20"/>
      <c r="FA19" s="20"/>
      <c r="FB19" s="20"/>
      <c r="FC19" s="20"/>
      <c r="FD19" s="28"/>
      <c r="FF19" s="20"/>
      <c r="FG19" s="20"/>
      <c r="FH19" s="20"/>
      <c r="FI19" s="20"/>
      <c r="FJ19" s="20"/>
      <c r="FK19" s="20"/>
      <c r="FL19" s="20"/>
      <c r="FM19" s="20"/>
      <c r="FN19" s="20"/>
      <c r="FO19" s="20"/>
      <c r="FP19" s="20"/>
      <c r="FQ19" s="20"/>
      <c r="FR19" s="28"/>
    </row>
    <row r="20" spans="1:174" ht="14.1" customHeight="1" x14ac:dyDescent="0.3">
      <c r="A20" s="3">
        <f t="shared" si="13"/>
        <v>17</v>
      </c>
      <c r="B20" s="3" t="s">
        <v>96</v>
      </c>
      <c r="C20" s="3" t="s">
        <v>49</v>
      </c>
      <c r="D20" s="3" t="s">
        <v>31</v>
      </c>
      <c r="E20" s="26" t="s">
        <v>105</v>
      </c>
      <c r="F20" s="20">
        <v>71.4876</v>
      </c>
      <c r="G20" s="20">
        <v>22.832809000000001</v>
      </c>
      <c r="H20" s="20">
        <v>0</v>
      </c>
      <c r="I20" s="20">
        <v>0</v>
      </c>
      <c r="J20" s="20">
        <v>76.912172999999996</v>
      </c>
      <c r="K20" s="20">
        <v>68.92</v>
      </c>
      <c r="L20" s="20">
        <v>45.181908</v>
      </c>
      <c r="M20" s="20">
        <v>36.72</v>
      </c>
      <c r="N20" s="20">
        <v>28.744698</v>
      </c>
      <c r="O20" s="20">
        <f>62.7196+38.361535</f>
        <v>101.081135</v>
      </c>
      <c r="P20" s="20">
        <f>54.763819+39.8</f>
        <v>94.563818999999995</v>
      </c>
      <c r="Q20" s="548">
        <v>143.74413699999999</v>
      </c>
      <c r="R20" s="557">
        <f t="shared" si="14"/>
        <v>57.515689916666666</v>
      </c>
      <c r="S20" s="551">
        <v>81.483200999999994</v>
      </c>
      <c r="T20" s="20">
        <v>25.707972999999999</v>
      </c>
      <c r="U20" s="20">
        <v>16.005742000000001</v>
      </c>
      <c r="V20" s="20">
        <v>13.073878000000001</v>
      </c>
      <c r="W20" s="20">
        <v>30.752351999999998</v>
      </c>
      <c r="X20" s="20">
        <v>8.2593219999999992</v>
      </c>
      <c r="Y20" s="20">
        <v>18.239467000000001</v>
      </c>
      <c r="Z20" s="20">
        <v>22.414930999999999</v>
      </c>
      <c r="AA20" s="20">
        <v>11.566565000000001</v>
      </c>
      <c r="AB20" s="20">
        <v>24.152785000000002</v>
      </c>
      <c r="AC20" s="20">
        <v>39.165312999999998</v>
      </c>
      <c r="AD20" s="20">
        <v>23.007807</v>
      </c>
      <c r="AE20" s="20"/>
      <c r="AF20" s="556">
        <f t="shared" si="15"/>
        <v>313.82933599999996</v>
      </c>
      <c r="AG20" s="557">
        <f t="shared" si="16"/>
        <v>26.152444666666664</v>
      </c>
      <c r="AH20" s="551">
        <v>12.427568000000001</v>
      </c>
      <c r="AI20" s="20">
        <v>24.043178999999999</v>
      </c>
      <c r="AJ20" s="20">
        <v>35.059730999999999</v>
      </c>
      <c r="AK20" s="20">
        <v>38.844907999999997</v>
      </c>
      <c r="AL20" s="20">
        <v>22.092518999999999</v>
      </c>
      <c r="AM20" s="20">
        <v>50.022796</v>
      </c>
      <c r="AN20" s="20">
        <v>52.826458000000002</v>
      </c>
      <c r="AO20" s="20">
        <v>31.120740000000001</v>
      </c>
      <c r="AP20" s="20">
        <v>39.038530999999999</v>
      </c>
      <c r="AQ20" s="20">
        <v>35.154823999999998</v>
      </c>
      <c r="AR20" s="20">
        <v>30.469470000000001</v>
      </c>
      <c r="AS20" s="20">
        <v>46.667845</v>
      </c>
      <c r="AT20" s="20"/>
      <c r="AU20" s="557">
        <f t="shared" si="17"/>
        <v>34.814047416666668</v>
      </c>
      <c r="AV20" s="551">
        <v>121.00608</v>
      </c>
      <c r="AW20" s="20">
        <v>110.621227</v>
      </c>
      <c r="AX20" s="20">
        <v>170.42600400000001</v>
      </c>
      <c r="AY20" s="20">
        <v>167.40077199999999</v>
      </c>
      <c r="AZ20" s="20">
        <v>162.800105</v>
      </c>
      <c r="BA20" s="20"/>
      <c r="BB20" s="20"/>
      <c r="BC20" s="20"/>
      <c r="BD20" s="20"/>
      <c r="BE20" s="20"/>
      <c r="BF20" s="20"/>
      <c r="BG20" s="20"/>
      <c r="BH20" s="20">
        <f t="shared" si="18"/>
        <v>146.4508376</v>
      </c>
      <c r="BI20" s="41" cm="1">
        <f t="array" ref="BI20">INDEX(BL20:BW20,$BL$1)</f>
        <v>178.75622123590563</v>
      </c>
      <c r="BJ20" s="27"/>
      <c r="BK20" s="598"/>
      <c r="BL20" s="20">
        <f t="shared" si="19"/>
        <v>189.77688996419838</v>
      </c>
      <c r="BM20" s="20">
        <f t="shared" si="2"/>
        <v>178.75622123590563</v>
      </c>
      <c r="BN20" s="20">
        <f t="shared" si="3"/>
        <v>205.72918706880665</v>
      </c>
      <c r="BO20" s="20">
        <f t="shared" si="4"/>
        <v>203.32607365130562</v>
      </c>
      <c r="BP20" s="20">
        <f t="shared" si="5"/>
        <v>196.52577506880664</v>
      </c>
      <c r="BQ20" s="20">
        <f t="shared" si="6"/>
        <v>216.81684463940087</v>
      </c>
      <c r="BR20" s="20">
        <f t="shared" si="7"/>
        <v>211.68600093731663</v>
      </c>
      <c r="BS20" s="20">
        <f t="shared" si="8"/>
        <v>207.72992439353783</v>
      </c>
      <c r="BT20" s="20">
        <f t="shared" si="9"/>
        <v>218.77089113606755</v>
      </c>
      <c r="BU20" s="20">
        <f t="shared" si="10"/>
        <v>211.13265601796178</v>
      </c>
      <c r="BV20" s="20">
        <f t="shared" si="11"/>
        <v>212.74902705273422</v>
      </c>
      <c r="BW20" s="20">
        <f t="shared" si="12"/>
        <v>216.31432615160233</v>
      </c>
      <c r="BX20" s="28">
        <f t="shared" si="20"/>
        <v>2469.3138173176444</v>
      </c>
      <c r="BY20" s="628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8">
        <f t="shared" si="30"/>
        <v>0</v>
      </c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8">
        <f t="shared" si="31"/>
        <v>0</v>
      </c>
      <c r="DB20" s="20">
        <v>189.77688996419838</v>
      </c>
      <c r="DC20" s="20">
        <v>178.75622123590563</v>
      </c>
      <c r="DD20" s="20">
        <v>205.72918706880665</v>
      </c>
      <c r="DE20" s="20">
        <v>203.32607365130562</v>
      </c>
      <c r="DF20" s="20">
        <v>196.52577506880664</v>
      </c>
      <c r="DG20" s="20">
        <v>216.81684463940087</v>
      </c>
      <c r="DH20" s="20">
        <v>211.68600093731663</v>
      </c>
      <c r="DI20" s="20">
        <v>207.72992439353783</v>
      </c>
      <c r="DJ20" s="20">
        <v>218.77089113606755</v>
      </c>
      <c r="DK20" s="20">
        <v>211.13265601796178</v>
      </c>
      <c r="DL20" s="20">
        <v>212.74902705273422</v>
      </c>
      <c r="DM20" s="20">
        <v>216.31432615160233</v>
      </c>
      <c r="DN20" s="28">
        <f t="shared" si="32"/>
        <v>2469.3138173176444</v>
      </c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8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8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8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8"/>
    </row>
    <row r="21" spans="1:174" ht="14.1" customHeight="1" x14ac:dyDescent="0.3">
      <c r="A21" s="3">
        <f t="shared" si="13"/>
        <v>18</v>
      </c>
      <c r="B21" s="3" t="s">
        <v>96</v>
      </c>
      <c r="C21" s="636" t="s">
        <v>55</v>
      </c>
      <c r="D21" s="636" t="s">
        <v>55</v>
      </c>
      <c r="E21" s="26" t="s">
        <v>105</v>
      </c>
      <c r="F21" s="20">
        <v>0</v>
      </c>
      <c r="G21" s="20">
        <v>0</v>
      </c>
      <c r="H21" s="20">
        <v>0</v>
      </c>
      <c r="I21" s="20">
        <v>81.42</v>
      </c>
      <c r="J21" s="20">
        <v>54.022096999999995</v>
      </c>
      <c r="K21" s="20">
        <v>61.597110999999998</v>
      </c>
      <c r="L21" s="20">
        <v>33.630000000000003</v>
      </c>
      <c r="M21" s="20">
        <v>68.504600000000011</v>
      </c>
      <c r="N21" s="20">
        <v>44.922600000000003</v>
      </c>
      <c r="O21" s="20">
        <v>0</v>
      </c>
      <c r="P21" s="20">
        <v>22.420062999999999</v>
      </c>
      <c r="Q21" s="548">
        <v>0.13513700000000001</v>
      </c>
      <c r="R21" s="557">
        <f t="shared" si="14"/>
        <v>30.554300666666666</v>
      </c>
      <c r="S21" s="551">
        <v>22.973268999999998</v>
      </c>
      <c r="T21" s="20">
        <v>0</v>
      </c>
      <c r="U21" s="20">
        <v>23.045940000000002</v>
      </c>
      <c r="V21" s="20">
        <v>0</v>
      </c>
      <c r="W21" s="20">
        <v>0</v>
      </c>
      <c r="X21" s="20">
        <v>10.511874000000001</v>
      </c>
      <c r="Y21" s="20">
        <v>20.243397999999999</v>
      </c>
      <c r="Z21" s="20">
        <v>29.591062000000001</v>
      </c>
      <c r="AA21" s="20">
        <v>0.11293499999999999</v>
      </c>
      <c r="AB21" s="20">
        <v>40.229782999999998</v>
      </c>
      <c r="AC21" s="20">
        <v>11.25</v>
      </c>
      <c r="AD21" s="20">
        <v>7.5</v>
      </c>
      <c r="AE21" s="20"/>
      <c r="AF21" s="556">
        <f t="shared" si="15"/>
        <v>165.45826099999999</v>
      </c>
      <c r="AG21" s="557">
        <f t="shared" si="16"/>
        <v>13.788188416666666</v>
      </c>
      <c r="AH21" s="551">
        <v>69.350499999999997</v>
      </c>
      <c r="AI21" s="20">
        <v>24.741620000000001</v>
      </c>
      <c r="AJ21" s="20">
        <v>27.060865</v>
      </c>
      <c r="AK21" s="20">
        <v>59.404617999999999</v>
      </c>
      <c r="AL21" s="20">
        <v>64.824844999999996</v>
      </c>
      <c r="AM21" s="20">
        <v>51.009450999999999</v>
      </c>
      <c r="AN21" s="20">
        <v>0.13318199999999999</v>
      </c>
      <c r="AO21" s="20">
        <v>22.427802</v>
      </c>
      <c r="AP21" s="20">
        <v>103.48003300000001</v>
      </c>
      <c r="AQ21" s="20">
        <v>147.881586</v>
      </c>
      <c r="AR21" s="20">
        <v>106.00182599999999</v>
      </c>
      <c r="AS21" s="20">
        <v>124.927651</v>
      </c>
      <c r="AT21" s="20"/>
      <c r="AU21" s="557">
        <f t="shared" si="17"/>
        <v>66.770331583333316</v>
      </c>
      <c r="AV21" s="638">
        <v>120.08</v>
      </c>
      <c r="AW21" s="571">
        <v>39.67</v>
      </c>
      <c r="AX21" s="571">
        <v>199.763631</v>
      </c>
      <c r="AY21" s="571">
        <v>40.458143</v>
      </c>
      <c r="AZ21" s="571">
        <v>2.6549999999999998</v>
      </c>
      <c r="BA21" s="571"/>
      <c r="BB21" s="571"/>
      <c r="BC21" s="571"/>
      <c r="BD21" s="571"/>
      <c r="BE21" s="571"/>
      <c r="BF21" s="571"/>
      <c r="BG21" s="571"/>
      <c r="BH21" s="20">
        <f t="shared" si="18"/>
        <v>80.525354800000002</v>
      </c>
      <c r="BI21" s="41" cm="1">
        <f t="array" ref="BI21">INDEX(BL21:BW21,$BL$1)</f>
        <v>47.074623377166319</v>
      </c>
      <c r="BJ21" s="27"/>
      <c r="BK21" s="598"/>
      <c r="BL21" s="20">
        <f t="shared" si="19"/>
        <v>55.069493307236243</v>
      </c>
      <c r="BM21" s="20">
        <f t="shared" si="2"/>
        <v>47.074623377166319</v>
      </c>
      <c r="BN21" s="20">
        <f t="shared" si="3"/>
        <v>49.856552724992397</v>
      </c>
      <c r="BO21" s="20">
        <f t="shared" si="4"/>
        <v>57.851422655062336</v>
      </c>
      <c r="BP21" s="20">
        <f t="shared" si="5"/>
        <v>49.856552724992397</v>
      </c>
      <c r="BQ21" s="20">
        <f t="shared" si="6"/>
        <v>80.620526828063248</v>
      </c>
      <c r="BR21" s="20">
        <f t="shared" si="7"/>
        <v>59.242387328975376</v>
      </c>
      <c r="BS21" s="20">
        <f t="shared" si="8"/>
        <v>54.02944674673153</v>
      </c>
      <c r="BT21" s="20">
        <f t="shared" si="9"/>
        <v>79.229562154150202</v>
      </c>
      <c r="BU21" s="20">
        <f t="shared" si="10"/>
        <v>62.024316676801462</v>
      </c>
      <c r="BV21" s="20">
        <f t="shared" si="11"/>
        <v>51.247517398905444</v>
      </c>
      <c r="BW21" s="20">
        <f t="shared" si="12"/>
        <v>54.02944674673153</v>
      </c>
      <c r="BX21" s="28">
        <f t="shared" si="20"/>
        <v>700.13184866980851</v>
      </c>
      <c r="BY21" s="628"/>
      <c r="BZ21" s="20">
        <v>55.069493307236243</v>
      </c>
      <c r="CA21" s="20">
        <v>47.074623377166319</v>
      </c>
      <c r="CB21" s="20">
        <v>49.856552724992397</v>
      </c>
      <c r="CC21" s="20">
        <v>57.851422655062336</v>
      </c>
      <c r="CD21" s="20">
        <v>49.856552724992397</v>
      </c>
      <c r="CE21" s="20">
        <v>80.620526828063248</v>
      </c>
      <c r="CF21" s="20">
        <v>59.242387328975376</v>
      </c>
      <c r="CG21" s="20">
        <v>54.02944674673153</v>
      </c>
      <c r="CH21" s="20">
        <v>79.229562154150202</v>
      </c>
      <c r="CI21" s="20">
        <v>62.024316676801462</v>
      </c>
      <c r="CJ21" s="20">
        <v>51.247517398905444</v>
      </c>
      <c r="CK21" s="20">
        <v>54.02944674673153</v>
      </c>
      <c r="CL21" s="28">
        <f t="shared" si="30"/>
        <v>700.13184866980851</v>
      </c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8">
        <f t="shared" si="31"/>
        <v>0</v>
      </c>
      <c r="DB21" s="20">
        <v>0</v>
      </c>
      <c r="DC21" s="20">
        <v>0</v>
      </c>
      <c r="DD21" s="20">
        <v>0</v>
      </c>
      <c r="DE21" s="20">
        <v>0</v>
      </c>
      <c r="DF21" s="20">
        <v>0</v>
      </c>
      <c r="DG21" s="20">
        <v>0</v>
      </c>
      <c r="DH21" s="20">
        <v>0</v>
      </c>
      <c r="DI21" s="20">
        <v>0</v>
      </c>
      <c r="DJ21" s="20">
        <v>0</v>
      </c>
      <c r="DK21" s="20">
        <v>0</v>
      </c>
      <c r="DL21" s="20">
        <v>0</v>
      </c>
      <c r="DM21" s="20">
        <v>0</v>
      </c>
      <c r="DN21" s="28">
        <f t="shared" si="32"/>
        <v>0</v>
      </c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8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8"/>
      <c r="ER21" s="20"/>
      <c r="ES21" s="20"/>
      <c r="ET21" s="20"/>
      <c r="EU21" s="20"/>
      <c r="EV21" s="20"/>
      <c r="EW21" s="20"/>
      <c r="EX21" s="20"/>
      <c r="EY21" s="20"/>
      <c r="EZ21" s="20"/>
      <c r="FA21" s="20"/>
      <c r="FB21" s="20"/>
      <c r="FC21" s="20"/>
      <c r="FD21" s="28"/>
      <c r="FF21" s="20"/>
      <c r="FG21" s="20"/>
      <c r="FH21" s="20"/>
      <c r="FI21" s="20"/>
      <c r="FJ21" s="20"/>
      <c r="FK21" s="20"/>
      <c r="FL21" s="20"/>
      <c r="FM21" s="20"/>
      <c r="FN21" s="20"/>
      <c r="FO21" s="20"/>
      <c r="FP21" s="20"/>
      <c r="FQ21" s="20"/>
      <c r="FR21" s="28"/>
    </row>
    <row r="22" spans="1:174" s="24" customFormat="1" x14ac:dyDescent="0.25">
      <c r="A22" s="81" t="s">
        <v>164</v>
      </c>
      <c r="B22" s="77" t="s">
        <v>165</v>
      </c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85"/>
      <c r="O22" s="77"/>
      <c r="P22" s="77"/>
      <c r="Q22" s="547"/>
      <c r="R22" s="554"/>
      <c r="S22" s="550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547"/>
      <c r="AG22" s="554"/>
      <c r="AH22" s="550"/>
      <c r="AI22" s="77"/>
      <c r="AJ22" s="565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554"/>
      <c r="AV22" s="550"/>
      <c r="AW22" s="77"/>
      <c r="AX22" s="565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598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</row>
    <row r="23" spans="1:174" x14ac:dyDescent="0.25">
      <c r="A23" s="3">
        <v>1</v>
      </c>
      <c r="B23" s="3" t="s">
        <v>97</v>
      </c>
      <c r="C23" s="25" t="s">
        <v>169</v>
      </c>
      <c r="D23" s="25" t="s">
        <v>169</v>
      </c>
      <c r="E23" s="26" t="s">
        <v>105</v>
      </c>
      <c r="F23" s="4">
        <f>5700-N1</f>
        <v>3029.1393939999998</v>
      </c>
      <c r="G23" s="4">
        <f>5700-N1</f>
        <v>3029.1393939999998</v>
      </c>
      <c r="H23" s="4">
        <f>5700-N1</f>
        <v>3029.1393939999998</v>
      </c>
      <c r="I23" s="4">
        <v>1200</v>
      </c>
      <c r="J23" s="4">
        <v>1381.636364</v>
      </c>
      <c r="K23" s="20">
        <v>1317.818182</v>
      </c>
      <c r="L23" s="20">
        <v>1317.818182</v>
      </c>
      <c r="M23" s="20">
        <v>1179.4181819999999</v>
      </c>
      <c r="N23" s="20">
        <v>0</v>
      </c>
      <c r="O23" s="20">
        <v>79.418182000000002</v>
      </c>
      <c r="P23" s="20">
        <v>79.418182000000002</v>
      </c>
      <c r="Q23" s="548">
        <v>79.418182000000002</v>
      </c>
      <c r="R23" s="557">
        <f>AVERAGE(F23:Q23)</f>
        <v>1310.196969833333</v>
      </c>
      <c r="S23" s="631">
        <v>4235.854319</v>
      </c>
      <c r="T23" s="632">
        <v>4543.854319</v>
      </c>
      <c r="U23" s="632">
        <v>7639.8542989999996</v>
      </c>
      <c r="V23" s="632">
        <v>5926.0361370000001</v>
      </c>
      <c r="W23" s="632">
        <v>6152.0361370000001</v>
      </c>
      <c r="X23" s="632">
        <v>6002.0361370000001</v>
      </c>
      <c r="Y23" s="632">
        <v>6002.0361370000001</v>
      </c>
      <c r="Z23" s="632">
        <v>6002.0361370000001</v>
      </c>
      <c r="AA23" s="632">
        <v>6002.0361370000001</v>
      </c>
      <c r="AB23" s="632">
        <v>5402.0361370000001</v>
      </c>
      <c r="AC23" s="632">
        <v>5252.0361370000001</v>
      </c>
      <c r="AD23" s="632">
        <v>1449.166667</v>
      </c>
      <c r="AE23" s="632"/>
      <c r="AF23" s="634">
        <f t="shared" si="15"/>
        <v>64609.018700000008</v>
      </c>
      <c r="AG23" s="557">
        <f t="shared" si="16"/>
        <v>5384.0848916666673</v>
      </c>
      <c r="AH23" s="631">
        <v>5392.8694699999996</v>
      </c>
      <c r="AI23" s="632">
        <v>5272.8694699999996</v>
      </c>
      <c r="AJ23" s="632">
        <v>5386.8694699999996</v>
      </c>
      <c r="AK23" s="632">
        <v>5386.8694699999996</v>
      </c>
      <c r="AL23" s="632">
        <v>5412.8694699999996</v>
      </c>
      <c r="AM23" s="632">
        <v>5498.7525150000001</v>
      </c>
      <c r="AN23" s="632">
        <v>5498.7525149999992</v>
      </c>
      <c r="AO23" s="632">
        <v>5498.7525149999992</v>
      </c>
      <c r="AP23" s="632">
        <v>5498.7525149999992</v>
      </c>
      <c r="AQ23" s="632">
        <v>5498.7525149999992</v>
      </c>
      <c r="AR23" s="632">
        <v>5498.7525149999992</v>
      </c>
      <c r="AS23" s="632">
        <v>5443.7525150000001</v>
      </c>
      <c r="AT23" s="20"/>
      <c r="AU23" s="557">
        <f t="shared" si="17"/>
        <v>5440.7179129166661</v>
      </c>
      <c r="AV23" s="551">
        <v>9266.6666700000005</v>
      </c>
      <c r="AW23" s="20">
        <v>9266.6666700000005</v>
      </c>
      <c r="AX23" s="20">
        <v>9266.6666700000005</v>
      </c>
      <c r="AY23" s="20">
        <v>9266.6666700000005</v>
      </c>
      <c r="AZ23" s="20">
        <v>9266.666663</v>
      </c>
      <c r="BA23" s="20"/>
      <c r="BB23" s="20"/>
      <c r="BC23" s="20"/>
      <c r="BD23" s="20"/>
      <c r="BE23" s="20"/>
      <c r="BF23" s="20"/>
      <c r="BG23" s="20"/>
      <c r="BH23" s="20">
        <f t="shared" ref="BH23:BH49" si="33">AVERAGE(AV23:BG23)</f>
        <v>9266.6666686000008</v>
      </c>
      <c r="BI23" s="41" cm="1">
        <f t="array" ref="BI23">INDEX(BL23:BW23,$BL$1)</f>
        <v>5750</v>
      </c>
      <c r="BJ23" s="44"/>
      <c r="BK23" s="598"/>
      <c r="BL23" s="20">
        <f t="shared" ref="BL23:BL49" si="34">BZ23+CN23+DB23</f>
        <v>5750</v>
      </c>
      <c r="BM23" s="20">
        <f t="shared" ref="BM23:BM49" si="35">CA23+CO23+DC23</f>
        <v>5750</v>
      </c>
      <c r="BN23" s="20">
        <f t="shared" ref="BN23:BN49" si="36">CB23+CP23+DD23</f>
        <v>5750</v>
      </c>
      <c r="BO23" s="20">
        <f t="shared" ref="BO23:BO49" si="37">CC23+CQ23+DE23</f>
        <v>5750</v>
      </c>
      <c r="BP23" s="20">
        <f t="shared" ref="BP23:BP49" si="38">CD23+CR23+DF23</f>
        <v>5750</v>
      </c>
      <c r="BQ23" s="20">
        <f t="shared" ref="BQ23:BQ49" si="39">CE23+CS23+DG23</f>
        <v>5750</v>
      </c>
      <c r="BR23" s="20">
        <f t="shared" ref="BR23:BR49" si="40">CF23+CT23+DH23</f>
        <v>5750</v>
      </c>
      <c r="BS23" s="20">
        <f t="shared" ref="BS23:BS49" si="41">CG23+CU23+DI23</f>
        <v>5750</v>
      </c>
      <c r="BT23" s="20">
        <f t="shared" ref="BT23:BT49" si="42">CH23+CV23+DJ23</f>
        <v>5750</v>
      </c>
      <c r="BU23" s="20">
        <f t="shared" ref="BU23:BU49" si="43">CI23+CW23+DK23</f>
        <v>5750</v>
      </c>
      <c r="BV23" s="20">
        <f t="shared" ref="BV23:BV49" si="44">CJ23+CX23+DL23</f>
        <v>5750</v>
      </c>
      <c r="BW23" s="20">
        <f t="shared" ref="BW23:BW49" si="45">CK23+CY23+DM23</f>
        <v>5750</v>
      </c>
      <c r="BX23" s="28">
        <f>SUM(BL23:BW23)</f>
        <v>69000</v>
      </c>
      <c r="BY23" s="628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8">
        <f>SUM(BZ23:CK23)</f>
        <v>0</v>
      </c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8">
        <f>SUM(CN23:CY23)</f>
        <v>0</v>
      </c>
      <c r="DB23" s="20">
        <v>5750</v>
      </c>
      <c r="DC23" s="20">
        <v>5750</v>
      </c>
      <c r="DD23" s="20">
        <v>5750</v>
      </c>
      <c r="DE23" s="20">
        <v>5750</v>
      </c>
      <c r="DF23" s="20">
        <v>5750</v>
      </c>
      <c r="DG23" s="20">
        <v>5750</v>
      </c>
      <c r="DH23" s="20">
        <v>5750</v>
      </c>
      <c r="DI23" s="20">
        <v>5750</v>
      </c>
      <c r="DJ23" s="20">
        <v>5750</v>
      </c>
      <c r="DK23" s="20">
        <v>5750</v>
      </c>
      <c r="DL23" s="20">
        <v>5750</v>
      </c>
      <c r="DM23" s="20">
        <v>5750</v>
      </c>
      <c r="DN23" s="28">
        <f>SUM(DB23:DM23)</f>
        <v>69000</v>
      </c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8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8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8"/>
      <c r="FF23" s="20"/>
      <c r="FG23" s="20"/>
      <c r="FH23" s="20"/>
      <c r="FI23" s="20"/>
      <c r="FJ23" s="20"/>
      <c r="FK23" s="20"/>
      <c r="FL23" s="20"/>
      <c r="FM23" s="20"/>
      <c r="FN23" s="20"/>
      <c r="FO23" s="20"/>
      <c r="FP23" s="20"/>
      <c r="FQ23" s="20"/>
      <c r="FR23" s="28"/>
    </row>
    <row r="24" spans="1:174" ht="14.85" customHeight="1" x14ac:dyDescent="0.3">
      <c r="A24" s="3">
        <f>A23+1</f>
        <v>2</v>
      </c>
      <c r="B24" s="3" t="s">
        <v>97</v>
      </c>
      <c r="C24" s="3" t="s">
        <v>48</v>
      </c>
      <c r="D24" s="25" t="s">
        <v>39</v>
      </c>
      <c r="E24" s="26" t="s">
        <v>105</v>
      </c>
      <c r="F24" s="20">
        <v>6125.5390770000004</v>
      </c>
      <c r="G24" s="20">
        <v>6126.0910359999998</v>
      </c>
      <c r="H24" s="20">
        <v>6407.0904010000004</v>
      </c>
      <c r="I24" s="20">
        <v>7043.8874960000003</v>
      </c>
      <c r="J24" s="20">
        <v>7372.1250959999998</v>
      </c>
      <c r="K24" s="20">
        <v>7571.593116</v>
      </c>
      <c r="L24" s="20">
        <v>7495.9041289999996</v>
      </c>
      <c r="M24" s="20">
        <v>8307.0938870000009</v>
      </c>
      <c r="N24" s="20">
        <v>8042.3777319999999</v>
      </c>
      <c r="O24" s="20">
        <v>7933.8950500000001</v>
      </c>
      <c r="P24" s="20">
        <v>8291.7686730000005</v>
      </c>
      <c r="Q24" s="548">
        <v>8517.5400150000005</v>
      </c>
      <c r="R24" s="557">
        <f t="shared" si="14"/>
        <v>7436.2421423333353</v>
      </c>
      <c r="S24" s="579">
        <v>6073.4928609999997</v>
      </c>
      <c r="T24" s="20">
        <v>5327.4856149999996</v>
      </c>
      <c r="U24" s="20">
        <v>5623.891971</v>
      </c>
      <c r="V24" s="20">
        <v>6329.4198649999998</v>
      </c>
      <c r="W24" s="20">
        <v>6582.0558250000004</v>
      </c>
      <c r="X24" s="20">
        <v>6501.2386399999996</v>
      </c>
      <c r="Y24" s="20">
        <v>6209.0240169999997</v>
      </c>
      <c r="Z24" s="20">
        <v>6269.393822</v>
      </c>
      <c r="AA24" s="20">
        <v>6638.2907679999998</v>
      </c>
      <c r="AB24" s="20">
        <v>6894.8505660000001</v>
      </c>
      <c r="AC24" s="20">
        <v>7084.2907859999996</v>
      </c>
      <c r="AD24" s="20">
        <v>7756.3366020000003</v>
      </c>
      <c r="AE24" s="571"/>
      <c r="AF24" s="556">
        <f t="shared" si="15"/>
        <v>77289.771337999991</v>
      </c>
      <c r="AG24" s="557">
        <f t="shared" si="16"/>
        <v>6440.8142781666656</v>
      </c>
      <c r="AH24" s="551">
        <v>7630.4551659999997</v>
      </c>
      <c r="AI24" s="20">
        <v>7418.3427659999998</v>
      </c>
      <c r="AJ24" s="20">
        <v>7287.9359670000003</v>
      </c>
      <c r="AK24" s="20">
        <v>7981.2928599999996</v>
      </c>
      <c r="AL24" s="20">
        <v>8206.672869</v>
      </c>
      <c r="AM24" s="20">
        <v>8358.0732530000005</v>
      </c>
      <c r="AN24" s="20">
        <v>9244.9189229999993</v>
      </c>
      <c r="AO24" s="20">
        <v>8836.0536200000006</v>
      </c>
      <c r="AP24" s="20">
        <v>9581.7786539999997</v>
      </c>
      <c r="AQ24" s="20">
        <v>8652.1705660000007</v>
      </c>
      <c r="AR24" s="20">
        <v>8011.0479109999997</v>
      </c>
      <c r="AS24" s="20">
        <v>9246.6498609999999</v>
      </c>
      <c r="AT24" s="20"/>
      <c r="AU24" s="557">
        <f t="shared" si="17"/>
        <v>8371.2827013333335</v>
      </c>
      <c r="AV24" s="551">
        <v>8188.3542829999997</v>
      </c>
      <c r="AW24" s="20">
        <v>7018.1271100000004</v>
      </c>
      <c r="AX24" s="20">
        <v>4582.358819</v>
      </c>
      <c r="AY24" s="20">
        <v>8507.0222049999993</v>
      </c>
      <c r="AZ24" s="20">
        <v>8185.7246560000003</v>
      </c>
      <c r="BA24" s="20"/>
      <c r="BB24" s="20"/>
      <c r="BC24" s="20"/>
      <c r="BD24" s="20"/>
      <c r="BE24" s="20"/>
      <c r="BF24" s="20"/>
      <c r="BG24" s="20"/>
      <c r="BH24" s="20">
        <f t="shared" si="33"/>
        <v>7296.3174145999992</v>
      </c>
      <c r="BI24" s="41" cm="1">
        <f t="array" ref="BI24">INDEX(BL24:BW24,$BL$1)</f>
        <v>9278.2257079999999</v>
      </c>
      <c r="BJ24" s="27"/>
      <c r="BK24" s="598"/>
      <c r="BL24" s="20">
        <f t="shared" si="34"/>
        <v>9539.0331763653849</v>
      </c>
      <c r="BM24" s="20">
        <f t="shared" si="35"/>
        <v>9278.2257079999999</v>
      </c>
      <c r="BN24" s="20">
        <f t="shared" si="36"/>
        <v>9010.1469253846153</v>
      </c>
      <c r="BO24" s="20">
        <f t="shared" si="37"/>
        <v>9803.136994769231</v>
      </c>
      <c r="BP24" s="20">
        <f t="shared" si="38"/>
        <v>9369.8931213076939</v>
      </c>
      <c r="BQ24" s="20">
        <f t="shared" si="39"/>
        <v>9844.1966404615378</v>
      </c>
      <c r="BR24" s="20">
        <f t="shared" si="40"/>
        <v>9597.9467935384619</v>
      </c>
      <c r="BS24" s="20">
        <f t="shared" si="41"/>
        <v>9602.6762322307695</v>
      </c>
      <c r="BT24" s="20">
        <f t="shared" si="42"/>
        <v>9866.0116400000006</v>
      </c>
      <c r="BU24" s="20">
        <f t="shared" si="43"/>
        <v>9398.6225113076925</v>
      </c>
      <c r="BV24" s="20">
        <f t="shared" si="44"/>
        <v>9888.7564864615379</v>
      </c>
      <c r="BW24" s="20">
        <f t="shared" si="45"/>
        <v>9646.0542322307683</v>
      </c>
      <c r="BX24" s="28">
        <f t="shared" ref="BX24:BX48" si="46">SUM(BL24:BW24)</f>
        <v>114844.70046205769</v>
      </c>
      <c r="BY24" s="628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8">
        <f t="shared" ref="CL24:CL49" si="47">SUM(BZ24:CK24)</f>
        <v>0</v>
      </c>
      <c r="CN24" s="20">
        <v>3897.2468261153845</v>
      </c>
      <c r="CO24" s="20">
        <v>3657.4129616923074</v>
      </c>
      <c r="CP24" s="20">
        <v>3561.7950848461537</v>
      </c>
      <c r="CQ24" s="20">
        <v>3875.3872236923075</v>
      </c>
      <c r="CR24" s="20">
        <v>3716.3069672307693</v>
      </c>
      <c r="CS24" s="20">
        <v>3875.3872236923075</v>
      </c>
      <c r="CT24" s="20">
        <v>3788.2974989999998</v>
      </c>
      <c r="CU24" s="20">
        <v>3788.2974989999998</v>
      </c>
      <c r="CV24" s="20">
        <v>3867.8532653076927</v>
      </c>
      <c r="CW24" s="20">
        <v>3701.2077533076927</v>
      </c>
      <c r="CX24" s="20">
        <v>3875.3872236923075</v>
      </c>
      <c r="CY24" s="20">
        <v>3788.2974989999998</v>
      </c>
      <c r="CZ24" s="28">
        <f t="shared" ref="CZ24:CZ49" si="48">SUM(CN24:CY24)</f>
        <v>45392.877026576927</v>
      </c>
      <c r="DB24" s="20">
        <v>5641.7863502500004</v>
      </c>
      <c r="DC24" s="20">
        <v>5620.8127463076926</v>
      </c>
      <c r="DD24" s="20">
        <v>5448.3518405384621</v>
      </c>
      <c r="DE24" s="20">
        <v>5927.749771076923</v>
      </c>
      <c r="DF24" s="20">
        <v>5653.5861540769238</v>
      </c>
      <c r="DG24" s="20">
        <v>5968.8094167692307</v>
      </c>
      <c r="DH24" s="20">
        <v>5809.6492945384616</v>
      </c>
      <c r="DI24" s="20">
        <v>5814.3787332307693</v>
      </c>
      <c r="DJ24" s="20">
        <v>5998.1583746923079</v>
      </c>
      <c r="DK24" s="20">
        <v>5697.4147579999999</v>
      </c>
      <c r="DL24" s="20">
        <v>6013.3692627692308</v>
      </c>
      <c r="DM24" s="20">
        <v>5857.756733230769</v>
      </c>
      <c r="DN24" s="28">
        <f t="shared" ref="DN24:DN49" si="49">SUM(DB24:DM24)</f>
        <v>69451.823435480765</v>
      </c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8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8"/>
      <c r="ER24" s="20"/>
      <c r="ES24" s="20"/>
      <c r="ET24" s="20"/>
      <c r="EU24" s="20"/>
      <c r="EV24" s="20"/>
      <c r="EW24" s="20"/>
      <c r="EX24" s="20"/>
      <c r="EY24" s="20"/>
      <c r="EZ24" s="20"/>
      <c r="FA24" s="20"/>
      <c r="FB24" s="20"/>
      <c r="FC24" s="20"/>
      <c r="FD24" s="28"/>
      <c r="FF24" s="20"/>
      <c r="FG24" s="20"/>
      <c r="FH24" s="20"/>
      <c r="FI24" s="20"/>
      <c r="FJ24" s="20"/>
      <c r="FK24" s="20"/>
      <c r="FL24" s="20"/>
      <c r="FM24" s="20"/>
      <c r="FN24" s="20"/>
      <c r="FO24" s="20"/>
      <c r="FP24" s="20"/>
      <c r="FQ24" s="20"/>
      <c r="FR24" s="28"/>
    </row>
    <row r="25" spans="1:174" ht="14.4" x14ac:dyDescent="0.3">
      <c r="A25" s="3">
        <f t="shared" ref="A25:A48" si="50">A24+1</f>
        <v>3</v>
      </c>
      <c r="B25" s="3" t="s">
        <v>97</v>
      </c>
      <c r="C25" s="3" t="s">
        <v>16</v>
      </c>
      <c r="D25" s="25" t="s">
        <v>16</v>
      </c>
      <c r="E25" s="26" t="s">
        <v>105</v>
      </c>
      <c r="F25" s="20">
        <v>1999.745032</v>
      </c>
      <c r="G25" s="20">
        <v>2159.0866270000001</v>
      </c>
      <c r="H25" s="20">
        <v>2355.4122550000002</v>
      </c>
      <c r="I25" s="20">
        <v>2503.34139</v>
      </c>
      <c r="J25" s="20">
        <v>2453.5862940000002</v>
      </c>
      <c r="K25" s="20">
        <v>2496.0810230000002</v>
      </c>
      <c r="L25" s="20">
        <v>2605.8116279999999</v>
      </c>
      <c r="M25" s="20">
        <v>2747.3790829999998</v>
      </c>
      <c r="N25" s="20">
        <v>2849.3270080000002</v>
      </c>
      <c r="O25" s="20">
        <v>2883.5538980000001</v>
      </c>
      <c r="P25" s="20">
        <v>2888.0607730000002</v>
      </c>
      <c r="Q25" s="548">
        <v>3035.1713089999998</v>
      </c>
      <c r="R25" s="557">
        <f t="shared" si="14"/>
        <v>2581.3796933333338</v>
      </c>
      <c r="S25" s="631">
        <v>2858.544093</v>
      </c>
      <c r="T25" s="632">
        <v>2863.423346</v>
      </c>
      <c r="U25" s="632">
        <v>2863.4951820000001</v>
      </c>
      <c r="V25" s="632">
        <v>2985.926919</v>
      </c>
      <c r="W25" s="632">
        <v>3039.160644</v>
      </c>
      <c r="X25" s="632">
        <v>3042.3351680000001</v>
      </c>
      <c r="Y25" s="632">
        <v>3076.391627</v>
      </c>
      <c r="Z25" s="632">
        <v>3097.32494</v>
      </c>
      <c r="AA25" s="632">
        <v>3236.6067619999999</v>
      </c>
      <c r="AB25" s="632">
        <v>3236.6875519999999</v>
      </c>
      <c r="AC25" s="632">
        <v>3251.798088</v>
      </c>
      <c r="AD25" s="632">
        <v>3545.8212290000001</v>
      </c>
      <c r="AE25" s="632"/>
      <c r="AF25" s="634">
        <f t="shared" si="15"/>
        <v>37097.515550000004</v>
      </c>
      <c r="AG25" s="557">
        <f t="shared" si="16"/>
        <v>3091.4596291666671</v>
      </c>
      <c r="AH25" s="631">
        <v>3572.7668819999999</v>
      </c>
      <c r="AI25" s="632">
        <v>3574.3113269999999</v>
      </c>
      <c r="AJ25" s="632">
        <v>3768.3419640000002</v>
      </c>
      <c r="AK25" s="632">
        <v>3654.4486769999999</v>
      </c>
      <c r="AL25" s="632">
        <v>3841.1077319999999</v>
      </c>
      <c r="AM25" s="632">
        <v>3837.2882890000001</v>
      </c>
      <c r="AN25" s="632">
        <v>3844.5911019999999</v>
      </c>
      <c r="AO25" s="632">
        <v>3844.3518469999999</v>
      </c>
      <c r="AP25" s="632">
        <v>4163.7774639999998</v>
      </c>
      <c r="AQ25" s="632">
        <v>3970.961581</v>
      </c>
      <c r="AR25" s="632">
        <v>4132.0554480000001</v>
      </c>
      <c r="AS25" s="632">
        <v>4161.3882309999999</v>
      </c>
      <c r="AT25" s="20"/>
      <c r="AU25" s="557">
        <f t="shared" si="17"/>
        <v>3863.782545333333</v>
      </c>
      <c r="AV25" s="551">
        <v>2044.939335</v>
      </c>
      <c r="AW25" s="20">
        <v>2013.980354</v>
      </c>
      <c r="AX25" s="20">
        <v>2036.7416499999999</v>
      </c>
      <c r="AY25" s="20">
        <v>2196.3093429999999</v>
      </c>
      <c r="AZ25" s="20">
        <v>2247.3982420000002</v>
      </c>
      <c r="BA25" s="20"/>
      <c r="BB25" s="20"/>
      <c r="BC25" s="20"/>
      <c r="BD25" s="20"/>
      <c r="BE25" s="20"/>
      <c r="BF25" s="20"/>
      <c r="BG25" s="20"/>
      <c r="BH25" s="20">
        <f t="shared" si="33"/>
        <v>2107.8737847999996</v>
      </c>
      <c r="BI25" s="41" cm="1">
        <f t="array" ref="BI25">INDEX(BL25:BW25,$BL$1)</f>
        <v>5605.816359582137</v>
      </c>
      <c r="BJ25" s="27"/>
      <c r="BK25" s="598"/>
      <c r="BL25" s="20">
        <f t="shared" si="34"/>
        <v>5221.4244075821371</v>
      </c>
      <c r="BM25" s="20">
        <f t="shared" si="35"/>
        <v>5605.816359582137</v>
      </c>
      <c r="BN25" s="20">
        <f t="shared" si="36"/>
        <v>5690.9189125821367</v>
      </c>
      <c r="BO25" s="20">
        <f t="shared" si="37"/>
        <v>5725.1591905821369</v>
      </c>
      <c r="BP25" s="20">
        <f t="shared" si="38"/>
        <v>5741.1122465821372</v>
      </c>
      <c r="BQ25" s="20">
        <f t="shared" si="39"/>
        <v>5883.087384582137</v>
      </c>
      <c r="BR25" s="20">
        <f t="shared" si="40"/>
        <v>5883.087384582137</v>
      </c>
      <c r="BS25" s="20">
        <f t="shared" si="41"/>
        <v>5883.087384582137</v>
      </c>
      <c r="BT25" s="20">
        <f t="shared" si="42"/>
        <v>5883.087384582137</v>
      </c>
      <c r="BU25" s="20">
        <f t="shared" si="43"/>
        <v>5883.087384582137</v>
      </c>
      <c r="BV25" s="20">
        <f t="shared" si="44"/>
        <v>5883.087384582137</v>
      </c>
      <c r="BW25" s="20">
        <f t="shared" si="45"/>
        <v>5895.3623845821367</v>
      </c>
      <c r="BX25" s="28">
        <f t="shared" si="46"/>
        <v>69178.317808985637</v>
      </c>
      <c r="BY25" s="628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8">
        <f t="shared" si="47"/>
        <v>0</v>
      </c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8">
        <f t="shared" si="48"/>
        <v>0</v>
      </c>
      <c r="DB25" s="20">
        <v>5221.4244075821371</v>
      </c>
      <c r="DC25" s="20">
        <v>5605.816359582137</v>
      </c>
      <c r="DD25" s="20">
        <v>5690.9189125821367</v>
      </c>
      <c r="DE25" s="20">
        <v>5725.1591905821369</v>
      </c>
      <c r="DF25" s="20">
        <v>5741.1122465821372</v>
      </c>
      <c r="DG25" s="20">
        <v>5883.087384582137</v>
      </c>
      <c r="DH25" s="20">
        <v>5883.087384582137</v>
      </c>
      <c r="DI25" s="20">
        <v>5883.087384582137</v>
      </c>
      <c r="DJ25" s="20">
        <v>5883.087384582137</v>
      </c>
      <c r="DK25" s="20">
        <v>5883.087384582137</v>
      </c>
      <c r="DL25" s="20">
        <v>5883.087384582137</v>
      </c>
      <c r="DM25" s="20">
        <v>5895.3623845821367</v>
      </c>
      <c r="DN25" s="28">
        <f t="shared" si="49"/>
        <v>69178.317808985637</v>
      </c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8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8"/>
      <c r="ER25" s="20"/>
      <c r="ES25" s="20"/>
      <c r="ET25" s="20"/>
      <c r="EU25" s="20"/>
      <c r="EV25" s="20"/>
      <c r="EW25" s="20"/>
      <c r="EX25" s="20"/>
      <c r="EY25" s="20"/>
      <c r="EZ25" s="20"/>
      <c r="FA25" s="20"/>
      <c r="FB25" s="20"/>
      <c r="FC25" s="20"/>
      <c r="FD25" s="28"/>
      <c r="FF25" s="20"/>
      <c r="FG25" s="20"/>
      <c r="FH25" s="20"/>
      <c r="FI25" s="20"/>
      <c r="FJ25" s="20"/>
      <c r="FK25" s="20"/>
      <c r="FL25" s="20"/>
      <c r="FM25" s="20"/>
      <c r="FN25" s="20"/>
      <c r="FO25" s="20"/>
      <c r="FP25" s="20"/>
      <c r="FQ25" s="20"/>
      <c r="FR25" s="28"/>
    </row>
    <row r="26" spans="1:174" ht="14.85" customHeight="1" x14ac:dyDescent="0.25">
      <c r="A26" s="3">
        <f t="shared" si="50"/>
        <v>4</v>
      </c>
      <c r="B26" s="3" t="s">
        <v>97</v>
      </c>
      <c r="C26" s="3" t="s">
        <v>12</v>
      </c>
      <c r="D26" s="25" t="s">
        <v>12</v>
      </c>
      <c r="E26" s="26" t="s">
        <v>105</v>
      </c>
      <c r="F26" s="20">
        <v>465.27927</v>
      </c>
      <c r="G26" s="20">
        <v>498.88963100000001</v>
      </c>
      <c r="H26" s="20">
        <v>485.24326100000002</v>
      </c>
      <c r="I26" s="20">
        <v>431.96916599999997</v>
      </c>
      <c r="J26" s="20">
        <v>578.64694599999996</v>
      </c>
      <c r="K26" s="20">
        <v>481.06259</v>
      </c>
      <c r="L26" s="20">
        <v>502.90178500000002</v>
      </c>
      <c r="M26" s="20">
        <v>554.27070400000002</v>
      </c>
      <c r="N26" s="20">
        <v>469.50239099999999</v>
      </c>
      <c r="O26" s="20">
        <f>586.054328-38.361535</f>
        <v>547.69279300000005</v>
      </c>
      <c r="P26" s="20">
        <f>655.747428-39.8</f>
        <v>615.94742800000006</v>
      </c>
      <c r="Q26" s="548">
        <f>688.006976-6.954717</f>
        <v>681.05225900000005</v>
      </c>
      <c r="R26" s="557">
        <f t="shared" si="14"/>
        <v>526.03818533333344</v>
      </c>
      <c r="S26" s="631">
        <v>594.323802</v>
      </c>
      <c r="T26" s="632">
        <v>570.37826399999994</v>
      </c>
      <c r="U26" s="632">
        <v>674.92623200000003</v>
      </c>
      <c r="V26" s="632">
        <v>723.31254100000001</v>
      </c>
      <c r="W26" s="632">
        <v>794.63473399999998</v>
      </c>
      <c r="X26" s="632">
        <v>626.50749900000005</v>
      </c>
      <c r="Y26" s="632">
        <v>526.28645900000004</v>
      </c>
      <c r="Z26" s="632">
        <v>676.44750099999999</v>
      </c>
      <c r="AA26" s="632">
        <v>887.53877199999999</v>
      </c>
      <c r="AB26" s="632">
        <v>694.86993199999995</v>
      </c>
      <c r="AC26" s="632">
        <v>842.70942500000001</v>
      </c>
      <c r="AD26" s="632">
        <v>924.13166999999999</v>
      </c>
      <c r="AE26" s="632"/>
      <c r="AF26" s="634">
        <f t="shared" si="15"/>
        <v>8536.0668310000001</v>
      </c>
      <c r="AG26" s="557">
        <f t="shared" si="16"/>
        <v>711.33890258333338</v>
      </c>
      <c r="AH26" s="631">
        <v>709.08018800000002</v>
      </c>
      <c r="AI26" s="632">
        <v>864.87728500000003</v>
      </c>
      <c r="AJ26" s="632">
        <v>848.98558400000002</v>
      </c>
      <c r="AK26" s="632">
        <v>991.21175600000004</v>
      </c>
      <c r="AL26" s="632">
        <v>917.71572100000003</v>
      </c>
      <c r="AM26" s="632">
        <v>820.90210200000001</v>
      </c>
      <c r="AN26" s="632">
        <v>838.19858399999998</v>
      </c>
      <c r="AO26" s="632">
        <v>813.41289900000004</v>
      </c>
      <c r="AP26" s="632">
        <v>846.74762199999998</v>
      </c>
      <c r="AQ26" s="632">
        <v>817.65499199999999</v>
      </c>
      <c r="AR26" s="632">
        <v>895.35202400000003</v>
      </c>
      <c r="AS26" s="632">
        <v>780.85826399999996</v>
      </c>
      <c r="AT26" s="20"/>
      <c r="AU26" s="557">
        <f t="shared" si="17"/>
        <v>845.4164184166666</v>
      </c>
      <c r="AV26" s="551">
        <v>537.39596400000005</v>
      </c>
      <c r="AW26" s="20">
        <v>457.20217000000002</v>
      </c>
      <c r="AX26" s="20">
        <v>543.72858399999996</v>
      </c>
      <c r="AY26" s="20">
        <v>511.43058200000002</v>
      </c>
      <c r="AZ26" s="20">
        <v>531.586591</v>
      </c>
      <c r="BA26" s="20"/>
      <c r="BB26" s="20"/>
      <c r="BC26" s="20"/>
      <c r="BD26" s="20"/>
      <c r="BE26" s="20"/>
      <c r="BF26" s="20"/>
      <c r="BG26" s="20"/>
      <c r="BH26" s="20">
        <f t="shared" si="33"/>
        <v>516.26877820000004</v>
      </c>
      <c r="BI26" s="41" cm="1">
        <f t="array" ref="BI26">INDEX(BL26:BW26,$BL$1)</f>
        <v>620.47600047781646</v>
      </c>
      <c r="BJ26" s="30"/>
      <c r="BK26" s="598"/>
      <c r="BL26" s="20">
        <f t="shared" si="34"/>
        <v>1004.1135733225151</v>
      </c>
      <c r="BM26" s="20">
        <f t="shared" si="35"/>
        <v>620.47600047781646</v>
      </c>
      <c r="BN26" s="20">
        <f t="shared" si="36"/>
        <v>846.65024144322979</v>
      </c>
      <c r="BO26" s="20">
        <f t="shared" si="37"/>
        <v>885.97974467720064</v>
      </c>
      <c r="BP26" s="20">
        <f t="shared" si="38"/>
        <v>703.92064204960741</v>
      </c>
      <c r="BQ26" s="20">
        <f t="shared" si="39"/>
        <v>751.22790936895672</v>
      </c>
      <c r="BR26" s="20">
        <f t="shared" si="40"/>
        <v>757.9685684592622</v>
      </c>
      <c r="BS26" s="20">
        <f t="shared" si="41"/>
        <v>711.39020857517335</v>
      </c>
      <c r="BT26" s="20">
        <f t="shared" si="42"/>
        <v>744.20343259999515</v>
      </c>
      <c r="BU26" s="20">
        <f t="shared" si="43"/>
        <v>728.20449069912024</v>
      </c>
      <c r="BV26" s="20">
        <f t="shared" si="44"/>
        <v>620.61399207277384</v>
      </c>
      <c r="BW26" s="20">
        <f t="shared" si="45"/>
        <v>722.05437210875414</v>
      </c>
      <c r="BX26" s="28">
        <f t="shared" si="46"/>
        <v>9096.8031758544057</v>
      </c>
      <c r="BY26" s="628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8">
        <f t="shared" si="47"/>
        <v>0</v>
      </c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8">
        <f t="shared" si="48"/>
        <v>0</v>
      </c>
      <c r="DB26" s="20">
        <v>1004.1135733225151</v>
      </c>
      <c r="DC26" s="20">
        <v>620.47600047781646</v>
      </c>
      <c r="DD26" s="20">
        <v>846.65024144322979</v>
      </c>
      <c r="DE26" s="20">
        <v>885.97974467720064</v>
      </c>
      <c r="DF26" s="20">
        <v>703.92064204960741</v>
      </c>
      <c r="DG26" s="20">
        <v>751.22790936895672</v>
      </c>
      <c r="DH26" s="20">
        <v>757.9685684592622</v>
      </c>
      <c r="DI26" s="20">
        <v>711.39020857517335</v>
      </c>
      <c r="DJ26" s="20">
        <v>744.20343259999515</v>
      </c>
      <c r="DK26" s="20">
        <v>728.20449069912024</v>
      </c>
      <c r="DL26" s="20">
        <v>620.61399207277384</v>
      </c>
      <c r="DM26" s="20">
        <v>722.05437210875414</v>
      </c>
      <c r="DN26" s="28">
        <f t="shared" si="49"/>
        <v>9096.8031758544057</v>
      </c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8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8"/>
      <c r="ER26" s="20"/>
      <c r="ES26" s="20"/>
      <c r="ET26" s="20"/>
      <c r="EU26" s="20"/>
      <c r="EV26" s="20"/>
      <c r="EW26" s="20"/>
      <c r="EX26" s="20"/>
      <c r="EY26" s="20"/>
      <c r="EZ26" s="20"/>
      <c r="FA26" s="20"/>
      <c r="FB26" s="20"/>
      <c r="FC26" s="20"/>
      <c r="FD26" s="28"/>
      <c r="FF26" s="20"/>
      <c r="FG26" s="20"/>
      <c r="FH26" s="20"/>
      <c r="FI26" s="20"/>
      <c r="FJ26" s="20"/>
      <c r="FK26" s="20"/>
      <c r="FL26" s="20"/>
      <c r="FM26" s="20"/>
      <c r="FN26" s="20"/>
      <c r="FO26" s="20"/>
      <c r="FP26" s="20"/>
      <c r="FQ26" s="20"/>
      <c r="FR26" s="28"/>
    </row>
    <row r="27" spans="1:174" ht="14.1" customHeight="1" x14ac:dyDescent="0.3">
      <c r="A27" s="3">
        <f t="shared" si="50"/>
        <v>5</v>
      </c>
      <c r="B27" s="3" t="s">
        <v>97</v>
      </c>
      <c r="C27" s="3" t="s">
        <v>51</v>
      </c>
      <c r="D27" s="25" t="s">
        <v>30</v>
      </c>
      <c r="E27" s="26" t="s">
        <v>105</v>
      </c>
      <c r="F27" s="20">
        <v>201.67382699999999</v>
      </c>
      <c r="G27" s="20">
        <v>130.52025399999999</v>
      </c>
      <c r="H27" s="20">
        <v>162.514993</v>
      </c>
      <c r="I27" s="20">
        <v>82.880408000000003</v>
      </c>
      <c r="J27" s="20">
        <v>241.697767</v>
      </c>
      <c r="K27" s="20">
        <v>205.60839100000001</v>
      </c>
      <c r="L27" s="20">
        <v>351.64520599999997</v>
      </c>
      <c r="M27" s="20">
        <v>256.12971499999998</v>
      </c>
      <c r="N27" s="20">
        <v>223.468908</v>
      </c>
      <c r="O27" s="20">
        <v>306.21830199999999</v>
      </c>
      <c r="P27" s="20">
        <v>448.66226699999999</v>
      </c>
      <c r="Q27" s="548">
        <v>609.87255300000004</v>
      </c>
      <c r="R27" s="557">
        <f t="shared" si="14"/>
        <v>268.40771591666669</v>
      </c>
      <c r="S27" s="579">
        <v>326.32140900000002</v>
      </c>
      <c r="T27" s="20">
        <v>280.13175799999999</v>
      </c>
      <c r="U27" s="20">
        <v>368.55747700000001</v>
      </c>
      <c r="V27" s="20">
        <v>341.44460900000001</v>
      </c>
      <c r="W27" s="20">
        <v>497.60524700000002</v>
      </c>
      <c r="X27" s="20">
        <v>495.88888600000001</v>
      </c>
      <c r="Y27" s="20">
        <v>307.06946099999999</v>
      </c>
      <c r="Z27" s="20">
        <v>317.08936199999999</v>
      </c>
      <c r="AA27" s="20">
        <v>458.09177799999998</v>
      </c>
      <c r="AB27" s="20">
        <v>610.68493599999999</v>
      </c>
      <c r="AC27" s="20">
        <v>643.33116900000005</v>
      </c>
      <c r="AD27" s="20">
        <v>738.00133800000003</v>
      </c>
      <c r="AE27" s="20"/>
      <c r="AF27" s="556">
        <f t="shared" si="15"/>
        <v>5384.2174300000006</v>
      </c>
      <c r="AG27" s="557">
        <f t="shared" si="16"/>
        <v>448.68478583333336</v>
      </c>
      <c r="AH27" s="551">
        <v>519.57632000000001</v>
      </c>
      <c r="AI27" s="20">
        <v>581.32746499999996</v>
      </c>
      <c r="AJ27" s="20">
        <v>560.476766</v>
      </c>
      <c r="AK27" s="20">
        <v>543.47885900000006</v>
      </c>
      <c r="AL27" s="20">
        <v>573.65389500000003</v>
      </c>
      <c r="AM27" s="20">
        <v>669.29146200000002</v>
      </c>
      <c r="AN27" s="20">
        <v>744.41693499999997</v>
      </c>
      <c r="AO27" s="20">
        <v>623.36006099999997</v>
      </c>
      <c r="AP27" s="20">
        <v>642.354647</v>
      </c>
      <c r="AQ27" s="20">
        <v>587.074521</v>
      </c>
      <c r="AR27" s="20">
        <v>644.47328800000003</v>
      </c>
      <c r="AS27" s="20">
        <v>619.29266900000005</v>
      </c>
      <c r="AT27" s="20"/>
      <c r="AU27" s="557">
        <f t="shared" si="17"/>
        <v>609.06474066666681</v>
      </c>
      <c r="AV27" s="551">
        <v>482.090397</v>
      </c>
      <c r="AW27" s="20">
        <v>334.41424899999998</v>
      </c>
      <c r="AX27" s="20">
        <v>496.38067699999999</v>
      </c>
      <c r="AY27" s="20">
        <v>596.75916199999995</v>
      </c>
      <c r="AZ27" s="20">
        <v>653.54991399999994</v>
      </c>
      <c r="BA27" s="20"/>
      <c r="BB27" s="20"/>
      <c r="BC27" s="20"/>
      <c r="BD27" s="20"/>
      <c r="BE27" s="20"/>
      <c r="BF27" s="20"/>
      <c r="BG27" s="20"/>
      <c r="BH27" s="20">
        <f t="shared" si="33"/>
        <v>512.63887980000004</v>
      </c>
      <c r="BI27" s="41" cm="1">
        <f t="array" ref="BI27">INDEX(BL27:BW27,$BL$1)</f>
        <v>376.18178016531749</v>
      </c>
      <c r="BJ27" s="27"/>
      <c r="BK27" s="598"/>
      <c r="BL27" s="20">
        <f t="shared" si="34"/>
        <v>343.10558626836917</v>
      </c>
      <c r="BM27" s="20">
        <f t="shared" si="35"/>
        <v>376.18178016531749</v>
      </c>
      <c r="BN27" s="20">
        <f t="shared" si="36"/>
        <v>669.77502176234759</v>
      </c>
      <c r="BO27" s="20">
        <f t="shared" si="37"/>
        <v>707.6117784975927</v>
      </c>
      <c r="BP27" s="20">
        <f t="shared" si="38"/>
        <v>756.23517917901438</v>
      </c>
      <c r="BQ27" s="20">
        <f t="shared" si="39"/>
        <v>924.0696597475926</v>
      </c>
      <c r="BR27" s="20">
        <f t="shared" si="40"/>
        <v>827.86114385284964</v>
      </c>
      <c r="BS27" s="20">
        <f t="shared" si="41"/>
        <v>821.37069010284961</v>
      </c>
      <c r="BT27" s="20">
        <f t="shared" si="42"/>
        <v>981.51959768277777</v>
      </c>
      <c r="BU27" s="20">
        <f t="shared" si="43"/>
        <v>900.77983601951598</v>
      </c>
      <c r="BV27" s="20">
        <f t="shared" si="44"/>
        <v>886.3061399327778</v>
      </c>
      <c r="BW27" s="20">
        <f t="shared" si="45"/>
        <v>821.53994851951597</v>
      </c>
      <c r="BX27" s="28">
        <f t="shared" si="46"/>
        <v>9016.3563617305208</v>
      </c>
      <c r="BY27" s="628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8">
        <f t="shared" si="47"/>
        <v>0</v>
      </c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8">
        <f t="shared" si="48"/>
        <v>0</v>
      </c>
      <c r="DB27" s="20">
        <v>343.10558626836917</v>
      </c>
      <c r="DC27" s="20">
        <v>376.18178016531749</v>
      </c>
      <c r="DD27" s="20">
        <v>669.77502176234759</v>
      </c>
      <c r="DE27" s="20">
        <v>707.6117784975927</v>
      </c>
      <c r="DF27" s="20">
        <v>756.23517917901438</v>
      </c>
      <c r="DG27" s="20">
        <v>924.0696597475926</v>
      </c>
      <c r="DH27" s="20">
        <v>827.86114385284964</v>
      </c>
      <c r="DI27" s="20">
        <v>821.37069010284961</v>
      </c>
      <c r="DJ27" s="20">
        <v>981.51959768277777</v>
      </c>
      <c r="DK27" s="20">
        <v>900.77983601951598</v>
      </c>
      <c r="DL27" s="20">
        <v>886.3061399327778</v>
      </c>
      <c r="DM27" s="20">
        <v>821.53994851951597</v>
      </c>
      <c r="DN27" s="28">
        <f t="shared" si="49"/>
        <v>9016.3563617305208</v>
      </c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8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8"/>
      <c r="ER27" s="20"/>
      <c r="ES27" s="20"/>
      <c r="ET27" s="20"/>
      <c r="EU27" s="20"/>
      <c r="EV27" s="20"/>
      <c r="EW27" s="20"/>
      <c r="EX27" s="20"/>
      <c r="EY27" s="20"/>
      <c r="EZ27" s="20"/>
      <c r="FA27" s="20"/>
      <c r="FB27" s="20"/>
      <c r="FC27" s="20"/>
      <c r="FD27" s="28"/>
      <c r="FF27" s="20"/>
      <c r="FG27" s="20"/>
      <c r="FH27" s="20"/>
      <c r="FI27" s="20"/>
      <c r="FJ27" s="20"/>
      <c r="FK27" s="20"/>
      <c r="FL27" s="20"/>
      <c r="FM27" s="20"/>
      <c r="FN27" s="20"/>
      <c r="FO27" s="20"/>
      <c r="FP27" s="20"/>
      <c r="FQ27" s="20"/>
      <c r="FR27" s="28"/>
    </row>
    <row r="28" spans="1:174" ht="14.85" customHeight="1" x14ac:dyDescent="0.25">
      <c r="A28" s="3">
        <f t="shared" si="50"/>
        <v>6</v>
      </c>
      <c r="B28" s="3" t="s">
        <v>97</v>
      </c>
      <c r="C28" s="3" t="s">
        <v>40</v>
      </c>
      <c r="D28" s="25" t="s">
        <v>40</v>
      </c>
      <c r="E28" s="26" t="s">
        <v>105</v>
      </c>
      <c r="F28" s="20">
        <v>44.321387999999999</v>
      </c>
      <c r="G28" s="20">
        <v>0</v>
      </c>
      <c r="H28" s="20">
        <v>48.722388000000002</v>
      </c>
      <c r="I28" s="20">
        <v>76.187495999999996</v>
      </c>
      <c r="J28" s="20">
        <v>68.801481999999993</v>
      </c>
      <c r="K28" s="20">
        <v>28.249625999999999</v>
      </c>
      <c r="L28" s="20">
        <v>91.396439000000001</v>
      </c>
      <c r="M28" s="20">
        <v>93.845376000000002</v>
      </c>
      <c r="N28" s="20">
        <v>109.400024</v>
      </c>
      <c r="O28" s="20">
        <v>129.99653499999999</v>
      </c>
      <c r="P28" s="20">
        <v>157.60198</v>
      </c>
      <c r="Q28" s="548">
        <v>316.88398999999998</v>
      </c>
      <c r="R28" s="557">
        <f t="shared" si="14"/>
        <v>97.117227</v>
      </c>
      <c r="S28" s="551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/>
      <c r="AF28" s="556">
        <f t="shared" si="15"/>
        <v>0</v>
      </c>
      <c r="AG28" s="557">
        <f t="shared" si="16"/>
        <v>0</v>
      </c>
      <c r="AH28" s="551">
        <v>0</v>
      </c>
      <c r="AI28" s="20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/>
      <c r="AU28" s="557">
        <f t="shared" si="17"/>
        <v>0</v>
      </c>
      <c r="AV28" s="551">
        <v>0</v>
      </c>
      <c r="AW28" s="20">
        <v>0</v>
      </c>
      <c r="AX28" s="20">
        <v>0</v>
      </c>
      <c r="AY28" s="20">
        <v>0</v>
      </c>
      <c r="AZ28" s="20">
        <v>0</v>
      </c>
      <c r="BA28" s="20"/>
      <c r="BB28" s="20"/>
      <c r="BC28" s="20"/>
      <c r="BD28" s="20"/>
      <c r="BE28" s="20"/>
      <c r="BF28" s="20"/>
      <c r="BG28" s="20"/>
      <c r="BH28" s="20">
        <f t="shared" si="33"/>
        <v>0</v>
      </c>
      <c r="BI28" s="41" cm="1">
        <f t="array" ref="BI28">INDEX(BL28:BW28,$BL$1)</f>
        <v>0</v>
      </c>
      <c r="BJ28" s="30"/>
      <c r="BK28" s="598"/>
      <c r="BL28" s="20">
        <f t="shared" si="34"/>
        <v>0</v>
      </c>
      <c r="BM28" s="20">
        <f t="shared" si="35"/>
        <v>0</v>
      </c>
      <c r="BN28" s="20">
        <f t="shared" si="36"/>
        <v>0</v>
      </c>
      <c r="BO28" s="20">
        <f t="shared" si="37"/>
        <v>0</v>
      </c>
      <c r="BP28" s="20">
        <f t="shared" si="38"/>
        <v>0</v>
      </c>
      <c r="BQ28" s="20">
        <f t="shared" si="39"/>
        <v>0</v>
      </c>
      <c r="BR28" s="20">
        <f t="shared" si="40"/>
        <v>0</v>
      </c>
      <c r="BS28" s="20">
        <f t="shared" si="41"/>
        <v>0</v>
      </c>
      <c r="BT28" s="20">
        <f t="shared" si="42"/>
        <v>0</v>
      </c>
      <c r="BU28" s="20">
        <f t="shared" si="43"/>
        <v>0</v>
      </c>
      <c r="BV28" s="20">
        <f t="shared" si="44"/>
        <v>0</v>
      </c>
      <c r="BW28" s="20">
        <f t="shared" si="45"/>
        <v>0</v>
      </c>
      <c r="BX28" s="28">
        <f t="shared" si="46"/>
        <v>0</v>
      </c>
      <c r="BY28" s="628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8">
        <f t="shared" si="47"/>
        <v>0</v>
      </c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8">
        <f t="shared" si="48"/>
        <v>0</v>
      </c>
      <c r="DB28" s="20">
        <v>0</v>
      </c>
      <c r="DC28" s="20">
        <v>0</v>
      </c>
      <c r="DD28" s="20">
        <v>0</v>
      </c>
      <c r="DE28" s="20">
        <v>0</v>
      </c>
      <c r="DF28" s="20">
        <v>0</v>
      </c>
      <c r="DG28" s="20">
        <v>0</v>
      </c>
      <c r="DH28" s="20">
        <v>0</v>
      </c>
      <c r="DI28" s="20">
        <v>0</v>
      </c>
      <c r="DJ28" s="20">
        <v>0</v>
      </c>
      <c r="DK28" s="20">
        <v>0</v>
      </c>
      <c r="DL28" s="20">
        <v>0</v>
      </c>
      <c r="DM28" s="20">
        <v>0</v>
      </c>
      <c r="DN28" s="28">
        <f t="shared" si="49"/>
        <v>0</v>
      </c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8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8"/>
      <c r="ER28" s="20"/>
      <c r="ES28" s="20"/>
      <c r="ET28" s="20"/>
      <c r="EU28" s="20"/>
      <c r="EV28" s="20"/>
      <c r="EW28" s="20"/>
      <c r="EX28" s="20"/>
      <c r="EY28" s="20"/>
      <c r="EZ28" s="20"/>
      <c r="FA28" s="20"/>
      <c r="FB28" s="20"/>
      <c r="FC28" s="20"/>
      <c r="FD28" s="28"/>
      <c r="FF28" s="20"/>
      <c r="FG28" s="20"/>
      <c r="FH28" s="20"/>
      <c r="FI28" s="20"/>
      <c r="FJ28" s="20"/>
      <c r="FK28" s="20"/>
      <c r="FL28" s="20"/>
      <c r="FM28" s="20"/>
      <c r="FN28" s="20"/>
      <c r="FO28" s="20"/>
      <c r="FP28" s="20"/>
      <c r="FQ28" s="20"/>
      <c r="FR28" s="28"/>
    </row>
    <row r="29" spans="1:174" ht="14.1" customHeight="1" x14ac:dyDescent="0.25">
      <c r="A29" s="3">
        <f t="shared" si="50"/>
        <v>7</v>
      </c>
      <c r="B29" s="3" t="s">
        <v>97</v>
      </c>
      <c r="C29" s="3" t="s">
        <v>36</v>
      </c>
      <c r="D29" s="25" t="s">
        <v>9</v>
      </c>
      <c r="E29" s="26" t="s">
        <v>105</v>
      </c>
      <c r="F29" s="20">
        <v>120.986681</v>
      </c>
      <c r="G29" s="20">
        <v>102.77466200000001</v>
      </c>
      <c r="H29" s="20">
        <v>282.92131599999999</v>
      </c>
      <c r="I29" s="20">
        <v>98.140203999999997</v>
      </c>
      <c r="J29" s="20">
        <v>184.97905399999999</v>
      </c>
      <c r="K29" s="20">
        <v>239.840022</v>
      </c>
      <c r="L29" s="20">
        <v>124.92917</v>
      </c>
      <c r="M29" s="20">
        <v>151.76581899999999</v>
      </c>
      <c r="N29" s="20">
        <v>192.104073</v>
      </c>
      <c r="O29" s="20">
        <v>123.19785299999999</v>
      </c>
      <c r="P29" s="20">
        <v>64.052771000000007</v>
      </c>
      <c r="Q29" s="548">
        <v>399.475461</v>
      </c>
      <c r="R29" s="557">
        <f t="shared" si="14"/>
        <v>173.76392383333334</v>
      </c>
      <c r="S29" s="631">
        <v>8.8683340000000008</v>
      </c>
      <c r="T29" s="632">
        <v>8.8683340000000008</v>
      </c>
      <c r="U29" s="632">
        <v>4.4329169999999998</v>
      </c>
      <c r="V29" s="632">
        <v>4.4329169999999998</v>
      </c>
      <c r="W29" s="632">
        <v>2.8912499999999999</v>
      </c>
      <c r="X29" s="632">
        <v>2.8912499999999999</v>
      </c>
      <c r="Y29" s="632">
        <v>5.8727320000000001</v>
      </c>
      <c r="Z29" s="632">
        <v>22.71425</v>
      </c>
      <c r="AA29" s="632">
        <v>2.8912499999999999</v>
      </c>
      <c r="AB29" s="632">
        <v>10.145795</v>
      </c>
      <c r="AC29" s="632">
        <v>2.7312500000000002</v>
      </c>
      <c r="AD29" s="632">
        <v>2.7312500000000002</v>
      </c>
      <c r="AE29" s="632"/>
      <c r="AF29" s="634">
        <f t="shared" si="15"/>
        <v>79.471529000000004</v>
      </c>
      <c r="AG29" s="557">
        <f t="shared" si="16"/>
        <v>6.622627416666667</v>
      </c>
      <c r="AH29" s="631">
        <v>61.084761</v>
      </c>
      <c r="AI29" s="632">
        <v>21.084761</v>
      </c>
      <c r="AJ29" s="632">
        <v>22.704011000000001</v>
      </c>
      <c r="AK29" s="632">
        <v>18.353511000000001</v>
      </c>
      <c r="AL29" s="632">
        <v>18.353511000000001</v>
      </c>
      <c r="AM29" s="632">
        <v>19.303511</v>
      </c>
      <c r="AN29" s="632">
        <v>27.528511000000002</v>
      </c>
      <c r="AO29" s="632">
        <v>29.353511000000001</v>
      </c>
      <c r="AP29" s="632">
        <v>19.908511000000001</v>
      </c>
      <c r="AQ29" s="632">
        <v>35.800178000000002</v>
      </c>
      <c r="AR29" s="632">
        <v>38.741844999999998</v>
      </c>
      <c r="AS29" s="632">
        <v>42.592177999999997</v>
      </c>
      <c r="AT29" s="20"/>
      <c r="AU29" s="557">
        <f t="shared" si="17"/>
        <v>29.567400000000003</v>
      </c>
      <c r="AV29" s="551">
        <v>8.138007</v>
      </c>
      <c r="AW29" s="20">
        <v>19.478166999999999</v>
      </c>
      <c r="AX29" s="20">
        <v>5.478167</v>
      </c>
      <c r="AY29" s="20">
        <v>6.5901670000000001</v>
      </c>
      <c r="AZ29" s="20">
        <v>6.0365000000000002</v>
      </c>
      <c r="BA29" s="20"/>
      <c r="BB29" s="20"/>
      <c r="BC29" s="20"/>
      <c r="BD29" s="20"/>
      <c r="BE29" s="20"/>
      <c r="BF29" s="20"/>
      <c r="BG29" s="20"/>
      <c r="BH29" s="20">
        <f t="shared" si="33"/>
        <v>9.1442015999999988</v>
      </c>
      <c r="BI29" s="41" cm="1">
        <f t="array" ref="BI29">INDEX(BL29:BW29,$BL$1)</f>
        <v>3.875</v>
      </c>
      <c r="BJ29" s="30"/>
      <c r="BK29" s="598"/>
      <c r="BL29" s="20">
        <f t="shared" si="34"/>
        <v>3.875</v>
      </c>
      <c r="BM29" s="20">
        <f t="shared" si="35"/>
        <v>3.875</v>
      </c>
      <c r="BN29" s="20">
        <f t="shared" si="36"/>
        <v>3.875</v>
      </c>
      <c r="BO29" s="20">
        <f t="shared" si="37"/>
        <v>3.875</v>
      </c>
      <c r="BP29" s="20">
        <f t="shared" si="38"/>
        <v>5.9950000000000001</v>
      </c>
      <c r="BQ29" s="20">
        <f t="shared" si="39"/>
        <v>30.875</v>
      </c>
      <c r="BR29" s="20">
        <f t="shared" si="40"/>
        <v>3.875</v>
      </c>
      <c r="BS29" s="20">
        <f t="shared" si="41"/>
        <v>3.875</v>
      </c>
      <c r="BT29" s="20">
        <f t="shared" si="42"/>
        <v>3.875</v>
      </c>
      <c r="BU29" s="20">
        <f t="shared" si="43"/>
        <v>5.9950000000000001</v>
      </c>
      <c r="BV29" s="20">
        <f t="shared" si="44"/>
        <v>3.875</v>
      </c>
      <c r="BW29" s="20">
        <f t="shared" si="45"/>
        <v>3.875</v>
      </c>
      <c r="BX29" s="28">
        <f t="shared" si="46"/>
        <v>77.740000000000009</v>
      </c>
      <c r="BY29" s="628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8">
        <f t="shared" si="47"/>
        <v>0</v>
      </c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8">
        <f t="shared" si="48"/>
        <v>0</v>
      </c>
      <c r="DB29" s="20">
        <v>3.875</v>
      </c>
      <c r="DC29" s="20">
        <v>3.875</v>
      </c>
      <c r="DD29" s="20">
        <v>3.875</v>
      </c>
      <c r="DE29" s="20">
        <v>3.875</v>
      </c>
      <c r="DF29" s="20">
        <v>5.9950000000000001</v>
      </c>
      <c r="DG29" s="20">
        <v>30.875</v>
      </c>
      <c r="DH29" s="20">
        <v>3.875</v>
      </c>
      <c r="DI29" s="20">
        <v>3.875</v>
      </c>
      <c r="DJ29" s="20">
        <v>3.875</v>
      </c>
      <c r="DK29" s="20">
        <v>5.9950000000000001</v>
      </c>
      <c r="DL29" s="20">
        <v>3.875</v>
      </c>
      <c r="DM29" s="20">
        <v>3.875</v>
      </c>
      <c r="DN29" s="28">
        <f t="shared" si="49"/>
        <v>77.740000000000009</v>
      </c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8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8"/>
      <c r="ER29" s="20"/>
      <c r="ES29" s="20"/>
      <c r="ET29" s="20"/>
      <c r="EU29" s="20"/>
      <c r="EV29" s="20"/>
      <c r="EW29" s="20"/>
      <c r="EX29" s="20"/>
      <c r="EY29" s="20"/>
      <c r="EZ29" s="20"/>
      <c r="FA29" s="20"/>
      <c r="FB29" s="20"/>
      <c r="FC29" s="20"/>
      <c r="FD29" s="28"/>
      <c r="FF29" s="20"/>
      <c r="FG29" s="20"/>
      <c r="FH29" s="20"/>
      <c r="FI29" s="20"/>
      <c r="FJ29" s="20"/>
      <c r="FK29" s="20"/>
      <c r="FL29" s="20"/>
      <c r="FM29" s="20"/>
      <c r="FN29" s="20"/>
      <c r="FO29" s="20"/>
      <c r="FP29" s="20"/>
      <c r="FQ29" s="20"/>
      <c r="FR29" s="28"/>
    </row>
    <row r="30" spans="1:174" ht="28.2" x14ac:dyDescent="0.3">
      <c r="A30" s="3">
        <f t="shared" si="50"/>
        <v>8</v>
      </c>
      <c r="B30" s="3" t="s">
        <v>97</v>
      </c>
      <c r="C30" s="3" t="s">
        <v>51</v>
      </c>
      <c r="D30" s="32" t="s">
        <v>17</v>
      </c>
      <c r="E30" s="26" t="s">
        <v>105</v>
      </c>
      <c r="F30" s="20">
        <v>27.009788</v>
      </c>
      <c r="G30" s="20">
        <v>23.820537999999999</v>
      </c>
      <c r="H30" s="20">
        <v>97.499787999999995</v>
      </c>
      <c r="I30" s="20">
        <v>76.791787999999997</v>
      </c>
      <c r="J30" s="20">
        <v>83.243121000000002</v>
      </c>
      <c r="K30" s="20">
        <v>102.628201</v>
      </c>
      <c r="L30" s="20">
        <v>158.41932399999999</v>
      </c>
      <c r="M30" s="20">
        <v>132.48603299999999</v>
      </c>
      <c r="N30" s="20">
        <v>95.116036000000008</v>
      </c>
      <c r="O30" s="20">
        <v>133.37608399999999</v>
      </c>
      <c r="P30" s="20">
        <v>124.431406</v>
      </c>
      <c r="Q30" s="548">
        <v>180.22106099999999</v>
      </c>
      <c r="R30" s="557">
        <f t="shared" si="14"/>
        <v>102.92026399999999</v>
      </c>
      <c r="S30" s="579">
        <v>134.20843300000001</v>
      </c>
      <c r="T30" s="20">
        <v>154.439795</v>
      </c>
      <c r="U30" s="20">
        <v>175.53063299999999</v>
      </c>
      <c r="V30" s="20">
        <v>169.076686</v>
      </c>
      <c r="W30" s="20">
        <v>144.889949</v>
      </c>
      <c r="X30" s="20">
        <v>194.34511599999999</v>
      </c>
      <c r="Y30" s="20">
        <v>103.399643</v>
      </c>
      <c r="Z30" s="20">
        <v>252.062783</v>
      </c>
      <c r="AA30" s="20">
        <v>145.69598999999999</v>
      </c>
      <c r="AB30" s="20">
        <v>114.76589300000001</v>
      </c>
      <c r="AC30" s="20">
        <v>151.31003799999999</v>
      </c>
      <c r="AD30" s="20">
        <v>201.13636299999999</v>
      </c>
      <c r="AE30" s="571"/>
      <c r="AF30" s="556">
        <f t="shared" si="15"/>
        <v>1940.8613220000002</v>
      </c>
      <c r="AG30" s="557">
        <f t="shared" si="16"/>
        <v>161.73844350000002</v>
      </c>
      <c r="AH30" s="631">
        <v>177.12041199999999</v>
      </c>
      <c r="AI30" s="632">
        <v>88.103870000000001</v>
      </c>
      <c r="AJ30" s="632">
        <v>135.084656</v>
      </c>
      <c r="AK30" s="632">
        <v>199.668656</v>
      </c>
      <c r="AL30" s="632">
        <v>179.68035900000001</v>
      </c>
      <c r="AM30" s="632">
        <v>308.19096999999999</v>
      </c>
      <c r="AN30" s="632">
        <v>283.78754900000001</v>
      </c>
      <c r="AO30" s="632">
        <v>320.84628099999998</v>
      </c>
      <c r="AP30" s="632">
        <v>85.210306000000003</v>
      </c>
      <c r="AQ30" s="632">
        <v>146.903164</v>
      </c>
      <c r="AR30" s="632">
        <v>130.70894000000001</v>
      </c>
      <c r="AS30" s="632">
        <v>142.35131899999999</v>
      </c>
      <c r="AT30" s="20"/>
      <c r="AU30" s="557">
        <f t="shared" si="17"/>
        <v>183.13804016666668</v>
      </c>
      <c r="AV30" s="551">
        <v>193.441621</v>
      </c>
      <c r="AW30" s="20">
        <v>93.093777000000003</v>
      </c>
      <c r="AX30" s="20">
        <v>98.299203000000006</v>
      </c>
      <c r="AY30" s="20">
        <v>87.475494999999995</v>
      </c>
      <c r="AZ30" s="20">
        <v>122.602265</v>
      </c>
      <c r="BA30" s="20"/>
      <c r="BB30" s="20"/>
      <c r="BC30" s="20"/>
      <c r="BD30" s="20"/>
      <c r="BE30" s="20"/>
      <c r="BF30" s="20"/>
      <c r="BG30" s="20"/>
      <c r="BH30" s="20">
        <f t="shared" si="33"/>
        <v>118.9824722</v>
      </c>
      <c r="BI30" s="41" cm="1">
        <f t="array" ref="BI30">INDEX(BL30:BW30,$BL$1)</f>
        <v>171.30398531172841</v>
      </c>
      <c r="BJ30" s="27"/>
      <c r="BK30" s="598"/>
      <c r="BL30" s="20">
        <f t="shared" si="34"/>
        <v>288.98579731172833</v>
      </c>
      <c r="BM30" s="20">
        <f t="shared" si="35"/>
        <v>171.30398531172841</v>
      </c>
      <c r="BN30" s="20">
        <f t="shared" si="36"/>
        <v>172.85729364506173</v>
      </c>
      <c r="BO30" s="20">
        <f t="shared" si="37"/>
        <v>177.46229364506172</v>
      </c>
      <c r="BP30" s="20">
        <f t="shared" si="38"/>
        <v>157.23112697839508</v>
      </c>
      <c r="BQ30" s="20">
        <f t="shared" si="39"/>
        <v>236.22781497839503</v>
      </c>
      <c r="BR30" s="20">
        <f t="shared" si="40"/>
        <v>159.10679389506174</v>
      </c>
      <c r="BS30" s="20">
        <f t="shared" si="41"/>
        <v>167.9417985617284</v>
      </c>
      <c r="BT30" s="20">
        <f t="shared" si="42"/>
        <v>171.39099856172842</v>
      </c>
      <c r="BU30" s="20">
        <f t="shared" si="43"/>
        <v>152.6917985617284</v>
      </c>
      <c r="BV30" s="20">
        <f t="shared" si="44"/>
        <v>173.21179856172841</v>
      </c>
      <c r="BW30" s="20">
        <f t="shared" si="45"/>
        <v>270.60501122839503</v>
      </c>
      <c r="BX30" s="28">
        <f t="shared" si="46"/>
        <v>2299.0165112407403</v>
      </c>
      <c r="BY30" s="628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8">
        <f t="shared" si="47"/>
        <v>0</v>
      </c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8">
        <f t="shared" si="48"/>
        <v>0</v>
      </c>
      <c r="DB30" s="20">
        <v>288.98579731172833</v>
      </c>
      <c r="DC30" s="20">
        <v>171.30398531172841</v>
      </c>
      <c r="DD30" s="20">
        <v>172.85729364506173</v>
      </c>
      <c r="DE30" s="20">
        <v>177.46229364506172</v>
      </c>
      <c r="DF30" s="20">
        <v>157.23112697839508</v>
      </c>
      <c r="DG30" s="20">
        <v>236.22781497839503</v>
      </c>
      <c r="DH30" s="20">
        <v>159.10679389506174</v>
      </c>
      <c r="DI30" s="20">
        <v>167.9417985617284</v>
      </c>
      <c r="DJ30" s="20">
        <v>171.39099856172842</v>
      </c>
      <c r="DK30" s="20">
        <v>152.6917985617284</v>
      </c>
      <c r="DL30" s="20">
        <v>173.21179856172841</v>
      </c>
      <c r="DM30" s="20">
        <v>270.60501122839503</v>
      </c>
      <c r="DN30" s="28">
        <f t="shared" si="49"/>
        <v>2299.0165112407403</v>
      </c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8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8"/>
      <c r="ER30" s="20"/>
      <c r="ES30" s="20"/>
      <c r="ET30" s="20"/>
      <c r="EU30" s="20"/>
      <c r="EV30" s="20"/>
      <c r="EW30" s="20"/>
      <c r="EX30" s="20"/>
      <c r="EY30" s="20"/>
      <c r="EZ30" s="20"/>
      <c r="FA30" s="20"/>
      <c r="FB30" s="20"/>
      <c r="FC30" s="20"/>
      <c r="FD30" s="28"/>
      <c r="FF30" s="20"/>
      <c r="FG30" s="20"/>
      <c r="FH30" s="20"/>
      <c r="FI30" s="20"/>
      <c r="FJ30" s="20"/>
      <c r="FK30" s="20"/>
      <c r="FL30" s="20"/>
      <c r="FM30" s="20"/>
      <c r="FN30" s="20"/>
      <c r="FO30" s="20"/>
      <c r="FP30" s="20"/>
      <c r="FQ30" s="20"/>
      <c r="FR30" s="28"/>
    </row>
    <row r="31" spans="1:174" ht="14.1" customHeight="1" x14ac:dyDescent="0.3">
      <c r="A31" s="3">
        <f t="shared" si="50"/>
        <v>9</v>
      </c>
      <c r="B31" s="3" t="s">
        <v>97</v>
      </c>
      <c r="C31" s="3" t="s">
        <v>36</v>
      </c>
      <c r="D31" s="25" t="s">
        <v>11</v>
      </c>
      <c r="E31" s="26" t="s">
        <v>105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183.50238100000001</v>
      </c>
      <c r="Q31" s="548">
        <v>218.97200000000001</v>
      </c>
      <c r="R31" s="557">
        <f t="shared" si="14"/>
        <v>33.539531750000002</v>
      </c>
      <c r="S31" s="551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602"/>
      <c r="AF31" s="556">
        <f t="shared" si="15"/>
        <v>0</v>
      </c>
      <c r="AG31" s="557">
        <f t="shared" si="16"/>
        <v>0</v>
      </c>
      <c r="AH31" s="551">
        <v>0</v>
      </c>
      <c r="AI31" s="20">
        <v>0</v>
      </c>
      <c r="AJ31" s="20">
        <v>0</v>
      </c>
      <c r="AK31" s="20">
        <v>0</v>
      </c>
      <c r="AL31" s="20">
        <v>0</v>
      </c>
      <c r="AM31" s="20">
        <v>0</v>
      </c>
      <c r="AN31" s="20">
        <v>0</v>
      </c>
      <c r="AO31" s="20">
        <v>0</v>
      </c>
      <c r="AP31" s="20">
        <v>0</v>
      </c>
      <c r="AQ31" s="20">
        <v>0</v>
      </c>
      <c r="AR31" s="20">
        <v>0</v>
      </c>
      <c r="AS31" s="20">
        <v>0</v>
      </c>
      <c r="AT31" s="20"/>
      <c r="AU31" s="557">
        <f t="shared" si="17"/>
        <v>0</v>
      </c>
      <c r="AV31" s="551">
        <v>0</v>
      </c>
      <c r="AW31" s="20">
        <v>0</v>
      </c>
      <c r="AX31" s="20">
        <v>0</v>
      </c>
      <c r="AY31" s="20">
        <v>0</v>
      </c>
      <c r="AZ31" s="20">
        <v>0</v>
      </c>
      <c r="BA31" s="20"/>
      <c r="BB31" s="20"/>
      <c r="BC31" s="20"/>
      <c r="BD31" s="20"/>
      <c r="BE31" s="20"/>
      <c r="BF31" s="20"/>
      <c r="BG31" s="20"/>
      <c r="BH31" s="20">
        <f t="shared" si="33"/>
        <v>0</v>
      </c>
      <c r="BI31" s="41" cm="1">
        <f t="array" ref="BI31">INDEX(BL31:BW31,$BL$1)</f>
        <v>0</v>
      </c>
      <c r="BJ31" s="27"/>
      <c r="BK31" s="598"/>
      <c r="BL31" s="20">
        <f t="shared" si="34"/>
        <v>0</v>
      </c>
      <c r="BM31" s="20">
        <f t="shared" si="35"/>
        <v>0</v>
      </c>
      <c r="BN31" s="20">
        <f t="shared" si="36"/>
        <v>0</v>
      </c>
      <c r="BO31" s="20">
        <f t="shared" si="37"/>
        <v>0</v>
      </c>
      <c r="BP31" s="20">
        <f t="shared" si="38"/>
        <v>0</v>
      </c>
      <c r="BQ31" s="20">
        <f t="shared" si="39"/>
        <v>0</v>
      </c>
      <c r="BR31" s="20">
        <f t="shared" si="40"/>
        <v>0</v>
      </c>
      <c r="BS31" s="20">
        <f t="shared" si="41"/>
        <v>0</v>
      </c>
      <c r="BT31" s="20">
        <f t="shared" si="42"/>
        <v>0</v>
      </c>
      <c r="BU31" s="20">
        <f t="shared" si="43"/>
        <v>0</v>
      </c>
      <c r="BV31" s="20">
        <f t="shared" si="44"/>
        <v>0</v>
      </c>
      <c r="BW31" s="20">
        <f t="shared" si="45"/>
        <v>0</v>
      </c>
      <c r="BX31" s="28">
        <f t="shared" si="46"/>
        <v>0</v>
      </c>
      <c r="BY31" s="628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8">
        <f t="shared" si="47"/>
        <v>0</v>
      </c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8">
        <f t="shared" si="48"/>
        <v>0</v>
      </c>
      <c r="DB31" s="20">
        <v>0</v>
      </c>
      <c r="DC31" s="20">
        <v>0</v>
      </c>
      <c r="DD31" s="20">
        <v>0</v>
      </c>
      <c r="DE31" s="20">
        <v>0</v>
      </c>
      <c r="DF31" s="20">
        <v>0</v>
      </c>
      <c r="DG31" s="20">
        <v>0</v>
      </c>
      <c r="DH31" s="20">
        <v>0</v>
      </c>
      <c r="DI31" s="20">
        <v>0</v>
      </c>
      <c r="DJ31" s="20">
        <v>0</v>
      </c>
      <c r="DK31" s="20">
        <v>0</v>
      </c>
      <c r="DL31" s="20">
        <v>0</v>
      </c>
      <c r="DM31" s="20">
        <v>0</v>
      </c>
      <c r="DN31" s="28">
        <f t="shared" si="49"/>
        <v>0</v>
      </c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8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8"/>
      <c r="ER31" s="20"/>
      <c r="ES31" s="20"/>
      <c r="ET31" s="20"/>
      <c r="EU31" s="20"/>
      <c r="EV31" s="20"/>
      <c r="EW31" s="20"/>
      <c r="EX31" s="20"/>
      <c r="EY31" s="20"/>
      <c r="EZ31" s="20"/>
      <c r="FA31" s="20"/>
      <c r="FB31" s="20"/>
      <c r="FC31" s="20"/>
      <c r="FD31" s="28"/>
      <c r="FF31" s="20"/>
      <c r="FG31" s="20"/>
      <c r="FH31" s="20"/>
      <c r="FI31" s="20"/>
      <c r="FJ31" s="20"/>
      <c r="FK31" s="20"/>
      <c r="FL31" s="20"/>
      <c r="FM31" s="20"/>
      <c r="FN31" s="20"/>
      <c r="FO31" s="20"/>
      <c r="FP31" s="20"/>
      <c r="FQ31" s="20"/>
      <c r="FR31" s="28"/>
    </row>
    <row r="32" spans="1:174" ht="14.1" customHeight="1" x14ac:dyDescent="0.25">
      <c r="A32" s="3">
        <f t="shared" si="50"/>
        <v>10</v>
      </c>
      <c r="B32" s="3" t="s">
        <v>97</v>
      </c>
      <c r="C32" s="3" t="s">
        <v>36</v>
      </c>
      <c r="D32" s="25" t="s">
        <v>22</v>
      </c>
      <c r="E32" s="26" t="s">
        <v>105</v>
      </c>
      <c r="F32" s="20">
        <v>121.632559</v>
      </c>
      <c r="G32" s="20">
        <v>39.968558999999999</v>
      </c>
      <c r="H32" s="20">
        <v>187.05753000000001</v>
      </c>
      <c r="I32" s="20">
        <v>146.510076</v>
      </c>
      <c r="J32" s="20">
        <v>72.233847999999995</v>
      </c>
      <c r="K32" s="20">
        <v>176.99984799999999</v>
      </c>
      <c r="L32" s="20">
        <v>143.16220799999999</v>
      </c>
      <c r="M32" s="20">
        <v>115.13653499999999</v>
      </c>
      <c r="N32" s="20">
        <v>106.030147</v>
      </c>
      <c r="O32" s="20">
        <v>95.691602000000003</v>
      </c>
      <c r="P32" s="20">
        <v>63.938803</v>
      </c>
      <c r="Q32" s="548">
        <v>97.759415000000004</v>
      </c>
      <c r="R32" s="557">
        <f t="shared" si="14"/>
        <v>113.8434275</v>
      </c>
      <c r="S32" s="551">
        <v>53.605969999999999</v>
      </c>
      <c r="T32" s="20">
        <v>129.258073</v>
      </c>
      <c r="U32" s="20">
        <v>84.342692</v>
      </c>
      <c r="V32" s="20">
        <v>89.571980999999994</v>
      </c>
      <c r="W32" s="20">
        <v>104.039034</v>
      </c>
      <c r="X32" s="20">
        <v>140.650935</v>
      </c>
      <c r="Y32" s="20">
        <v>106.17503600000001</v>
      </c>
      <c r="Z32" s="20">
        <v>108.44616600000001</v>
      </c>
      <c r="AA32" s="20">
        <v>108.428102</v>
      </c>
      <c r="AB32" s="20">
        <v>123.952411</v>
      </c>
      <c r="AC32" s="20">
        <v>145.07710499999999</v>
      </c>
      <c r="AD32" s="20">
        <v>145.355345</v>
      </c>
      <c r="AE32" s="20"/>
      <c r="AF32" s="556">
        <f t="shared" si="15"/>
        <v>1338.9028500000002</v>
      </c>
      <c r="AG32" s="557">
        <f t="shared" si="16"/>
        <v>111.57523750000001</v>
      </c>
      <c r="AH32" s="551">
        <v>156.85965200000001</v>
      </c>
      <c r="AI32" s="20">
        <v>89.525784999999999</v>
      </c>
      <c r="AJ32" s="20">
        <v>110.955573</v>
      </c>
      <c r="AK32" s="20">
        <v>98.029398999999998</v>
      </c>
      <c r="AL32" s="20">
        <v>69.184231999999994</v>
      </c>
      <c r="AM32" s="20">
        <v>241.51800499999999</v>
      </c>
      <c r="AN32" s="20">
        <v>144.440179</v>
      </c>
      <c r="AO32" s="20">
        <v>287.85151300000001</v>
      </c>
      <c r="AP32" s="20">
        <v>198.64223999999999</v>
      </c>
      <c r="AQ32" s="20">
        <v>74.918980000000005</v>
      </c>
      <c r="AR32" s="20">
        <v>279.553586</v>
      </c>
      <c r="AS32" s="20">
        <v>221.255087</v>
      </c>
      <c r="AT32" s="20"/>
      <c r="AU32" s="557">
        <f t="shared" si="17"/>
        <v>164.39451925</v>
      </c>
      <c r="AV32" s="551">
        <v>147.108833</v>
      </c>
      <c r="AW32" s="20">
        <v>152.97602599999999</v>
      </c>
      <c r="AX32" s="20">
        <v>162.41197600000001</v>
      </c>
      <c r="AY32" s="20">
        <v>161.460376</v>
      </c>
      <c r="AZ32" s="20">
        <v>55.134703000000002</v>
      </c>
      <c r="BA32" s="20"/>
      <c r="BB32" s="20"/>
      <c r="BC32" s="20"/>
      <c r="BD32" s="20"/>
      <c r="BE32" s="20"/>
      <c r="BF32" s="20"/>
      <c r="BG32" s="20"/>
      <c r="BH32" s="20">
        <f t="shared" si="33"/>
        <v>135.81838280000002</v>
      </c>
      <c r="BI32" s="41" cm="1">
        <f t="array" ref="BI32">INDEX(BL32:BW32,$BL$1)</f>
        <v>158.5713998785524</v>
      </c>
      <c r="BJ32" s="30"/>
      <c r="BK32" s="598"/>
      <c r="BL32" s="20">
        <f t="shared" si="34"/>
        <v>213.66646181935241</v>
      </c>
      <c r="BM32" s="20">
        <f t="shared" si="35"/>
        <v>158.5713998785524</v>
      </c>
      <c r="BN32" s="20">
        <f t="shared" si="36"/>
        <v>241.88646181935241</v>
      </c>
      <c r="BO32" s="20">
        <f t="shared" si="37"/>
        <v>207.58189760495239</v>
      </c>
      <c r="BP32" s="20">
        <f t="shared" si="38"/>
        <v>205.98073683855245</v>
      </c>
      <c r="BQ32" s="20">
        <f t="shared" si="39"/>
        <v>268.5346246049524</v>
      </c>
      <c r="BR32" s="20">
        <f t="shared" si="40"/>
        <v>214.59678194735244</v>
      </c>
      <c r="BS32" s="20">
        <f t="shared" si="41"/>
        <v>234.06950894735243</v>
      </c>
      <c r="BT32" s="20">
        <f t="shared" si="42"/>
        <v>224.89254547695242</v>
      </c>
      <c r="BU32" s="20">
        <f t="shared" si="43"/>
        <v>210.08491558201908</v>
      </c>
      <c r="BV32" s="20">
        <f t="shared" si="44"/>
        <v>210.08249860761907</v>
      </c>
      <c r="BW32" s="20">
        <f t="shared" si="45"/>
        <v>229.88491558201909</v>
      </c>
      <c r="BX32" s="28">
        <f t="shared" si="46"/>
        <v>2619.8327487090287</v>
      </c>
      <c r="BY32" s="628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8">
        <f t="shared" si="47"/>
        <v>0</v>
      </c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8">
        <f t="shared" si="48"/>
        <v>0</v>
      </c>
      <c r="DB32" s="20">
        <v>213.66646181935241</v>
      </c>
      <c r="DC32" s="20">
        <v>158.5713998785524</v>
      </c>
      <c r="DD32" s="20">
        <v>241.88646181935241</v>
      </c>
      <c r="DE32" s="20">
        <v>207.58189760495239</v>
      </c>
      <c r="DF32" s="20">
        <v>205.98073683855245</v>
      </c>
      <c r="DG32" s="20">
        <v>268.5346246049524</v>
      </c>
      <c r="DH32" s="20">
        <v>214.59678194735244</v>
      </c>
      <c r="DI32" s="20">
        <v>234.06950894735243</v>
      </c>
      <c r="DJ32" s="20">
        <v>224.89254547695242</v>
      </c>
      <c r="DK32" s="20">
        <v>210.08491558201908</v>
      </c>
      <c r="DL32" s="20">
        <v>210.08249860761907</v>
      </c>
      <c r="DM32" s="20">
        <v>229.88491558201909</v>
      </c>
      <c r="DN32" s="28">
        <f t="shared" si="49"/>
        <v>2619.8327487090287</v>
      </c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8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8"/>
      <c r="ER32" s="20"/>
      <c r="ES32" s="20"/>
      <c r="ET32" s="20"/>
      <c r="EU32" s="20"/>
      <c r="EV32" s="20"/>
      <c r="EW32" s="20"/>
      <c r="EX32" s="20"/>
      <c r="EY32" s="20"/>
      <c r="EZ32" s="20"/>
      <c r="FA32" s="20"/>
      <c r="FB32" s="20"/>
      <c r="FC32" s="20"/>
      <c r="FD32" s="28"/>
      <c r="FF32" s="20"/>
      <c r="FG32" s="20"/>
      <c r="FH32" s="20"/>
      <c r="FI32" s="20"/>
      <c r="FJ32" s="20"/>
      <c r="FK32" s="20"/>
      <c r="FL32" s="20"/>
      <c r="FM32" s="20"/>
      <c r="FN32" s="20"/>
      <c r="FO32" s="20"/>
      <c r="FP32" s="20"/>
      <c r="FQ32" s="20"/>
      <c r="FR32" s="28"/>
    </row>
    <row r="33" spans="1:174" ht="14.1" customHeight="1" x14ac:dyDescent="0.25">
      <c r="A33" s="3">
        <f t="shared" si="50"/>
        <v>11</v>
      </c>
      <c r="B33" s="3" t="s">
        <v>97</v>
      </c>
      <c r="C33" s="3" t="s">
        <v>36</v>
      </c>
      <c r="D33" s="25" t="s">
        <v>21</v>
      </c>
      <c r="E33" s="26" t="s">
        <v>105</v>
      </c>
      <c r="F33" s="20">
        <v>86.919137000000006</v>
      </c>
      <c r="G33" s="20">
        <v>168.83827400000001</v>
      </c>
      <c r="H33" s="20">
        <v>168.83827400000001</v>
      </c>
      <c r="I33" s="20">
        <v>168.83827400000001</v>
      </c>
      <c r="J33" s="20">
        <v>84.419137000000006</v>
      </c>
      <c r="K33" s="20">
        <v>84.419137000000006</v>
      </c>
      <c r="L33" s="20">
        <v>84.419137000000006</v>
      </c>
      <c r="M33" s="20">
        <v>84.419137000000006</v>
      </c>
      <c r="N33" s="20">
        <v>0</v>
      </c>
      <c r="O33" s="20">
        <v>0</v>
      </c>
      <c r="P33" s="20">
        <v>52.797851000000001</v>
      </c>
      <c r="Q33" s="548">
        <v>52.797851000000001</v>
      </c>
      <c r="R33" s="557">
        <f t="shared" si="14"/>
        <v>86.392184083333333</v>
      </c>
      <c r="S33" s="551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  <c r="AD33" s="20">
        <v>0</v>
      </c>
      <c r="AE33" s="20"/>
      <c r="AF33" s="556">
        <f t="shared" si="15"/>
        <v>0</v>
      </c>
      <c r="AG33" s="557">
        <f t="shared" si="16"/>
        <v>0</v>
      </c>
      <c r="AH33" s="551">
        <v>0</v>
      </c>
      <c r="AI33" s="20">
        <v>0</v>
      </c>
      <c r="AJ33" s="20">
        <v>0</v>
      </c>
      <c r="AK33" s="20">
        <v>0</v>
      </c>
      <c r="AL33" s="20">
        <v>0</v>
      </c>
      <c r="AM33" s="20">
        <v>0</v>
      </c>
      <c r="AN33" s="20">
        <v>0</v>
      </c>
      <c r="AO33" s="20">
        <v>0</v>
      </c>
      <c r="AP33" s="20">
        <v>0</v>
      </c>
      <c r="AQ33" s="20">
        <v>0</v>
      </c>
      <c r="AR33" s="20">
        <v>0</v>
      </c>
      <c r="AS33" s="20">
        <v>0</v>
      </c>
      <c r="AT33" s="20"/>
      <c r="AU33" s="557">
        <f t="shared" si="17"/>
        <v>0</v>
      </c>
      <c r="AV33" s="551">
        <v>0</v>
      </c>
      <c r="AW33" s="20">
        <v>0</v>
      </c>
      <c r="AX33" s="20">
        <v>0</v>
      </c>
      <c r="AY33" s="20">
        <v>0</v>
      </c>
      <c r="AZ33" s="20">
        <v>0</v>
      </c>
      <c r="BA33" s="20"/>
      <c r="BB33" s="20"/>
      <c r="BC33" s="20"/>
      <c r="BD33" s="20"/>
      <c r="BE33" s="20"/>
      <c r="BF33" s="20"/>
      <c r="BG33" s="20"/>
      <c r="BH33" s="20">
        <f t="shared" si="33"/>
        <v>0</v>
      </c>
      <c r="BI33" s="41" cm="1">
        <f t="array" ref="BI33">INDEX(BL33:BW33,$BL$1)</f>
        <v>0</v>
      </c>
      <c r="BJ33" s="30"/>
      <c r="BK33" s="598"/>
      <c r="BL33" s="20">
        <f t="shared" si="34"/>
        <v>0</v>
      </c>
      <c r="BM33" s="20">
        <f t="shared" si="35"/>
        <v>0</v>
      </c>
      <c r="BN33" s="20">
        <f t="shared" si="36"/>
        <v>0</v>
      </c>
      <c r="BO33" s="20">
        <f t="shared" si="37"/>
        <v>0</v>
      </c>
      <c r="BP33" s="20">
        <f t="shared" si="38"/>
        <v>0</v>
      </c>
      <c r="BQ33" s="20">
        <f t="shared" si="39"/>
        <v>0</v>
      </c>
      <c r="BR33" s="20">
        <f t="shared" si="40"/>
        <v>0</v>
      </c>
      <c r="BS33" s="20">
        <f t="shared" si="41"/>
        <v>0</v>
      </c>
      <c r="BT33" s="20">
        <f t="shared" si="42"/>
        <v>0</v>
      </c>
      <c r="BU33" s="20">
        <f t="shared" si="43"/>
        <v>0</v>
      </c>
      <c r="BV33" s="20">
        <f t="shared" si="44"/>
        <v>0</v>
      </c>
      <c r="BW33" s="20">
        <f t="shared" si="45"/>
        <v>0</v>
      </c>
      <c r="BX33" s="28">
        <f t="shared" si="46"/>
        <v>0</v>
      </c>
      <c r="BY33" s="628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8">
        <f t="shared" si="47"/>
        <v>0</v>
      </c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8">
        <f t="shared" si="48"/>
        <v>0</v>
      </c>
      <c r="DB33" s="20">
        <v>0</v>
      </c>
      <c r="DC33" s="20">
        <v>0</v>
      </c>
      <c r="DD33" s="20">
        <v>0</v>
      </c>
      <c r="DE33" s="20">
        <v>0</v>
      </c>
      <c r="DF33" s="20">
        <v>0</v>
      </c>
      <c r="DG33" s="20">
        <v>0</v>
      </c>
      <c r="DH33" s="20">
        <v>0</v>
      </c>
      <c r="DI33" s="20">
        <v>0</v>
      </c>
      <c r="DJ33" s="20">
        <v>0</v>
      </c>
      <c r="DK33" s="20">
        <v>0</v>
      </c>
      <c r="DL33" s="20">
        <v>0</v>
      </c>
      <c r="DM33" s="20">
        <v>0</v>
      </c>
      <c r="DN33" s="28">
        <f t="shared" si="49"/>
        <v>0</v>
      </c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8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8"/>
      <c r="ER33" s="20"/>
      <c r="ES33" s="20"/>
      <c r="ET33" s="20"/>
      <c r="EU33" s="20"/>
      <c r="EV33" s="20"/>
      <c r="EW33" s="20"/>
      <c r="EX33" s="20"/>
      <c r="EY33" s="20"/>
      <c r="EZ33" s="20"/>
      <c r="FA33" s="20"/>
      <c r="FB33" s="20"/>
      <c r="FC33" s="20"/>
      <c r="FD33" s="28"/>
      <c r="FF33" s="20"/>
      <c r="FG33" s="20"/>
      <c r="FH33" s="20"/>
      <c r="FI33" s="20"/>
      <c r="FJ33" s="20"/>
      <c r="FK33" s="20"/>
      <c r="FL33" s="20"/>
      <c r="FM33" s="20"/>
      <c r="FN33" s="20"/>
      <c r="FO33" s="20"/>
      <c r="FP33" s="20"/>
      <c r="FQ33" s="20"/>
      <c r="FR33" s="28"/>
    </row>
    <row r="34" spans="1:174" ht="14.1" customHeight="1" x14ac:dyDescent="0.25">
      <c r="A34" s="3">
        <f t="shared" si="50"/>
        <v>12</v>
      </c>
      <c r="B34" s="3" t="s">
        <v>97</v>
      </c>
      <c r="C34" s="3" t="s">
        <v>36</v>
      </c>
      <c r="D34" s="25" t="s">
        <v>26</v>
      </c>
      <c r="E34" s="26" t="s">
        <v>105</v>
      </c>
      <c r="F34" s="20">
        <v>35.109521000000001</v>
      </c>
      <c r="G34" s="20">
        <v>76.818160000000006</v>
      </c>
      <c r="H34" s="20">
        <v>28.211646000000002</v>
      </c>
      <c r="I34" s="20">
        <v>23.111598000000001</v>
      </c>
      <c r="J34" s="20">
        <v>19.621597999999999</v>
      </c>
      <c r="K34" s="20">
        <v>21.720980999999998</v>
      </c>
      <c r="L34" s="20">
        <v>35.012847999999998</v>
      </c>
      <c r="M34" s="20">
        <v>35.573756000000003</v>
      </c>
      <c r="N34" s="20">
        <v>44.561959000000002</v>
      </c>
      <c r="O34" s="20">
        <v>43.024603999999997</v>
      </c>
      <c r="P34" s="20">
        <v>35.644986000000003</v>
      </c>
      <c r="Q34" s="548">
        <v>48.579369999999997</v>
      </c>
      <c r="R34" s="557">
        <f t="shared" si="14"/>
        <v>37.249252250000005</v>
      </c>
      <c r="S34" s="551">
        <v>0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  <c r="AC34" s="20">
        <v>0</v>
      </c>
      <c r="AD34" s="20">
        <v>0</v>
      </c>
      <c r="AE34" s="571"/>
      <c r="AF34" s="556">
        <f t="shared" si="15"/>
        <v>0</v>
      </c>
      <c r="AG34" s="557">
        <f t="shared" si="16"/>
        <v>0</v>
      </c>
      <c r="AH34" s="551">
        <v>0</v>
      </c>
      <c r="AI34" s="20">
        <v>0</v>
      </c>
      <c r="AJ34" s="20">
        <v>0</v>
      </c>
      <c r="AK34" s="20">
        <v>0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/>
      <c r="AU34" s="557">
        <f t="shared" si="17"/>
        <v>0</v>
      </c>
      <c r="AV34" s="551">
        <v>0</v>
      </c>
      <c r="AW34" s="20">
        <v>0</v>
      </c>
      <c r="AX34" s="20">
        <v>0</v>
      </c>
      <c r="AY34" s="20">
        <v>0</v>
      </c>
      <c r="AZ34" s="20">
        <v>0</v>
      </c>
      <c r="BA34" s="20"/>
      <c r="BB34" s="20"/>
      <c r="BC34" s="20"/>
      <c r="BD34" s="20"/>
      <c r="BE34" s="20"/>
      <c r="BF34" s="20"/>
      <c r="BG34" s="20"/>
      <c r="BH34" s="20">
        <f t="shared" si="33"/>
        <v>0</v>
      </c>
      <c r="BI34" s="41" cm="1">
        <f t="array" ref="BI34">INDEX(BL34:BW34,$BL$1)</f>
        <v>0</v>
      </c>
      <c r="BJ34" s="30"/>
      <c r="BK34" s="598"/>
      <c r="BL34" s="20">
        <f t="shared" si="34"/>
        <v>0</v>
      </c>
      <c r="BM34" s="20">
        <f t="shared" si="35"/>
        <v>0</v>
      </c>
      <c r="BN34" s="20">
        <f t="shared" si="36"/>
        <v>0</v>
      </c>
      <c r="BO34" s="20">
        <f t="shared" si="37"/>
        <v>0</v>
      </c>
      <c r="BP34" s="20">
        <f t="shared" si="38"/>
        <v>0</v>
      </c>
      <c r="BQ34" s="20">
        <f t="shared" si="39"/>
        <v>0</v>
      </c>
      <c r="BR34" s="20">
        <f t="shared" si="40"/>
        <v>0</v>
      </c>
      <c r="BS34" s="20">
        <f t="shared" si="41"/>
        <v>0</v>
      </c>
      <c r="BT34" s="20">
        <f t="shared" si="42"/>
        <v>0</v>
      </c>
      <c r="BU34" s="20">
        <f t="shared" si="43"/>
        <v>0</v>
      </c>
      <c r="BV34" s="20">
        <f t="shared" si="44"/>
        <v>0</v>
      </c>
      <c r="BW34" s="20">
        <f t="shared" si="45"/>
        <v>0</v>
      </c>
      <c r="BX34" s="28">
        <f t="shared" si="46"/>
        <v>0</v>
      </c>
      <c r="BY34" s="628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8">
        <f t="shared" si="47"/>
        <v>0</v>
      </c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8">
        <f t="shared" si="48"/>
        <v>0</v>
      </c>
      <c r="DB34" s="20">
        <v>0</v>
      </c>
      <c r="DC34" s="20">
        <v>0</v>
      </c>
      <c r="DD34" s="20">
        <v>0</v>
      </c>
      <c r="DE34" s="20">
        <v>0</v>
      </c>
      <c r="DF34" s="20">
        <v>0</v>
      </c>
      <c r="DG34" s="20">
        <v>0</v>
      </c>
      <c r="DH34" s="20">
        <v>0</v>
      </c>
      <c r="DI34" s="20">
        <v>0</v>
      </c>
      <c r="DJ34" s="20">
        <v>0</v>
      </c>
      <c r="DK34" s="20">
        <v>0</v>
      </c>
      <c r="DL34" s="20">
        <v>0</v>
      </c>
      <c r="DM34" s="20">
        <v>0</v>
      </c>
      <c r="DN34" s="28">
        <f t="shared" si="49"/>
        <v>0</v>
      </c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8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8"/>
      <c r="ER34" s="20"/>
      <c r="ES34" s="20"/>
      <c r="ET34" s="20"/>
      <c r="EU34" s="20"/>
      <c r="EV34" s="20"/>
      <c r="EW34" s="20"/>
      <c r="EX34" s="20"/>
      <c r="EY34" s="20"/>
      <c r="EZ34" s="20"/>
      <c r="FA34" s="20"/>
      <c r="FB34" s="20"/>
      <c r="FC34" s="20"/>
      <c r="FD34" s="28"/>
      <c r="FF34" s="20"/>
      <c r="FG34" s="20"/>
      <c r="FH34" s="20"/>
      <c r="FI34" s="20"/>
      <c r="FJ34" s="20"/>
      <c r="FK34" s="20"/>
      <c r="FL34" s="20"/>
      <c r="FM34" s="20"/>
      <c r="FN34" s="20"/>
      <c r="FO34" s="20"/>
      <c r="FP34" s="20"/>
      <c r="FQ34" s="20"/>
      <c r="FR34" s="28"/>
    </row>
    <row r="35" spans="1:174" x14ac:dyDescent="0.25">
      <c r="A35" s="3">
        <f t="shared" si="50"/>
        <v>13</v>
      </c>
      <c r="B35" s="3" t="s">
        <v>97</v>
      </c>
      <c r="C35" s="3" t="s">
        <v>36</v>
      </c>
      <c r="D35" s="25" t="s">
        <v>27</v>
      </c>
      <c r="E35" s="26" t="s">
        <v>105</v>
      </c>
      <c r="F35" s="20">
        <v>43.4</v>
      </c>
      <c r="G35" s="20">
        <v>76.728999999999999</v>
      </c>
      <c r="H35" s="20">
        <v>64.912999999999997</v>
      </c>
      <c r="I35" s="20">
        <v>59</v>
      </c>
      <c r="J35" s="20">
        <v>61.154000000000003</v>
      </c>
      <c r="K35" s="20">
        <v>59.834000000000003</v>
      </c>
      <c r="L35" s="20">
        <v>61.836091000000003</v>
      </c>
      <c r="M35" s="20">
        <v>59.581480999999997</v>
      </c>
      <c r="N35" s="20">
        <v>59.140999999999998</v>
      </c>
      <c r="O35" s="20">
        <v>62.084000000000003</v>
      </c>
      <c r="P35" s="20">
        <v>61.822000000000003</v>
      </c>
      <c r="Q35" s="548">
        <v>59.521999999999998</v>
      </c>
      <c r="R35" s="557">
        <f t="shared" si="14"/>
        <v>60.751381000000002</v>
      </c>
      <c r="S35" s="551">
        <v>0</v>
      </c>
      <c r="T35" s="20">
        <v>0</v>
      </c>
      <c r="U35" s="20">
        <v>0</v>
      </c>
      <c r="V35" s="20">
        <v>0</v>
      </c>
      <c r="W35" s="20">
        <v>0</v>
      </c>
      <c r="X35" s="20">
        <v>0</v>
      </c>
      <c r="Y35" s="20">
        <v>0</v>
      </c>
      <c r="Z35" s="20">
        <v>0</v>
      </c>
      <c r="AA35" s="20">
        <v>0</v>
      </c>
      <c r="AB35" s="20">
        <v>0</v>
      </c>
      <c r="AC35" s="20">
        <v>0</v>
      </c>
      <c r="AD35" s="20">
        <v>0</v>
      </c>
      <c r="AE35" s="20"/>
      <c r="AF35" s="556">
        <f t="shared" si="15"/>
        <v>0</v>
      </c>
      <c r="AG35" s="557">
        <f t="shared" si="16"/>
        <v>0</v>
      </c>
      <c r="AH35" s="551">
        <v>0</v>
      </c>
      <c r="AI35" s="20">
        <v>0</v>
      </c>
      <c r="AJ35" s="20">
        <v>0</v>
      </c>
      <c r="AK35" s="20">
        <v>0</v>
      </c>
      <c r="AL35" s="20">
        <v>0</v>
      </c>
      <c r="AM35" s="20">
        <v>0</v>
      </c>
      <c r="AN35" s="20">
        <v>0</v>
      </c>
      <c r="AO35" s="20">
        <v>0</v>
      </c>
      <c r="AP35" s="20">
        <v>0</v>
      </c>
      <c r="AQ35" s="20">
        <v>0</v>
      </c>
      <c r="AR35" s="20">
        <v>0</v>
      </c>
      <c r="AS35" s="20">
        <v>0</v>
      </c>
      <c r="AT35" s="20"/>
      <c r="AU35" s="557">
        <f t="shared" si="17"/>
        <v>0</v>
      </c>
      <c r="AV35" s="551">
        <v>0</v>
      </c>
      <c r="AW35" s="20">
        <v>0</v>
      </c>
      <c r="AX35" s="20">
        <v>0</v>
      </c>
      <c r="AY35" s="20">
        <v>0</v>
      </c>
      <c r="AZ35" s="20">
        <v>0</v>
      </c>
      <c r="BA35" s="20"/>
      <c r="BB35" s="20"/>
      <c r="BC35" s="20"/>
      <c r="BD35" s="20"/>
      <c r="BE35" s="20"/>
      <c r="BF35" s="20"/>
      <c r="BG35" s="20"/>
      <c r="BH35" s="20">
        <f t="shared" si="33"/>
        <v>0</v>
      </c>
      <c r="BI35" s="41" cm="1">
        <f t="array" ref="BI35">INDEX(BL35:BW35,$BL$1)</f>
        <v>0</v>
      </c>
      <c r="BJ35" s="30"/>
      <c r="BK35" s="598"/>
      <c r="BL35" s="20">
        <f t="shared" si="34"/>
        <v>0</v>
      </c>
      <c r="BM35" s="20">
        <f t="shared" si="35"/>
        <v>0</v>
      </c>
      <c r="BN35" s="20">
        <f t="shared" si="36"/>
        <v>0</v>
      </c>
      <c r="BO35" s="20">
        <f t="shared" si="37"/>
        <v>0</v>
      </c>
      <c r="BP35" s="20">
        <f t="shared" si="38"/>
        <v>0</v>
      </c>
      <c r="BQ35" s="20">
        <f t="shared" si="39"/>
        <v>0</v>
      </c>
      <c r="BR35" s="20">
        <f t="shared" si="40"/>
        <v>0</v>
      </c>
      <c r="BS35" s="20">
        <f t="shared" si="41"/>
        <v>0</v>
      </c>
      <c r="BT35" s="20">
        <f t="shared" si="42"/>
        <v>0</v>
      </c>
      <c r="BU35" s="20">
        <f t="shared" si="43"/>
        <v>0</v>
      </c>
      <c r="BV35" s="20">
        <f t="shared" si="44"/>
        <v>0</v>
      </c>
      <c r="BW35" s="20">
        <f t="shared" si="45"/>
        <v>0</v>
      </c>
      <c r="BX35" s="28">
        <f t="shared" si="46"/>
        <v>0</v>
      </c>
      <c r="BY35" s="628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8">
        <f t="shared" si="47"/>
        <v>0</v>
      </c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8">
        <f t="shared" si="48"/>
        <v>0</v>
      </c>
      <c r="DB35" s="20">
        <v>0</v>
      </c>
      <c r="DC35" s="20">
        <v>0</v>
      </c>
      <c r="DD35" s="20">
        <v>0</v>
      </c>
      <c r="DE35" s="20">
        <v>0</v>
      </c>
      <c r="DF35" s="20">
        <v>0</v>
      </c>
      <c r="DG35" s="20">
        <v>0</v>
      </c>
      <c r="DH35" s="20">
        <v>0</v>
      </c>
      <c r="DI35" s="20">
        <v>0</v>
      </c>
      <c r="DJ35" s="20">
        <v>0</v>
      </c>
      <c r="DK35" s="20">
        <v>0</v>
      </c>
      <c r="DL35" s="20">
        <v>0</v>
      </c>
      <c r="DM35" s="20">
        <v>0</v>
      </c>
      <c r="DN35" s="28">
        <f t="shared" si="49"/>
        <v>0</v>
      </c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8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8"/>
      <c r="ER35" s="20"/>
      <c r="ES35" s="20"/>
      <c r="ET35" s="20"/>
      <c r="EU35" s="20"/>
      <c r="EV35" s="20"/>
      <c r="EW35" s="20"/>
      <c r="EX35" s="20"/>
      <c r="EY35" s="20"/>
      <c r="EZ35" s="20"/>
      <c r="FA35" s="20"/>
      <c r="FB35" s="20"/>
      <c r="FC35" s="20"/>
      <c r="FD35" s="28"/>
      <c r="FF35" s="20"/>
      <c r="FG35" s="20"/>
      <c r="FH35" s="20"/>
      <c r="FI35" s="20"/>
      <c r="FJ35" s="20"/>
      <c r="FK35" s="20"/>
      <c r="FL35" s="20"/>
      <c r="FM35" s="20"/>
      <c r="FN35" s="20"/>
      <c r="FO35" s="20"/>
      <c r="FP35" s="20"/>
      <c r="FQ35" s="20"/>
      <c r="FR35" s="28"/>
    </row>
    <row r="36" spans="1:174" ht="14.85" customHeight="1" x14ac:dyDescent="0.25">
      <c r="A36" s="3">
        <f t="shared" si="50"/>
        <v>14</v>
      </c>
      <c r="B36" s="3" t="s">
        <v>97</v>
      </c>
      <c r="C36" s="3" t="s">
        <v>51</v>
      </c>
      <c r="D36" s="25" t="s">
        <v>34</v>
      </c>
      <c r="E36" s="26" t="s">
        <v>105</v>
      </c>
      <c r="F36" s="20">
        <v>17.148852999999999</v>
      </c>
      <c r="G36" s="20">
        <v>17.148852999999999</v>
      </c>
      <c r="H36" s="20">
        <v>20.330670999999999</v>
      </c>
      <c r="I36" s="20">
        <v>21.416183</v>
      </c>
      <c r="J36" s="20">
        <v>44.725482999999997</v>
      </c>
      <c r="K36" s="20">
        <v>31.054328000000002</v>
      </c>
      <c r="L36" s="20">
        <v>36.565251000000004</v>
      </c>
      <c r="M36" s="20">
        <v>63.233274000000002</v>
      </c>
      <c r="N36" s="20">
        <v>32.572085999999999</v>
      </c>
      <c r="O36" s="20">
        <v>65.930916999999994</v>
      </c>
      <c r="P36" s="20">
        <v>47.705022</v>
      </c>
      <c r="Q36" s="548">
        <v>56.032724000000002</v>
      </c>
      <c r="R36" s="557">
        <f t="shared" si="14"/>
        <v>37.821970416666666</v>
      </c>
      <c r="S36" s="551">
        <v>45.744788</v>
      </c>
      <c r="T36" s="20">
        <v>158.50536700000001</v>
      </c>
      <c r="U36" s="20">
        <v>120.441598</v>
      </c>
      <c r="V36" s="20">
        <v>83.370585000000005</v>
      </c>
      <c r="W36" s="20">
        <v>76.557472000000004</v>
      </c>
      <c r="X36" s="20">
        <v>102.91792</v>
      </c>
      <c r="Y36" s="20">
        <v>125.387483</v>
      </c>
      <c r="Z36" s="20">
        <v>181.946969</v>
      </c>
      <c r="AA36" s="20">
        <v>262.71363300000002</v>
      </c>
      <c r="AB36" s="20">
        <v>209.80821299999999</v>
      </c>
      <c r="AC36" s="20">
        <v>256.42154900000003</v>
      </c>
      <c r="AD36" s="20">
        <v>302.36698899999999</v>
      </c>
      <c r="AE36" s="20"/>
      <c r="AF36" s="556">
        <f t="shared" si="15"/>
        <v>1926.182566</v>
      </c>
      <c r="AG36" s="557">
        <f t="shared" si="16"/>
        <v>160.51521383333332</v>
      </c>
      <c r="AH36" s="551">
        <v>213.88451599999999</v>
      </c>
      <c r="AI36" s="20">
        <v>222.85671199999999</v>
      </c>
      <c r="AJ36" s="20">
        <v>246.75373300000001</v>
      </c>
      <c r="AK36" s="20">
        <v>282.06087400000001</v>
      </c>
      <c r="AL36" s="20">
        <v>206.58321100000001</v>
      </c>
      <c r="AM36" s="20">
        <v>213.75224700000001</v>
      </c>
      <c r="AN36" s="20">
        <v>211.103523</v>
      </c>
      <c r="AO36" s="20">
        <v>220.39328699999999</v>
      </c>
      <c r="AP36" s="20">
        <v>247.813142</v>
      </c>
      <c r="AQ36" s="20">
        <v>356.38480800000002</v>
      </c>
      <c r="AR36" s="20">
        <v>222.01250300000001</v>
      </c>
      <c r="AS36" s="20">
        <v>180.170264</v>
      </c>
      <c r="AT36" s="20"/>
      <c r="AU36" s="557">
        <f t="shared" si="17"/>
        <v>235.31406833333332</v>
      </c>
      <c r="AV36" s="551">
        <v>156.55246099999999</v>
      </c>
      <c r="AW36" s="20">
        <v>182.02372299999999</v>
      </c>
      <c r="AX36" s="20">
        <v>158.56320400000001</v>
      </c>
      <c r="AY36" s="20">
        <v>268.63570399999998</v>
      </c>
      <c r="AZ36" s="20">
        <v>384.06117999999998</v>
      </c>
      <c r="BA36" s="20"/>
      <c r="BB36" s="20"/>
      <c r="BC36" s="20"/>
      <c r="BD36" s="20"/>
      <c r="BE36" s="20"/>
      <c r="BF36" s="20"/>
      <c r="BG36" s="20"/>
      <c r="BH36" s="20">
        <f t="shared" si="33"/>
        <v>229.9672544</v>
      </c>
      <c r="BI36" s="41" cm="1">
        <f t="array" ref="BI36">INDEX(BL36:BW36,$BL$1)</f>
        <v>179.29273233449427</v>
      </c>
      <c r="BJ36" s="30"/>
      <c r="BK36" s="598"/>
      <c r="BL36" s="20">
        <f t="shared" si="34"/>
        <v>318.19156633449433</v>
      </c>
      <c r="BM36" s="20">
        <f t="shared" si="35"/>
        <v>179.29273233449427</v>
      </c>
      <c r="BN36" s="20">
        <f t="shared" si="36"/>
        <v>346.09963081944437</v>
      </c>
      <c r="BO36" s="20">
        <f t="shared" si="37"/>
        <v>229.82324981944436</v>
      </c>
      <c r="BP36" s="20">
        <f t="shared" si="38"/>
        <v>200.66879748611103</v>
      </c>
      <c r="BQ36" s="20">
        <f t="shared" si="39"/>
        <v>236.69208281944441</v>
      </c>
      <c r="BR36" s="20">
        <f t="shared" si="40"/>
        <v>291.64579456944443</v>
      </c>
      <c r="BS36" s="20">
        <f t="shared" si="41"/>
        <v>152.68283256944437</v>
      </c>
      <c r="BT36" s="20">
        <f t="shared" si="42"/>
        <v>126.92033140277776</v>
      </c>
      <c r="BU36" s="20">
        <f t="shared" si="43"/>
        <v>128.0249367361111</v>
      </c>
      <c r="BV36" s="20">
        <f t="shared" si="44"/>
        <v>79.263049694444447</v>
      </c>
      <c r="BW36" s="20">
        <f t="shared" si="45"/>
        <v>97.187117694444453</v>
      </c>
      <c r="BX36" s="28">
        <f t="shared" si="46"/>
        <v>2386.4921222800995</v>
      </c>
      <c r="BY36" s="628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8">
        <f t="shared" si="47"/>
        <v>0</v>
      </c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8">
        <f t="shared" si="48"/>
        <v>0</v>
      </c>
      <c r="DB36" s="20">
        <v>318.19156633449433</v>
      </c>
      <c r="DC36" s="20">
        <v>179.29273233449427</v>
      </c>
      <c r="DD36" s="20">
        <v>346.09963081944437</v>
      </c>
      <c r="DE36" s="20">
        <v>229.82324981944436</v>
      </c>
      <c r="DF36" s="20">
        <v>200.66879748611103</v>
      </c>
      <c r="DG36" s="20">
        <v>236.69208281944441</v>
      </c>
      <c r="DH36" s="20">
        <v>291.64579456944443</v>
      </c>
      <c r="DI36" s="20">
        <v>152.68283256944437</v>
      </c>
      <c r="DJ36" s="20">
        <v>126.92033140277776</v>
      </c>
      <c r="DK36" s="20">
        <v>128.0249367361111</v>
      </c>
      <c r="DL36" s="20">
        <v>79.263049694444447</v>
      </c>
      <c r="DM36" s="20">
        <v>97.187117694444453</v>
      </c>
      <c r="DN36" s="28">
        <f t="shared" si="49"/>
        <v>2386.4921222800995</v>
      </c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8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8"/>
      <c r="ER36" s="20"/>
      <c r="ES36" s="20"/>
      <c r="ET36" s="20"/>
      <c r="EU36" s="20"/>
      <c r="EV36" s="20"/>
      <c r="EW36" s="20"/>
      <c r="EX36" s="20"/>
      <c r="EY36" s="20"/>
      <c r="EZ36" s="20"/>
      <c r="FA36" s="20"/>
      <c r="FB36" s="20"/>
      <c r="FC36" s="20"/>
      <c r="FD36" s="28"/>
      <c r="FF36" s="20"/>
      <c r="FG36" s="20"/>
      <c r="FH36" s="20"/>
      <c r="FI36" s="20"/>
      <c r="FJ36" s="20"/>
      <c r="FK36" s="20"/>
      <c r="FL36" s="20"/>
      <c r="FM36" s="20"/>
      <c r="FN36" s="20"/>
      <c r="FO36" s="20"/>
      <c r="FP36" s="20"/>
      <c r="FQ36" s="20"/>
      <c r="FR36" s="28"/>
    </row>
    <row r="37" spans="1:174" ht="14.1" customHeight="1" x14ac:dyDescent="0.3">
      <c r="A37" s="3">
        <f t="shared" si="50"/>
        <v>15</v>
      </c>
      <c r="B37" s="3" t="s">
        <v>97</v>
      </c>
      <c r="C37" s="3" t="s">
        <v>36</v>
      </c>
      <c r="D37" s="25" t="s">
        <v>15</v>
      </c>
      <c r="E37" s="26" t="s">
        <v>105</v>
      </c>
      <c r="F37" s="20">
        <v>107.391811</v>
      </c>
      <c r="G37" s="20">
        <v>56.632618999999998</v>
      </c>
      <c r="H37" s="20">
        <v>70.524044000000004</v>
      </c>
      <c r="I37" s="20">
        <v>67.296808999999996</v>
      </c>
      <c r="J37" s="20">
        <v>75.924930000000003</v>
      </c>
      <c r="K37" s="20">
        <v>63.221738999999999</v>
      </c>
      <c r="L37" s="20">
        <v>65.248301999999995</v>
      </c>
      <c r="M37" s="20">
        <v>31.180275000000002</v>
      </c>
      <c r="N37" s="20">
        <v>35.936444000000002</v>
      </c>
      <c r="O37" s="20">
        <v>32.834833000000003</v>
      </c>
      <c r="P37" s="20">
        <v>16.389824000000001</v>
      </c>
      <c r="Q37" s="548">
        <v>11.674211</v>
      </c>
      <c r="R37" s="557">
        <f t="shared" si="14"/>
        <v>52.854653416666679</v>
      </c>
      <c r="S37" s="551">
        <v>4.3712109999999997</v>
      </c>
      <c r="T37" s="20">
        <v>3.5212110000000001</v>
      </c>
      <c r="U37" s="20">
        <v>3.5212110000000001</v>
      </c>
      <c r="V37" s="20">
        <v>3.9462109999999999</v>
      </c>
      <c r="W37" s="20">
        <v>4.3311159999999997</v>
      </c>
      <c r="X37" s="20">
        <v>0.604545</v>
      </c>
      <c r="Y37" s="20">
        <v>6.3645449999999997</v>
      </c>
      <c r="Z37" s="20">
        <v>0.604545</v>
      </c>
      <c r="AA37" s="20">
        <v>0.604545</v>
      </c>
      <c r="AB37" s="20">
        <v>0.42699999999999999</v>
      </c>
      <c r="AC37" s="20">
        <v>22.75</v>
      </c>
      <c r="AD37" s="20">
        <v>0.28000000000000003</v>
      </c>
      <c r="AE37" s="571"/>
      <c r="AF37" s="556">
        <f t="shared" si="15"/>
        <v>51.326140000000009</v>
      </c>
      <c r="AG37" s="557">
        <f t="shared" si="16"/>
        <v>4.2771783333333344</v>
      </c>
      <c r="AH37" s="551">
        <v>15</v>
      </c>
      <c r="AI37" s="20">
        <v>0</v>
      </c>
      <c r="AJ37" s="20">
        <v>0</v>
      </c>
      <c r="AK37" s="20">
        <v>0</v>
      </c>
      <c r="AL37" s="20">
        <v>0</v>
      </c>
      <c r="AM37" s="20">
        <v>0</v>
      </c>
      <c r="AN37" s="20">
        <v>0</v>
      </c>
      <c r="AO37" s="20">
        <v>0.52944400000000003</v>
      </c>
      <c r="AP37" s="20">
        <v>0</v>
      </c>
      <c r="AQ37" s="20">
        <v>0</v>
      </c>
      <c r="AR37" s="20">
        <v>1.433333</v>
      </c>
      <c r="AS37" s="20">
        <v>0.02</v>
      </c>
      <c r="AT37" s="20"/>
      <c r="AU37" s="557">
        <f t="shared" si="17"/>
        <v>1.4152314166666666</v>
      </c>
      <c r="AV37" s="551">
        <v>1.441403</v>
      </c>
      <c r="AW37" s="20">
        <v>0</v>
      </c>
      <c r="AX37" s="20">
        <v>0</v>
      </c>
      <c r="AY37" s="20">
        <v>0</v>
      </c>
      <c r="AZ37" s="20">
        <v>0</v>
      </c>
      <c r="BA37" s="20"/>
      <c r="BB37" s="20"/>
      <c r="BC37" s="20"/>
      <c r="BD37" s="20"/>
      <c r="BE37" s="20"/>
      <c r="BF37" s="20"/>
      <c r="BG37" s="20"/>
      <c r="BH37" s="20">
        <f t="shared" si="33"/>
        <v>0.2882806</v>
      </c>
      <c r="BI37" s="41" cm="1">
        <f t="array" ref="BI37">INDEX(BL37:BW37,$BL$1)</f>
        <v>0</v>
      </c>
      <c r="BJ37" s="27"/>
      <c r="BK37" s="598"/>
      <c r="BL37" s="20">
        <f t="shared" si="34"/>
        <v>2</v>
      </c>
      <c r="BM37" s="20">
        <f t="shared" si="35"/>
        <v>0</v>
      </c>
      <c r="BN37" s="20">
        <f t="shared" si="36"/>
        <v>1</v>
      </c>
      <c r="BO37" s="20">
        <f t="shared" si="37"/>
        <v>0</v>
      </c>
      <c r="BP37" s="20">
        <f t="shared" si="38"/>
        <v>2</v>
      </c>
      <c r="BQ37" s="20">
        <f t="shared" si="39"/>
        <v>0</v>
      </c>
      <c r="BR37" s="20">
        <f t="shared" si="40"/>
        <v>1</v>
      </c>
      <c r="BS37" s="20">
        <f t="shared" si="41"/>
        <v>0</v>
      </c>
      <c r="BT37" s="20">
        <f t="shared" si="42"/>
        <v>2</v>
      </c>
      <c r="BU37" s="20">
        <f t="shared" si="43"/>
        <v>0</v>
      </c>
      <c r="BV37" s="20">
        <f t="shared" si="44"/>
        <v>1</v>
      </c>
      <c r="BW37" s="20">
        <f t="shared" si="45"/>
        <v>0</v>
      </c>
      <c r="BX37" s="28">
        <f t="shared" si="46"/>
        <v>9</v>
      </c>
      <c r="BY37" s="628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8">
        <f t="shared" si="47"/>
        <v>0</v>
      </c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8">
        <f t="shared" si="48"/>
        <v>0</v>
      </c>
      <c r="DB37" s="20">
        <v>2</v>
      </c>
      <c r="DC37" s="20">
        <v>0</v>
      </c>
      <c r="DD37" s="20">
        <v>1</v>
      </c>
      <c r="DE37" s="20">
        <v>0</v>
      </c>
      <c r="DF37" s="20">
        <v>2</v>
      </c>
      <c r="DG37" s="20">
        <v>0</v>
      </c>
      <c r="DH37" s="20">
        <v>1</v>
      </c>
      <c r="DI37" s="20">
        <v>0</v>
      </c>
      <c r="DJ37" s="20">
        <v>2</v>
      </c>
      <c r="DK37" s="20">
        <v>0</v>
      </c>
      <c r="DL37" s="20">
        <v>1</v>
      </c>
      <c r="DM37" s="20">
        <v>0</v>
      </c>
      <c r="DN37" s="28">
        <f t="shared" si="49"/>
        <v>9</v>
      </c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8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8"/>
      <c r="ER37" s="20"/>
      <c r="ES37" s="20"/>
      <c r="ET37" s="20"/>
      <c r="EU37" s="20"/>
      <c r="EV37" s="20"/>
      <c r="EW37" s="20"/>
      <c r="EX37" s="20"/>
      <c r="EY37" s="20"/>
      <c r="EZ37" s="20"/>
      <c r="FA37" s="20"/>
      <c r="FB37" s="20"/>
      <c r="FC37" s="20"/>
      <c r="FD37" s="28"/>
      <c r="FF37" s="20"/>
      <c r="FG37" s="20"/>
      <c r="FH37" s="20"/>
      <c r="FI37" s="20"/>
      <c r="FJ37" s="20"/>
      <c r="FK37" s="20"/>
      <c r="FL37" s="20"/>
      <c r="FM37" s="20"/>
      <c r="FN37" s="20"/>
      <c r="FO37" s="20"/>
      <c r="FP37" s="20"/>
      <c r="FQ37" s="20"/>
      <c r="FR37" s="28"/>
    </row>
    <row r="38" spans="1:174" x14ac:dyDescent="0.25">
      <c r="A38" s="3">
        <f t="shared" si="50"/>
        <v>16</v>
      </c>
      <c r="B38" s="3" t="s">
        <v>97</v>
      </c>
      <c r="C38" s="3" t="s">
        <v>36</v>
      </c>
      <c r="D38" s="25" t="s">
        <v>10</v>
      </c>
      <c r="E38" s="26" t="s">
        <v>105</v>
      </c>
      <c r="F38" s="20">
        <v>0.48737200000000003</v>
      </c>
      <c r="G38" s="20">
        <v>159.05858000000001</v>
      </c>
      <c r="H38" s="20">
        <v>11.416361999999999</v>
      </c>
      <c r="I38" s="20">
        <v>11.237272000000001</v>
      </c>
      <c r="J38" s="20">
        <v>10.126725</v>
      </c>
      <c r="K38" s="20">
        <v>20.048984999999998</v>
      </c>
      <c r="L38" s="20">
        <v>19.422625</v>
      </c>
      <c r="M38" s="20">
        <v>19.422625</v>
      </c>
      <c r="N38" s="20">
        <v>44.476444999999998</v>
      </c>
      <c r="O38" s="20">
        <v>19.422625</v>
      </c>
      <c r="P38" s="20">
        <v>19.422625</v>
      </c>
      <c r="Q38" s="548">
        <v>32.352133000000002</v>
      </c>
      <c r="R38" s="557">
        <f t="shared" si="14"/>
        <v>30.574531166666659</v>
      </c>
      <c r="S38" s="551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571"/>
      <c r="AF38" s="556">
        <f t="shared" si="15"/>
        <v>0</v>
      </c>
      <c r="AG38" s="557">
        <f t="shared" si="16"/>
        <v>0</v>
      </c>
      <c r="AH38" s="551">
        <v>0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0</v>
      </c>
      <c r="AS38" s="20">
        <v>0</v>
      </c>
      <c r="AT38" s="20"/>
      <c r="AU38" s="557">
        <f t="shared" si="17"/>
        <v>0</v>
      </c>
      <c r="AV38" s="551">
        <v>0</v>
      </c>
      <c r="AW38" s="20">
        <v>0</v>
      </c>
      <c r="AX38" s="20">
        <v>0</v>
      </c>
      <c r="AY38" s="20">
        <v>0</v>
      </c>
      <c r="AZ38" s="20">
        <v>0</v>
      </c>
      <c r="BA38" s="20"/>
      <c r="BB38" s="20"/>
      <c r="BC38" s="20"/>
      <c r="BD38" s="20"/>
      <c r="BE38" s="20"/>
      <c r="BF38" s="20"/>
      <c r="BG38" s="20"/>
      <c r="BH38" s="20">
        <f t="shared" si="33"/>
        <v>0</v>
      </c>
      <c r="BI38" s="41" cm="1">
        <f t="array" ref="BI38">INDEX(BL38:BW38,$BL$1)</f>
        <v>0</v>
      </c>
      <c r="BJ38" s="30"/>
      <c r="BK38" s="598"/>
      <c r="BL38" s="20">
        <f t="shared" si="34"/>
        <v>0</v>
      </c>
      <c r="BM38" s="20">
        <f t="shared" si="35"/>
        <v>0</v>
      </c>
      <c r="BN38" s="20">
        <f t="shared" si="36"/>
        <v>0</v>
      </c>
      <c r="BO38" s="20">
        <f t="shared" si="37"/>
        <v>0</v>
      </c>
      <c r="BP38" s="20">
        <f t="shared" si="38"/>
        <v>0</v>
      </c>
      <c r="BQ38" s="20">
        <f t="shared" si="39"/>
        <v>0</v>
      </c>
      <c r="BR38" s="20">
        <f t="shared" si="40"/>
        <v>0</v>
      </c>
      <c r="BS38" s="20">
        <f t="shared" si="41"/>
        <v>0</v>
      </c>
      <c r="BT38" s="20">
        <f t="shared" si="42"/>
        <v>0</v>
      </c>
      <c r="BU38" s="20">
        <f t="shared" si="43"/>
        <v>0</v>
      </c>
      <c r="BV38" s="20">
        <f t="shared" si="44"/>
        <v>0</v>
      </c>
      <c r="BW38" s="20">
        <f t="shared" si="45"/>
        <v>0</v>
      </c>
      <c r="BX38" s="28">
        <f t="shared" si="46"/>
        <v>0</v>
      </c>
      <c r="BY38" s="628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8">
        <f t="shared" si="47"/>
        <v>0</v>
      </c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8">
        <f t="shared" si="48"/>
        <v>0</v>
      </c>
      <c r="DB38" s="20">
        <v>0</v>
      </c>
      <c r="DC38" s="20">
        <v>0</v>
      </c>
      <c r="DD38" s="20">
        <v>0</v>
      </c>
      <c r="DE38" s="20">
        <v>0</v>
      </c>
      <c r="DF38" s="20">
        <v>0</v>
      </c>
      <c r="DG38" s="20">
        <v>0</v>
      </c>
      <c r="DH38" s="20">
        <v>0</v>
      </c>
      <c r="DI38" s="20">
        <v>0</v>
      </c>
      <c r="DJ38" s="20">
        <v>0</v>
      </c>
      <c r="DK38" s="20">
        <v>0</v>
      </c>
      <c r="DL38" s="20">
        <v>0</v>
      </c>
      <c r="DM38" s="20">
        <v>0</v>
      </c>
      <c r="DN38" s="28">
        <f t="shared" si="49"/>
        <v>0</v>
      </c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8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8"/>
      <c r="ER38" s="20"/>
      <c r="ES38" s="20"/>
      <c r="ET38" s="20"/>
      <c r="EU38" s="20"/>
      <c r="EV38" s="20"/>
      <c r="EW38" s="20"/>
      <c r="EX38" s="20"/>
      <c r="EY38" s="20"/>
      <c r="EZ38" s="20"/>
      <c r="FA38" s="20"/>
      <c r="FB38" s="20"/>
      <c r="FC38" s="20"/>
      <c r="FD38" s="28"/>
      <c r="FF38" s="20"/>
      <c r="FG38" s="20"/>
      <c r="FH38" s="20"/>
      <c r="FI38" s="20"/>
      <c r="FJ38" s="20"/>
      <c r="FK38" s="20"/>
      <c r="FL38" s="20"/>
      <c r="FM38" s="20"/>
      <c r="FN38" s="20"/>
      <c r="FO38" s="20"/>
      <c r="FP38" s="20"/>
      <c r="FQ38" s="20"/>
      <c r="FR38" s="28"/>
    </row>
    <row r="39" spans="1:174" x14ac:dyDescent="0.25">
      <c r="A39" s="3">
        <f t="shared" si="50"/>
        <v>17</v>
      </c>
      <c r="B39" s="3" t="s">
        <v>97</v>
      </c>
      <c r="C39" s="3" t="s">
        <v>36</v>
      </c>
      <c r="D39" s="25" t="s">
        <v>13</v>
      </c>
      <c r="E39" s="26" t="s">
        <v>105</v>
      </c>
      <c r="F39" s="20">
        <v>30.688364</v>
      </c>
      <c r="G39" s="20">
        <v>23.871169999999999</v>
      </c>
      <c r="H39" s="20">
        <v>11.387449</v>
      </c>
      <c r="I39" s="20">
        <v>38.281322000000003</v>
      </c>
      <c r="J39" s="20">
        <v>26.012117</v>
      </c>
      <c r="K39" s="20">
        <v>23.753267000000001</v>
      </c>
      <c r="L39" s="20">
        <v>29.951115999999999</v>
      </c>
      <c r="M39" s="20">
        <v>47.348376000000002</v>
      </c>
      <c r="N39" s="20">
        <v>30.139887999999999</v>
      </c>
      <c r="O39" s="20">
        <v>41.096468999999999</v>
      </c>
      <c r="P39" s="20">
        <v>35.260089999999998</v>
      </c>
      <c r="Q39" s="548">
        <v>73.332016999999993</v>
      </c>
      <c r="R39" s="557">
        <f t="shared" si="14"/>
        <v>34.260137083333333</v>
      </c>
      <c r="S39" s="551">
        <v>38.083475</v>
      </c>
      <c r="T39" s="20">
        <v>4.4020000000000001</v>
      </c>
      <c r="U39" s="20">
        <v>9.9369730000000001</v>
      </c>
      <c r="V39" s="20">
        <v>4.4155559999999996</v>
      </c>
      <c r="W39" s="20">
        <v>21.950738000000001</v>
      </c>
      <c r="X39" s="20">
        <v>25.142567</v>
      </c>
      <c r="Y39" s="20">
        <v>16.990591999999999</v>
      </c>
      <c r="Z39" s="20">
        <v>58.016050999999997</v>
      </c>
      <c r="AA39" s="20">
        <v>10.761186</v>
      </c>
      <c r="AB39" s="20">
        <v>55.06</v>
      </c>
      <c r="AC39" s="20">
        <v>37.303218000000001</v>
      </c>
      <c r="AD39" s="20">
        <v>45.710537000000002</v>
      </c>
      <c r="AE39" s="571"/>
      <c r="AF39" s="556">
        <f>SUM(S39:AE39)</f>
        <v>327.77289300000001</v>
      </c>
      <c r="AG39" s="557">
        <f t="shared" si="16"/>
        <v>27.314407750000001</v>
      </c>
      <c r="AH39" s="551">
        <v>41.917532999999999</v>
      </c>
      <c r="AI39" s="20">
        <v>67.026069000000007</v>
      </c>
      <c r="AJ39" s="20">
        <v>99.082059000000001</v>
      </c>
      <c r="AK39" s="20">
        <v>51.497802</v>
      </c>
      <c r="AL39" s="20">
        <v>51.335532999999998</v>
      </c>
      <c r="AM39" s="20">
        <v>212.97242600000001</v>
      </c>
      <c r="AN39" s="20">
        <v>297.28247599999997</v>
      </c>
      <c r="AO39" s="20">
        <v>108.549269</v>
      </c>
      <c r="AP39" s="20">
        <v>119.452581</v>
      </c>
      <c r="AQ39" s="20">
        <v>493.08612199999999</v>
      </c>
      <c r="AR39" s="20">
        <v>78.694721000000001</v>
      </c>
      <c r="AS39" s="20">
        <v>61.195509000000001</v>
      </c>
      <c r="AT39" s="20"/>
      <c r="AU39" s="557">
        <f t="shared" si="17"/>
        <v>140.17434166666666</v>
      </c>
      <c r="AV39" s="551">
        <v>299.06515400000001</v>
      </c>
      <c r="AW39" s="20">
        <v>72.313355000000001</v>
      </c>
      <c r="AX39" s="20">
        <v>43.947778999999997</v>
      </c>
      <c r="AY39" s="20">
        <v>169.672088</v>
      </c>
      <c r="AZ39" s="20">
        <v>311.19108199999999</v>
      </c>
      <c r="BA39" s="20"/>
      <c r="BB39" s="20"/>
      <c r="BC39" s="20"/>
      <c r="BD39" s="20"/>
      <c r="BE39" s="20"/>
      <c r="BF39" s="20"/>
      <c r="BG39" s="20"/>
      <c r="BH39" s="20">
        <f t="shared" si="33"/>
        <v>179.23789160000001</v>
      </c>
      <c r="BI39" s="41" cm="1">
        <f t="array" ref="BI39">INDEX(BL39:BW39,$BL$1)</f>
        <v>65.099999999999994</v>
      </c>
      <c r="BJ39" s="30"/>
      <c r="BK39" s="598"/>
      <c r="BL39" s="20">
        <f t="shared" si="34"/>
        <v>182.46</v>
      </c>
      <c r="BM39" s="20">
        <f t="shared" si="35"/>
        <v>65.099999999999994</v>
      </c>
      <c r="BN39" s="20">
        <f t="shared" si="36"/>
        <v>161.4</v>
      </c>
      <c r="BO39" s="20">
        <f t="shared" si="37"/>
        <v>229.33</v>
      </c>
      <c r="BP39" s="20">
        <f t="shared" si="38"/>
        <v>200.125</v>
      </c>
      <c r="BQ39" s="20">
        <f t="shared" si="39"/>
        <v>54.35</v>
      </c>
      <c r="BR39" s="20">
        <f t="shared" si="40"/>
        <v>98.83</v>
      </c>
      <c r="BS39" s="20">
        <f t="shared" si="41"/>
        <v>85.65</v>
      </c>
      <c r="BT39" s="20">
        <f t="shared" si="42"/>
        <v>67.53</v>
      </c>
      <c r="BU39" s="20">
        <f t="shared" si="43"/>
        <v>193.125</v>
      </c>
      <c r="BV39" s="20">
        <f t="shared" si="44"/>
        <v>85.65</v>
      </c>
      <c r="BW39" s="20">
        <f t="shared" si="45"/>
        <v>38.4</v>
      </c>
      <c r="BX39" s="28">
        <f t="shared" si="46"/>
        <v>1461.9500000000003</v>
      </c>
      <c r="BY39" s="628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8">
        <f t="shared" si="47"/>
        <v>0</v>
      </c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8">
        <f t="shared" si="48"/>
        <v>0</v>
      </c>
      <c r="DB39" s="20">
        <v>182.46</v>
      </c>
      <c r="DC39" s="20">
        <v>65.099999999999994</v>
      </c>
      <c r="DD39" s="20">
        <v>161.4</v>
      </c>
      <c r="DE39" s="20">
        <v>229.33</v>
      </c>
      <c r="DF39" s="20">
        <v>200.125</v>
      </c>
      <c r="DG39" s="20">
        <v>54.35</v>
      </c>
      <c r="DH39" s="20">
        <v>98.83</v>
      </c>
      <c r="DI39" s="20">
        <v>85.65</v>
      </c>
      <c r="DJ39" s="20">
        <v>67.53</v>
      </c>
      <c r="DK39" s="20">
        <v>193.125</v>
      </c>
      <c r="DL39" s="20">
        <v>85.65</v>
      </c>
      <c r="DM39" s="20">
        <v>38.4</v>
      </c>
      <c r="DN39" s="28">
        <f t="shared" si="49"/>
        <v>1461.9500000000003</v>
      </c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8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8"/>
      <c r="ER39" s="20"/>
      <c r="ES39" s="20"/>
      <c r="ET39" s="20"/>
      <c r="EU39" s="20"/>
      <c r="EV39" s="20"/>
      <c r="EW39" s="20"/>
      <c r="EX39" s="20"/>
      <c r="EY39" s="20"/>
      <c r="EZ39" s="20"/>
      <c r="FA39" s="20"/>
      <c r="FB39" s="20"/>
      <c r="FC39" s="20"/>
      <c r="FD39" s="28"/>
      <c r="FF39" s="20"/>
      <c r="FG39" s="20"/>
      <c r="FH39" s="20"/>
      <c r="FI39" s="20"/>
      <c r="FJ39" s="20"/>
      <c r="FK39" s="20"/>
      <c r="FL39" s="20"/>
      <c r="FM39" s="20"/>
      <c r="FN39" s="20"/>
      <c r="FO39" s="20"/>
      <c r="FP39" s="20"/>
      <c r="FQ39" s="20"/>
      <c r="FR39" s="28"/>
    </row>
    <row r="40" spans="1:174" x14ac:dyDescent="0.25">
      <c r="A40" s="3">
        <f t="shared" si="50"/>
        <v>18</v>
      </c>
      <c r="B40" s="3" t="s">
        <v>97</v>
      </c>
      <c r="C40" s="3" t="s">
        <v>36</v>
      </c>
      <c r="D40" s="25" t="s">
        <v>20</v>
      </c>
      <c r="E40" s="26" t="s">
        <v>105</v>
      </c>
      <c r="F40" s="20">
        <v>31.867025000000002</v>
      </c>
      <c r="G40" s="20">
        <v>55.964759999999998</v>
      </c>
      <c r="H40" s="20">
        <v>59.219191000000002</v>
      </c>
      <c r="I40" s="20">
        <v>48.797642000000003</v>
      </c>
      <c r="J40" s="20">
        <v>43.170045999999999</v>
      </c>
      <c r="K40" s="20">
        <v>17.060365999999998</v>
      </c>
      <c r="L40" s="20">
        <v>96.807282000000001</v>
      </c>
      <c r="M40" s="20">
        <v>32.778739000000002</v>
      </c>
      <c r="N40" s="20">
        <v>17.967147000000001</v>
      </c>
      <c r="O40" s="20">
        <v>22.060531999999998</v>
      </c>
      <c r="P40" s="20">
        <v>12.426568</v>
      </c>
      <c r="Q40" s="548">
        <v>17.859860000000001</v>
      </c>
      <c r="R40" s="557">
        <f t="shared" si="14"/>
        <v>37.998263166666668</v>
      </c>
      <c r="S40" s="551">
        <v>9.0001700000000007</v>
      </c>
      <c r="T40" s="20">
        <v>20.559684000000001</v>
      </c>
      <c r="U40" s="20">
        <v>34.851866000000001</v>
      </c>
      <c r="V40" s="20">
        <v>98.136762000000004</v>
      </c>
      <c r="W40" s="20">
        <v>55.321148000000001</v>
      </c>
      <c r="X40" s="20">
        <v>19.999865</v>
      </c>
      <c r="Y40" s="20">
        <v>43.325721999999999</v>
      </c>
      <c r="Z40" s="20">
        <v>10.731458</v>
      </c>
      <c r="AA40" s="20">
        <v>17.102710999999999</v>
      </c>
      <c r="AB40" s="20">
        <v>22.720516</v>
      </c>
      <c r="AC40" s="20">
        <v>31.401781</v>
      </c>
      <c r="AD40" s="20">
        <v>35.656005999999998</v>
      </c>
      <c r="AE40" s="20"/>
      <c r="AF40" s="556">
        <f t="shared" si="15"/>
        <v>398.80768899999993</v>
      </c>
      <c r="AG40" s="557">
        <f t="shared" si="16"/>
        <v>33.233974083333329</v>
      </c>
      <c r="AH40" s="551">
        <v>118.839297</v>
      </c>
      <c r="AI40" s="20">
        <v>27.945643</v>
      </c>
      <c r="AJ40" s="20">
        <v>27.863098999999998</v>
      </c>
      <c r="AK40" s="20">
        <v>30.766369999999998</v>
      </c>
      <c r="AL40" s="20">
        <v>41.870624999999997</v>
      </c>
      <c r="AM40" s="20">
        <v>27.040483999999999</v>
      </c>
      <c r="AN40" s="20">
        <v>39.493881000000002</v>
      </c>
      <c r="AO40" s="20">
        <v>29.445644999999999</v>
      </c>
      <c r="AP40" s="20">
        <v>73.465862999999999</v>
      </c>
      <c r="AQ40" s="20">
        <v>19.996555000000001</v>
      </c>
      <c r="AR40" s="20">
        <v>10.222467999999999</v>
      </c>
      <c r="AS40" s="20">
        <v>22.481285</v>
      </c>
      <c r="AT40" s="20"/>
      <c r="AU40" s="557">
        <f t="shared" si="17"/>
        <v>39.119267916666665</v>
      </c>
      <c r="AV40" s="551">
        <v>11.954729</v>
      </c>
      <c r="AW40" s="20">
        <v>12.126683</v>
      </c>
      <c r="AX40" s="20">
        <v>51.636248999999999</v>
      </c>
      <c r="AY40" s="20">
        <v>50.393065</v>
      </c>
      <c r="AZ40" s="20">
        <v>19.212548999999999</v>
      </c>
      <c r="BA40" s="20"/>
      <c r="BB40" s="20"/>
      <c r="BC40" s="20"/>
      <c r="BD40" s="20"/>
      <c r="BE40" s="20"/>
      <c r="BF40" s="20"/>
      <c r="BG40" s="20"/>
      <c r="BH40" s="20">
        <f t="shared" si="33"/>
        <v>29.064654999999998</v>
      </c>
      <c r="BI40" s="41" cm="1">
        <f t="array" ref="BI40">INDEX(BL40:BW40,$BL$1)</f>
        <v>18.687665089046011</v>
      </c>
      <c r="BJ40" s="30"/>
      <c r="BK40" s="598"/>
      <c r="BL40" s="20">
        <f t="shared" si="34"/>
        <v>18.178705763481368</v>
      </c>
      <c r="BM40" s="20">
        <f t="shared" si="35"/>
        <v>18.687665089046011</v>
      </c>
      <c r="BN40" s="20">
        <f t="shared" si="36"/>
        <v>78.398543007065584</v>
      </c>
      <c r="BO40" s="20">
        <f t="shared" si="37"/>
        <v>24.758499772524271</v>
      </c>
      <c r="BP40" s="20">
        <f t="shared" si="38"/>
        <v>22.132420089046011</v>
      </c>
      <c r="BQ40" s="20">
        <f t="shared" si="39"/>
        <v>80.747862307065589</v>
      </c>
      <c r="BR40" s="20">
        <f t="shared" si="40"/>
        <v>37.423631772524267</v>
      </c>
      <c r="BS40" s="20">
        <f t="shared" si="41"/>
        <v>17.868680089046013</v>
      </c>
      <c r="BT40" s="20">
        <f t="shared" si="42"/>
        <v>76.78623199054384</v>
      </c>
      <c r="BU40" s="20">
        <f t="shared" si="43"/>
        <v>16.03021677252427</v>
      </c>
      <c r="BV40" s="20">
        <f t="shared" si="44"/>
        <v>16.785355089046011</v>
      </c>
      <c r="BW40" s="20">
        <f t="shared" si="45"/>
        <v>73.371630280287448</v>
      </c>
      <c r="BX40" s="28">
        <f t="shared" si="46"/>
        <v>481.16944202220066</v>
      </c>
      <c r="BY40" s="628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8">
        <f t="shared" si="47"/>
        <v>0</v>
      </c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8">
        <f t="shared" si="48"/>
        <v>0</v>
      </c>
      <c r="DB40" s="20">
        <v>18.178705763481368</v>
      </c>
      <c r="DC40" s="20">
        <v>18.687665089046011</v>
      </c>
      <c r="DD40" s="20">
        <v>78.398543007065584</v>
      </c>
      <c r="DE40" s="20">
        <v>24.758499772524271</v>
      </c>
      <c r="DF40" s="20">
        <v>22.132420089046011</v>
      </c>
      <c r="DG40" s="20">
        <v>80.747862307065589</v>
      </c>
      <c r="DH40" s="20">
        <v>37.423631772524267</v>
      </c>
      <c r="DI40" s="20">
        <v>17.868680089046013</v>
      </c>
      <c r="DJ40" s="20">
        <v>76.78623199054384</v>
      </c>
      <c r="DK40" s="20">
        <v>16.03021677252427</v>
      </c>
      <c r="DL40" s="20">
        <v>16.785355089046011</v>
      </c>
      <c r="DM40" s="20">
        <v>73.371630280287448</v>
      </c>
      <c r="DN40" s="28">
        <f t="shared" si="49"/>
        <v>481.16944202220066</v>
      </c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8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8"/>
      <c r="ER40" s="20"/>
      <c r="ES40" s="20"/>
      <c r="ET40" s="20"/>
      <c r="EU40" s="20"/>
      <c r="EV40" s="20"/>
      <c r="EW40" s="20"/>
      <c r="EX40" s="20"/>
      <c r="EY40" s="20"/>
      <c r="EZ40" s="20"/>
      <c r="FA40" s="20"/>
      <c r="FB40" s="20"/>
      <c r="FC40" s="20"/>
      <c r="FD40" s="28"/>
      <c r="FF40" s="20"/>
      <c r="FG40" s="20"/>
      <c r="FH40" s="20"/>
      <c r="FI40" s="20"/>
      <c r="FJ40" s="20"/>
      <c r="FK40" s="20"/>
      <c r="FL40" s="20"/>
      <c r="FM40" s="20"/>
      <c r="FN40" s="20"/>
      <c r="FO40" s="20"/>
      <c r="FP40" s="20"/>
      <c r="FQ40" s="20"/>
      <c r="FR40" s="28"/>
    </row>
    <row r="41" spans="1:174" x14ac:dyDescent="0.25">
      <c r="A41" s="3">
        <f t="shared" si="50"/>
        <v>19</v>
      </c>
      <c r="B41" s="3" t="s">
        <v>97</v>
      </c>
      <c r="C41" s="3" t="s">
        <v>36</v>
      </c>
      <c r="D41" s="25" t="s">
        <v>19</v>
      </c>
      <c r="E41" s="26" t="s">
        <v>105</v>
      </c>
      <c r="F41" s="20">
        <v>14.902789</v>
      </c>
      <c r="G41" s="20">
        <v>32.796922000000002</v>
      </c>
      <c r="H41" s="20">
        <v>29.695512000000001</v>
      </c>
      <c r="I41" s="20">
        <v>42.775143</v>
      </c>
      <c r="J41" s="20">
        <v>24.245177999999999</v>
      </c>
      <c r="K41" s="20">
        <v>23.663377000000001</v>
      </c>
      <c r="L41" s="20">
        <v>21.186199999999999</v>
      </c>
      <c r="M41" s="20">
        <v>30.418555999999999</v>
      </c>
      <c r="N41" s="20">
        <v>12.573283999999999</v>
      </c>
      <c r="O41" s="20">
        <v>35.385041999999999</v>
      </c>
      <c r="P41" s="20">
        <v>26.851098</v>
      </c>
      <c r="Q41" s="548">
        <v>11.944687</v>
      </c>
      <c r="R41" s="557">
        <f t="shared" si="14"/>
        <v>25.536482333333336</v>
      </c>
      <c r="S41" s="551">
        <v>15.681609</v>
      </c>
      <c r="T41" s="20">
        <v>12.533296</v>
      </c>
      <c r="U41" s="20">
        <v>11.636837</v>
      </c>
      <c r="V41" s="20">
        <v>14.889196</v>
      </c>
      <c r="W41" s="20">
        <v>19.585906000000001</v>
      </c>
      <c r="X41" s="20">
        <v>10.457632</v>
      </c>
      <c r="Y41" s="20">
        <v>11.083278</v>
      </c>
      <c r="Z41" s="20">
        <v>11.385151</v>
      </c>
      <c r="AA41" s="20">
        <v>10.746826</v>
      </c>
      <c r="AB41" s="20">
        <v>10.791957</v>
      </c>
      <c r="AC41" s="20">
        <v>16.437597</v>
      </c>
      <c r="AD41" s="20">
        <v>11.584020000000001</v>
      </c>
      <c r="AE41" s="20"/>
      <c r="AF41" s="556">
        <f t="shared" si="15"/>
        <v>156.81330500000001</v>
      </c>
      <c r="AG41" s="557">
        <f t="shared" si="16"/>
        <v>13.067775416666668</v>
      </c>
      <c r="AH41" s="551">
        <v>8.6275379999999995</v>
      </c>
      <c r="AI41" s="20">
        <v>7.1833450000000001</v>
      </c>
      <c r="AJ41" s="20">
        <v>8.1015219999999992</v>
      </c>
      <c r="AK41" s="20">
        <v>8.5360410000000009</v>
      </c>
      <c r="AL41" s="20">
        <v>9.1628659999999993</v>
      </c>
      <c r="AM41" s="20">
        <v>8.6280420000000007</v>
      </c>
      <c r="AN41" s="20">
        <v>11.976246</v>
      </c>
      <c r="AO41" s="20">
        <v>5.1340779999999997</v>
      </c>
      <c r="AP41" s="20">
        <v>14.385865000000001</v>
      </c>
      <c r="AQ41" s="20">
        <v>4.133794</v>
      </c>
      <c r="AR41" s="20">
        <v>6.8260019999999999</v>
      </c>
      <c r="AS41" s="20">
        <v>6.835032</v>
      </c>
      <c r="AT41" s="20"/>
      <c r="AU41" s="557">
        <f t="shared" si="17"/>
        <v>8.2941975833333341</v>
      </c>
      <c r="AV41" s="551">
        <v>5.8462449999999997</v>
      </c>
      <c r="AW41" s="20">
        <v>8.0467860000000009</v>
      </c>
      <c r="AX41" s="20">
        <v>6.1721019999999998</v>
      </c>
      <c r="AY41" s="20">
        <v>5.2109389999999998</v>
      </c>
      <c r="AZ41" s="20">
        <v>6.9123780000000004</v>
      </c>
      <c r="BA41" s="20"/>
      <c r="BB41" s="20"/>
      <c r="BC41" s="20"/>
      <c r="BD41" s="20"/>
      <c r="BE41" s="20"/>
      <c r="BF41" s="20"/>
      <c r="BG41" s="20"/>
      <c r="BH41" s="20">
        <f t="shared" si="33"/>
        <v>6.4376900000000008</v>
      </c>
      <c r="BI41" s="41" cm="1">
        <f t="array" ref="BI41">INDEX(BL41:BW41,$BL$1)</f>
        <v>8.2930981775889627</v>
      </c>
      <c r="BJ41" s="34"/>
      <c r="BK41" s="598"/>
      <c r="BL41" s="20">
        <f t="shared" si="34"/>
        <v>17.12840698272591</v>
      </c>
      <c r="BM41" s="20">
        <f t="shared" si="35"/>
        <v>8.2930981775889627</v>
      </c>
      <c r="BN41" s="20">
        <f t="shared" si="36"/>
        <v>10.587167701898148</v>
      </c>
      <c r="BO41" s="20">
        <f t="shared" si="37"/>
        <v>12.552949419251778</v>
      </c>
      <c r="BP41" s="20">
        <f t="shared" si="38"/>
        <v>9.6107098256691934</v>
      </c>
      <c r="BQ41" s="20">
        <f t="shared" si="39"/>
        <v>9.8293674654568903</v>
      </c>
      <c r="BR41" s="20">
        <f t="shared" si="40"/>
        <v>12.59114579324093</v>
      </c>
      <c r="BS41" s="20">
        <f t="shared" si="41"/>
        <v>9.3579816009729697</v>
      </c>
      <c r="BT41" s="20">
        <f t="shared" si="42"/>
        <v>10.259512719271887</v>
      </c>
      <c r="BU41" s="20">
        <f t="shared" si="43"/>
        <v>10.584702753908049</v>
      </c>
      <c r="BV41" s="20">
        <f t="shared" si="44"/>
        <v>9.3002366527399012</v>
      </c>
      <c r="BW41" s="20">
        <f t="shared" si="45"/>
        <v>9.6881205718820613</v>
      </c>
      <c r="BX41" s="28">
        <f t="shared" si="46"/>
        <v>129.78339966460663</v>
      </c>
      <c r="BY41" s="628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8">
        <f t="shared" si="47"/>
        <v>0</v>
      </c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8">
        <f t="shared" si="48"/>
        <v>0</v>
      </c>
      <c r="DB41" s="20">
        <v>17.12840698272591</v>
      </c>
      <c r="DC41" s="20">
        <v>8.2930981775889627</v>
      </c>
      <c r="DD41" s="20">
        <v>10.587167701898148</v>
      </c>
      <c r="DE41" s="20">
        <v>12.552949419251778</v>
      </c>
      <c r="DF41" s="20">
        <v>9.6107098256691934</v>
      </c>
      <c r="DG41" s="20">
        <v>9.8293674654568903</v>
      </c>
      <c r="DH41" s="20">
        <v>12.59114579324093</v>
      </c>
      <c r="DI41" s="20">
        <v>9.3579816009729697</v>
      </c>
      <c r="DJ41" s="20">
        <v>10.259512719271887</v>
      </c>
      <c r="DK41" s="20">
        <v>10.584702753908049</v>
      </c>
      <c r="DL41" s="20">
        <v>9.3002366527399012</v>
      </c>
      <c r="DM41" s="20">
        <v>9.6881205718820613</v>
      </c>
      <c r="DN41" s="28">
        <f t="shared" si="49"/>
        <v>129.78339966460663</v>
      </c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8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8"/>
      <c r="ER41" s="20"/>
      <c r="ES41" s="20"/>
      <c r="ET41" s="20"/>
      <c r="EU41" s="20"/>
      <c r="EV41" s="20"/>
      <c r="EW41" s="20"/>
      <c r="EX41" s="20"/>
      <c r="EY41" s="20"/>
      <c r="EZ41" s="20"/>
      <c r="FA41" s="20"/>
      <c r="FB41" s="20"/>
      <c r="FC41" s="20"/>
      <c r="FD41" s="28"/>
      <c r="FF41" s="20"/>
      <c r="FG41" s="20"/>
      <c r="FH41" s="20"/>
      <c r="FI41" s="20"/>
      <c r="FJ41" s="20"/>
      <c r="FK41" s="20"/>
      <c r="FL41" s="20"/>
      <c r="FM41" s="20"/>
      <c r="FN41" s="20"/>
      <c r="FO41" s="20"/>
      <c r="FP41" s="20"/>
      <c r="FQ41" s="20"/>
      <c r="FR41" s="28"/>
    </row>
    <row r="42" spans="1:174" ht="14.1" customHeight="1" x14ac:dyDescent="0.25">
      <c r="A42" s="3">
        <f t="shared" si="50"/>
        <v>20</v>
      </c>
      <c r="B42" s="3" t="s">
        <v>97</v>
      </c>
      <c r="C42" s="3" t="s">
        <v>36</v>
      </c>
      <c r="D42" s="25" t="s">
        <v>6</v>
      </c>
      <c r="E42" s="26" t="s">
        <v>105</v>
      </c>
      <c r="F42" s="20">
        <v>3.900055</v>
      </c>
      <c r="G42" s="20">
        <v>25.839738000000001</v>
      </c>
      <c r="H42" s="20">
        <v>19.134971</v>
      </c>
      <c r="I42" s="20">
        <v>20.581887999999999</v>
      </c>
      <c r="J42" s="20">
        <v>13.083740000000001</v>
      </c>
      <c r="K42" s="20">
        <v>20.192288999999999</v>
      </c>
      <c r="L42" s="20">
        <v>17.991709</v>
      </c>
      <c r="M42" s="20">
        <v>12.646045000000001</v>
      </c>
      <c r="N42" s="20">
        <v>17.342427000000001</v>
      </c>
      <c r="O42" s="20">
        <v>29.264686999999999</v>
      </c>
      <c r="P42" s="20">
        <v>34.473452000000002</v>
      </c>
      <c r="Q42" s="548">
        <v>22.529751000000001</v>
      </c>
      <c r="R42" s="557">
        <f t="shared" si="14"/>
        <v>19.748396</v>
      </c>
      <c r="S42" s="551">
        <v>0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/>
      <c r="AF42" s="556">
        <f t="shared" si="15"/>
        <v>0</v>
      </c>
      <c r="AG42" s="557">
        <f t="shared" si="16"/>
        <v>0</v>
      </c>
      <c r="AH42" s="551">
        <v>0</v>
      </c>
      <c r="AI42" s="20">
        <v>0</v>
      </c>
      <c r="AJ42" s="20">
        <v>0</v>
      </c>
      <c r="AK42" s="20">
        <v>0</v>
      </c>
      <c r="AL42" s="20">
        <v>0</v>
      </c>
      <c r="AM42" s="20">
        <v>0</v>
      </c>
      <c r="AN42" s="20">
        <v>0</v>
      </c>
      <c r="AO42" s="20">
        <v>0</v>
      </c>
      <c r="AP42" s="20">
        <v>0</v>
      </c>
      <c r="AQ42" s="20">
        <v>0</v>
      </c>
      <c r="AR42" s="20">
        <v>0</v>
      </c>
      <c r="AS42" s="20">
        <v>0</v>
      </c>
      <c r="AT42" s="20"/>
      <c r="AU42" s="557">
        <f t="shared" si="17"/>
        <v>0</v>
      </c>
      <c r="AV42" s="551">
        <v>0</v>
      </c>
      <c r="AW42" s="20">
        <v>0</v>
      </c>
      <c r="AX42" s="20">
        <v>0</v>
      </c>
      <c r="AY42" s="20">
        <v>0</v>
      </c>
      <c r="AZ42" s="20">
        <v>0</v>
      </c>
      <c r="BA42" s="20"/>
      <c r="BB42" s="20"/>
      <c r="BC42" s="20"/>
      <c r="BD42" s="20"/>
      <c r="BE42" s="20"/>
      <c r="BF42" s="20"/>
      <c r="BG42" s="20"/>
      <c r="BH42" s="20">
        <f t="shared" si="33"/>
        <v>0</v>
      </c>
      <c r="BI42" s="41" cm="1">
        <f t="array" ref="BI42">INDEX(BL42:BW42,$BL$1)</f>
        <v>0</v>
      </c>
      <c r="BJ42" s="30"/>
      <c r="BK42" s="598"/>
      <c r="BL42" s="20">
        <f t="shared" si="34"/>
        <v>0</v>
      </c>
      <c r="BM42" s="20">
        <f t="shared" si="35"/>
        <v>0</v>
      </c>
      <c r="BN42" s="20">
        <f t="shared" si="36"/>
        <v>0</v>
      </c>
      <c r="BO42" s="20">
        <f t="shared" si="37"/>
        <v>0</v>
      </c>
      <c r="BP42" s="20">
        <f t="shared" si="38"/>
        <v>0</v>
      </c>
      <c r="BQ42" s="20">
        <f t="shared" si="39"/>
        <v>0</v>
      </c>
      <c r="BR42" s="20">
        <f t="shared" si="40"/>
        <v>0</v>
      </c>
      <c r="BS42" s="20">
        <f t="shared" si="41"/>
        <v>0</v>
      </c>
      <c r="BT42" s="20">
        <f t="shared" si="42"/>
        <v>0</v>
      </c>
      <c r="BU42" s="20">
        <f t="shared" si="43"/>
        <v>0</v>
      </c>
      <c r="BV42" s="20">
        <f t="shared" si="44"/>
        <v>0</v>
      </c>
      <c r="BW42" s="20">
        <f t="shared" si="45"/>
        <v>0</v>
      </c>
      <c r="BX42" s="28">
        <f t="shared" si="46"/>
        <v>0</v>
      </c>
      <c r="BY42" s="628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8">
        <f t="shared" si="47"/>
        <v>0</v>
      </c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8">
        <f t="shared" si="48"/>
        <v>0</v>
      </c>
      <c r="DB42" s="20">
        <v>0</v>
      </c>
      <c r="DC42" s="20">
        <v>0</v>
      </c>
      <c r="DD42" s="20">
        <v>0</v>
      </c>
      <c r="DE42" s="20">
        <v>0</v>
      </c>
      <c r="DF42" s="20">
        <v>0</v>
      </c>
      <c r="DG42" s="20">
        <v>0</v>
      </c>
      <c r="DH42" s="20">
        <v>0</v>
      </c>
      <c r="DI42" s="20">
        <v>0</v>
      </c>
      <c r="DJ42" s="20">
        <v>0</v>
      </c>
      <c r="DK42" s="20">
        <v>0</v>
      </c>
      <c r="DL42" s="20">
        <v>0</v>
      </c>
      <c r="DM42" s="20">
        <v>0</v>
      </c>
      <c r="DN42" s="28">
        <f t="shared" si="49"/>
        <v>0</v>
      </c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8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8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8"/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8"/>
    </row>
    <row r="43" spans="1:174" x14ac:dyDescent="0.25">
      <c r="A43" s="3">
        <f t="shared" si="50"/>
        <v>21</v>
      </c>
      <c r="B43" s="3" t="s">
        <v>97</v>
      </c>
      <c r="C43" s="3" t="s">
        <v>36</v>
      </c>
      <c r="D43" s="25" t="s">
        <v>14</v>
      </c>
      <c r="E43" s="26" t="s">
        <v>105</v>
      </c>
      <c r="F43" s="20">
        <v>14.852086999999999</v>
      </c>
      <c r="G43" s="20">
        <v>14.452522999999999</v>
      </c>
      <c r="H43" s="20">
        <v>17.747572000000002</v>
      </c>
      <c r="I43" s="20">
        <v>16.079049999999999</v>
      </c>
      <c r="J43" s="20">
        <v>17.698176</v>
      </c>
      <c r="K43" s="20">
        <v>16.598043000000001</v>
      </c>
      <c r="L43" s="20">
        <v>18.297974</v>
      </c>
      <c r="M43" s="20">
        <v>18.633724000000001</v>
      </c>
      <c r="N43" s="20">
        <v>15.428998999999999</v>
      </c>
      <c r="O43" s="20">
        <v>16.325431999999999</v>
      </c>
      <c r="P43" s="20">
        <v>16.167007999999999</v>
      </c>
      <c r="Q43" s="548">
        <v>16.997128</v>
      </c>
      <c r="R43" s="557">
        <f t="shared" si="14"/>
        <v>16.606476333333337</v>
      </c>
      <c r="S43" s="551">
        <v>1.6</v>
      </c>
      <c r="T43" s="20">
        <v>1.6</v>
      </c>
      <c r="U43" s="20">
        <v>1.6</v>
      </c>
      <c r="V43" s="20">
        <v>1.6</v>
      </c>
      <c r="W43" s="20">
        <v>1.6</v>
      </c>
      <c r="X43" s="20">
        <v>1.6</v>
      </c>
      <c r="Y43" s="20">
        <v>1.6</v>
      </c>
      <c r="Z43" s="20">
        <v>3.3498570000000001</v>
      </c>
      <c r="AA43" s="20">
        <v>3.749857</v>
      </c>
      <c r="AB43" s="20">
        <v>3.749857</v>
      </c>
      <c r="AC43" s="20">
        <v>3.8498570000000001</v>
      </c>
      <c r="AD43" s="20">
        <v>3.9498570000000002</v>
      </c>
      <c r="AE43" s="20"/>
      <c r="AF43" s="556">
        <f t="shared" si="15"/>
        <v>29.849284999999998</v>
      </c>
      <c r="AG43" s="557">
        <f t="shared" si="16"/>
        <v>2.4874404166666664</v>
      </c>
      <c r="AH43" s="551">
        <v>2.2000000000000002</v>
      </c>
      <c r="AI43" s="20">
        <v>2.4</v>
      </c>
      <c r="AJ43" s="20">
        <v>2.4</v>
      </c>
      <c r="AK43" s="20">
        <v>2.4</v>
      </c>
      <c r="AL43" s="20">
        <v>2.4</v>
      </c>
      <c r="AM43" s="20">
        <v>2.2000000000000002</v>
      </c>
      <c r="AN43" s="20">
        <v>2.2000000000000002</v>
      </c>
      <c r="AO43" s="20">
        <v>2.2000000000000002</v>
      </c>
      <c r="AP43" s="20">
        <v>2</v>
      </c>
      <c r="AQ43" s="20">
        <v>2.4</v>
      </c>
      <c r="AR43" s="20">
        <v>2.2000000000000002</v>
      </c>
      <c r="AS43" s="20">
        <v>2.4</v>
      </c>
      <c r="AT43" s="20"/>
      <c r="AU43" s="557">
        <f t="shared" si="17"/>
        <v>2.2833333333333328</v>
      </c>
      <c r="AV43" s="551">
        <v>3.1</v>
      </c>
      <c r="AW43" s="20">
        <v>2.4</v>
      </c>
      <c r="AX43" s="20">
        <v>2.4</v>
      </c>
      <c r="AY43" s="20">
        <v>2.4</v>
      </c>
      <c r="AZ43" s="20">
        <v>2.4</v>
      </c>
      <c r="BA43" s="20"/>
      <c r="BB43" s="20"/>
      <c r="BC43" s="20"/>
      <c r="BD43" s="20"/>
      <c r="BE43" s="20"/>
      <c r="BF43" s="20"/>
      <c r="BG43" s="20"/>
      <c r="BH43" s="20">
        <f t="shared" si="33"/>
        <v>2.54</v>
      </c>
      <c r="BI43" s="41" cm="1">
        <f t="array" ref="BI43">INDEX(BL43:BW43,$BL$1)</f>
        <v>2.4</v>
      </c>
      <c r="BJ43" s="30"/>
      <c r="BK43" s="598"/>
      <c r="BL43" s="20">
        <f t="shared" si="34"/>
        <v>2.4</v>
      </c>
      <c r="BM43" s="20">
        <f t="shared" si="35"/>
        <v>2.4</v>
      </c>
      <c r="BN43" s="20">
        <f t="shared" si="36"/>
        <v>2.4</v>
      </c>
      <c r="BO43" s="20">
        <f t="shared" si="37"/>
        <v>2.4</v>
      </c>
      <c r="BP43" s="20">
        <f t="shared" si="38"/>
        <v>2.4</v>
      </c>
      <c r="BQ43" s="20">
        <f t="shared" si="39"/>
        <v>2.4</v>
      </c>
      <c r="BR43" s="20">
        <f t="shared" si="40"/>
        <v>2.4</v>
      </c>
      <c r="BS43" s="20">
        <f t="shared" si="41"/>
        <v>2.4</v>
      </c>
      <c r="BT43" s="20">
        <f t="shared" si="42"/>
        <v>2.4</v>
      </c>
      <c r="BU43" s="20">
        <f t="shared" si="43"/>
        <v>2.4</v>
      </c>
      <c r="BV43" s="20">
        <f t="shared" si="44"/>
        <v>2.4</v>
      </c>
      <c r="BW43" s="20">
        <f t="shared" si="45"/>
        <v>2.4</v>
      </c>
      <c r="BX43" s="28">
        <f t="shared" si="46"/>
        <v>28.799999999999994</v>
      </c>
      <c r="BY43" s="628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8">
        <f t="shared" si="47"/>
        <v>0</v>
      </c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8">
        <f t="shared" si="48"/>
        <v>0</v>
      </c>
      <c r="DB43" s="20">
        <v>2.4</v>
      </c>
      <c r="DC43" s="20">
        <v>2.4</v>
      </c>
      <c r="DD43" s="20">
        <v>2.4</v>
      </c>
      <c r="DE43" s="20">
        <v>2.4</v>
      </c>
      <c r="DF43" s="20">
        <v>2.4</v>
      </c>
      <c r="DG43" s="20">
        <v>2.4</v>
      </c>
      <c r="DH43" s="20">
        <v>2.4</v>
      </c>
      <c r="DI43" s="20">
        <v>2.4</v>
      </c>
      <c r="DJ43" s="20">
        <v>2.4</v>
      </c>
      <c r="DK43" s="20">
        <v>2.4</v>
      </c>
      <c r="DL43" s="20">
        <v>2.4</v>
      </c>
      <c r="DM43" s="20">
        <v>2.4</v>
      </c>
      <c r="DN43" s="28">
        <f t="shared" si="49"/>
        <v>28.799999999999994</v>
      </c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8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8"/>
      <c r="ER43" s="20"/>
      <c r="ES43" s="20"/>
      <c r="ET43" s="20"/>
      <c r="EU43" s="20"/>
      <c r="EV43" s="20"/>
      <c r="EW43" s="20"/>
      <c r="EX43" s="20"/>
      <c r="EY43" s="20"/>
      <c r="EZ43" s="20"/>
      <c r="FA43" s="20"/>
      <c r="FB43" s="20"/>
      <c r="FC43" s="20"/>
      <c r="FD43" s="28"/>
      <c r="FF43" s="20"/>
      <c r="FG43" s="20"/>
      <c r="FH43" s="20"/>
      <c r="FI43" s="20"/>
      <c r="FJ43" s="20"/>
      <c r="FK43" s="20"/>
      <c r="FL43" s="20"/>
      <c r="FM43" s="20"/>
      <c r="FN43" s="20"/>
      <c r="FO43" s="20"/>
      <c r="FP43" s="20"/>
      <c r="FQ43" s="20"/>
      <c r="FR43" s="28"/>
    </row>
    <row r="44" spans="1:174" x14ac:dyDescent="0.25">
      <c r="A44" s="3">
        <f t="shared" si="50"/>
        <v>22</v>
      </c>
      <c r="B44" s="3" t="s">
        <v>97</v>
      </c>
      <c r="C44" s="3" t="s">
        <v>36</v>
      </c>
      <c r="D44" s="25" t="s">
        <v>4</v>
      </c>
      <c r="E44" s="26" t="s">
        <v>105</v>
      </c>
      <c r="F44" s="20">
        <v>13.295</v>
      </c>
      <c r="G44" s="20">
        <v>4.2290910000000004</v>
      </c>
      <c r="H44" s="20">
        <v>2.1549999999999998</v>
      </c>
      <c r="I44" s="20">
        <v>6.9763640000000002</v>
      </c>
      <c r="J44" s="20">
        <v>20.195</v>
      </c>
      <c r="K44" s="20">
        <v>0.92489900000000003</v>
      </c>
      <c r="L44" s="20">
        <v>0.83872500000000005</v>
      </c>
      <c r="M44" s="20">
        <v>9.0039230000000003</v>
      </c>
      <c r="N44" s="20">
        <v>5.1834189999999998</v>
      </c>
      <c r="O44" s="20">
        <v>62.280033000000003</v>
      </c>
      <c r="P44" s="20">
        <v>3.6966770000000002</v>
      </c>
      <c r="Q44" s="548">
        <v>11.589375</v>
      </c>
      <c r="R44" s="557">
        <f t="shared" si="14"/>
        <v>11.697292166666665</v>
      </c>
      <c r="S44" s="551">
        <v>0</v>
      </c>
      <c r="T44" s="20">
        <v>0</v>
      </c>
      <c r="U44" s="20">
        <v>0</v>
      </c>
      <c r="V44" s="20">
        <v>0</v>
      </c>
      <c r="W44" s="20">
        <v>0</v>
      </c>
      <c r="X44" s="20">
        <v>0</v>
      </c>
      <c r="Y44" s="20">
        <v>0</v>
      </c>
      <c r="Z44" s="20">
        <v>1.55</v>
      </c>
      <c r="AA44" s="20">
        <v>0</v>
      </c>
      <c r="AB44" s="20">
        <v>4.49</v>
      </c>
      <c r="AC44" s="20">
        <v>8.5987200000000001</v>
      </c>
      <c r="AD44" s="20">
        <v>0.18055599999999999</v>
      </c>
      <c r="AE44" s="571"/>
      <c r="AF44" s="556">
        <f t="shared" si="15"/>
        <v>14.819275999999999</v>
      </c>
      <c r="AG44" s="557">
        <f t="shared" si="16"/>
        <v>1.2349396666666665</v>
      </c>
      <c r="AH44" s="551">
        <v>0</v>
      </c>
      <c r="AI44" s="20">
        <v>0</v>
      </c>
      <c r="AJ44" s="20">
        <v>0</v>
      </c>
      <c r="AK44" s="20">
        <v>5.6050000000000004</v>
      </c>
      <c r="AL44" s="20">
        <v>0</v>
      </c>
      <c r="AM44" s="20">
        <v>0</v>
      </c>
      <c r="AN44" s="20">
        <v>0</v>
      </c>
      <c r="AO44" s="20">
        <v>1.4331100000000001</v>
      </c>
      <c r="AP44" s="20">
        <v>7.1655999999999997E-2</v>
      </c>
      <c r="AQ44" s="20">
        <v>0</v>
      </c>
      <c r="AR44" s="20">
        <v>0</v>
      </c>
      <c r="AS44" s="20">
        <v>2.5659999999999998</v>
      </c>
      <c r="AT44" s="20"/>
      <c r="AU44" s="557">
        <f t="shared" si="17"/>
        <v>0.80631383333333329</v>
      </c>
      <c r="AV44" s="551">
        <v>0.152</v>
      </c>
      <c r="AW44" s="20">
        <v>0</v>
      </c>
      <c r="AX44" s="20">
        <v>0</v>
      </c>
      <c r="AY44" s="20">
        <v>0</v>
      </c>
      <c r="AZ44" s="20">
        <v>1.94</v>
      </c>
      <c r="BA44" s="20"/>
      <c r="BB44" s="20"/>
      <c r="BC44" s="20"/>
      <c r="BD44" s="20"/>
      <c r="BE44" s="20"/>
      <c r="BF44" s="20"/>
      <c r="BG44" s="20"/>
      <c r="BH44" s="20">
        <f t="shared" si="33"/>
        <v>0.41839999999999999</v>
      </c>
      <c r="BI44" s="41" cm="1">
        <f t="array" ref="BI44">INDEX(BL44:BW44,$BL$1)</f>
        <v>0.91666666666666663</v>
      </c>
      <c r="BJ44" s="30"/>
      <c r="BK44" s="598"/>
      <c r="BL44" s="20">
        <f t="shared" si="34"/>
        <v>1.9166666666666665</v>
      </c>
      <c r="BM44" s="20">
        <f t="shared" si="35"/>
        <v>0.91666666666666663</v>
      </c>
      <c r="BN44" s="20">
        <f t="shared" si="36"/>
        <v>1.9166666666666665</v>
      </c>
      <c r="BO44" s="20">
        <f t="shared" si="37"/>
        <v>0.91666666666666663</v>
      </c>
      <c r="BP44" s="20">
        <f t="shared" si="38"/>
        <v>6.916666666666667</v>
      </c>
      <c r="BQ44" s="20">
        <f t="shared" si="39"/>
        <v>0.91666666666666663</v>
      </c>
      <c r="BR44" s="20">
        <f t="shared" si="40"/>
        <v>1.9166666666666665</v>
      </c>
      <c r="BS44" s="20">
        <f t="shared" si="41"/>
        <v>0.91666666666666663</v>
      </c>
      <c r="BT44" s="20">
        <f t="shared" si="42"/>
        <v>1.9166666666666665</v>
      </c>
      <c r="BU44" s="20">
        <f t="shared" si="43"/>
        <v>5.916666666666667</v>
      </c>
      <c r="BV44" s="20">
        <f t="shared" si="44"/>
        <v>1.9166666666666665</v>
      </c>
      <c r="BW44" s="20">
        <f t="shared" si="45"/>
        <v>0.91666666666666663</v>
      </c>
      <c r="BX44" s="28">
        <f t="shared" si="46"/>
        <v>27.000000000000004</v>
      </c>
      <c r="BY44" s="628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8">
        <f t="shared" si="47"/>
        <v>0</v>
      </c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8">
        <f t="shared" si="48"/>
        <v>0</v>
      </c>
      <c r="DB44" s="20">
        <v>1.9166666666666665</v>
      </c>
      <c r="DC44" s="20">
        <v>0.91666666666666663</v>
      </c>
      <c r="DD44" s="20">
        <v>1.9166666666666665</v>
      </c>
      <c r="DE44" s="20">
        <v>0.91666666666666663</v>
      </c>
      <c r="DF44" s="20">
        <v>6.916666666666667</v>
      </c>
      <c r="DG44" s="20">
        <v>0.91666666666666663</v>
      </c>
      <c r="DH44" s="20">
        <v>1.9166666666666665</v>
      </c>
      <c r="DI44" s="20">
        <v>0.91666666666666663</v>
      </c>
      <c r="DJ44" s="20">
        <v>1.9166666666666665</v>
      </c>
      <c r="DK44" s="20">
        <v>5.916666666666667</v>
      </c>
      <c r="DL44" s="20">
        <v>1.9166666666666665</v>
      </c>
      <c r="DM44" s="20">
        <v>0.91666666666666663</v>
      </c>
      <c r="DN44" s="28">
        <f t="shared" si="49"/>
        <v>27.000000000000004</v>
      </c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8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28"/>
      <c r="ER44" s="20"/>
      <c r="ES44" s="20"/>
      <c r="ET44" s="20"/>
      <c r="EU44" s="20"/>
      <c r="EV44" s="20"/>
      <c r="EW44" s="20"/>
      <c r="EX44" s="20"/>
      <c r="EY44" s="20"/>
      <c r="EZ44" s="20"/>
      <c r="FA44" s="20"/>
      <c r="FB44" s="20"/>
      <c r="FC44" s="20"/>
      <c r="FD44" s="28"/>
      <c r="FF44" s="20"/>
      <c r="FG44" s="20"/>
      <c r="FH44" s="20"/>
      <c r="FI44" s="20"/>
      <c r="FJ44" s="20"/>
      <c r="FK44" s="20"/>
      <c r="FL44" s="20"/>
      <c r="FM44" s="20"/>
      <c r="FN44" s="20"/>
      <c r="FO44" s="20"/>
      <c r="FP44" s="20"/>
      <c r="FQ44" s="20"/>
      <c r="FR44" s="28"/>
    </row>
    <row r="45" spans="1:174" x14ac:dyDescent="0.25">
      <c r="A45" s="3">
        <f t="shared" si="50"/>
        <v>23</v>
      </c>
      <c r="B45" s="3" t="s">
        <v>97</v>
      </c>
      <c r="C45" s="3" t="s">
        <v>51</v>
      </c>
      <c r="D45" s="25" t="s">
        <v>2</v>
      </c>
      <c r="E45" s="26" t="s">
        <v>105</v>
      </c>
      <c r="F45" s="20">
        <v>0.65749999999999997</v>
      </c>
      <c r="G45" s="20">
        <v>24.825189999999999</v>
      </c>
      <c r="H45" s="20">
        <v>3.3308330000000002</v>
      </c>
      <c r="I45" s="20">
        <v>18.234473999999999</v>
      </c>
      <c r="J45" s="20">
        <v>30.550239999999999</v>
      </c>
      <c r="K45" s="20">
        <v>43.027766999999997</v>
      </c>
      <c r="L45" s="20">
        <v>0.03</v>
      </c>
      <c r="M45" s="20">
        <v>7.2750750000000002</v>
      </c>
      <c r="N45" s="20">
        <v>0</v>
      </c>
      <c r="O45" s="20">
        <v>2.098004</v>
      </c>
      <c r="P45" s="20">
        <v>3.5877189999999999</v>
      </c>
      <c r="Q45" s="548">
        <v>2.7735690000000002</v>
      </c>
      <c r="R45" s="557">
        <f t="shared" si="14"/>
        <v>11.36586425</v>
      </c>
      <c r="S45" s="551">
        <v>0</v>
      </c>
      <c r="T45" s="20">
        <v>0</v>
      </c>
      <c r="U45" s="20">
        <v>0</v>
      </c>
      <c r="V45" s="20">
        <v>0</v>
      </c>
      <c r="W45" s="20">
        <v>0</v>
      </c>
      <c r="X45" s="20">
        <v>0</v>
      </c>
      <c r="Y45" s="20">
        <v>0</v>
      </c>
      <c r="Z45" s="20">
        <v>0</v>
      </c>
      <c r="AA45" s="20">
        <v>0</v>
      </c>
      <c r="AB45" s="20">
        <v>0</v>
      </c>
      <c r="AC45" s="20">
        <v>0</v>
      </c>
      <c r="AD45" s="20">
        <v>0</v>
      </c>
      <c r="AE45" s="571"/>
      <c r="AF45" s="556">
        <f t="shared" si="15"/>
        <v>0</v>
      </c>
      <c r="AG45" s="557">
        <f t="shared" si="16"/>
        <v>0</v>
      </c>
      <c r="AH45" s="551">
        <v>0</v>
      </c>
      <c r="AI45" s="20">
        <v>0</v>
      </c>
      <c r="AJ45" s="20">
        <v>0</v>
      </c>
      <c r="AK45" s="20">
        <v>0</v>
      </c>
      <c r="AL45" s="20">
        <v>0</v>
      </c>
      <c r="AM45" s="20">
        <v>0</v>
      </c>
      <c r="AN45" s="20">
        <v>0</v>
      </c>
      <c r="AO45" s="20">
        <v>0</v>
      </c>
      <c r="AP45" s="20">
        <v>0</v>
      </c>
      <c r="AQ45" s="20">
        <v>0</v>
      </c>
      <c r="AR45" s="20">
        <v>0</v>
      </c>
      <c r="AS45" s="20">
        <v>0</v>
      </c>
      <c r="AT45" s="20"/>
      <c r="AU45" s="557">
        <f t="shared" si="17"/>
        <v>0</v>
      </c>
      <c r="AV45" s="551">
        <v>0</v>
      </c>
      <c r="AW45" s="20">
        <v>0</v>
      </c>
      <c r="AX45" s="20">
        <v>0</v>
      </c>
      <c r="AY45" s="20">
        <v>0</v>
      </c>
      <c r="AZ45" s="20">
        <v>0</v>
      </c>
      <c r="BA45" s="20"/>
      <c r="BB45" s="20"/>
      <c r="BC45" s="20"/>
      <c r="BD45" s="20"/>
      <c r="BE45" s="20"/>
      <c r="BF45" s="20"/>
      <c r="BG45" s="20"/>
      <c r="BH45" s="20">
        <f t="shared" si="33"/>
        <v>0</v>
      </c>
      <c r="BI45" s="41" cm="1">
        <f t="array" ref="BI45">INDEX(BL45:BW45,$BL$1)</f>
        <v>0</v>
      </c>
      <c r="BJ45" s="30"/>
      <c r="BK45" s="598"/>
      <c r="BL45" s="20">
        <f t="shared" si="34"/>
        <v>0</v>
      </c>
      <c r="BM45" s="20">
        <f t="shared" si="35"/>
        <v>0</v>
      </c>
      <c r="BN45" s="20">
        <f t="shared" si="36"/>
        <v>0</v>
      </c>
      <c r="BO45" s="20">
        <f t="shared" si="37"/>
        <v>0</v>
      </c>
      <c r="BP45" s="20">
        <f t="shared" si="38"/>
        <v>0</v>
      </c>
      <c r="BQ45" s="20">
        <f t="shared" si="39"/>
        <v>0</v>
      </c>
      <c r="BR45" s="20">
        <f t="shared" si="40"/>
        <v>0</v>
      </c>
      <c r="BS45" s="20">
        <f t="shared" si="41"/>
        <v>0</v>
      </c>
      <c r="BT45" s="20">
        <f t="shared" si="42"/>
        <v>0</v>
      </c>
      <c r="BU45" s="20">
        <f t="shared" si="43"/>
        <v>0</v>
      </c>
      <c r="BV45" s="20">
        <f t="shared" si="44"/>
        <v>0</v>
      </c>
      <c r="BW45" s="20">
        <f t="shared" si="45"/>
        <v>0</v>
      </c>
      <c r="BX45" s="28">
        <f t="shared" si="46"/>
        <v>0</v>
      </c>
      <c r="BY45" s="628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8">
        <f t="shared" si="47"/>
        <v>0</v>
      </c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8">
        <f t="shared" si="48"/>
        <v>0</v>
      </c>
      <c r="DB45" s="20">
        <v>0</v>
      </c>
      <c r="DC45" s="20">
        <v>0</v>
      </c>
      <c r="DD45" s="20">
        <v>0</v>
      </c>
      <c r="DE45" s="20">
        <v>0</v>
      </c>
      <c r="DF45" s="20">
        <v>0</v>
      </c>
      <c r="DG45" s="20">
        <v>0</v>
      </c>
      <c r="DH45" s="20">
        <v>0</v>
      </c>
      <c r="DI45" s="20">
        <v>0</v>
      </c>
      <c r="DJ45" s="20">
        <v>0</v>
      </c>
      <c r="DK45" s="20">
        <v>0</v>
      </c>
      <c r="DL45" s="20">
        <v>0</v>
      </c>
      <c r="DM45" s="20">
        <v>0</v>
      </c>
      <c r="DN45" s="28">
        <f t="shared" si="49"/>
        <v>0</v>
      </c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8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28"/>
      <c r="ER45" s="20"/>
      <c r="ES45" s="20"/>
      <c r="ET45" s="20"/>
      <c r="EU45" s="20"/>
      <c r="EV45" s="20"/>
      <c r="EW45" s="20"/>
      <c r="EX45" s="20"/>
      <c r="EY45" s="20"/>
      <c r="EZ45" s="20"/>
      <c r="FA45" s="20"/>
      <c r="FB45" s="20"/>
      <c r="FC45" s="20"/>
      <c r="FD45" s="28"/>
      <c r="FF45" s="20"/>
      <c r="FG45" s="20"/>
      <c r="FH45" s="20"/>
      <c r="FI45" s="20"/>
      <c r="FJ45" s="20"/>
      <c r="FK45" s="20"/>
      <c r="FL45" s="20"/>
      <c r="FM45" s="20"/>
      <c r="FN45" s="20"/>
      <c r="FO45" s="20"/>
      <c r="FP45" s="20"/>
      <c r="FQ45" s="20"/>
      <c r="FR45" s="28"/>
    </row>
    <row r="46" spans="1:174" x14ac:dyDescent="0.25">
      <c r="A46" s="3">
        <f t="shared" si="50"/>
        <v>24</v>
      </c>
      <c r="B46" s="3" t="s">
        <v>97</v>
      </c>
      <c r="C46" s="3" t="s">
        <v>36</v>
      </c>
      <c r="D46" s="25" t="s">
        <v>5</v>
      </c>
      <c r="E46" s="26" t="s">
        <v>105</v>
      </c>
      <c r="F46" s="20">
        <v>4.983333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71.5</v>
      </c>
      <c r="M46" s="20">
        <v>0</v>
      </c>
      <c r="N46" s="20">
        <v>0</v>
      </c>
      <c r="O46" s="20">
        <v>34.5</v>
      </c>
      <c r="P46" s="20">
        <v>0</v>
      </c>
      <c r="Q46" s="548">
        <v>0</v>
      </c>
      <c r="R46" s="557">
        <f t="shared" si="14"/>
        <v>9.2486110833333335</v>
      </c>
      <c r="S46" s="551">
        <v>0</v>
      </c>
      <c r="T46" s="20">
        <v>0</v>
      </c>
      <c r="U46" s="20">
        <v>0</v>
      </c>
      <c r="V46" s="20">
        <v>0</v>
      </c>
      <c r="W46" s="20">
        <v>0</v>
      </c>
      <c r="X46" s="20">
        <v>0</v>
      </c>
      <c r="Y46" s="20">
        <v>0</v>
      </c>
      <c r="Z46" s="20">
        <v>0</v>
      </c>
      <c r="AA46" s="20">
        <v>0</v>
      </c>
      <c r="AB46" s="20">
        <v>0</v>
      </c>
      <c r="AC46" s="20">
        <v>0</v>
      </c>
      <c r="AD46" s="20">
        <v>0</v>
      </c>
      <c r="AE46" s="20"/>
      <c r="AF46" s="556">
        <f t="shared" si="15"/>
        <v>0</v>
      </c>
      <c r="AG46" s="557">
        <f t="shared" si="16"/>
        <v>0</v>
      </c>
      <c r="AH46" s="551">
        <v>0</v>
      </c>
      <c r="AI46" s="20">
        <v>0</v>
      </c>
      <c r="AJ46" s="20">
        <v>0</v>
      </c>
      <c r="AK46" s="20">
        <v>0</v>
      </c>
      <c r="AL46" s="20">
        <v>0</v>
      </c>
      <c r="AM46" s="20">
        <v>0</v>
      </c>
      <c r="AN46" s="20">
        <v>0</v>
      </c>
      <c r="AO46" s="20">
        <v>0</v>
      </c>
      <c r="AP46" s="20">
        <v>0</v>
      </c>
      <c r="AQ46" s="20">
        <v>0</v>
      </c>
      <c r="AR46" s="20">
        <v>0</v>
      </c>
      <c r="AS46" s="20">
        <v>0</v>
      </c>
      <c r="AT46" s="20"/>
      <c r="AU46" s="557">
        <f t="shared" si="17"/>
        <v>0</v>
      </c>
      <c r="AV46" s="551">
        <v>0</v>
      </c>
      <c r="AW46" s="20">
        <v>0</v>
      </c>
      <c r="AX46" s="20">
        <v>0</v>
      </c>
      <c r="AY46" s="20">
        <v>0</v>
      </c>
      <c r="AZ46" s="20">
        <v>0</v>
      </c>
      <c r="BA46" s="20"/>
      <c r="BB46" s="20"/>
      <c r="BC46" s="20"/>
      <c r="BD46" s="20"/>
      <c r="BE46" s="20"/>
      <c r="BF46" s="20"/>
      <c r="BG46" s="20"/>
      <c r="BH46" s="20">
        <f t="shared" si="33"/>
        <v>0</v>
      </c>
      <c r="BI46" s="41" cm="1">
        <f t="array" ref="BI46">INDEX(BL46:BW46,$BL$1)</f>
        <v>0</v>
      </c>
      <c r="BJ46" s="30"/>
      <c r="BK46" s="598"/>
      <c r="BL46" s="20">
        <f t="shared" si="34"/>
        <v>0</v>
      </c>
      <c r="BM46" s="20">
        <f t="shared" si="35"/>
        <v>0</v>
      </c>
      <c r="BN46" s="20">
        <f t="shared" si="36"/>
        <v>0</v>
      </c>
      <c r="BO46" s="20">
        <f t="shared" si="37"/>
        <v>0</v>
      </c>
      <c r="BP46" s="20">
        <f t="shared" si="38"/>
        <v>0</v>
      </c>
      <c r="BQ46" s="20">
        <f t="shared" si="39"/>
        <v>0</v>
      </c>
      <c r="BR46" s="20">
        <f t="shared" si="40"/>
        <v>0</v>
      </c>
      <c r="BS46" s="20">
        <f t="shared" si="41"/>
        <v>0</v>
      </c>
      <c r="BT46" s="20">
        <f t="shared" si="42"/>
        <v>0</v>
      </c>
      <c r="BU46" s="20">
        <f t="shared" si="43"/>
        <v>0</v>
      </c>
      <c r="BV46" s="20">
        <f t="shared" si="44"/>
        <v>0</v>
      </c>
      <c r="BW46" s="20">
        <f t="shared" si="45"/>
        <v>0</v>
      </c>
      <c r="BX46" s="28">
        <f t="shared" si="46"/>
        <v>0</v>
      </c>
      <c r="BY46" s="628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8">
        <f t="shared" si="47"/>
        <v>0</v>
      </c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8">
        <f t="shared" si="48"/>
        <v>0</v>
      </c>
      <c r="DB46" s="20">
        <v>0</v>
      </c>
      <c r="DC46" s="20">
        <v>0</v>
      </c>
      <c r="DD46" s="20">
        <v>0</v>
      </c>
      <c r="DE46" s="20">
        <v>0</v>
      </c>
      <c r="DF46" s="20">
        <v>0</v>
      </c>
      <c r="DG46" s="20">
        <v>0</v>
      </c>
      <c r="DH46" s="20">
        <v>0</v>
      </c>
      <c r="DI46" s="20">
        <v>0</v>
      </c>
      <c r="DJ46" s="20">
        <v>0</v>
      </c>
      <c r="DK46" s="20">
        <v>0</v>
      </c>
      <c r="DL46" s="20">
        <v>0</v>
      </c>
      <c r="DM46" s="20">
        <v>0</v>
      </c>
      <c r="DN46" s="28">
        <f t="shared" si="49"/>
        <v>0</v>
      </c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8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28"/>
      <c r="ER46" s="20"/>
      <c r="ES46" s="20"/>
      <c r="ET46" s="20"/>
      <c r="EU46" s="20"/>
      <c r="EV46" s="20"/>
      <c r="EW46" s="20"/>
      <c r="EX46" s="20"/>
      <c r="EY46" s="20"/>
      <c r="EZ46" s="20"/>
      <c r="FA46" s="20"/>
      <c r="FB46" s="20"/>
      <c r="FC46" s="20"/>
      <c r="FD46" s="28"/>
      <c r="FF46" s="20"/>
      <c r="FG46" s="20"/>
      <c r="FH46" s="20"/>
      <c r="FI46" s="20"/>
      <c r="FJ46" s="20"/>
      <c r="FK46" s="20"/>
      <c r="FL46" s="20"/>
      <c r="FM46" s="20"/>
      <c r="FN46" s="20"/>
      <c r="FO46" s="20"/>
      <c r="FP46" s="20"/>
      <c r="FQ46" s="20"/>
      <c r="FR46" s="28"/>
    </row>
    <row r="47" spans="1:174" x14ac:dyDescent="0.25">
      <c r="A47" s="3">
        <f t="shared" si="50"/>
        <v>25</v>
      </c>
      <c r="B47" s="3" t="s">
        <v>97</v>
      </c>
      <c r="C47" s="3" t="s">
        <v>36</v>
      </c>
      <c r="D47" s="25" t="s">
        <v>1</v>
      </c>
      <c r="E47" s="26" t="s">
        <v>105</v>
      </c>
      <c r="F47" s="20">
        <v>0</v>
      </c>
      <c r="G47" s="20">
        <v>3.2</v>
      </c>
      <c r="H47" s="20">
        <v>7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2.2000000000000002</v>
      </c>
      <c r="P47" s="20">
        <v>3</v>
      </c>
      <c r="Q47" s="548">
        <v>6.08</v>
      </c>
      <c r="R47" s="557">
        <f t="shared" si="14"/>
        <v>1.7899999999999998</v>
      </c>
      <c r="S47" s="551">
        <v>0</v>
      </c>
      <c r="T47" s="20">
        <v>0</v>
      </c>
      <c r="U47" s="20">
        <v>54.9</v>
      </c>
      <c r="V47" s="20">
        <v>13.533333000000001</v>
      </c>
      <c r="W47" s="20">
        <v>17.333333</v>
      </c>
      <c r="X47" s="20">
        <v>18.17474</v>
      </c>
      <c r="Y47" s="20">
        <v>18.17474</v>
      </c>
      <c r="Z47" s="20">
        <v>18.17474</v>
      </c>
      <c r="AA47" s="20">
        <v>32.80198</v>
      </c>
      <c r="AB47" s="20">
        <v>3.3333330000000001</v>
      </c>
      <c r="AC47" s="20">
        <v>3.3333330000000001</v>
      </c>
      <c r="AD47" s="20">
        <v>3.3333330000000001</v>
      </c>
      <c r="AE47" s="20"/>
      <c r="AF47" s="556">
        <f t="shared" si="15"/>
        <v>183.09286500000005</v>
      </c>
      <c r="AG47" s="557">
        <f t="shared" si="16"/>
        <v>15.257738750000003</v>
      </c>
      <c r="AH47" s="551">
        <v>3.3333330000000001</v>
      </c>
      <c r="AI47" s="20">
        <v>3.3333330000000001</v>
      </c>
      <c r="AJ47" s="20">
        <v>5.1833330000000002</v>
      </c>
      <c r="AK47" s="20">
        <v>33.075000000000003</v>
      </c>
      <c r="AL47" s="20">
        <v>3.875</v>
      </c>
      <c r="AM47" s="20">
        <v>3.875</v>
      </c>
      <c r="AN47" s="20">
        <v>3.875</v>
      </c>
      <c r="AO47" s="20">
        <v>6.875</v>
      </c>
      <c r="AP47" s="20">
        <v>3.875</v>
      </c>
      <c r="AQ47" s="20">
        <v>88.875</v>
      </c>
      <c r="AR47" s="20">
        <v>3.875</v>
      </c>
      <c r="AS47" s="20">
        <v>3.875</v>
      </c>
      <c r="AT47" s="20"/>
      <c r="AU47" s="557">
        <f t="shared" si="17"/>
        <v>13.660416583333335</v>
      </c>
      <c r="AV47" s="551">
        <v>3.875</v>
      </c>
      <c r="AW47" s="20">
        <v>3.875</v>
      </c>
      <c r="AX47" s="20">
        <v>3.875</v>
      </c>
      <c r="AY47" s="20">
        <v>0</v>
      </c>
      <c r="AZ47" s="20">
        <v>18</v>
      </c>
      <c r="BA47" s="20"/>
      <c r="BB47" s="20"/>
      <c r="BC47" s="20"/>
      <c r="BD47" s="20"/>
      <c r="BE47" s="20"/>
      <c r="BF47" s="20"/>
      <c r="BG47" s="20"/>
      <c r="BH47" s="20">
        <f t="shared" si="33"/>
        <v>5.9249999999999998</v>
      </c>
      <c r="BI47" s="41" cm="1">
        <f t="array" ref="BI47">INDEX(BL47:BW47,$BL$1)</f>
        <v>6.875</v>
      </c>
      <c r="BJ47" s="30"/>
      <c r="BK47" s="598"/>
      <c r="BL47" s="20">
        <f t="shared" si="34"/>
        <v>3.875</v>
      </c>
      <c r="BM47" s="20">
        <f t="shared" si="35"/>
        <v>6.875</v>
      </c>
      <c r="BN47" s="20">
        <f t="shared" si="36"/>
        <v>68.875</v>
      </c>
      <c r="BO47" s="20">
        <f t="shared" si="37"/>
        <v>0</v>
      </c>
      <c r="BP47" s="20">
        <f t="shared" si="38"/>
        <v>20.399999999999999</v>
      </c>
      <c r="BQ47" s="20">
        <f t="shared" si="39"/>
        <v>19</v>
      </c>
      <c r="BR47" s="20">
        <f t="shared" si="40"/>
        <v>18.5</v>
      </c>
      <c r="BS47" s="20">
        <f t="shared" si="41"/>
        <v>2</v>
      </c>
      <c r="BT47" s="20">
        <f t="shared" si="42"/>
        <v>16</v>
      </c>
      <c r="BU47" s="20">
        <f t="shared" si="43"/>
        <v>0</v>
      </c>
      <c r="BV47" s="20">
        <f t="shared" si="44"/>
        <v>0</v>
      </c>
      <c r="BW47" s="20">
        <f t="shared" si="45"/>
        <v>0</v>
      </c>
      <c r="BX47" s="28">
        <f t="shared" si="46"/>
        <v>155.52500000000001</v>
      </c>
      <c r="BY47" s="628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8">
        <f t="shared" si="47"/>
        <v>0</v>
      </c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8">
        <f t="shared" si="48"/>
        <v>0</v>
      </c>
      <c r="DB47" s="20">
        <v>3.875</v>
      </c>
      <c r="DC47" s="20">
        <v>6.875</v>
      </c>
      <c r="DD47" s="20">
        <v>68.875</v>
      </c>
      <c r="DE47" s="20">
        <v>0</v>
      </c>
      <c r="DF47" s="20">
        <v>20.399999999999999</v>
      </c>
      <c r="DG47" s="20">
        <v>19</v>
      </c>
      <c r="DH47" s="20">
        <v>18.5</v>
      </c>
      <c r="DI47" s="20">
        <v>2</v>
      </c>
      <c r="DJ47" s="20">
        <v>16</v>
      </c>
      <c r="DK47" s="20">
        <v>0</v>
      </c>
      <c r="DL47" s="20">
        <v>0</v>
      </c>
      <c r="DM47" s="20">
        <v>0</v>
      </c>
      <c r="DN47" s="28">
        <f t="shared" si="49"/>
        <v>155.52500000000001</v>
      </c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8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28"/>
      <c r="ER47" s="20"/>
      <c r="ES47" s="20"/>
      <c r="ET47" s="20"/>
      <c r="EU47" s="20"/>
      <c r="EV47" s="20"/>
      <c r="EW47" s="20"/>
      <c r="EX47" s="20"/>
      <c r="EY47" s="20"/>
      <c r="EZ47" s="20"/>
      <c r="FA47" s="20"/>
      <c r="FB47" s="20"/>
      <c r="FC47" s="20"/>
      <c r="FD47" s="28"/>
      <c r="FF47" s="20"/>
      <c r="FG47" s="20"/>
      <c r="FH47" s="20"/>
      <c r="FI47" s="20"/>
      <c r="FJ47" s="20"/>
      <c r="FK47" s="20"/>
      <c r="FL47" s="20"/>
      <c r="FM47" s="20"/>
      <c r="FN47" s="20"/>
      <c r="FO47" s="20"/>
      <c r="FP47" s="20"/>
      <c r="FQ47" s="20"/>
      <c r="FR47" s="28"/>
    </row>
    <row r="48" spans="1:174" ht="14.1" customHeight="1" x14ac:dyDescent="0.25">
      <c r="A48" s="3">
        <f t="shared" si="50"/>
        <v>26</v>
      </c>
      <c r="B48" s="3" t="s">
        <v>97</v>
      </c>
      <c r="C48" s="35" t="s">
        <v>36</v>
      </c>
      <c r="D48" s="36" t="s">
        <v>23</v>
      </c>
      <c r="E48" s="37" t="s">
        <v>105</v>
      </c>
      <c r="F48" s="20">
        <v>0.2</v>
      </c>
      <c r="G48" s="20">
        <v>12.983599999999999</v>
      </c>
      <c r="H48" s="20">
        <v>6.1733349999999998</v>
      </c>
      <c r="I48" s="20">
        <v>6.8479999999999999</v>
      </c>
      <c r="J48" s="20">
        <v>5.9101999999999997</v>
      </c>
      <c r="K48" s="20">
        <v>0</v>
      </c>
      <c r="L48" s="20">
        <v>12.211333</v>
      </c>
      <c r="M48" s="20">
        <v>8.2653999999999996</v>
      </c>
      <c r="N48" s="20">
        <v>10.46</v>
      </c>
      <c r="O48" s="20">
        <v>8.8777000000000008</v>
      </c>
      <c r="P48" s="20">
        <v>9.8262999999999998</v>
      </c>
      <c r="Q48" s="548">
        <v>8.9922000000000004</v>
      </c>
      <c r="R48" s="557">
        <f t="shared" si="14"/>
        <v>7.5623389999999988</v>
      </c>
      <c r="S48" s="551">
        <v>0</v>
      </c>
      <c r="T48" s="20">
        <v>0</v>
      </c>
      <c r="U48" s="20">
        <v>0.79</v>
      </c>
      <c r="V48" s="20">
        <v>0</v>
      </c>
      <c r="W48" s="20">
        <v>1.1399999999999999</v>
      </c>
      <c r="X48" s="20">
        <v>0</v>
      </c>
      <c r="Y48" s="20">
        <v>0.84</v>
      </c>
      <c r="Z48" s="20">
        <v>0</v>
      </c>
      <c r="AA48" s="20">
        <v>0</v>
      </c>
      <c r="AB48" s="20">
        <v>0</v>
      </c>
      <c r="AC48" s="20">
        <v>0</v>
      </c>
      <c r="AD48" s="20">
        <v>0</v>
      </c>
      <c r="AE48" s="20"/>
      <c r="AF48" s="556">
        <f t="shared" si="15"/>
        <v>2.77</v>
      </c>
      <c r="AG48" s="557">
        <f t="shared" si="16"/>
        <v>0.23083333333333333</v>
      </c>
      <c r="AH48" s="551">
        <v>0</v>
      </c>
      <c r="AI48" s="20">
        <v>0</v>
      </c>
      <c r="AJ48" s="20">
        <v>0</v>
      </c>
      <c r="AK48" s="20">
        <v>0</v>
      </c>
      <c r="AL48" s="20">
        <v>0</v>
      </c>
      <c r="AM48" s="20">
        <v>0</v>
      </c>
      <c r="AN48" s="20">
        <v>0</v>
      </c>
      <c r="AO48" s="20">
        <v>0</v>
      </c>
      <c r="AP48" s="20">
        <v>0</v>
      </c>
      <c r="AQ48" s="20">
        <v>0</v>
      </c>
      <c r="AR48" s="20">
        <v>0</v>
      </c>
      <c r="AS48" s="20">
        <v>0</v>
      </c>
      <c r="AT48" s="20"/>
      <c r="AU48" s="557">
        <f t="shared" si="17"/>
        <v>0</v>
      </c>
      <c r="AV48" s="551">
        <v>0</v>
      </c>
      <c r="AW48" s="20">
        <v>0</v>
      </c>
      <c r="AX48" s="20">
        <v>0</v>
      </c>
      <c r="AY48" s="20">
        <v>0</v>
      </c>
      <c r="AZ48" s="20">
        <v>0</v>
      </c>
      <c r="BA48" s="20"/>
      <c r="BB48" s="20"/>
      <c r="BC48" s="20"/>
      <c r="BD48" s="20"/>
      <c r="BE48" s="20"/>
      <c r="BF48" s="20"/>
      <c r="BG48" s="20"/>
      <c r="BH48" s="20">
        <f t="shared" si="33"/>
        <v>0</v>
      </c>
      <c r="BI48" s="41" cm="1">
        <f t="array" ref="BI48">INDEX(BL48:BW48,$BL$1)</f>
        <v>0</v>
      </c>
      <c r="BJ48" s="38"/>
      <c r="BK48" s="598"/>
      <c r="BL48" s="20">
        <f t="shared" si="34"/>
        <v>0</v>
      </c>
      <c r="BM48" s="20">
        <f t="shared" si="35"/>
        <v>0</v>
      </c>
      <c r="BN48" s="20">
        <f t="shared" si="36"/>
        <v>0</v>
      </c>
      <c r="BO48" s="20">
        <f t="shared" si="37"/>
        <v>0</v>
      </c>
      <c r="BP48" s="20">
        <f t="shared" si="38"/>
        <v>0</v>
      </c>
      <c r="BQ48" s="20">
        <f t="shared" si="39"/>
        <v>0</v>
      </c>
      <c r="BR48" s="20">
        <f t="shared" si="40"/>
        <v>0</v>
      </c>
      <c r="BS48" s="20">
        <f t="shared" si="41"/>
        <v>0</v>
      </c>
      <c r="BT48" s="20">
        <f t="shared" si="42"/>
        <v>0</v>
      </c>
      <c r="BU48" s="20">
        <f t="shared" si="43"/>
        <v>0</v>
      </c>
      <c r="BV48" s="20">
        <f t="shared" si="44"/>
        <v>0</v>
      </c>
      <c r="BW48" s="20">
        <f t="shared" si="45"/>
        <v>0</v>
      </c>
      <c r="BX48" s="28">
        <f t="shared" si="46"/>
        <v>0</v>
      </c>
      <c r="BY48" s="628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8">
        <f t="shared" si="47"/>
        <v>0</v>
      </c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8">
        <f t="shared" si="48"/>
        <v>0</v>
      </c>
      <c r="DB48" s="20">
        <v>0</v>
      </c>
      <c r="DC48" s="20">
        <v>0</v>
      </c>
      <c r="DD48" s="20">
        <v>0</v>
      </c>
      <c r="DE48" s="20">
        <v>0</v>
      </c>
      <c r="DF48" s="20">
        <v>0</v>
      </c>
      <c r="DG48" s="20">
        <v>0</v>
      </c>
      <c r="DH48" s="20">
        <v>0</v>
      </c>
      <c r="DI48" s="20">
        <v>0</v>
      </c>
      <c r="DJ48" s="20">
        <v>0</v>
      </c>
      <c r="DK48" s="20">
        <v>0</v>
      </c>
      <c r="DL48" s="20">
        <v>0</v>
      </c>
      <c r="DM48" s="20">
        <v>0</v>
      </c>
      <c r="DN48" s="28">
        <f t="shared" si="49"/>
        <v>0</v>
      </c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8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28"/>
      <c r="ER48" s="20"/>
      <c r="ES48" s="20"/>
      <c r="ET48" s="20"/>
      <c r="EU48" s="20"/>
      <c r="EV48" s="20"/>
      <c r="EW48" s="20"/>
      <c r="EX48" s="20"/>
      <c r="EY48" s="20"/>
      <c r="EZ48" s="20"/>
      <c r="FA48" s="20"/>
      <c r="FB48" s="20"/>
      <c r="FC48" s="20"/>
      <c r="FD48" s="28"/>
      <c r="FF48" s="20"/>
      <c r="FG48" s="20"/>
      <c r="FH48" s="20"/>
      <c r="FI48" s="20"/>
      <c r="FJ48" s="20"/>
      <c r="FK48" s="20"/>
      <c r="FL48" s="20"/>
      <c r="FM48" s="20"/>
      <c r="FN48" s="20"/>
      <c r="FO48" s="20"/>
      <c r="FP48" s="20"/>
      <c r="FQ48" s="20"/>
      <c r="FR48" s="28"/>
    </row>
    <row r="49" spans="1:174" ht="14.1" customHeight="1" x14ac:dyDescent="0.25">
      <c r="A49" s="3">
        <v>27</v>
      </c>
      <c r="B49" s="3" t="s">
        <v>97</v>
      </c>
      <c r="C49" s="35" t="s">
        <v>36</v>
      </c>
      <c r="D49" s="321" t="s">
        <v>214</v>
      </c>
      <c r="E49" s="37" t="s">
        <v>105</v>
      </c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548"/>
      <c r="R49" s="557"/>
      <c r="S49" s="551">
        <v>0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  <c r="Y49" s="20">
        <v>0</v>
      </c>
      <c r="Z49" s="20">
        <v>0</v>
      </c>
      <c r="AA49" s="20">
        <v>0</v>
      </c>
      <c r="AB49" s="20">
        <v>0</v>
      </c>
      <c r="AC49" s="20">
        <v>0</v>
      </c>
      <c r="AD49" s="20">
        <v>145</v>
      </c>
      <c r="AE49" s="20"/>
      <c r="AF49" s="556">
        <f t="shared" si="15"/>
        <v>145</v>
      </c>
      <c r="AG49" s="557">
        <f t="shared" si="16"/>
        <v>12.083333333333334</v>
      </c>
      <c r="AH49" s="551">
        <v>0</v>
      </c>
      <c r="AI49" s="20">
        <v>145</v>
      </c>
      <c r="AJ49" s="20">
        <v>132.69999999999999</v>
      </c>
      <c r="AK49" s="20">
        <v>97.1</v>
      </c>
      <c r="AL49" s="20">
        <v>152</v>
      </c>
      <c r="AM49" s="20">
        <v>162.01666700000001</v>
      </c>
      <c r="AN49" s="20">
        <v>175.40322599999999</v>
      </c>
      <c r="AO49" s="20">
        <v>192</v>
      </c>
      <c r="AP49" s="20">
        <v>212.94399999999999</v>
      </c>
      <c r="AQ49" s="20">
        <v>207.708</v>
      </c>
      <c r="AR49" s="20">
        <v>197</v>
      </c>
      <c r="AS49" s="20">
        <v>193</v>
      </c>
      <c r="AT49" s="20"/>
      <c r="AU49" s="557">
        <f t="shared" si="17"/>
        <v>155.57265774999999</v>
      </c>
      <c r="AV49" s="551">
        <v>180.129032</v>
      </c>
      <c r="AW49" s="20">
        <v>224</v>
      </c>
      <c r="AX49" s="20">
        <v>214.064516</v>
      </c>
      <c r="AY49" s="20">
        <v>238.433333</v>
      </c>
      <c r="AZ49" s="20">
        <v>238.433333</v>
      </c>
      <c r="BA49" s="20"/>
      <c r="BB49" s="20"/>
      <c r="BC49" s="20"/>
      <c r="BD49" s="20"/>
      <c r="BE49" s="20"/>
      <c r="BF49" s="20"/>
      <c r="BG49" s="20"/>
      <c r="BH49" s="20">
        <f t="shared" si="33"/>
        <v>219.01204279999996</v>
      </c>
      <c r="BI49" s="41" cm="1">
        <f t="array" ref="BI49">INDEX(BL49:BW49,$BL$1)</f>
        <v>294.5</v>
      </c>
      <c r="BJ49" s="38"/>
      <c r="BK49" s="598"/>
      <c r="BL49" s="20">
        <f t="shared" si="34"/>
        <v>294.5</v>
      </c>
      <c r="BM49" s="20">
        <f t="shared" si="35"/>
        <v>294.5</v>
      </c>
      <c r="BN49" s="20">
        <f t="shared" si="36"/>
        <v>344.5</v>
      </c>
      <c r="BO49" s="20">
        <f t="shared" si="37"/>
        <v>294.5</v>
      </c>
      <c r="BP49" s="20">
        <f t="shared" si="38"/>
        <v>294.5</v>
      </c>
      <c r="BQ49" s="20">
        <f t="shared" si="39"/>
        <v>294.5</v>
      </c>
      <c r="BR49" s="20">
        <f t="shared" si="40"/>
        <v>294.5</v>
      </c>
      <c r="BS49" s="20">
        <f t="shared" si="41"/>
        <v>294.5</v>
      </c>
      <c r="BT49" s="20">
        <f t="shared" si="42"/>
        <v>294.5</v>
      </c>
      <c r="BU49" s="20">
        <f t="shared" si="43"/>
        <v>294.5</v>
      </c>
      <c r="BV49" s="20">
        <f t="shared" si="44"/>
        <v>294.5</v>
      </c>
      <c r="BW49" s="20">
        <f t="shared" si="45"/>
        <v>294.5</v>
      </c>
      <c r="BX49" s="28">
        <f t="shared" ref="BX49" si="51">SUM(BL49:BW49)</f>
        <v>3584</v>
      </c>
      <c r="BY49" s="628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8">
        <f t="shared" si="47"/>
        <v>0</v>
      </c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8">
        <f t="shared" si="48"/>
        <v>0</v>
      </c>
      <c r="DB49" s="20">
        <v>294.5</v>
      </c>
      <c r="DC49" s="20">
        <v>294.5</v>
      </c>
      <c r="DD49" s="20">
        <v>344.5</v>
      </c>
      <c r="DE49" s="20">
        <v>294.5</v>
      </c>
      <c r="DF49" s="20">
        <v>294.5</v>
      </c>
      <c r="DG49" s="20">
        <v>294.5</v>
      </c>
      <c r="DH49" s="20">
        <v>294.5</v>
      </c>
      <c r="DI49" s="20">
        <v>294.5</v>
      </c>
      <c r="DJ49" s="20">
        <v>294.5</v>
      </c>
      <c r="DK49" s="20">
        <v>294.5</v>
      </c>
      <c r="DL49" s="20">
        <v>294.5</v>
      </c>
      <c r="DM49" s="20">
        <v>294.5</v>
      </c>
      <c r="DN49" s="28">
        <f t="shared" si="49"/>
        <v>3584</v>
      </c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8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28"/>
      <c r="ER49" s="20"/>
      <c r="ES49" s="20"/>
      <c r="ET49" s="20"/>
      <c r="EU49" s="20"/>
      <c r="EV49" s="20"/>
      <c r="EW49" s="20"/>
      <c r="EX49" s="20"/>
      <c r="EY49" s="20"/>
      <c r="EZ49" s="20"/>
      <c r="FA49" s="20"/>
      <c r="FB49" s="20"/>
      <c r="FC49" s="20"/>
      <c r="FD49" s="28"/>
      <c r="FF49" s="20"/>
      <c r="FG49" s="20"/>
      <c r="FH49" s="20"/>
      <c r="FI49" s="20"/>
      <c r="FJ49" s="20"/>
      <c r="FK49" s="20"/>
      <c r="FL49" s="20"/>
      <c r="FM49" s="20"/>
      <c r="FN49" s="20"/>
      <c r="FO49" s="20"/>
      <c r="FP49" s="20"/>
      <c r="FQ49" s="20"/>
      <c r="FR49" s="28"/>
    </row>
    <row r="50" spans="1:174" s="43" customFormat="1" ht="14.1" customHeight="1" thickBot="1" x14ac:dyDescent="0.3">
      <c r="A50" s="82"/>
      <c r="B50" s="83"/>
      <c r="C50" s="83"/>
      <c r="D50" s="82" t="s">
        <v>106</v>
      </c>
      <c r="E50" s="39"/>
      <c r="F50" s="40">
        <f t="shared" ref="F50:V50" si="52">SUM(F4:F48)</f>
        <v>34705.756335089281</v>
      </c>
      <c r="G50" s="40">
        <f t="shared" si="52"/>
        <v>46830.567915292297</v>
      </c>
      <c r="H50" s="40">
        <f t="shared" si="52"/>
        <v>57032.908285049292</v>
      </c>
      <c r="I50" s="40">
        <f t="shared" si="52"/>
        <v>49216.549124914287</v>
      </c>
      <c r="J50" s="40">
        <f t="shared" si="52"/>
        <v>59773.187487103271</v>
      </c>
      <c r="K50" s="40">
        <f t="shared" si="52"/>
        <v>52501.971580714264</v>
      </c>
      <c r="L50" s="40">
        <f t="shared" si="52"/>
        <v>60631.468516214278</v>
      </c>
      <c r="M50" s="40">
        <f t="shared" si="52"/>
        <v>63732.915281499983</v>
      </c>
      <c r="N50" s="40">
        <f t="shared" si="52"/>
        <v>55971.92156556002</v>
      </c>
      <c r="O50" s="40">
        <f t="shared" si="52"/>
        <v>63770.502859999979</v>
      </c>
      <c r="P50" s="40">
        <f t="shared" si="52"/>
        <v>51999.252872000005</v>
      </c>
      <c r="Q50" s="549">
        <f t="shared" si="52"/>
        <v>98701.753947917518</v>
      </c>
      <c r="R50" s="555">
        <f t="shared" si="52"/>
        <v>57905.729647612927</v>
      </c>
      <c r="S50" s="552">
        <f t="shared" si="52"/>
        <v>106680.33657393405</v>
      </c>
      <c r="T50" s="40">
        <f t="shared" si="52"/>
        <v>75877.120725643093</v>
      </c>
      <c r="U50" s="40">
        <f t="shared" si="52"/>
        <v>119076.57978497817</v>
      </c>
      <c r="V50" s="40">
        <f t="shared" si="52"/>
        <v>110931.42851012667</v>
      </c>
      <c r="W50" s="40">
        <f t="shared" ref="W50:AE50" si="53">SUM(W4:W48)</f>
        <v>113013.79221587433</v>
      </c>
      <c r="X50" s="40">
        <f t="shared" si="53"/>
        <v>88502.786982188161</v>
      </c>
      <c r="Y50" s="40">
        <f t="shared" si="53"/>
        <v>56176.910033293541</v>
      </c>
      <c r="Z50" s="40">
        <f t="shared" si="53"/>
        <v>62478.477740084723</v>
      </c>
      <c r="AA50" s="40">
        <f t="shared" si="53"/>
        <v>78342.959152125288</v>
      </c>
      <c r="AB50" s="40">
        <f t="shared" si="53"/>
        <v>107148.58912425852</v>
      </c>
      <c r="AC50" s="40">
        <f t="shared" si="53"/>
        <v>115332.35566671607</v>
      </c>
      <c r="AD50" s="40">
        <f>SUM(AD4:AD49)</f>
        <v>83164.139954679718</v>
      </c>
      <c r="AE50" s="40">
        <f t="shared" si="53"/>
        <v>0</v>
      </c>
      <c r="AF50" s="549">
        <f>SUM(AF4:AF48)</f>
        <v>1116580.4764639016</v>
      </c>
      <c r="AG50" s="555">
        <f>SUM(AG4:AG48)</f>
        <v>93048.373038658523</v>
      </c>
      <c r="AH50" s="40">
        <f t="shared" ref="AH50:AI50" si="54">SUM(AH4:AH49)</f>
        <v>57254.159579729916</v>
      </c>
      <c r="AI50" s="40">
        <f t="shared" si="54"/>
        <v>80135.160311730273</v>
      </c>
      <c r="AJ50" s="40">
        <f>SUM(AJ4:AJ49)</f>
        <v>122365.91312334991</v>
      </c>
      <c r="AK50" s="40">
        <f t="shared" ref="AK50:BI50" si="55">SUM(AK4:AK49)</f>
        <v>111235.8794805128</v>
      </c>
      <c r="AL50" s="40">
        <f t="shared" si="55"/>
        <v>127912.27065389986</v>
      </c>
      <c r="AM50" s="40">
        <f t="shared" si="55"/>
        <v>115694.24765099869</v>
      </c>
      <c r="AN50" s="40">
        <f t="shared" si="55"/>
        <v>127131.90577894355</v>
      </c>
      <c r="AO50" s="40">
        <f t="shared" si="55"/>
        <v>126538.35175238982</v>
      </c>
      <c r="AP50" s="40">
        <f t="shared" si="55"/>
        <v>125659.42085551019</v>
      </c>
      <c r="AQ50" s="40">
        <f>SUM(AQ4:AQ49)</f>
        <v>90605.54303608292</v>
      </c>
      <c r="AR50" s="40">
        <f t="shared" si="55"/>
        <v>68533.461372524005</v>
      </c>
      <c r="AS50" s="40">
        <f t="shared" si="55"/>
        <v>95631.281764182728</v>
      </c>
      <c r="AT50" s="40"/>
      <c r="AU50" s="555">
        <f>SUM(AU4:AU49)</f>
        <v>104058.13294665457</v>
      </c>
      <c r="AV50" s="40">
        <f t="shared" ref="AV50:AW50" si="56">SUM(AV4:AV49)</f>
        <v>82760.536552348625</v>
      </c>
      <c r="AW50" s="40">
        <f t="shared" si="56"/>
        <v>56496.9493980263</v>
      </c>
      <c r="AX50" s="40">
        <f>SUM(AX4:AX49)</f>
        <v>106967.75717628398</v>
      </c>
      <c r="AY50" s="40">
        <f t="shared" ref="AY50:BD50" si="57">SUM(AY4:AY49)</f>
        <v>109713.40654345049</v>
      </c>
      <c r="AZ50" s="40">
        <f t="shared" si="57"/>
        <v>99423.045462368304</v>
      </c>
      <c r="BA50" s="40">
        <f t="shared" si="57"/>
        <v>0</v>
      </c>
      <c r="BB50" s="40">
        <f t="shared" si="57"/>
        <v>0</v>
      </c>
      <c r="BC50" s="40">
        <f t="shared" si="57"/>
        <v>0</v>
      </c>
      <c r="BD50" s="40">
        <f t="shared" si="57"/>
        <v>0</v>
      </c>
      <c r="BE50" s="40">
        <f>SUM(BE4:BE49)</f>
        <v>0</v>
      </c>
      <c r="BF50" s="40">
        <f t="shared" ref="BF50:BG50" si="58">SUM(BF4:BF49)</f>
        <v>0</v>
      </c>
      <c r="BG50" s="40">
        <f t="shared" si="58"/>
        <v>0</v>
      </c>
      <c r="BH50" s="40">
        <f>SUM(BH4:BH49)</f>
        <v>91072.339026495523</v>
      </c>
      <c r="BI50" s="40">
        <f t="shared" si="55"/>
        <v>87546.38443303926</v>
      </c>
      <c r="BJ50" s="42"/>
      <c r="BK50" s="598"/>
      <c r="BL50" s="19">
        <f t="shared" ref="BL50:BW50" si="59">SUM(BL4:BL49)</f>
        <v>102075.21412614442</v>
      </c>
      <c r="BM50" s="19">
        <f t="shared" si="59"/>
        <v>87546.38443303926</v>
      </c>
      <c r="BN50" s="19">
        <f t="shared" si="59"/>
        <v>106012.90965511953</v>
      </c>
      <c r="BO50" s="19">
        <f t="shared" si="59"/>
        <v>106884.42050915734</v>
      </c>
      <c r="BP50" s="19">
        <f t="shared" si="59"/>
        <v>106047.54416953136</v>
      </c>
      <c r="BQ50" s="19">
        <f t="shared" si="59"/>
        <v>108779.83289295097</v>
      </c>
      <c r="BR50" s="19">
        <f t="shared" si="59"/>
        <v>110508.54244716144</v>
      </c>
      <c r="BS50" s="19">
        <f t="shared" si="59"/>
        <v>111127.61092045374</v>
      </c>
      <c r="BT50" s="19">
        <f t="shared" si="59"/>
        <v>111303.77082211521</v>
      </c>
      <c r="BU50" s="19">
        <f t="shared" si="59"/>
        <v>111455.76987171014</v>
      </c>
      <c r="BV50" s="19">
        <f t="shared" si="59"/>
        <v>110446.72082542145</v>
      </c>
      <c r="BW50" s="19">
        <f t="shared" si="59"/>
        <v>111365.13153969219</v>
      </c>
      <c r="BX50" s="19">
        <f>SUM(BX4:BX49)</f>
        <v>1283553.8522124973</v>
      </c>
      <c r="BY50" s="629"/>
      <c r="BZ50" s="19">
        <f t="shared" ref="BZ50:CK50" si="60">SUM(BZ4:BZ49)</f>
        <v>72897.478190204987</v>
      </c>
      <c r="CA50" s="19">
        <f t="shared" si="60"/>
        <v>59875.033941768925</v>
      </c>
      <c r="CB50" s="19">
        <f t="shared" si="60"/>
        <v>76428.141214605217</v>
      </c>
      <c r="CC50" s="19">
        <f t="shared" si="60"/>
        <v>76609.017812741295</v>
      </c>
      <c r="CD50" s="19">
        <f t="shared" si="60"/>
        <v>76428.141214605217</v>
      </c>
      <c r="CE50" s="19">
        <f t="shared" si="60"/>
        <v>78020.98443412497</v>
      </c>
      <c r="CF50" s="19">
        <f t="shared" si="60"/>
        <v>79858.023199772404</v>
      </c>
      <c r="CG50" s="19">
        <f t="shared" si="60"/>
        <v>80636.921727679801</v>
      </c>
      <c r="CH50" s="19">
        <f t="shared" si="60"/>
        <v>80310.214695112605</v>
      </c>
      <c r="CI50" s="19">
        <f t="shared" si="60"/>
        <v>80817.798325815878</v>
      </c>
      <c r="CJ50" s="19">
        <f t="shared" si="60"/>
        <v>79677.146601636327</v>
      </c>
      <c r="CK50" s="19">
        <f t="shared" si="60"/>
        <v>80636.921727679801</v>
      </c>
      <c r="CL50" s="19">
        <f>SUM(CL4:CL49)</f>
        <v>922195.82308574743</v>
      </c>
      <c r="CN50" s="19">
        <f t="shared" ref="CN50:CY50" si="61">SUM(CN4:CN49)</f>
        <v>3897.2468261153845</v>
      </c>
      <c r="CO50" s="19">
        <f t="shared" si="61"/>
        <v>3657.4129616923074</v>
      </c>
      <c r="CP50" s="19">
        <f t="shared" si="61"/>
        <v>3561.7950848461537</v>
      </c>
      <c r="CQ50" s="19">
        <f t="shared" si="61"/>
        <v>3875.3872236923075</v>
      </c>
      <c r="CR50" s="19">
        <f t="shared" si="61"/>
        <v>3716.3069672307693</v>
      </c>
      <c r="CS50" s="19">
        <f t="shared" si="61"/>
        <v>3875.3872236923075</v>
      </c>
      <c r="CT50" s="19">
        <f t="shared" si="61"/>
        <v>3788.2974989999998</v>
      </c>
      <c r="CU50" s="19">
        <f t="shared" si="61"/>
        <v>3788.2974989999998</v>
      </c>
      <c r="CV50" s="19">
        <f t="shared" si="61"/>
        <v>3867.8532653076927</v>
      </c>
      <c r="CW50" s="19">
        <f t="shared" si="61"/>
        <v>3701.2077533076927</v>
      </c>
      <c r="CX50" s="19">
        <f t="shared" si="61"/>
        <v>3875.3872236923075</v>
      </c>
      <c r="CY50" s="19">
        <f t="shared" si="61"/>
        <v>3788.2974989999998</v>
      </c>
      <c r="CZ50" s="19">
        <f>SUM(CZ4:CZ49)</f>
        <v>45392.877026576927</v>
      </c>
      <c r="DB50" s="19">
        <f t="shared" ref="DB50:DM50" si="62">SUM(DB4:DB49)</f>
        <v>25280.489109824051</v>
      </c>
      <c r="DC50" s="19">
        <f t="shared" si="62"/>
        <v>24013.937529578026</v>
      </c>
      <c r="DD50" s="19">
        <f t="shared" si="62"/>
        <v>26022.973355668146</v>
      </c>
      <c r="DE50" s="19">
        <f t="shared" si="62"/>
        <v>26400.015472723768</v>
      </c>
      <c r="DF50" s="19">
        <f t="shared" si="62"/>
        <v>25903.095987695382</v>
      </c>
      <c r="DG50" s="19">
        <f t="shared" si="62"/>
        <v>26883.461235133709</v>
      </c>
      <c r="DH50" s="19">
        <f t="shared" si="62"/>
        <v>26862.221748389045</v>
      </c>
      <c r="DI50" s="19">
        <f t="shared" si="62"/>
        <v>26702.391693773938</v>
      </c>
      <c r="DJ50" s="19">
        <f t="shared" si="62"/>
        <v>27125.702861694914</v>
      </c>
      <c r="DK50" s="19">
        <f t="shared" si="62"/>
        <v>26936.76379258656</v>
      </c>
      <c r="DL50" s="19">
        <f t="shared" si="62"/>
        <v>26894.187000092836</v>
      </c>
      <c r="DM50" s="19">
        <f t="shared" si="62"/>
        <v>26939.912313012344</v>
      </c>
      <c r="DN50" s="19">
        <f>SUM(DN4:DN49)</f>
        <v>315965.15210017271</v>
      </c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/>
      <c r="ER50" s="19"/>
      <c r="ES50" s="19"/>
      <c r="ET50" s="19"/>
      <c r="EU50" s="19"/>
      <c r="EV50" s="19"/>
      <c r="EW50" s="19"/>
      <c r="EX50" s="19"/>
      <c r="EY50" s="19"/>
      <c r="EZ50" s="19"/>
      <c r="FA50" s="19"/>
      <c r="FB50" s="19"/>
      <c r="FC50" s="19"/>
      <c r="FD50" s="19"/>
      <c r="FF50" s="19"/>
      <c r="FG50" s="19"/>
      <c r="FH50" s="19"/>
      <c r="FI50" s="19"/>
      <c r="FJ50" s="19"/>
      <c r="FK50" s="19"/>
      <c r="FL50" s="19"/>
      <c r="FM50" s="19"/>
      <c r="FN50" s="19"/>
      <c r="FO50" s="19"/>
      <c r="FP50" s="19"/>
      <c r="FQ50" s="19"/>
      <c r="FR50" s="19"/>
    </row>
    <row r="51" spans="1:174" ht="17.100000000000001" customHeight="1" thickTop="1" x14ac:dyDescent="0.25">
      <c r="A51" s="3">
        <f>A6+1</f>
        <v>4</v>
      </c>
      <c r="B51" s="3" t="s">
        <v>97</v>
      </c>
      <c r="C51" s="3" t="s">
        <v>44</v>
      </c>
      <c r="D51" s="25" t="s">
        <v>44</v>
      </c>
      <c r="E51" s="26" t="s">
        <v>105</v>
      </c>
      <c r="F51" s="4">
        <v>144.99251699999999</v>
      </c>
      <c r="G51" s="4">
        <v>0</v>
      </c>
      <c r="H51" s="4">
        <v>0</v>
      </c>
      <c r="I51" s="4">
        <v>0</v>
      </c>
      <c r="J51" s="4">
        <v>0</v>
      </c>
      <c r="K51" s="20">
        <v>5795.5619790000001</v>
      </c>
      <c r="L51" s="20">
        <v>885.79427199999998</v>
      </c>
      <c r="M51" s="20">
        <v>2481.6058050000001</v>
      </c>
      <c r="N51" s="20">
        <v>4580.2871949999999</v>
      </c>
      <c r="O51" s="20">
        <v>0</v>
      </c>
      <c r="P51" s="20">
        <v>0</v>
      </c>
      <c r="Q51" s="20">
        <v>0</v>
      </c>
      <c r="R51" s="553"/>
      <c r="S51" s="20">
        <v>0</v>
      </c>
      <c r="T51" s="20">
        <v>0</v>
      </c>
      <c r="U51" s="20">
        <v>0</v>
      </c>
      <c r="V51" s="20">
        <v>0</v>
      </c>
      <c r="W51" s="20"/>
      <c r="X51" s="20"/>
      <c r="Y51" s="20"/>
      <c r="Z51" s="20"/>
      <c r="AA51" s="20"/>
      <c r="AB51" s="20"/>
      <c r="AC51" s="20"/>
      <c r="AD51" s="20"/>
      <c r="AE51" s="20"/>
      <c r="AF51" s="20">
        <f>SUM(F51:AD51)</f>
        <v>13888.241768</v>
      </c>
      <c r="AG51" s="553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553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44" t="s">
        <v>107</v>
      </c>
      <c r="BK51" s="598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29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29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29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29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29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29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29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29"/>
    </row>
    <row r="52" spans="1:174" ht="17.100000000000001" customHeight="1" x14ac:dyDescent="0.25">
      <c r="A52" s="3">
        <f>A48+1</f>
        <v>27</v>
      </c>
      <c r="B52" s="3" t="s">
        <v>97</v>
      </c>
      <c r="C52" s="3"/>
      <c r="D52" s="25" t="s">
        <v>43</v>
      </c>
      <c r="E52" s="26" t="s">
        <v>105</v>
      </c>
      <c r="F52" s="4">
        <v>-5.5565300000000004</v>
      </c>
      <c r="G52" s="4">
        <v>160.116297</v>
      </c>
      <c r="H52" s="4">
        <v>-155.217794</v>
      </c>
      <c r="I52" s="4">
        <v>967.21512299999995</v>
      </c>
      <c r="J52" s="4">
        <v>883.68432499999994</v>
      </c>
      <c r="K52" s="20">
        <v>770.03358600000001</v>
      </c>
      <c r="L52" s="20">
        <v>590.11258299999997</v>
      </c>
      <c r="M52" s="20">
        <v>-2459.193479</v>
      </c>
      <c r="N52" s="20">
        <v>-826.644319</v>
      </c>
      <c r="O52" s="20">
        <v>-800.77633500000002</v>
      </c>
      <c r="P52" s="20">
        <v>-1017.852556</v>
      </c>
      <c r="Q52" s="20">
        <v>-672.57486300000005</v>
      </c>
      <c r="R52" s="20"/>
      <c r="S52" s="20">
        <v>-361.85201699999999</v>
      </c>
      <c r="T52" s="20">
        <v>-969.27241400000003</v>
      </c>
      <c r="U52" s="20">
        <v>-896.72884199999999</v>
      </c>
      <c r="V52" s="20">
        <v>-1085.4048929999999</v>
      </c>
      <c r="W52" s="20"/>
      <c r="X52" s="20"/>
      <c r="Y52" s="20"/>
      <c r="Z52" s="20"/>
      <c r="AA52" s="20"/>
      <c r="AB52" s="20"/>
      <c r="AC52" s="20"/>
      <c r="AD52" s="20"/>
      <c r="AE52" s="20"/>
      <c r="AF52" s="20">
        <f>SUM(F52:AD52)</f>
        <v>-5879.9121279999999</v>
      </c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44" t="s">
        <v>108</v>
      </c>
      <c r="BK52" s="598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28">
        <f>SUM(BL52:BW52)</f>
        <v>0</v>
      </c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28">
        <f>SUM(BZ52:CK52)</f>
        <v>0</v>
      </c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28">
        <f>SUM(CN52:CY52)</f>
        <v>0</v>
      </c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28">
        <f>SUM(DB52:DM52)</f>
        <v>0</v>
      </c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28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28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28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28"/>
    </row>
    <row r="53" spans="1:174" s="16" customFormat="1" ht="15" customHeight="1" x14ac:dyDescent="0.25">
      <c r="A53" s="3">
        <f>A52+1</f>
        <v>28</v>
      </c>
      <c r="B53" s="3"/>
      <c r="C53" s="11" t="s">
        <v>109</v>
      </c>
      <c r="D53" s="45" t="s">
        <v>109</v>
      </c>
      <c r="E53" s="46" t="s">
        <v>105</v>
      </c>
      <c r="F53" s="47">
        <v>579.97006699999997</v>
      </c>
      <c r="G53" s="47">
        <v>-2654.7858190000002</v>
      </c>
      <c r="H53" s="47">
        <v>-7224.6203409999998</v>
      </c>
      <c r="I53" s="47">
        <v>-2945.8157729999998</v>
      </c>
      <c r="J53" s="19">
        <v>2782.8241240000002</v>
      </c>
      <c r="K53" s="19">
        <v>33224.645724000002</v>
      </c>
      <c r="L53" s="19">
        <v>3543.1770889999998</v>
      </c>
      <c r="M53" s="19">
        <f>9926423222/10^6</f>
        <v>9926.4232219999994</v>
      </c>
      <c r="N53" s="19">
        <v>18321.148781</v>
      </c>
      <c r="O53" s="19">
        <v>14008.554587000001</v>
      </c>
      <c r="P53" s="19">
        <v>7360.0907479999996</v>
      </c>
      <c r="Q53" s="19">
        <v>17436.5677192</v>
      </c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20">
        <f>SUM(F53:AD53)</f>
        <v>94358.180128200009</v>
      </c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48"/>
      <c r="BK53" s="598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29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29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29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29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29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29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29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29"/>
    </row>
    <row r="54" spans="1:174" x14ac:dyDescent="0.25">
      <c r="BZ54" s="628">
        <f>BZ50/'18 KMP- Tháng'!BH26</f>
        <v>18.4317264703426</v>
      </c>
      <c r="CA54" s="628">
        <f>CA50/'18 KMP- Tháng'!BI26</f>
        <v>18.451474250159915</v>
      </c>
      <c r="CB54" s="628">
        <f>CB50/'18 KMP- Tháng'!BJ26</f>
        <v>18.438634792425866</v>
      </c>
      <c r="CC54" s="628">
        <f>CC50/'18 KMP- Tháng'!BK26</f>
        <v>18.437790087302357</v>
      </c>
      <c r="CD54" s="628">
        <f>CD50/'18 KMP- Tháng'!BL26</f>
        <v>18.438634792425866</v>
      </c>
      <c r="CE54" s="628">
        <f>CE50/'18 KMP- Tháng'!BM26</f>
        <v>18.444677171187937</v>
      </c>
      <c r="CF54" s="628">
        <f>CF50/'18 KMP- Tháng'!BN26</f>
        <v>18.442961478007483</v>
      </c>
      <c r="CG54" s="628">
        <f>CG50/'18 KMP- Tháng'!BO26</f>
        <v>18.452384834709335</v>
      </c>
      <c r="CH54" s="628">
        <f>CH50/'18 KMP- Tháng'!BP26</f>
        <v>18.440921858808863</v>
      </c>
      <c r="CI54" s="628">
        <f>CI50/'18 KMP- Tháng'!BQ26</f>
        <v>18.451552129181707</v>
      </c>
      <c r="CJ54" s="628">
        <f>CJ50/'18 KMP- Tháng'!BR26</f>
        <v>18.443783935563964</v>
      </c>
      <c r="CK54" s="628">
        <f>CK50/'18 KMP- Tháng'!BS26</f>
        <v>18.452384834709335</v>
      </c>
      <c r="CL54" s="628">
        <f>CL50/'18 KMP- Tháng'!BT26</f>
        <v>18.443916461714949</v>
      </c>
      <c r="CN54" s="628">
        <f>CN50/'18 KMP- Tháng'!BH26</f>
        <v>0.98539742758922488</v>
      </c>
      <c r="CO54" s="628">
        <f>CO50/'18 KMP- Tháng'!BI26</f>
        <v>1.1270918217849946</v>
      </c>
      <c r="CP54" s="628">
        <f>CP50/'18 KMP- Tháng'!BJ26</f>
        <v>0.85929917607868611</v>
      </c>
      <c r="CQ54" s="628">
        <f>CQ50/'18 KMP- Tháng'!BK26</f>
        <v>0.93270450630380441</v>
      </c>
      <c r="CR54" s="628">
        <f>CR50/'18 KMP- Tháng'!BL26</f>
        <v>0.89657586664192257</v>
      </c>
      <c r="CS54" s="628">
        <f>CS50/'18 KMP- Tháng'!BM26</f>
        <v>0.91616719236224764</v>
      </c>
      <c r="CT54" s="628">
        <f>CT50/'18 KMP- Tháng'!BN26</f>
        <v>0.87489549630484986</v>
      </c>
      <c r="CU54" s="628">
        <f>CU50/'18 KMP- Tháng'!BO26</f>
        <v>0.86688729954233401</v>
      </c>
      <c r="CV54" s="628">
        <f>CV50/'18 KMP- Tháng'!BP26</f>
        <v>0.88814081866996386</v>
      </c>
      <c r="CW54" s="628">
        <f>CW50/'18 KMP- Tháng'!BQ26</f>
        <v>0.84502460121180201</v>
      </c>
      <c r="CX54" s="628">
        <f>CX50/'18 KMP- Tháng'!BR26</f>
        <v>0.8970803758547008</v>
      </c>
      <c r="CY54" s="628">
        <f>CY50/'18 KMP- Tháng'!BS26</f>
        <v>0.86688729954233401</v>
      </c>
      <c r="CZ54" s="628">
        <f>CZ50/'18 KMP- Tháng'!BT26</f>
        <v>0.90785754053153855</v>
      </c>
      <c r="DB54" s="628">
        <f>DB50/'18 KMP- Tháng'!BH26</f>
        <v>6.3920326447089888</v>
      </c>
      <c r="DC54" s="628">
        <f>DC50/'18 KMP- Tháng'!BI26</f>
        <v>7.4002889151241993</v>
      </c>
      <c r="DD54" s="628">
        <f>DD50/'18 KMP- Tháng'!BJ26</f>
        <v>6.2781600375556446</v>
      </c>
      <c r="DE54" s="628">
        <f>DE50/'18 KMP- Tháng'!BK26</f>
        <v>6.3537943375989814</v>
      </c>
      <c r="DF54" s="628">
        <f>DF50/'18 KMP- Tháng'!BL26</f>
        <v>6.2492390802642657</v>
      </c>
      <c r="DG54" s="628">
        <f>DG50/'18 KMP- Tháng'!BM26</f>
        <v>6.355428187974872</v>
      </c>
      <c r="DH54" s="628">
        <f>DH50/'18 KMP- Tháng'!BN26</f>
        <v>6.2037463622145603</v>
      </c>
      <c r="DI54" s="628">
        <f>DI50/'18 KMP- Tháng'!BO26</f>
        <v>6.1103871152800773</v>
      </c>
      <c r="DJ54" s="628">
        <f>DJ50/'18 KMP- Tháng'!BP26</f>
        <v>6.2286344114110017</v>
      </c>
      <c r="DK54" s="628">
        <f>DK50/'18 KMP- Tháng'!BQ26</f>
        <v>6.1499460713667942</v>
      </c>
      <c r="DL54" s="628">
        <f>DL50/'18 KMP- Tháng'!BR26</f>
        <v>6.2255062500214899</v>
      </c>
      <c r="DM54" s="628">
        <f>DM50/'18 KMP- Tháng'!BS26</f>
        <v>6.1647396597282249</v>
      </c>
      <c r="DN54" s="628">
        <f>DN50/'18 KMP- Tháng'!BT26</f>
        <v>6.3193030420034546</v>
      </c>
    </row>
    <row r="55" spans="1:174" ht="15.6" x14ac:dyDescent="0.25">
      <c r="C55" s="309"/>
      <c r="AH55" s="23">
        <f>AH50-AH4-AH7-AH8-AH13-AH21</f>
        <v>22650.349460999973</v>
      </c>
      <c r="AI55" s="23">
        <f t="shared" ref="AI55:AR55" si="63">AI50-AI4-AI7-AI8-AI13-AI21</f>
        <v>23548.685842999999</v>
      </c>
      <c r="AJ55" s="23">
        <f t="shared" si="63"/>
        <v>26201.903240000014</v>
      </c>
      <c r="AK55" s="23">
        <f t="shared" si="63"/>
        <v>26886.587480999988</v>
      </c>
      <c r="AL55" s="23">
        <f t="shared" si="63"/>
        <v>27382.338994000016</v>
      </c>
      <c r="AM55" s="23">
        <f t="shared" si="63"/>
        <v>27863.905094999987</v>
      </c>
      <c r="AN55" s="23">
        <f t="shared" si="63"/>
        <v>29648.049687999981</v>
      </c>
      <c r="AO55" s="23">
        <f t="shared" si="63"/>
        <v>29314.307306000021</v>
      </c>
      <c r="AP55" s="23">
        <f t="shared" si="63"/>
        <v>30032.886794999988</v>
      </c>
      <c r="AQ55" s="23">
        <f t="shared" si="63"/>
        <v>28144.217116000018</v>
      </c>
      <c r="AR55" s="23">
        <f t="shared" si="63"/>
        <v>25353.044038000004</v>
      </c>
      <c r="AV55" s="23">
        <f>AV50-AV4-AV7-AV8-AV13-AV21</f>
        <v>26607.326174000023</v>
      </c>
      <c r="AW55" s="23">
        <f t="shared" ref="AW55:BF55" si="64">AW50-AW4-AW7-AW8-AW13-AW21</f>
        <v>22952.514026000001</v>
      </c>
      <c r="AX55" s="23">
        <f t="shared" si="64"/>
        <v>24839.86734699997</v>
      </c>
      <c r="AY55" s="23">
        <f t="shared" si="64"/>
        <v>29097.635059000004</v>
      </c>
      <c r="AZ55" s="23">
        <f t="shared" si="64"/>
        <v>29044.803805000003</v>
      </c>
      <c r="BA55" s="23">
        <f t="shared" si="64"/>
        <v>0</v>
      </c>
      <c r="BB55" s="23">
        <f t="shared" si="64"/>
        <v>0</v>
      </c>
      <c r="BC55" s="23">
        <f t="shared" si="64"/>
        <v>0</v>
      </c>
      <c r="BD55" s="23">
        <f t="shared" si="64"/>
        <v>0</v>
      </c>
      <c r="BE55" s="23">
        <f t="shared" si="64"/>
        <v>0</v>
      </c>
      <c r="BF55" s="23">
        <f t="shared" si="64"/>
        <v>0</v>
      </c>
      <c r="BT55" s="29"/>
      <c r="BZ55" s="630">
        <f>BZ54+CN54+DB54</f>
        <v>25.809156542640814</v>
      </c>
      <c r="CA55" s="630">
        <f t="shared" ref="CA55:CL55" si="65">CA54+CO54+DC54</f>
        <v>26.978854987069109</v>
      </c>
      <c r="CB55" s="630">
        <f t="shared" si="65"/>
        <v>25.576094006060195</v>
      </c>
      <c r="CC55" s="630">
        <f t="shared" si="65"/>
        <v>25.724288931205141</v>
      </c>
      <c r="CD55" s="630">
        <f t="shared" si="65"/>
        <v>25.584449739332051</v>
      </c>
      <c r="CE55" s="630">
        <f t="shared" si="65"/>
        <v>25.716272551525059</v>
      </c>
      <c r="CF55" s="630">
        <f t="shared" si="65"/>
        <v>25.521603336526891</v>
      </c>
      <c r="CG55" s="630">
        <f t="shared" si="65"/>
        <v>25.429659249531746</v>
      </c>
      <c r="CH55" s="630">
        <f t="shared" si="65"/>
        <v>25.557697088889828</v>
      </c>
      <c r="CI55" s="630">
        <f t="shared" si="65"/>
        <v>25.446522801760302</v>
      </c>
      <c r="CJ55" s="630">
        <f t="shared" si="65"/>
        <v>25.566370561440152</v>
      </c>
      <c r="CK55" s="630">
        <f t="shared" si="65"/>
        <v>25.484011793979896</v>
      </c>
      <c r="CL55" s="630">
        <f t="shared" si="65"/>
        <v>25.671077044249941</v>
      </c>
      <c r="CN55" s="628"/>
      <c r="CO55" s="628"/>
      <c r="CP55" s="628"/>
      <c r="CQ55" s="628"/>
      <c r="CR55" s="628"/>
      <c r="CS55" s="628"/>
      <c r="CT55" s="628"/>
      <c r="CU55" s="628"/>
      <c r="CV55" s="628"/>
      <c r="CW55" s="628"/>
      <c r="CX55" s="628"/>
      <c r="CY55" s="628"/>
      <c r="CZ55" s="628"/>
      <c r="DB55" s="628"/>
      <c r="DC55" s="628"/>
      <c r="DD55" s="628"/>
      <c r="DE55" s="628"/>
      <c r="DF55" s="628"/>
      <c r="DG55" s="628"/>
      <c r="DH55" s="628"/>
      <c r="DI55" s="628"/>
      <c r="DJ55" s="628"/>
      <c r="DK55" s="628"/>
      <c r="DL55" s="628"/>
      <c r="DM55" s="628"/>
      <c r="DN55" s="628"/>
      <c r="DP55" s="628"/>
      <c r="DQ55" s="628"/>
      <c r="DR55" s="628"/>
      <c r="DS55" s="628"/>
      <c r="DT55" s="628"/>
      <c r="DU55" s="628"/>
      <c r="DV55" s="628"/>
      <c r="DW55" s="628"/>
      <c r="DX55" s="628"/>
      <c r="DY55" s="628"/>
      <c r="DZ55" s="628"/>
      <c r="EA55" s="628"/>
      <c r="EB55" s="628"/>
      <c r="ED55" s="628"/>
      <c r="EE55" s="628"/>
      <c r="EF55" s="628"/>
      <c r="EG55" s="628"/>
      <c r="EH55" s="628"/>
      <c r="EI55" s="628"/>
      <c r="EJ55" s="628"/>
      <c r="EK55" s="628"/>
      <c r="EL55" s="628"/>
      <c r="EM55" s="628"/>
      <c r="EN55" s="628"/>
      <c r="EO55" s="628"/>
      <c r="EP55" s="628"/>
    </row>
    <row r="56" spans="1:174" hidden="1" x14ac:dyDescent="0.25">
      <c r="D56" s="576">
        <f>5498.752515*10^6</f>
        <v>5498752515</v>
      </c>
      <c r="E56" s="21">
        <v>627</v>
      </c>
    </row>
    <row r="57" spans="1:174" hidden="1" x14ac:dyDescent="0.25">
      <c r="D57" s="576">
        <f>2767.991924*10^6</f>
        <v>2767991924</v>
      </c>
      <c r="E57" s="21">
        <v>632</v>
      </c>
      <c r="M57" s="23" t="s">
        <v>110</v>
      </c>
    </row>
    <row r="58" spans="1:174" hidden="1" x14ac:dyDescent="0.25">
      <c r="D58" s="577">
        <f>+D56+D57</f>
        <v>8266744439</v>
      </c>
      <c r="E58" s="578" t="s">
        <v>98</v>
      </c>
    </row>
    <row r="59" spans="1:174" x14ac:dyDescent="0.25">
      <c r="F59" s="49"/>
      <c r="G59" s="49"/>
      <c r="H59" s="49"/>
      <c r="I59" s="49"/>
      <c r="J59" s="49"/>
      <c r="K59" s="49"/>
    </row>
    <row r="60" spans="1:174" ht="14.85" customHeight="1" x14ac:dyDescent="0.25">
      <c r="A60" s="66" t="s">
        <v>111</v>
      </c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6"/>
      <c r="AV60" s="66"/>
      <c r="AW60" s="66"/>
      <c r="AX60" s="66"/>
      <c r="AY60" s="66"/>
      <c r="AZ60" s="66"/>
      <c r="BA60" s="66"/>
      <c r="BB60" s="66"/>
      <c r="BC60" s="66"/>
      <c r="BD60" s="66"/>
      <c r="BE60" s="66"/>
      <c r="BF60" s="66"/>
      <c r="BG60" s="66"/>
      <c r="BH60" s="66"/>
      <c r="BI60" s="66"/>
      <c r="BJ60" s="66"/>
    </row>
    <row r="61" spans="1:174" s="50" customFormat="1" x14ac:dyDescent="0.3">
      <c r="A61" s="74" t="s">
        <v>57</v>
      </c>
      <c r="B61" s="74" t="s">
        <v>58</v>
      </c>
      <c r="C61" s="71" t="s">
        <v>45</v>
      </c>
      <c r="D61" s="74" t="s">
        <v>59</v>
      </c>
      <c r="E61" s="74" t="s">
        <v>103</v>
      </c>
      <c r="F61" s="75" t="s">
        <v>60</v>
      </c>
      <c r="G61" s="75" t="s">
        <v>61</v>
      </c>
      <c r="H61" s="76" t="s">
        <v>62</v>
      </c>
      <c r="I61" s="76" t="s">
        <v>63</v>
      </c>
      <c r="J61" s="76" t="s">
        <v>64</v>
      </c>
      <c r="K61" s="76" t="s">
        <v>65</v>
      </c>
      <c r="L61" s="76" t="s">
        <v>66</v>
      </c>
      <c r="M61" s="76" t="s">
        <v>67</v>
      </c>
      <c r="N61" s="76" t="s">
        <v>68</v>
      </c>
      <c r="O61" s="76" t="s">
        <v>112</v>
      </c>
      <c r="P61" s="76" t="s">
        <v>113</v>
      </c>
      <c r="Q61" s="76" t="s">
        <v>114</v>
      </c>
      <c r="R61" s="72" t="s">
        <v>171</v>
      </c>
      <c r="S61" s="70" t="s">
        <v>84</v>
      </c>
      <c r="T61" s="70" t="s">
        <v>85</v>
      </c>
      <c r="U61" s="70" t="s">
        <v>86</v>
      </c>
      <c r="V61" s="70" t="s">
        <v>87</v>
      </c>
      <c r="W61" s="70" t="s">
        <v>88</v>
      </c>
      <c r="X61" s="70" t="s">
        <v>89</v>
      </c>
      <c r="Y61" s="70" t="s">
        <v>90</v>
      </c>
      <c r="Z61" s="70" t="s">
        <v>91</v>
      </c>
      <c r="AA61" s="70" t="s">
        <v>92</v>
      </c>
      <c r="AB61" s="70" t="s">
        <v>93</v>
      </c>
      <c r="AC61" s="70" t="s">
        <v>94</v>
      </c>
      <c r="AD61" s="70"/>
      <c r="AE61" s="70"/>
      <c r="AF61" s="73" t="str">
        <f>AF2</f>
        <v>Lũy kế TT 2024</v>
      </c>
      <c r="AG61" s="72" t="s">
        <v>185</v>
      </c>
      <c r="AH61" s="70" t="s">
        <v>229</v>
      </c>
      <c r="AI61" s="70" t="s">
        <v>230</v>
      </c>
      <c r="AJ61" s="70" t="s">
        <v>231</v>
      </c>
      <c r="AK61" s="70" t="s">
        <v>232</v>
      </c>
      <c r="AL61" s="70" t="s">
        <v>233</v>
      </c>
      <c r="AM61" s="70" t="s">
        <v>234</v>
      </c>
      <c r="AN61" s="70" t="s">
        <v>235</v>
      </c>
      <c r="AO61" s="70" t="s">
        <v>236</v>
      </c>
      <c r="AP61" s="70" t="s">
        <v>237</v>
      </c>
      <c r="AQ61" s="70" t="s">
        <v>238</v>
      </c>
      <c r="AR61" s="70" t="s">
        <v>239</v>
      </c>
      <c r="AS61" s="70" t="s">
        <v>240</v>
      </c>
      <c r="AT61" s="70"/>
      <c r="AU61" s="70" t="s">
        <v>250</v>
      </c>
      <c r="AV61" s="70" t="str">
        <f>AV2</f>
        <v>T1.26</v>
      </c>
      <c r="AW61" s="70" t="str">
        <f t="shared" ref="AW61:BG61" si="66">AW2</f>
        <v>T2.26</v>
      </c>
      <c r="AX61" s="70" t="str">
        <f t="shared" si="66"/>
        <v>T3.26</v>
      </c>
      <c r="AY61" s="70" t="str">
        <f t="shared" si="66"/>
        <v>T4.26</v>
      </c>
      <c r="AZ61" s="70" t="str">
        <f t="shared" si="66"/>
        <v>T5.26</v>
      </c>
      <c r="BA61" s="70" t="str">
        <f t="shared" si="66"/>
        <v>T6.26</v>
      </c>
      <c r="BB61" s="70" t="str">
        <f t="shared" si="66"/>
        <v>T7.26</v>
      </c>
      <c r="BC61" s="70" t="str">
        <f t="shared" si="66"/>
        <v>T8.26</v>
      </c>
      <c r="BD61" s="70" t="str">
        <f t="shared" si="66"/>
        <v>T9.26</v>
      </c>
      <c r="BE61" s="70" t="str">
        <f t="shared" si="66"/>
        <v>T10.26</v>
      </c>
      <c r="BF61" s="70" t="str">
        <f t="shared" si="66"/>
        <v>T11.26</v>
      </c>
      <c r="BG61" s="70" t="str">
        <f t="shared" si="66"/>
        <v>T12.26</v>
      </c>
      <c r="BH61" s="70" t="s">
        <v>250</v>
      </c>
      <c r="BI61" s="73" t="str">
        <f>BI2</f>
        <v>KH T2.2026</v>
      </c>
      <c r="BJ61" s="76"/>
      <c r="BK61" s="600"/>
    </row>
    <row r="62" spans="1:174" s="24" customFormat="1" x14ac:dyDescent="0.25">
      <c r="A62" s="81" t="s">
        <v>162</v>
      </c>
      <c r="B62" s="77" t="s">
        <v>163</v>
      </c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  <c r="AG62" s="77"/>
      <c r="AH62" s="77"/>
      <c r="AI62" s="77"/>
      <c r="AJ62" s="77"/>
      <c r="AK62" s="77"/>
      <c r="AL62" s="77"/>
      <c r="AM62" s="77"/>
      <c r="AN62" s="77"/>
      <c r="AO62" s="77"/>
      <c r="AP62" s="77"/>
      <c r="AQ62" s="77"/>
      <c r="AR62" s="77"/>
      <c r="AS62" s="77"/>
      <c r="AT62" s="77"/>
      <c r="AU62" s="77"/>
      <c r="AV62" s="77"/>
      <c r="AW62" s="77"/>
      <c r="AX62" s="77"/>
      <c r="AY62" s="77"/>
      <c r="AZ62" s="77"/>
      <c r="BA62" s="77"/>
      <c r="BB62" s="77"/>
      <c r="BC62" s="77"/>
      <c r="BD62" s="77"/>
      <c r="BE62" s="77"/>
      <c r="BF62" s="77"/>
      <c r="BG62" s="77"/>
      <c r="BH62" s="77"/>
      <c r="BI62" s="77"/>
      <c r="BJ62" s="77"/>
      <c r="BK62" s="597"/>
      <c r="BL62" s="603"/>
      <c r="BM62" s="603"/>
      <c r="BN62" s="603"/>
      <c r="BO62" s="603"/>
      <c r="BP62" s="603"/>
      <c r="BQ62" s="603"/>
      <c r="BR62" s="603"/>
      <c r="BS62" s="603"/>
      <c r="BT62" s="603"/>
      <c r="BU62" s="603"/>
      <c r="BV62" s="603"/>
      <c r="BW62" s="603"/>
      <c r="BX62" s="603"/>
      <c r="BY62" s="604"/>
    </row>
    <row r="63" spans="1:174" s="16" customFormat="1" x14ac:dyDescent="0.25">
      <c r="A63" s="3">
        <v>1</v>
      </c>
      <c r="B63" s="3" t="s">
        <v>96</v>
      </c>
      <c r="C63" s="3" t="s">
        <v>47</v>
      </c>
      <c r="D63" s="25" t="s">
        <v>47</v>
      </c>
      <c r="E63" s="3" t="s">
        <v>115</v>
      </c>
      <c r="F63" s="15">
        <f t="shared" ref="F63:F68" si="67">F4/$F$50</f>
        <v>0.55278401877034467</v>
      </c>
      <c r="G63" s="15">
        <f t="shared" ref="G63:G68" si="68">G4/$G$50</f>
        <v>0.62807295119249074</v>
      </c>
      <c r="H63" s="15">
        <f t="shared" ref="H63:H68" si="69">H4/$H$50</f>
        <v>0.64709563934353198</v>
      </c>
      <c r="I63" s="15">
        <f t="shared" ref="I63:I68" si="70">I4/$I$50</f>
        <v>0.63935691241446424</v>
      </c>
      <c r="J63" s="15">
        <f t="shared" ref="J63:J68" si="71">J4/$J$50</f>
        <v>0.66119492369243738</v>
      </c>
      <c r="K63" s="15">
        <f t="shared" ref="K63:K68" si="72">K4/$K$50</f>
        <v>0.62898019650999815</v>
      </c>
      <c r="L63" s="15">
        <f t="shared" ref="L63:L68" si="73">L4/$L$50</f>
        <v>0.66083035450122918</v>
      </c>
      <c r="M63" s="15">
        <f t="shared" ref="M63:M68" si="74">M4/$M$50</f>
        <v>0.65446380819500327</v>
      </c>
      <c r="N63" s="15">
        <f t="shared" ref="N63:N68" si="75">N4/$N$50</f>
        <v>0.65831216011408578</v>
      </c>
      <c r="O63" s="15">
        <f t="shared" ref="O63:O68" si="76">O4/$O$50</f>
        <v>0.66024575552484543</v>
      </c>
      <c r="P63" s="15">
        <f t="shared" ref="P63:P68" si="77">P4/$P$50</f>
        <v>0.60251016075406494</v>
      </c>
      <c r="Q63" s="15">
        <f t="shared" ref="Q63:Q68" si="78">Q4/$Q$50</f>
        <v>0.72711099869481288</v>
      </c>
      <c r="R63" s="15">
        <f t="shared" ref="R63:AB63" si="79">R4/R$50</f>
        <v>0.65241288110039564</v>
      </c>
      <c r="S63" s="15">
        <f t="shared" si="79"/>
        <v>0.77228865372500599</v>
      </c>
      <c r="T63" s="15">
        <f t="shared" si="79"/>
        <v>0.72063012914463287</v>
      </c>
      <c r="U63" s="15">
        <f t="shared" si="79"/>
        <v>0.77450169087416632</v>
      </c>
      <c r="V63" s="15">
        <f t="shared" si="79"/>
        <v>0.76448222455176429</v>
      </c>
      <c r="W63" s="15">
        <f t="shared" si="79"/>
        <v>0.76108242725433151</v>
      </c>
      <c r="X63" s="15">
        <f t="shared" si="79"/>
        <v>0.71669084399515826</v>
      </c>
      <c r="Y63" s="15">
        <f t="shared" si="79"/>
        <v>0.60745487909212448</v>
      </c>
      <c r="Z63" s="15">
        <f t="shared" si="79"/>
        <v>0.63734020030048122</v>
      </c>
      <c r="AA63" s="15">
        <f t="shared" si="79"/>
        <v>0.67881975632117275</v>
      </c>
      <c r="AB63" s="15">
        <f t="shared" si="79"/>
        <v>0.74889316272939577</v>
      </c>
      <c r="AC63" s="15">
        <f>AC4/AC$50</f>
        <v>0.75850808176080831</v>
      </c>
      <c r="AD63" s="15"/>
      <c r="AE63" s="15"/>
      <c r="AF63" s="15">
        <f>AF4/AF$50</f>
        <v>0.73355022348455157</v>
      </c>
      <c r="AG63" s="15">
        <f t="shared" ref="AG63" si="80">AG4/AG$50</f>
        <v>0.73355022348455112</v>
      </c>
      <c r="AH63" s="15">
        <f>AH4/AH$50</f>
        <v>0.58843154679118714</v>
      </c>
      <c r="AI63" s="15">
        <f t="shared" ref="AI63:AO63" si="81">AI4/AI$50</f>
        <v>0.68615028350647156</v>
      </c>
      <c r="AJ63" s="15">
        <f t="shared" si="81"/>
        <v>0.76404909855986203</v>
      </c>
      <c r="AK63" s="15">
        <f t="shared" si="81"/>
        <v>0.7353218407900679</v>
      </c>
      <c r="AL63" s="15">
        <f t="shared" si="81"/>
        <v>0.76031657843089595</v>
      </c>
      <c r="AM63" s="15">
        <f t="shared" si="81"/>
        <v>0.73250352136472152</v>
      </c>
      <c r="AN63" s="15">
        <f t="shared" si="81"/>
        <v>0.73629624372741331</v>
      </c>
      <c r="AO63" s="15">
        <f t="shared" si="81"/>
        <v>0.73971403345406717</v>
      </c>
      <c r="AP63" s="15">
        <f>AP4/AP$50</f>
        <v>0.73393335685158134</v>
      </c>
      <c r="AQ63" s="15">
        <f t="shared" ref="AQ63:AR63" si="82">AQ4/AQ$50</f>
        <v>0.66872101810540996</v>
      </c>
      <c r="AR63" s="15">
        <f t="shared" si="82"/>
        <v>0.60971146903542262</v>
      </c>
      <c r="AS63" s="15">
        <f t="shared" ref="AS63" si="83">AS4/AS$50</f>
        <v>0.6941553532857222</v>
      </c>
      <c r="AT63" s="15"/>
      <c r="AU63" s="15">
        <f>AU4/AU$50</f>
        <v>0.71607083685075335</v>
      </c>
      <c r="AV63" s="15">
        <f>AV4/AV$50</f>
        <v>0.65590386577560345</v>
      </c>
      <c r="AW63" s="15">
        <f t="shared" ref="AW63:BC63" si="84">AW4/AW$50</f>
        <v>0.58035924927606364</v>
      </c>
      <c r="AX63" s="15">
        <f t="shared" si="84"/>
        <v>0.73855994075006848</v>
      </c>
      <c r="AY63" s="15">
        <f t="shared" si="84"/>
        <v>0.70826357702853837</v>
      </c>
      <c r="AZ63" s="15">
        <f t="shared" si="84"/>
        <v>0.67780558921699174</v>
      </c>
      <c r="BA63" s="15" t="e">
        <f t="shared" si="84"/>
        <v>#DIV/0!</v>
      </c>
      <c r="BB63" s="15" t="e">
        <f t="shared" si="84"/>
        <v>#DIV/0!</v>
      </c>
      <c r="BC63" s="15" t="e">
        <f t="shared" si="84"/>
        <v>#DIV/0!</v>
      </c>
      <c r="BD63" s="15" t="e">
        <f>BD4/BD$50</f>
        <v>#DIV/0!</v>
      </c>
      <c r="BE63" s="15" t="e">
        <f t="shared" ref="BE63:BG63" si="85">BE4/BE$50</f>
        <v>#DIV/0!</v>
      </c>
      <c r="BF63" s="15" t="e">
        <f t="shared" si="85"/>
        <v>#DIV/0!</v>
      </c>
      <c r="BG63" s="15" t="e">
        <f t="shared" si="85"/>
        <v>#DIV/0!</v>
      </c>
      <c r="BH63" s="15">
        <f>BH4/BH$50</f>
        <v>0.68334489352897765</v>
      </c>
      <c r="BI63" s="15">
        <f>BI4/BI$50</f>
        <v>0.66069977463783758</v>
      </c>
      <c r="BJ63" s="19"/>
      <c r="BK63" s="599"/>
    </row>
    <row r="64" spans="1:174" x14ac:dyDescent="0.25">
      <c r="A64" s="3">
        <f t="shared" ref="A64:A80" si="86">A63+1</f>
        <v>2</v>
      </c>
      <c r="B64" s="3" t="s">
        <v>96</v>
      </c>
      <c r="C64" s="3" t="s">
        <v>25</v>
      </c>
      <c r="D64" s="25" t="s">
        <v>25</v>
      </c>
      <c r="E64" s="3" t="s">
        <v>115</v>
      </c>
      <c r="F64" s="15">
        <f t="shared" si="67"/>
        <v>3.9675182027594263E-2</v>
      </c>
      <c r="G64" s="15">
        <f t="shared" si="68"/>
        <v>4.7370587177431922E-2</v>
      </c>
      <c r="H64" s="15">
        <f t="shared" si="69"/>
        <v>4.5148195619457779E-2</v>
      </c>
      <c r="I64" s="15">
        <f t="shared" si="70"/>
        <v>4.8534157523669332E-2</v>
      </c>
      <c r="J64" s="15">
        <f t="shared" si="71"/>
        <v>4.663502512061013E-2</v>
      </c>
      <c r="K64" s="15">
        <f t="shared" si="72"/>
        <v>5.0585267944024681E-2</v>
      </c>
      <c r="L64" s="15">
        <f t="shared" si="73"/>
        <v>5.1710129504146149E-2</v>
      </c>
      <c r="M64" s="15">
        <f t="shared" si="74"/>
        <v>4.6739741887575098E-2</v>
      </c>
      <c r="N64" s="15">
        <f t="shared" si="75"/>
        <v>5.2088753493750618E-2</v>
      </c>
      <c r="O64" s="15">
        <f t="shared" si="76"/>
        <v>5.2330589384347238E-2</v>
      </c>
      <c r="P64" s="15">
        <f t="shared" si="77"/>
        <v>5.4092604367294531E-2</v>
      </c>
      <c r="Q64" s="15">
        <f t="shared" si="78"/>
        <v>5.2919642165185694E-2</v>
      </c>
      <c r="R64" s="15">
        <f t="shared" ref="R64:AQ64" si="87">R5/R$50</f>
        <v>4.9513132802766174E-2</v>
      </c>
      <c r="S64" s="15">
        <f t="shared" si="87"/>
        <v>5.1273248919768463E-2</v>
      </c>
      <c r="T64" s="15">
        <f t="shared" si="87"/>
        <v>5.4351655104464915E-2</v>
      </c>
      <c r="U64" s="15">
        <f t="shared" si="87"/>
        <v>4.2683715590235552E-2</v>
      </c>
      <c r="V64" s="15">
        <f t="shared" si="87"/>
        <v>4.9622145193032402E-2</v>
      </c>
      <c r="W64" s="15">
        <f t="shared" si="87"/>
        <v>5.2581509597067602E-2</v>
      </c>
      <c r="X64" s="15">
        <f t="shared" si="87"/>
        <v>5.4066451183769189E-2</v>
      </c>
      <c r="Y64" s="15">
        <f t="shared" si="87"/>
        <v>5.3470153470879571E-2</v>
      </c>
      <c r="Z64" s="15">
        <f t="shared" si="87"/>
        <v>5.5749506645954926E-2</v>
      </c>
      <c r="AA64" s="15">
        <f t="shared" si="87"/>
        <v>5.9096541515746441E-2</v>
      </c>
      <c r="AB64" s="15">
        <f t="shared" si="87"/>
        <v>5.1390755958664665E-2</v>
      </c>
      <c r="AC64" s="15">
        <f t="shared" si="87"/>
        <v>5.5232883081034363E-2</v>
      </c>
      <c r="AD64" s="15"/>
      <c r="AE64" s="15"/>
      <c r="AF64" s="15">
        <f t="shared" si="87"/>
        <v>5.2634578930773578E-2</v>
      </c>
      <c r="AG64" s="15">
        <f t="shared" si="87"/>
        <v>5.2634578930773543E-2</v>
      </c>
      <c r="AH64" s="15">
        <f t="shared" si="87"/>
        <v>5.4667333447474292E-2</v>
      </c>
      <c r="AI64" s="15">
        <f t="shared" si="87"/>
        <v>5.1776457685486756E-2</v>
      </c>
      <c r="AJ64" s="15">
        <f t="shared" si="87"/>
        <v>5.3058008503195656E-2</v>
      </c>
      <c r="AK64" s="15">
        <f t="shared" si="87"/>
        <v>5.5059340687578714E-2</v>
      </c>
      <c r="AL64" s="15">
        <f t="shared" si="87"/>
        <v>5.1242596112886382E-2</v>
      </c>
      <c r="AM64" s="15">
        <f t="shared" si="87"/>
        <v>5.490773328820004E-2</v>
      </c>
      <c r="AN64" s="15">
        <f t="shared" si="87"/>
        <v>5.5494164559031653E-2</v>
      </c>
      <c r="AO64" s="15">
        <f t="shared" si="87"/>
        <v>5.7123282703605199E-2</v>
      </c>
      <c r="AP64" s="15">
        <f>AP5/AP$50</f>
        <v>5.5757739310739185E-2</v>
      </c>
      <c r="AQ64" s="15">
        <f t="shared" si="87"/>
        <v>6.8557697242940627E-2</v>
      </c>
      <c r="AR64" s="15">
        <f t="shared" ref="AR64:AS64" si="88">AR5/AR$50</f>
        <v>6.2416192650017625E-2</v>
      </c>
      <c r="AS64" s="15">
        <f t="shared" si="88"/>
        <v>5.0813823974280477E-2</v>
      </c>
      <c r="AT64" s="15"/>
      <c r="AU64" s="15">
        <f t="shared" ref="AU64:BC64" si="89">AU5/AU$50</f>
        <v>5.5611322702986375E-2</v>
      </c>
      <c r="AV64" s="15">
        <f t="shared" si="89"/>
        <v>4.8850381273721558E-2</v>
      </c>
      <c r="AW64" s="15">
        <f t="shared" si="89"/>
        <v>4.3582016272298373E-2</v>
      </c>
      <c r="AX64" s="15">
        <f t="shared" si="89"/>
        <v>5.2768453345224085E-2</v>
      </c>
      <c r="AY64" s="15">
        <f t="shared" si="89"/>
        <v>5.1674475231563606E-2</v>
      </c>
      <c r="AZ64" s="15">
        <f t="shared" si="89"/>
        <v>5.8246161753231565E-2</v>
      </c>
      <c r="BA64" s="15" t="e">
        <f t="shared" si="89"/>
        <v>#DIV/0!</v>
      </c>
      <c r="BB64" s="15" t="e">
        <f t="shared" si="89"/>
        <v>#DIV/0!</v>
      </c>
      <c r="BC64" s="15" t="e">
        <f t="shared" si="89"/>
        <v>#DIV/0!</v>
      </c>
      <c r="BD64" s="15" t="e">
        <f>BD5/BD$50</f>
        <v>#DIV/0!</v>
      </c>
      <c r="BE64" s="15" t="e">
        <f t="shared" ref="BE64:BH64" si="90">BE5/BE$50</f>
        <v>#DIV/0!</v>
      </c>
      <c r="BF64" s="15" t="e">
        <f t="shared" si="90"/>
        <v>#DIV/0!</v>
      </c>
      <c r="BG64" s="15" t="e">
        <f t="shared" si="90"/>
        <v>#DIV/0!</v>
      </c>
      <c r="BH64" s="15">
        <f t="shared" si="90"/>
        <v>5.1849006155713577E-2</v>
      </c>
      <c r="BI64" s="15">
        <f t="shared" ref="BI64:BI80" si="91">BI5/BI$50</f>
        <v>4.3658554028380689E-2</v>
      </c>
      <c r="BJ64" s="4"/>
    </row>
    <row r="65" spans="1:62" x14ac:dyDescent="0.25">
      <c r="A65" s="3">
        <f t="shared" si="86"/>
        <v>3</v>
      </c>
      <c r="B65" s="3" t="s">
        <v>96</v>
      </c>
      <c r="C65" s="3" t="s">
        <v>166</v>
      </c>
      <c r="D65" s="25" t="s">
        <v>3</v>
      </c>
      <c r="E65" s="3" t="s">
        <v>115</v>
      </c>
      <c r="F65" s="15">
        <f t="shared" si="67"/>
        <v>7.6311439936039846E-3</v>
      </c>
      <c r="G65" s="15">
        <f t="shared" si="68"/>
        <v>1.0964579586751635E-2</v>
      </c>
      <c r="H65" s="15">
        <f t="shared" si="69"/>
        <v>1.8160938888531465E-2</v>
      </c>
      <c r="I65" s="15">
        <f t="shared" si="70"/>
        <v>5.4669808384390376E-3</v>
      </c>
      <c r="J65" s="15">
        <f t="shared" si="71"/>
        <v>1.9636515105593905E-2</v>
      </c>
      <c r="K65" s="15">
        <f t="shared" si="72"/>
        <v>8.2069001987398905E-3</v>
      </c>
      <c r="L65" s="15">
        <f t="shared" si="73"/>
        <v>9.8333095270578836E-3</v>
      </c>
      <c r="M65" s="15">
        <f t="shared" si="74"/>
        <v>2.0569014993427219E-2</v>
      </c>
      <c r="N65" s="15">
        <f t="shared" si="75"/>
        <v>1.3265637166490783E-2</v>
      </c>
      <c r="O65" s="15">
        <f t="shared" si="76"/>
        <v>2.0354866870811443E-2</v>
      </c>
      <c r="P65" s="15">
        <f t="shared" si="77"/>
        <v>1.8128676989272723E-2</v>
      </c>
      <c r="Q65" s="15">
        <f t="shared" si="78"/>
        <v>2.3707699006390057E-2</v>
      </c>
      <c r="R65" s="15">
        <f t="shared" ref="R65:AQ65" si="92">R6/R$50</f>
        <v>1.5712490127549467E-2</v>
      </c>
      <c r="S65" s="15">
        <f t="shared" si="92"/>
        <v>0</v>
      </c>
      <c r="T65" s="15">
        <f t="shared" si="92"/>
        <v>0</v>
      </c>
      <c r="U65" s="15">
        <f t="shared" si="92"/>
        <v>0</v>
      </c>
      <c r="V65" s="15">
        <f t="shared" si="92"/>
        <v>0</v>
      </c>
      <c r="W65" s="15">
        <f t="shared" si="92"/>
        <v>0</v>
      </c>
      <c r="X65" s="15">
        <f t="shared" si="92"/>
        <v>0</v>
      </c>
      <c r="Y65" s="15">
        <f t="shared" si="92"/>
        <v>0</v>
      </c>
      <c r="Z65" s="15">
        <f t="shared" si="92"/>
        <v>0</v>
      </c>
      <c r="AA65" s="15">
        <f t="shared" si="92"/>
        <v>0</v>
      </c>
      <c r="AB65" s="15">
        <f t="shared" si="92"/>
        <v>0</v>
      </c>
      <c r="AC65" s="15">
        <f t="shared" si="92"/>
        <v>0</v>
      </c>
      <c r="AD65" s="15"/>
      <c r="AE65" s="15"/>
      <c r="AF65" s="15">
        <f t="shared" si="92"/>
        <v>0</v>
      </c>
      <c r="AG65" s="15">
        <f t="shared" si="92"/>
        <v>0</v>
      </c>
      <c r="AH65" s="15">
        <f t="shared" si="92"/>
        <v>0</v>
      </c>
      <c r="AI65" s="15">
        <f t="shared" si="92"/>
        <v>0</v>
      </c>
      <c r="AJ65" s="15">
        <f t="shared" si="92"/>
        <v>0</v>
      </c>
      <c r="AK65" s="15">
        <f t="shared" si="92"/>
        <v>0</v>
      </c>
      <c r="AL65" s="15">
        <f t="shared" si="92"/>
        <v>0</v>
      </c>
      <c r="AM65" s="15">
        <f t="shared" si="92"/>
        <v>0</v>
      </c>
      <c r="AN65" s="15">
        <f t="shared" si="92"/>
        <v>0</v>
      </c>
      <c r="AO65" s="15">
        <f t="shared" si="92"/>
        <v>0</v>
      </c>
      <c r="AP65" s="15">
        <f t="shared" si="92"/>
        <v>0</v>
      </c>
      <c r="AQ65" s="15">
        <f t="shared" si="92"/>
        <v>0</v>
      </c>
      <c r="AR65" s="15">
        <f t="shared" ref="AR65:AS65" si="93">AR6/AR$50</f>
        <v>0</v>
      </c>
      <c r="AS65" s="15">
        <f t="shared" si="93"/>
        <v>0</v>
      </c>
      <c r="AT65" s="15"/>
      <c r="AU65" s="15">
        <f t="shared" ref="AU65:BG65" si="94">AU6/AU$50</f>
        <v>0</v>
      </c>
      <c r="AV65" s="15">
        <f t="shared" si="94"/>
        <v>0</v>
      </c>
      <c r="AW65" s="15">
        <f t="shared" si="94"/>
        <v>0</v>
      </c>
      <c r="AX65" s="15">
        <f t="shared" si="94"/>
        <v>0</v>
      </c>
      <c r="AY65" s="15">
        <f t="shared" si="94"/>
        <v>0</v>
      </c>
      <c r="AZ65" s="15">
        <f t="shared" si="94"/>
        <v>0</v>
      </c>
      <c r="BA65" s="15" t="e">
        <f t="shared" si="94"/>
        <v>#DIV/0!</v>
      </c>
      <c r="BB65" s="15" t="e">
        <f t="shared" si="94"/>
        <v>#DIV/0!</v>
      </c>
      <c r="BC65" s="15" t="e">
        <f t="shared" si="94"/>
        <v>#DIV/0!</v>
      </c>
      <c r="BD65" s="15" t="e">
        <f t="shared" si="94"/>
        <v>#DIV/0!</v>
      </c>
      <c r="BE65" s="15" t="e">
        <f t="shared" si="94"/>
        <v>#DIV/0!</v>
      </c>
      <c r="BF65" s="15" t="e">
        <f t="shared" si="94"/>
        <v>#DIV/0!</v>
      </c>
      <c r="BG65" s="15" t="e">
        <f t="shared" si="94"/>
        <v>#DIV/0!</v>
      </c>
      <c r="BH65" s="15">
        <f t="shared" ref="BH65" si="95">BH6/BH$50</f>
        <v>0</v>
      </c>
      <c r="BI65" s="15">
        <f t="shared" si="91"/>
        <v>0</v>
      </c>
      <c r="BJ65" s="4"/>
    </row>
    <row r="66" spans="1:62" x14ac:dyDescent="0.25">
      <c r="A66" s="3">
        <f t="shared" si="86"/>
        <v>4</v>
      </c>
      <c r="B66" s="3" t="s">
        <v>96</v>
      </c>
      <c r="C66" s="3" t="s">
        <v>54</v>
      </c>
      <c r="D66" s="25" t="s">
        <v>54</v>
      </c>
      <c r="E66" s="3" t="s">
        <v>115</v>
      </c>
      <c r="F66" s="15">
        <f t="shared" si="67"/>
        <v>1.9451979478039615E-3</v>
      </c>
      <c r="G66" s="15">
        <f t="shared" si="68"/>
        <v>3.1298914048005127E-3</v>
      </c>
      <c r="H66" s="15">
        <f t="shared" si="69"/>
        <v>8.9875920308691484E-3</v>
      </c>
      <c r="I66" s="15">
        <f t="shared" si="70"/>
        <v>1.3597847144899058E-2</v>
      </c>
      <c r="J66" s="15">
        <f t="shared" si="71"/>
        <v>1.6497893026246404E-2</v>
      </c>
      <c r="K66" s="15">
        <f t="shared" si="72"/>
        <v>8.7034232094981342E-3</v>
      </c>
      <c r="L66" s="15">
        <f t="shared" si="73"/>
        <v>1.7394911863596939E-2</v>
      </c>
      <c r="M66" s="15">
        <f t="shared" si="74"/>
        <v>1.8508943656346689E-2</v>
      </c>
      <c r="N66" s="15">
        <f t="shared" si="75"/>
        <v>2.0591234618415565E-2</v>
      </c>
      <c r="O66" s="15">
        <f t="shared" si="76"/>
        <v>2.7900053758490945E-2</v>
      </c>
      <c r="P66" s="15">
        <f t="shared" si="77"/>
        <v>2.9877107827381091E-2</v>
      </c>
      <c r="Q66" s="15">
        <f t="shared" si="78"/>
        <v>2.0699982879693268E-2</v>
      </c>
      <c r="R66" s="15">
        <f t="shared" ref="R66:AQ66" si="96">R7/R$50</f>
        <v>1.6696306366572506E-2</v>
      </c>
      <c r="S66" s="15">
        <f t="shared" si="96"/>
        <v>1.6213086261883891E-2</v>
      </c>
      <c r="T66" s="15">
        <f t="shared" si="96"/>
        <v>1.9998791078101218E-2</v>
      </c>
      <c r="U66" s="15">
        <f t="shared" si="96"/>
        <v>1.4845847984483443E-2</v>
      </c>
      <c r="V66" s="15">
        <f t="shared" si="96"/>
        <v>9.4279233671323934E-3</v>
      </c>
      <c r="W66" s="15">
        <f t="shared" si="96"/>
        <v>8.6009345049078527E-3</v>
      </c>
      <c r="X66" s="15">
        <f t="shared" si="96"/>
        <v>6.6799650401854855E-3</v>
      </c>
      <c r="Y66" s="15">
        <f t="shared" si="96"/>
        <v>1.9176773493088037E-2</v>
      </c>
      <c r="Z66" s="15">
        <f t="shared" si="96"/>
        <v>8.7918357907994724E-3</v>
      </c>
      <c r="AA66" s="15">
        <f t="shared" si="96"/>
        <v>1.3682087268603276E-2</v>
      </c>
      <c r="AB66" s="15">
        <f t="shared" si="96"/>
        <v>1.7671765241856173E-2</v>
      </c>
      <c r="AC66" s="15">
        <f t="shared" si="96"/>
        <v>1.4919276018018351E-2</v>
      </c>
      <c r="AD66" s="15"/>
      <c r="AE66" s="15"/>
      <c r="AF66" s="15">
        <f t="shared" si="96"/>
        <v>1.2769570921994319E-2</v>
      </c>
      <c r="AG66" s="15">
        <f t="shared" si="96"/>
        <v>1.276957092199431E-2</v>
      </c>
      <c r="AH66" s="15">
        <f t="shared" si="96"/>
        <v>5.8161992848096023E-3</v>
      </c>
      <c r="AI66" s="15">
        <f t="shared" si="96"/>
        <v>1.0993263201484431E-2</v>
      </c>
      <c r="AJ66" s="15">
        <f t="shared" si="96"/>
        <v>1.2833983500102102E-2</v>
      </c>
      <c r="AK66" s="15">
        <f t="shared" si="96"/>
        <v>1.472206994404977E-2</v>
      </c>
      <c r="AL66" s="15">
        <f t="shared" si="96"/>
        <v>1.5330602802806337E-2</v>
      </c>
      <c r="AM66" s="15">
        <f t="shared" si="96"/>
        <v>1.6991974414581279E-2</v>
      </c>
      <c r="AN66" s="15">
        <f t="shared" si="96"/>
        <v>2.0035191468213403E-2</v>
      </c>
      <c r="AO66" s="15">
        <f t="shared" si="96"/>
        <v>1.8085532032835087E-2</v>
      </c>
      <c r="AP66" s="15">
        <f t="shared" si="96"/>
        <v>1.5617319820823808E-2</v>
      </c>
      <c r="AQ66" s="15">
        <f t="shared" si="96"/>
        <v>6.8579403111412888E-3</v>
      </c>
      <c r="AR66" s="15">
        <f t="shared" ref="AR66:AS66" si="97">AR7/AR$50</f>
        <v>8.4432561030980836E-3</v>
      </c>
      <c r="AS66" s="15">
        <f t="shared" si="97"/>
        <v>1.1955011476466437E-2</v>
      </c>
      <c r="AT66" s="15"/>
      <c r="AU66" s="15">
        <f t="shared" ref="AU66:BG66" si="98">AU7/AU$50</f>
        <v>1.4006781057314033E-2</v>
      </c>
      <c r="AV66" s="15">
        <f t="shared" si="98"/>
        <v>1.0768143563645246E-2</v>
      </c>
      <c r="AW66" s="15">
        <f t="shared" si="98"/>
        <v>5.1075553472287273E-3</v>
      </c>
      <c r="AX66" s="15">
        <f t="shared" si="98"/>
        <v>1.6484739435024372E-2</v>
      </c>
      <c r="AY66" s="15">
        <f t="shared" si="98"/>
        <v>1.2638349283693579E-2</v>
      </c>
      <c r="AZ66" s="15">
        <f t="shared" si="98"/>
        <v>1.8255741861045633E-2</v>
      </c>
      <c r="BA66" s="15" t="e">
        <f t="shared" si="98"/>
        <v>#DIV/0!</v>
      </c>
      <c r="BB66" s="15" t="e">
        <f t="shared" si="98"/>
        <v>#DIV/0!</v>
      </c>
      <c r="BC66" s="15" t="e">
        <f t="shared" si="98"/>
        <v>#DIV/0!</v>
      </c>
      <c r="BD66" s="15" t="e">
        <f t="shared" si="98"/>
        <v>#DIV/0!</v>
      </c>
      <c r="BE66" s="15" t="e">
        <f t="shared" si="98"/>
        <v>#DIV/0!</v>
      </c>
      <c r="BF66" s="15" t="e">
        <f t="shared" si="98"/>
        <v>#DIV/0!</v>
      </c>
      <c r="BG66" s="15" t="e">
        <f t="shared" si="98"/>
        <v>#DIV/0!</v>
      </c>
      <c r="BH66" s="15">
        <f t="shared" ref="BH66" si="99">BH7/BH$50</f>
        <v>1.3494134688277478E-2</v>
      </c>
      <c r="BI66" s="15">
        <f t="shared" si="91"/>
        <v>1.2128263456000299E-2</v>
      </c>
      <c r="BJ66" s="4"/>
    </row>
    <row r="67" spans="1:62" x14ac:dyDescent="0.25">
      <c r="A67" s="3">
        <f t="shared" si="86"/>
        <v>5</v>
      </c>
      <c r="B67" s="3" t="s">
        <v>96</v>
      </c>
      <c r="C67" s="3" t="s">
        <v>56</v>
      </c>
      <c r="D67" s="25" t="s">
        <v>56</v>
      </c>
      <c r="E67" s="3" t="s">
        <v>115</v>
      </c>
      <c r="F67" s="15">
        <f t="shared" si="67"/>
        <v>4.3811795234172017E-3</v>
      </c>
      <c r="G67" s="15">
        <f t="shared" si="68"/>
        <v>6.3113710799882197E-3</v>
      </c>
      <c r="H67" s="15">
        <f t="shared" si="69"/>
        <v>5.3607615181031753E-3</v>
      </c>
      <c r="I67" s="15">
        <f t="shared" si="70"/>
        <v>5.6484378312349646E-3</v>
      </c>
      <c r="J67" s="15">
        <f t="shared" si="71"/>
        <v>6.2840295589229435E-3</v>
      </c>
      <c r="K67" s="15">
        <f t="shared" si="72"/>
        <v>7.0451852923533176E-3</v>
      </c>
      <c r="L67" s="15">
        <f t="shared" si="73"/>
        <v>6.3856513205920659E-3</v>
      </c>
      <c r="M67" s="15">
        <f t="shared" si="74"/>
        <v>6.1414729621448415E-3</v>
      </c>
      <c r="N67" s="15">
        <f t="shared" si="75"/>
        <v>6.8064949057317255E-3</v>
      </c>
      <c r="O67" s="15">
        <f t="shared" si="76"/>
        <v>6.5759098202601216E-3</v>
      </c>
      <c r="P67" s="15">
        <f t="shared" si="77"/>
        <v>6.1675648261610271E-3</v>
      </c>
      <c r="Q67" s="15">
        <f t="shared" si="78"/>
        <v>6.9398140418197914E-3</v>
      </c>
      <c r="R67" s="15">
        <f t="shared" ref="R67:AQ67" si="100">R8/R$50</f>
        <v>6.2766441673701079E-3</v>
      </c>
      <c r="S67" s="15">
        <f t="shared" si="100"/>
        <v>8.5679349574093056E-3</v>
      </c>
      <c r="T67" s="15">
        <f t="shared" si="100"/>
        <v>5.6318121973173794E-3</v>
      </c>
      <c r="U67" s="15">
        <f t="shared" si="100"/>
        <v>6.3919300031492722E-3</v>
      </c>
      <c r="V67" s="15">
        <f t="shared" si="100"/>
        <v>6.0950273342804517E-3</v>
      </c>
      <c r="W67" s="15">
        <f t="shared" si="100"/>
        <v>6.1323085652784052E-3</v>
      </c>
      <c r="X67" s="15">
        <f t="shared" si="100"/>
        <v>8.8468547228640216E-3</v>
      </c>
      <c r="Y67" s="15">
        <f t="shared" si="100"/>
        <v>5.7221149367149343E-3</v>
      </c>
      <c r="Z67" s="15">
        <f t="shared" si="100"/>
        <v>5.7857090325374796E-3</v>
      </c>
      <c r="AA67" s="15">
        <f t="shared" si="100"/>
        <v>6.5913671705620201E-3</v>
      </c>
      <c r="AB67" s="15">
        <f t="shared" si="100"/>
        <v>6.6003496245746213E-3</v>
      </c>
      <c r="AC67" s="15">
        <f t="shared" si="100"/>
        <v>7.1490844978721749E-3</v>
      </c>
      <c r="AD67" s="15"/>
      <c r="AE67" s="15"/>
      <c r="AF67" s="15">
        <f t="shared" si="100"/>
        <v>6.8046289695677257E-3</v>
      </c>
      <c r="AG67" s="15">
        <f t="shared" si="100"/>
        <v>6.8046289695677222E-3</v>
      </c>
      <c r="AH67" s="15">
        <f t="shared" si="100"/>
        <v>5.2492434122882944E-3</v>
      </c>
      <c r="AI67" s="15">
        <f t="shared" si="100"/>
        <v>6.3345625818345538E-3</v>
      </c>
      <c r="AJ67" s="15">
        <f t="shared" si="100"/>
        <v>6.456418636811065E-3</v>
      </c>
      <c r="AK67" s="15">
        <f t="shared" si="100"/>
        <v>5.9551096650972985E-3</v>
      </c>
      <c r="AL67" s="15">
        <f t="shared" si="100"/>
        <v>7.4722753580550184E-3</v>
      </c>
      <c r="AM67" s="15">
        <f t="shared" si="100"/>
        <v>6.5346095449843565E-3</v>
      </c>
      <c r="AN67" s="15">
        <f t="shared" si="100"/>
        <v>6.7334597460410508E-3</v>
      </c>
      <c r="AO67" s="15">
        <f t="shared" si="100"/>
        <v>6.8810352034916209E-3</v>
      </c>
      <c r="AP67" s="15">
        <f t="shared" si="100"/>
        <v>7.054009432521836E-3</v>
      </c>
      <c r="AQ67" s="15">
        <f t="shared" si="100"/>
        <v>7.0167365781011399E-3</v>
      </c>
      <c r="AR67" s="15">
        <f t="shared" ref="AR67:AS67" si="101">AR8/AR$50</f>
        <v>7.7913565039059189E-3</v>
      </c>
      <c r="AS67" s="15">
        <f t="shared" si="101"/>
        <v>7.6895425161541487E-3</v>
      </c>
      <c r="AT67" s="15"/>
      <c r="AU67" s="15">
        <f t="shared" ref="AU67:BG67" si="102">AU8/AU$50</f>
        <v>6.7996302175572943E-3</v>
      </c>
      <c r="AV67" s="15">
        <f t="shared" si="102"/>
        <v>7.3301552076849626E-3</v>
      </c>
      <c r="AW67" s="15">
        <f t="shared" si="102"/>
        <v>6.1535177864337079E-3</v>
      </c>
      <c r="AX67" s="15">
        <f t="shared" si="102"/>
        <v>7.608874108285521E-3</v>
      </c>
      <c r="AY67" s="15">
        <f t="shared" si="102"/>
        <v>9.3370289399801066E-3</v>
      </c>
      <c r="AZ67" s="15">
        <f t="shared" si="102"/>
        <v>7.8993125019215446E-3</v>
      </c>
      <c r="BA67" s="15" t="e">
        <f t="shared" si="102"/>
        <v>#DIV/0!</v>
      </c>
      <c r="BB67" s="15" t="e">
        <f t="shared" si="102"/>
        <v>#DIV/0!</v>
      </c>
      <c r="BC67" s="15" t="e">
        <f t="shared" si="102"/>
        <v>#DIV/0!</v>
      </c>
      <c r="BD67" s="15" t="e">
        <f t="shared" si="102"/>
        <v>#DIV/0!</v>
      </c>
      <c r="BE67" s="15" t="e">
        <f t="shared" si="102"/>
        <v>#DIV/0!</v>
      </c>
      <c r="BF67" s="15" t="e">
        <f t="shared" si="102"/>
        <v>#DIV/0!</v>
      </c>
      <c r="BG67" s="15" t="e">
        <f t="shared" si="102"/>
        <v>#DIV/0!</v>
      </c>
      <c r="BH67" s="15">
        <f t="shared" ref="BH67" si="103">BH8/BH$50</f>
        <v>7.8574411401887128E-3</v>
      </c>
      <c r="BI67" s="15">
        <f t="shared" si="91"/>
        <v>6.4229383209915948E-3</v>
      </c>
      <c r="BJ67" s="4"/>
    </row>
    <row r="68" spans="1:62" x14ac:dyDescent="0.25">
      <c r="A68" s="3">
        <f t="shared" si="86"/>
        <v>6</v>
      </c>
      <c r="B68" s="3" t="s">
        <v>96</v>
      </c>
      <c r="C68" s="3" t="s">
        <v>166</v>
      </c>
      <c r="D68" s="25" t="s">
        <v>29</v>
      </c>
      <c r="E68" s="3" t="s">
        <v>115</v>
      </c>
      <c r="F68" s="15">
        <f t="shared" si="67"/>
        <v>0</v>
      </c>
      <c r="G68" s="15">
        <f t="shared" si="68"/>
        <v>0</v>
      </c>
      <c r="H68" s="15">
        <f t="shared" si="69"/>
        <v>7.4825810717401176E-3</v>
      </c>
      <c r="I68" s="15">
        <f t="shared" si="70"/>
        <v>6.3808585848418508E-3</v>
      </c>
      <c r="J68" s="15">
        <f t="shared" si="71"/>
        <v>5.2974908870021412E-3</v>
      </c>
      <c r="K68" s="15">
        <f t="shared" si="72"/>
        <v>7.185928273569557E-3</v>
      </c>
      <c r="L68" s="15">
        <f t="shared" si="73"/>
        <v>5.6066492585297055E-3</v>
      </c>
      <c r="M68" s="15">
        <f t="shared" si="74"/>
        <v>9.6217014754697971E-3</v>
      </c>
      <c r="N68" s="15">
        <f t="shared" si="75"/>
        <v>6.6584721334512417E-3</v>
      </c>
      <c r="O68" s="15">
        <f t="shared" si="76"/>
        <v>7.8428743316953705E-3</v>
      </c>
      <c r="P68" s="15">
        <f t="shared" si="77"/>
        <v>9.325436447974662E-3</v>
      </c>
      <c r="Q68" s="15">
        <f t="shared" si="78"/>
        <v>3.2984568863061122E-3</v>
      </c>
      <c r="R68" s="15">
        <f t="shared" ref="R68:AH68" si="104">R9/R$50</f>
        <v>5.8589333240068936E-3</v>
      </c>
      <c r="S68" s="15">
        <f t="shared" si="104"/>
        <v>0</v>
      </c>
      <c r="T68" s="15">
        <f t="shared" si="104"/>
        <v>0</v>
      </c>
      <c r="U68" s="15">
        <f t="shared" si="104"/>
        <v>0</v>
      </c>
      <c r="V68" s="15">
        <f t="shared" si="104"/>
        <v>0</v>
      </c>
      <c r="W68" s="15">
        <f t="shared" si="104"/>
        <v>0</v>
      </c>
      <c r="X68" s="15">
        <f t="shared" si="104"/>
        <v>0</v>
      </c>
      <c r="Y68" s="15">
        <f t="shared" si="104"/>
        <v>0</v>
      </c>
      <c r="Z68" s="15">
        <f t="shared" si="104"/>
        <v>0</v>
      </c>
      <c r="AA68" s="15">
        <f t="shared" si="104"/>
        <v>0</v>
      </c>
      <c r="AB68" s="15">
        <f t="shared" si="104"/>
        <v>0</v>
      </c>
      <c r="AC68" s="15">
        <f t="shared" si="104"/>
        <v>0</v>
      </c>
      <c r="AD68" s="15"/>
      <c r="AE68" s="15"/>
      <c r="AF68" s="15">
        <f t="shared" si="104"/>
        <v>0</v>
      </c>
      <c r="AG68" s="15">
        <f t="shared" si="104"/>
        <v>0</v>
      </c>
      <c r="AH68" s="15">
        <f t="shared" si="104"/>
        <v>0</v>
      </c>
      <c r="AI68" s="15">
        <f t="shared" ref="AI68:AQ68" si="105">AI9/AI$50</f>
        <v>0</v>
      </c>
      <c r="AJ68" s="15">
        <f t="shared" si="105"/>
        <v>0</v>
      </c>
      <c r="AK68" s="15">
        <f t="shared" si="105"/>
        <v>0</v>
      </c>
      <c r="AL68" s="15">
        <f t="shared" si="105"/>
        <v>0</v>
      </c>
      <c r="AM68" s="15">
        <f t="shared" si="105"/>
        <v>0</v>
      </c>
      <c r="AN68" s="15">
        <f t="shared" si="105"/>
        <v>0</v>
      </c>
      <c r="AO68" s="15">
        <f t="shared" si="105"/>
        <v>0</v>
      </c>
      <c r="AP68" s="15">
        <f t="shared" si="105"/>
        <v>0</v>
      </c>
      <c r="AQ68" s="15">
        <f t="shared" si="105"/>
        <v>0</v>
      </c>
      <c r="AR68" s="15">
        <f t="shared" ref="AR68:AS68" si="106">AR9/AR$50</f>
        <v>0</v>
      </c>
      <c r="AS68" s="15">
        <f t="shared" si="106"/>
        <v>0</v>
      </c>
      <c r="AT68" s="15"/>
      <c r="AU68" s="15">
        <f t="shared" ref="AU68:BG69" si="107">AU9/AU$50</f>
        <v>0</v>
      </c>
      <c r="AV68" s="15">
        <f t="shared" si="107"/>
        <v>0</v>
      </c>
      <c r="AW68" s="15">
        <f t="shared" si="107"/>
        <v>0</v>
      </c>
      <c r="AX68" s="15">
        <f t="shared" si="107"/>
        <v>0</v>
      </c>
      <c r="AY68" s="15">
        <f t="shared" si="107"/>
        <v>0</v>
      </c>
      <c r="AZ68" s="15">
        <f t="shared" si="107"/>
        <v>0</v>
      </c>
      <c r="BA68" s="15" t="e">
        <f t="shared" si="107"/>
        <v>#DIV/0!</v>
      </c>
      <c r="BB68" s="15" t="e">
        <f t="shared" si="107"/>
        <v>#DIV/0!</v>
      </c>
      <c r="BC68" s="15" t="e">
        <f t="shared" si="107"/>
        <v>#DIV/0!</v>
      </c>
      <c r="BD68" s="15" t="e">
        <f t="shared" si="107"/>
        <v>#DIV/0!</v>
      </c>
      <c r="BE68" s="15" t="e">
        <f t="shared" si="107"/>
        <v>#DIV/0!</v>
      </c>
      <c r="BF68" s="15" t="e">
        <f t="shared" si="107"/>
        <v>#DIV/0!</v>
      </c>
      <c r="BG68" s="15" t="e">
        <f t="shared" si="107"/>
        <v>#DIV/0!</v>
      </c>
      <c r="BH68" s="15">
        <f t="shared" ref="BH68" si="108">BH9/BH$50</f>
        <v>0</v>
      </c>
      <c r="BI68" s="15">
        <f t="shared" si="91"/>
        <v>0</v>
      </c>
      <c r="BJ68" s="4"/>
    </row>
    <row r="69" spans="1:62" x14ac:dyDescent="0.25">
      <c r="A69" s="3">
        <f t="shared" si="86"/>
        <v>7</v>
      </c>
      <c r="B69" s="3" t="s">
        <v>96</v>
      </c>
      <c r="C69" s="3" t="s">
        <v>166</v>
      </c>
      <c r="D69" s="25" t="s">
        <v>262</v>
      </c>
      <c r="E69" s="3" t="s">
        <v>115</v>
      </c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>
        <f t="shared" ref="AH69:AQ69" si="109">AH10/AH$50</f>
        <v>0</v>
      </c>
      <c r="AI69" s="15">
        <f t="shared" si="109"/>
        <v>0</v>
      </c>
      <c r="AJ69" s="15">
        <f t="shared" si="109"/>
        <v>0</v>
      </c>
      <c r="AK69" s="15">
        <f t="shared" si="109"/>
        <v>0</v>
      </c>
      <c r="AL69" s="15">
        <f t="shared" si="109"/>
        <v>0</v>
      </c>
      <c r="AM69" s="15">
        <f t="shared" si="109"/>
        <v>0</v>
      </c>
      <c r="AN69" s="15">
        <f t="shared" si="109"/>
        <v>0</v>
      </c>
      <c r="AO69" s="15">
        <f t="shared" si="109"/>
        <v>0</v>
      </c>
      <c r="AP69" s="15">
        <f t="shared" si="109"/>
        <v>0</v>
      </c>
      <c r="AQ69" s="15">
        <f t="shared" si="109"/>
        <v>0</v>
      </c>
      <c r="AR69" s="15">
        <f t="shared" ref="AR69:AS69" si="110">AR10/AR$50</f>
        <v>0</v>
      </c>
      <c r="AS69" s="15">
        <f t="shared" si="110"/>
        <v>0</v>
      </c>
      <c r="AT69" s="15"/>
      <c r="AU69" s="15">
        <f t="shared" si="107"/>
        <v>0</v>
      </c>
      <c r="AV69" s="15">
        <f t="shared" si="107"/>
        <v>0</v>
      </c>
      <c r="AW69" s="15">
        <f t="shared" si="107"/>
        <v>0</v>
      </c>
      <c r="AX69" s="15">
        <f t="shared" si="107"/>
        <v>0</v>
      </c>
      <c r="AY69" s="15">
        <f t="shared" si="107"/>
        <v>0</v>
      </c>
      <c r="AZ69" s="15">
        <f t="shared" si="107"/>
        <v>0</v>
      </c>
      <c r="BA69" s="15" t="e">
        <f t="shared" si="107"/>
        <v>#DIV/0!</v>
      </c>
      <c r="BB69" s="15" t="e">
        <f t="shared" si="107"/>
        <v>#DIV/0!</v>
      </c>
      <c r="BC69" s="15" t="e">
        <f t="shared" si="107"/>
        <v>#DIV/0!</v>
      </c>
      <c r="BD69" s="15" t="e">
        <f t="shared" si="107"/>
        <v>#DIV/0!</v>
      </c>
      <c r="BE69" s="15" t="e">
        <f t="shared" si="107"/>
        <v>#DIV/0!</v>
      </c>
      <c r="BF69" s="15" t="e">
        <f t="shared" si="107"/>
        <v>#DIV/0!</v>
      </c>
      <c r="BG69" s="15" t="e">
        <f t="shared" si="107"/>
        <v>#DIV/0!</v>
      </c>
      <c r="BH69" s="15">
        <f t="shared" ref="BH69" si="111">BH10/BH$50</f>
        <v>0</v>
      </c>
      <c r="BI69" s="15">
        <f t="shared" si="91"/>
        <v>0</v>
      </c>
      <c r="BJ69" s="4"/>
    </row>
    <row r="70" spans="1:62" x14ac:dyDescent="0.25">
      <c r="A70" s="3">
        <f t="shared" si="86"/>
        <v>8</v>
      </c>
      <c r="B70" s="3" t="s">
        <v>96</v>
      </c>
      <c r="C70" s="3" t="s">
        <v>28</v>
      </c>
      <c r="D70" s="25" t="s">
        <v>28</v>
      </c>
      <c r="E70" s="3" t="s">
        <v>115</v>
      </c>
      <c r="F70" s="15">
        <f t="shared" ref="F70:F80" si="112">F11/$F$50</f>
        <v>5.2610905014449181E-3</v>
      </c>
      <c r="G70" s="15">
        <f t="shared" ref="G70:G80" si="113">G11/$G$50</f>
        <v>5.4710281212783539E-3</v>
      </c>
      <c r="H70" s="15">
        <f t="shared" ref="H70:H80" si="114">H11/$H$50</f>
        <v>5.2898214394422978E-3</v>
      </c>
      <c r="I70" s="15">
        <f t="shared" ref="I70:I80" si="115">I11/$I$50</f>
        <v>6.0786982898919572E-3</v>
      </c>
      <c r="J70" s="15">
        <f t="shared" ref="J70:J80" si="116">J11/$J$50</f>
        <v>3.1779215060429027E-3</v>
      </c>
      <c r="K70" s="15">
        <f t="shared" ref="K70:K80" si="117">K11/$K$50</f>
        <v>7.157498331701464E-3</v>
      </c>
      <c r="L70" s="15">
        <f t="shared" ref="L70:L80" si="118">L11/$L$50</f>
        <v>5.2828305966948945E-3</v>
      </c>
      <c r="M70" s="15">
        <f t="shared" ref="M70:M80" si="119">M11/$M$50</f>
        <v>5.7679806639365791E-3</v>
      </c>
      <c r="N70" s="15">
        <f t="shared" ref="N70:N80" si="120">N11/$N$50</f>
        <v>6.3161867256229659E-3</v>
      </c>
      <c r="O70" s="15">
        <f t="shared" ref="O70:O80" si="121">O11/$O$50</f>
        <v>6.0886621805760696E-3</v>
      </c>
      <c r="P70" s="15">
        <f t="shared" ref="P70:P80" si="122">P11/$P$50</f>
        <v>8.590775007856731E-3</v>
      </c>
      <c r="Q70" s="15">
        <f t="shared" ref="Q70:Q80" si="123">Q11/$Q$50</f>
        <v>3.9905701392889004E-3</v>
      </c>
      <c r="R70" s="15">
        <f t="shared" ref="R70:AQ70" si="124">R11/R$50</f>
        <v>5.5776252476594243E-3</v>
      </c>
      <c r="S70" s="15">
        <f t="shared" si="124"/>
        <v>3.538580033803872E-3</v>
      </c>
      <c r="T70" s="15">
        <f t="shared" si="124"/>
        <v>3.3639749052013944E-3</v>
      </c>
      <c r="U70" s="15">
        <f t="shared" si="124"/>
        <v>3.3144512607993898E-3</v>
      </c>
      <c r="V70" s="15">
        <f t="shared" si="124"/>
        <v>3.3473422003765375E-3</v>
      </c>
      <c r="W70" s="15">
        <f t="shared" si="124"/>
        <v>3.2527240683846836E-3</v>
      </c>
      <c r="X70" s="15">
        <f t="shared" si="124"/>
        <v>3.6885967677571635E-3</v>
      </c>
      <c r="Y70" s="15">
        <f t="shared" si="124"/>
        <v>5.2929601472166878E-3</v>
      </c>
      <c r="Z70" s="15">
        <f t="shared" si="124"/>
        <v>4.0402989018096021E-3</v>
      </c>
      <c r="AA70" s="15">
        <f t="shared" si="124"/>
        <v>3.2100952749520646E-3</v>
      </c>
      <c r="AB70" s="15">
        <f t="shared" si="124"/>
        <v>2.7423552881245964E-3</v>
      </c>
      <c r="AC70" s="15">
        <f t="shared" si="124"/>
        <v>2.6204270020578281E-3</v>
      </c>
      <c r="AD70" s="15"/>
      <c r="AE70" s="15"/>
      <c r="AF70" s="15">
        <f t="shared" si="124"/>
        <v>3.3703755191188539E-3</v>
      </c>
      <c r="AG70" s="15">
        <f t="shared" si="124"/>
        <v>3.3703755191188517E-3</v>
      </c>
      <c r="AH70" s="15">
        <f t="shared" si="124"/>
        <v>2.8967158057580968E-3</v>
      </c>
      <c r="AI70" s="15">
        <f t="shared" si="124"/>
        <v>2.5985047286355631E-3</v>
      </c>
      <c r="AJ70" s="15">
        <f t="shared" si="124"/>
        <v>2.1416531966367736E-3</v>
      </c>
      <c r="AK70" s="15">
        <f t="shared" si="124"/>
        <v>1.9935016564403374E-3</v>
      </c>
      <c r="AL70" s="15">
        <f t="shared" si="124"/>
        <v>1.7722414498713185E-3</v>
      </c>
      <c r="AM70" s="15">
        <f t="shared" si="124"/>
        <v>1.8380619548301661E-3</v>
      </c>
      <c r="AN70" s="15">
        <f t="shared" si="124"/>
        <v>1.8732669784255241E-3</v>
      </c>
      <c r="AO70" s="15">
        <f t="shared" si="124"/>
        <v>1.3640743585609421E-3</v>
      </c>
      <c r="AP70" s="15">
        <f t="shared" si="124"/>
        <v>2.0639777044510156E-3</v>
      </c>
      <c r="AQ70" s="15">
        <f t="shared" si="124"/>
        <v>2.2257976856855958E-3</v>
      </c>
      <c r="AR70" s="15">
        <f t="shared" ref="AR70:AS70" si="125">AR11/AR$50</f>
        <v>2.6108379091988394E-3</v>
      </c>
      <c r="AS70" s="15">
        <f t="shared" si="125"/>
        <v>1.8827654683536358E-3</v>
      </c>
      <c r="AT70" s="15"/>
      <c r="AU70" s="15">
        <f t="shared" ref="AU70:BG70" si="126">AU11/AU$50</f>
        <v>2.0245158799008242E-3</v>
      </c>
      <c r="AV70" s="15">
        <f t="shared" si="126"/>
        <v>1.8147859264421088E-3</v>
      </c>
      <c r="AW70" s="15">
        <f t="shared" si="126"/>
        <v>1.8059083912867751E-3</v>
      </c>
      <c r="AX70" s="15">
        <f t="shared" si="126"/>
        <v>3.1531288296916789E-3</v>
      </c>
      <c r="AY70" s="15">
        <f t="shared" si="126"/>
        <v>3.5384720266274086E-3</v>
      </c>
      <c r="AZ70" s="15">
        <f t="shared" si="126"/>
        <v>3.5490323029136748E-3</v>
      </c>
      <c r="BA70" s="15" t="e">
        <f t="shared" si="126"/>
        <v>#DIV/0!</v>
      </c>
      <c r="BB70" s="15" t="e">
        <f t="shared" si="126"/>
        <v>#DIV/0!</v>
      </c>
      <c r="BC70" s="15" t="e">
        <f t="shared" si="126"/>
        <v>#DIV/0!</v>
      </c>
      <c r="BD70" s="15" t="e">
        <f t="shared" si="126"/>
        <v>#DIV/0!</v>
      </c>
      <c r="BE70" s="15" t="e">
        <f t="shared" si="126"/>
        <v>#DIV/0!</v>
      </c>
      <c r="BF70" s="15" t="e">
        <f t="shared" si="126"/>
        <v>#DIV/0!</v>
      </c>
      <c r="BG70" s="15" t="e">
        <f t="shared" si="126"/>
        <v>#DIV/0!</v>
      </c>
      <c r="BH70" s="15">
        <f t="shared" ref="BH70" si="127">BH11/BH$50</f>
        <v>2.922023361259882E-3</v>
      </c>
      <c r="BI70" s="15">
        <f t="shared" si="91"/>
        <v>2.4457891823479226E-3</v>
      </c>
      <c r="BJ70" s="4"/>
    </row>
    <row r="71" spans="1:62" x14ac:dyDescent="0.25">
      <c r="A71" s="3">
        <f t="shared" si="86"/>
        <v>9</v>
      </c>
      <c r="B71" s="3" t="s">
        <v>96</v>
      </c>
      <c r="C71" s="3" t="s">
        <v>49</v>
      </c>
      <c r="D71" s="25" t="s">
        <v>32</v>
      </c>
      <c r="E71" s="3" t="s">
        <v>115</v>
      </c>
      <c r="F71" s="15">
        <f t="shared" si="112"/>
        <v>7.4260119337526817E-3</v>
      </c>
      <c r="G71" s="15">
        <f t="shared" si="113"/>
        <v>5.5033575757710753E-3</v>
      </c>
      <c r="H71" s="15">
        <f t="shared" si="114"/>
        <v>4.5188886287576236E-3</v>
      </c>
      <c r="I71" s="15">
        <f t="shared" si="115"/>
        <v>5.2365589480921288E-3</v>
      </c>
      <c r="J71" s="15">
        <f t="shared" si="116"/>
        <v>4.3117218865045947E-3</v>
      </c>
      <c r="K71" s="15">
        <f t="shared" si="117"/>
        <v>4.9088701424873137E-3</v>
      </c>
      <c r="L71" s="15">
        <f t="shared" si="118"/>
        <v>4.2506864343119762E-3</v>
      </c>
      <c r="M71" s="15">
        <f t="shared" si="119"/>
        <v>4.4793097528816059E-3</v>
      </c>
      <c r="N71" s="15">
        <f t="shared" si="120"/>
        <v>2.1162714569528796E-4</v>
      </c>
      <c r="O71" s="15">
        <f t="shared" si="121"/>
        <v>2.4131862867358307E-3</v>
      </c>
      <c r="P71" s="15">
        <f t="shared" si="122"/>
        <v>3.2395038523852732E-4</v>
      </c>
      <c r="Q71" s="15">
        <f t="shared" si="123"/>
        <v>2.5013102617231546E-4</v>
      </c>
      <c r="R71" s="15">
        <f t="shared" ref="R71:AQ71" si="128">R12/R$50</f>
        <v>3.3054095538521599E-3</v>
      </c>
      <c r="S71" s="15">
        <f t="shared" si="128"/>
        <v>5.7827068868728307E-3</v>
      </c>
      <c r="T71" s="15">
        <f t="shared" si="128"/>
        <v>3.0666837483378667E-3</v>
      </c>
      <c r="U71" s="15">
        <f t="shared" si="128"/>
        <v>4.3693300726263835E-3</v>
      </c>
      <c r="V71" s="15">
        <f t="shared" si="128"/>
        <v>9.7044147223050194E-3</v>
      </c>
      <c r="W71" s="15">
        <f t="shared" si="128"/>
        <v>3.2871032793094735E-3</v>
      </c>
      <c r="X71" s="15">
        <f t="shared" si="128"/>
        <v>7.0054355590494534E-3</v>
      </c>
      <c r="Y71" s="15">
        <f t="shared" si="128"/>
        <v>2.5597149240636058E-3</v>
      </c>
      <c r="Z71" s="15">
        <f t="shared" si="128"/>
        <v>2.301542534346084E-3</v>
      </c>
      <c r="AA71" s="15">
        <f t="shared" si="128"/>
        <v>2.0282351179951494E-3</v>
      </c>
      <c r="AB71" s="15">
        <f t="shared" si="128"/>
        <v>1.7953944104378914E-3</v>
      </c>
      <c r="AC71" s="15">
        <f t="shared" si="128"/>
        <v>0</v>
      </c>
      <c r="AD71" s="15"/>
      <c r="AE71" s="15"/>
      <c r="AF71" s="15">
        <f t="shared" si="128"/>
        <v>3.8668078271200065E-3</v>
      </c>
      <c r="AG71" s="15">
        <f t="shared" si="128"/>
        <v>3.8668078271200043E-3</v>
      </c>
      <c r="AH71" s="15">
        <f t="shared" si="128"/>
        <v>5.4865911980168805E-3</v>
      </c>
      <c r="AI71" s="15">
        <f t="shared" si="128"/>
        <v>2.8186252217047947E-3</v>
      </c>
      <c r="AJ71" s="15">
        <f t="shared" si="128"/>
        <v>1.2835689285599652E-3</v>
      </c>
      <c r="AK71" s="15">
        <f t="shared" si="128"/>
        <v>4.1030703144659128E-3</v>
      </c>
      <c r="AL71" s="15">
        <f t="shared" si="128"/>
        <v>1.8023106760709454E-3</v>
      </c>
      <c r="AM71" s="15">
        <f t="shared" si="128"/>
        <v>1.9697434628508331E-3</v>
      </c>
      <c r="AN71" s="15">
        <f t="shared" si="128"/>
        <v>1.556624702410282E-3</v>
      </c>
      <c r="AO71" s="15">
        <f t="shared" si="128"/>
        <v>2.3549593137036579E-3</v>
      </c>
      <c r="AP71" s="15">
        <f t="shared" si="128"/>
        <v>2.394103935477497E-3</v>
      </c>
      <c r="AQ71" s="15">
        <f t="shared" si="128"/>
        <v>8.6924330853174368E-4</v>
      </c>
      <c r="AR71" s="15">
        <f t="shared" ref="AR71:AS71" si="129">AR12/AR$50</f>
        <v>2.1281575026133618E-3</v>
      </c>
      <c r="AS71" s="15">
        <f t="shared" si="129"/>
        <v>1.8142141023250427E-3</v>
      </c>
      <c r="AT71" s="15"/>
      <c r="AU71" s="15">
        <f t="shared" ref="AU71:BG71" si="130">AU12/AU$50</f>
        <v>2.2477303163150109E-3</v>
      </c>
      <c r="AV71" s="15">
        <f t="shared" si="130"/>
        <v>2.9394519433319981E-3</v>
      </c>
      <c r="AW71" s="15">
        <f t="shared" si="130"/>
        <v>0</v>
      </c>
      <c r="AX71" s="15">
        <f t="shared" si="130"/>
        <v>2.274242504674446E-3</v>
      </c>
      <c r="AY71" s="15">
        <f t="shared" si="130"/>
        <v>2.2120877625277612E-3</v>
      </c>
      <c r="AZ71" s="15">
        <f t="shared" si="130"/>
        <v>2.1061557008858495E-3</v>
      </c>
      <c r="BA71" s="15" t="e">
        <f t="shared" si="130"/>
        <v>#DIV/0!</v>
      </c>
      <c r="BB71" s="15" t="e">
        <f t="shared" si="130"/>
        <v>#DIV/0!</v>
      </c>
      <c r="BC71" s="15" t="e">
        <f t="shared" si="130"/>
        <v>#DIV/0!</v>
      </c>
      <c r="BD71" s="15" t="e">
        <f t="shared" si="130"/>
        <v>#DIV/0!</v>
      </c>
      <c r="BE71" s="15" t="e">
        <f t="shared" si="130"/>
        <v>#DIV/0!</v>
      </c>
      <c r="BF71" s="15" t="e">
        <f t="shared" si="130"/>
        <v>#DIV/0!</v>
      </c>
      <c r="BG71" s="15" t="e">
        <f t="shared" si="130"/>
        <v>#DIV/0!</v>
      </c>
      <c r="BH71" s="15">
        <f t="shared" ref="BH71" si="131">BH12/BH$50</f>
        <v>2.0613006057238169E-3</v>
      </c>
      <c r="BI71" s="15">
        <f t="shared" si="91"/>
        <v>2.8257826820863772E-3</v>
      </c>
      <c r="BJ71" s="4"/>
    </row>
    <row r="72" spans="1:62" x14ac:dyDescent="0.25">
      <c r="A72" s="3">
        <f t="shared" si="86"/>
        <v>10</v>
      </c>
      <c r="B72" s="3" t="s">
        <v>96</v>
      </c>
      <c r="C72" s="25" t="s">
        <v>53</v>
      </c>
      <c r="D72" s="25" t="s">
        <v>53</v>
      </c>
      <c r="E72" s="3" t="s">
        <v>115</v>
      </c>
      <c r="F72" s="15">
        <f t="shared" si="112"/>
        <v>5.4349911633906692E-3</v>
      </c>
      <c r="G72" s="15">
        <f t="shared" si="113"/>
        <v>4.191475327718644E-3</v>
      </c>
      <c r="H72" s="15">
        <f t="shared" si="114"/>
        <v>8.0730755952120748E-3</v>
      </c>
      <c r="I72" s="15">
        <f t="shared" si="115"/>
        <v>7.7593578946533893E-3</v>
      </c>
      <c r="J72" s="15">
        <f t="shared" si="116"/>
        <v>4.6756387897215704E-3</v>
      </c>
      <c r="K72" s="15">
        <f t="shared" si="117"/>
        <v>5.129057802829593E-3</v>
      </c>
      <c r="L72" s="15">
        <f t="shared" si="118"/>
        <v>3.3805729601483507E-3</v>
      </c>
      <c r="M72" s="15">
        <f t="shared" si="119"/>
        <v>2.2687884331249572E-3</v>
      </c>
      <c r="N72" s="15">
        <f t="shared" si="120"/>
        <v>3.7506186696504486E-3</v>
      </c>
      <c r="O72" s="15">
        <f t="shared" si="121"/>
        <v>2.8086587523578465E-3</v>
      </c>
      <c r="P72" s="15">
        <f t="shared" si="122"/>
        <v>2.6800879109369368E-3</v>
      </c>
      <c r="Q72" s="15">
        <f t="shared" si="123"/>
        <v>2.3729670611891051E-3</v>
      </c>
      <c r="R72" s="15">
        <f t="shared" ref="R72:AQ72" si="132">R13/R$50</f>
        <v>4.1564410602890145E-3</v>
      </c>
      <c r="S72" s="15">
        <f t="shared" si="132"/>
        <v>1.5835170325219602E-3</v>
      </c>
      <c r="T72" s="15">
        <f t="shared" si="132"/>
        <v>1.8326901794654441E-3</v>
      </c>
      <c r="U72" s="15">
        <f t="shared" si="132"/>
        <v>1.0999870943263674E-3</v>
      </c>
      <c r="V72" s="15">
        <f t="shared" si="132"/>
        <v>1.9484415994901643E-3</v>
      </c>
      <c r="W72" s="15">
        <f t="shared" si="132"/>
        <v>2.6976941753944252E-3</v>
      </c>
      <c r="X72" s="15">
        <f t="shared" si="132"/>
        <v>3.3353095994525911E-3</v>
      </c>
      <c r="Y72" s="15">
        <f t="shared" si="132"/>
        <v>3.3254473748962712E-3</v>
      </c>
      <c r="Z72" s="15">
        <f t="shared" si="132"/>
        <v>3.7175102915637239E-3</v>
      </c>
      <c r="AA72" s="15">
        <f t="shared" si="132"/>
        <v>1.8516867701960506E-3</v>
      </c>
      <c r="AB72" s="15">
        <f t="shared" si="132"/>
        <v>2.5410394595513919E-3</v>
      </c>
      <c r="AC72" s="15">
        <f t="shared" si="132"/>
        <v>2.360117882154331E-3</v>
      </c>
      <c r="AD72" s="15"/>
      <c r="AE72" s="15"/>
      <c r="AF72" s="15">
        <f t="shared" si="132"/>
        <v>2.391798369480393E-3</v>
      </c>
      <c r="AG72" s="15">
        <f t="shared" si="132"/>
        <v>2.3917983694803917E-3</v>
      </c>
      <c r="AH72" s="15">
        <f t="shared" si="132"/>
        <v>3.6811878219345654E-3</v>
      </c>
      <c r="AI72" s="15">
        <f t="shared" si="132"/>
        <v>2.3510502040191405E-3</v>
      </c>
      <c r="AJ72" s="15">
        <f t="shared" si="132"/>
        <v>2.311883454952274E-3</v>
      </c>
      <c r="AK72" s="15">
        <f t="shared" si="132"/>
        <v>1.759067864737648E-3</v>
      </c>
      <c r="AL72" s="15">
        <f t="shared" si="132"/>
        <v>2.3025072379247967E-3</v>
      </c>
      <c r="AM72" s="15">
        <f t="shared" si="132"/>
        <v>2.6881100341146946E-3</v>
      </c>
      <c r="AN72" s="15">
        <f t="shared" si="132"/>
        <v>3.727062684200544E-3</v>
      </c>
      <c r="AO72" s="15">
        <f t="shared" si="132"/>
        <v>3.4787383422013513E-3</v>
      </c>
      <c r="AP72" s="15">
        <f t="shared" si="132"/>
        <v>3.5695481639674538E-3</v>
      </c>
      <c r="AQ72" s="15">
        <f t="shared" si="132"/>
        <v>5.1485891411105376E-3</v>
      </c>
      <c r="AR72" s="15">
        <f t="shared" ref="AR72:AS72" si="133">AR13/AR$50</f>
        <v>2.5704801344037542E-3</v>
      </c>
      <c r="AS72" s="15">
        <f t="shared" si="133"/>
        <v>2.9308600682687431E-3</v>
      </c>
      <c r="AT72" s="15"/>
      <c r="AU72" s="15">
        <f t="shared" ref="AU72:BG72" si="134">AU13/AU$50</f>
        <v>3.018149771413554E-3</v>
      </c>
      <c r="AV72" s="15">
        <f t="shared" si="134"/>
        <v>3.0491537816502794E-3</v>
      </c>
      <c r="AW72" s="15">
        <f t="shared" si="134"/>
        <v>1.416394245222655E-3</v>
      </c>
      <c r="AX72" s="15">
        <f t="shared" si="134"/>
        <v>3.2606647293277084E-3</v>
      </c>
      <c r="AY72" s="15">
        <f t="shared" si="134"/>
        <v>4.1773378882232837E-3</v>
      </c>
      <c r="AZ72" s="15">
        <f t="shared" si="134"/>
        <v>3.8791367253578901E-3</v>
      </c>
      <c r="BA72" s="15" t="e">
        <f t="shared" si="134"/>
        <v>#DIV/0!</v>
      </c>
      <c r="BB72" s="15" t="e">
        <f t="shared" si="134"/>
        <v>#DIV/0!</v>
      </c>
      <c r="BC72" s="15" t="e">
        <f t="shared" si="134"/>
        <v>#DIV/0!</v>
      </c>
      <c r="BD72" s="15" t="e">
        <f t="shared" si="134"/>
        <v>#DIV/0!</v>
      </c>
      <c r="BE72" s="15" t="e">
        <f t="shared" si="134"/>
        <v>#DIV/0!</v>
      </c>
      <c r="BF72" s="15" t="e">
        <f t="shared" si="134"/>
        <v>#DIV/0!</v>
      </c>
      <c r="BG72" s="15" t="e">
        <f t="shared" si="134"/>
        <v>#DIV/0!</v>
      </c>
      <c r="BH72" s="15">
        <f t="shared" ref="BH72" si="135">BH13/BH$50</f>
        <v>3.3493003985684234E-3</v>
      </c>
      <c r="BI72" s="15">
        <f t="shared" si="91"/>
        <v>4.1348619135572699E-3</v>
      </c>
      <c r="BJ72" s="4"/>
    </row>
    <row r="73" spans="1:62" x14ac:dyDescent="0.25">
      <c r="A73" s="3">
        <f t="shared" si="86"/>
        <v>11</v>
      </c>
      <c r="B73" s="3" t="s">
        <v>96</v>
      </c>
      <c r="C73" s="3" t="s">
        <v>49</v>
      </c>
      <c r="D73" s="25" t="s">
        <v>33</v>
      </c>
      <c r="E73" s="3" t="s">
        <v>115</v>
      </c>
      <c r="F73" s="15">
        <f t="shared" si="112"/>
        <v>1.7261001149665881E-3</v>
      </c>
      <c r="G73" s="15">
        <f t="shared" si="113"/>
        <v>3.9979744926147221E-3</v>
      </c>
      <c r="H73" s="15">
        <f t="shared" si="114"/>
        <v>3.1047927998863571E-3</v>
      </c>
      <c r="I73" s="15">
        <f t="shared" si="115"/>
        <v>5.2403476998236047E-4</v>
      </c>
      <c r="J73" s="15">
        <f t="shared" si="116"/>
        <v>4.3220909217153731E-3</v>
      </c>
      <c r="K73" s="15">
        <f t="shared" si="117"/>
        <v>6.7341491634549016E-3</v>
      </c>
      <c r="L73" s="15">
        <f t="shared" si="118"/>
        <v>4.0055527920299814E-3</v>
      </c>
      <c r="M73" s="15">
        <f t="shared" si="119"/>
        <v>2.4682771893483925E-3</v>
      </c>
      <c r="N73" s="15">
        <f t="shared" si="120"/>
        <v>2.547285371165968E-3</v>
      </c>
      <c r="O73" s="15">
        <f t="shared" si="121"/>
        <v>3.8041089394037766E-3</v>
      </c>
      <c r="P73" s="15">
        <f t="shared" si="122"/>
        <v>1.5675422529751611E-3</v>
      </c>
      <c r="Q73" s="15">
        <f t="shared" si="123"/>
        <v>3.1450061481561888E-3</v>
      </c>
      <c r="R73" s="15">
        <f t="shared" ref="R73:AQ73" si="136">R14/R$50</f>
        <v>3.2224343192900633E-3</v>
      </c>
      <c r="S73" s="15">
        <f t="shared" si="136"/>
        <v>1.5951630868924298E-3</v>
      </c>
      <c r="T73" s="15">
        <f t="shared" si="136"/>
        <v>1.300071432028682E-3</v>
      </c>
      <c r="U73" s="15">
        <f t="shared" si="136"/>
        <v>1.2788585738268811E-3</v>
      </c>
      <c r="V73" s="15">
        <f t="shared" si="136"/>
        <v>6.3760417538969295E-4</v>
      </c>
      <c r="W73" s="15">
        <f t="shared" si="136"/>
        <v>2.9328753995518306E-3</v>
      </c>
      <c r="X73" s="15">
        <f t="shared" si="136"/>
        <v>1.5564984301310657E-3</v>
      </c>
      <c r="Y73" s="15">
        <f t="shared" si="136"/>
        <v>2.3230580308289859E-3</v>
      </c>
      <c r="Z73" s="15">
        <f t="shared" si="136"/>
        <v>3.6326561595207687E-3</v>
      </c>
      <c r="AA73" s="15">
        <f t="shared" si="136"/>
        <v>2.7013133444329304E-3</v>
      </c>
      <c r="AB73" s="15">
        <f t="shared" si="136"/>
        <v>1.5786947862079055E-3</v>
      </c>
      <c r="AC73" s="15">
        <f t="shared" si="136"/>
        <v>1.3809553449185606E-3</v>
      </c>
      <c r="AD73" s="15"/>
      <c r="AE73" s="15"/>
      <c r="AF73" s="15">
        <f t="shared" si="136"/>
        <v>1.7683175540136123E-3</v>
      </c>
      <c r="AG73" s="15">
        <f t="shared" si="136"/>
        <v>1.7683175540136114E-3</v>
      </c>
      <c r="AH73" s="15">
        <f t="shared" si="136"/>
        <v>9.4799627482814309E-4</v>
      </c>
      <c r="AI73" s="15">
        <f t="shared" si="136"/>
        <v>1.1680949115952281E-3</v>
      </c>
      <c r="AJ73" s="15">
        <f t="shared" si="136"/>
        <v>1.6475091947933235E-3</v>
      </c>
      <c r="AK73" s="15">
        <f t="shared" si="136"/>
        <v>1.9902522102932126E-3</v>
      </c>
      <c r="AL73" s="15">
        <f t="shared" si="136"/>
        <v>1.4465148109256772E-3</v>
      </c>
      <c r="AM73" s="15">
        <f t="shared" si="136"/>
        <v>1.4225830872463369E-3</v>
      </c>
      <c r="AN73" s="15">
        <f t="shared" si="136"/>
        <v>1.5356479461533824E-3</v>
      </c>
      <c r="AO73" s="15">
        <f t="shared" si="136"/>
        <v>1.6020697297898171E-3</v>
      </c>
      <c r="AP73" s="15">
        <f t="shared" si="136"/>
        <v>1.2809508185230643E-3</v>
      </c>
      <c r="AQ73" s="15">
        <f t="shared" si="136"/>
        <v>1.4987433158026653E-3</v>
      </c>
      <c r="AR73" s="15">
        <f t="shared" ref="AR73:AS73" si="137">AR14/AR$50</f>
        <v>1.7458373559980237E-3</v>
      </c>
      <c r="AS73" s="15">
        <f t="shared" si="137"/>
        <v>1.4712500073662733E-3</v>
      </c>
      <c r="AT73" s="15"/>
      <c r="AU73" s="15">
        <f t="shared" ref="AU73:BG73" si="138">AU14/AU$50</f>
        <v>1.501994726320827E-3</v>
      </c>
      <c r="AV73" s="15">
        <f t="shared" si="138"/>
        <v>1.7443127245639306E-3</v>
      </c>
      <c r="AW73" s="15">
        <f t="shared" si="138"/>
        <v>1.2879673818732248E-3</v>
      </c>
      <c r="AX73" s="15">
        <f t="shared" si="138"/>
        <v>1.913297430951238E-3</v>
      </c>
      <c r="AY73" s="15">
        <f t="shared" si="138"/>
        <v>1.6510380062646365E-3</v>
      </c>
      <c r="AZ73" s="15">
        <f t="shared" si="138"/>
        <v>1.3290275950158213E-3</v>
      </c>
      <c r="BA73" s="15" t="e">
        <f t="shared" si="138"/>
        <v>#DIV/0!</v>
      </c>
      <c r="BB73" s="15" t="e">
        <f t="shared" si="138"/>
        <v>#DIV/0!</v>
      </c>
      <c r="BC73" s="15" t="e">
        <f t="shared" si="138"/>
        <v>#DIV/0!</v>
      </c>
      <c r="BD73" s="15" t="e">
        <f t="shared" si="138"/>
        <v>#DIV/0!</v>
      </c>
      <c r="BE73" s="15" t="e">
        <f t="shared" si="138"/>
        <v>#DIV/0!</v>
      </c>
      <c r="BF73" s="15" t="e">
        <f t="shared" si="138"/>
        <v>#DIV/0!</v>
      </c>
      <c r="BG73" s="15" t="e">
        <f t="shared" si="138"/>
        <v>#DIV/0!</v>
      </c>
      <c r="BH73" s="15">
        <f t="shared" ref="BH73" si="139">BH14/BH$50</f>
        <v>1.6142433649061082E-3</v>
      </c>
      <c r="BI73" s="15">
        <f t="shared" si="91"/>
        <v>2.0835889963646543E-3</v>
      </c>
      <c r="BJ73" s="4"/>
    </row>
    <row r="74" spans="1:62" x14ac:dyDescent="0.25">
      <c r="A74" s="3">
        <f t="shared" si="86"/>
        <v>12</v>
      </c>
      <c r="B74" s="3" t="s">
        <v>96</v>
      </c>
      <c r="C74" s="3" t="s">
        <v>52</v>
      </c>
      <c r="D74" s="25" t="s">
        <v>24</v>
      </c>
      <c r="E74" s="3" t="s">
        <v>115</v>
      </c>
      <c r="F74" s="15">
        <f t="shared" si="112"/>
        <v>4.2707036426157374E-3</v>
      </c>
      <c r="G74" s="15">
        <f t="shared" si="113"/>
        <v>3.0176016711053796E-3</v>
      </c>
      <c r="H74" s="15">
        <f t="shared" si="114"/>
        <v>2.3678259457689393E-3</v>
      </c>
      <c r="I74" s="15">
        <f t="shared" si="115"/>
        <v>2.4369445264354234E-3</v>
      </c>
      <c r="J74" s="15">
        <f t="shared" si="116"/>
        <v>2.6049807036574004E-3</v>
      </c>
      <c r="K74" s="15">
        <f t="shared" si="117"/>
        <v>1.9076616931618367E-3</v>
      </c>
      <c r="L74" s="15">
        <f t="shared" si="118"/>
        <v>1.8148991388947265E-3</v>
      </c>
      <c r="M74" s="15">
        <f t="shared" si="119"/>
        <v>2.0543230985387703E-3</v>
      </c>
      <c r="N74" s="15">
        <f t="shared" si="120"/>
        <v>2.3206635821472958E-3</v>
      </c>
      <c r="O74" s="15">
        <f t="shared" si="121"/>
        <v>1.9172186907230552E-3</v>
      </c>
      <c r="P74" s="15">
        <f t="shared" si="122"/>
        <v>2.1921084189534391E-3</v>
      </c>
      <c r="Q74" s="15">
        <f t="shared" si="123"/>
        <v>1.3535929672587022E-3</v>
      </c>
      <c r="R74" s="15">
        <f t="shared" ref="R74:AQ74" si="140">R15/R$50</f>
        <v>2.2178173751520535E-3</v>
      </c>
      <c r="S74" s="15">
        <f t="shared" si="140"/>
        <v>9.9577452988609903E-4</v>
      </c>
      <c r="T74" s="15">
        <f t="shared" si="140"/>
        <v>1.2561782931200195E-3</v>
      </c>
      <c r="U74" s="15">
        <f t="shared" si="140"/>
        <v>1.00039950941745E-3</v>
      </c>
      <c r="V74" s="15">
        <f t="shared" si="140"/>
        <v>1.0917845161341616E-3</v>
      </c>
      <c r="W74" s="15">
        <f t="shared" si="140"/>
        <v>9.6177776065045997E-4</v>
      </c>
      <c r="X74" s="15">
        <f t="shared" si="140"/>
        <v>1.2951715071195372E-3</v>
      </c>
      <c r="Y74" s="15">
        <f t="shared" si="140"/>
        <v>1.6331566820892503E-3</v>
      </c>
      <c r="Z74" s="15">
        <f t="shared" si="140"/>
        <v>1.4903112138447844E-3</v>
      </c>
      <c r="AA74" s="15">
        <f t="shared" si="140"/>
        <v>1.1059231989407128E-3</v>
      </c>
      <c r="AB74" s="15">
        <f t="shared" si="140"/>
        <v>9.9087072324280314E-4</v>
      </c>
      <c r="AC74" s="15">
        <f t="shared" si="140"/>
        <v>1.0477671014472638E-3</v>
      </c>
      <c r="AD74" s="15"/>
      <c r="AE74" s="15"/>
      <c r="AF74" s="15">
        <f t="shared" si="140"/>
        <v>1.1368808364087849E-3</v>
      </c>
      <c r="AG74" s="15">
        <f t="shared" si="140"/>
        <v>1.1368808364087843E-3</v>
      </c>
      <c r="AH74" s="15">
        <f t="shared" si="140"/>
        <v>1.3868749551624205E-3</v>
      </c>
      <c r="AI74" s="15">
        <f t="shared" si="140"/>
        <v>1.496738254886137E-3</v>
      </c>
      <c r="AJ74" s="15">
        <f t="shared" si="140"/>
        <v>8.5114925669709028E-4</v>
      </c>
      <c r="AK74" s="15">
        <f t="shared" si="140"/>
        <v>9.3526182816063084E-4</v>
      </c>
      <c r="AL74" s="15">
        <f t="shared" si="140"/>
        <v>1.1025035774837948E-3</v>
      </c>
      <c r="AM74" s="15">
        <f t="shared" si="140"/>
        <v>1.160030154695781E-3</v>
      </c>
      <c r="AN74" s="15">
        <f t="shared" si="140"/>
        <v>1.0719009297080044E-3</v>
      </c>
      <c r="AO74" s="15">
        <f t="shared" si="140"/>
        <v>1.3570520369667839E-3</v>
      </c>
      <c r="AP74" s="15">
        <f t="shared" si="140"/>
        <v>1.158795345455508E-3</v>
      </c>
      <c r="AQ74" s="15">
        <f t="shared" si="140"/>
        <v>1.6730577282631724E-3</v>
      </c>
      <c r="AR74" s="15">
        <f t="shared" ref="AR74:AS74" si="141">AR15/AR$50</f>
        <v>1.7325858291991148E-3</v>
      </c>
      <c r="AS74" s="15">
        <f t="shared" si="141"/>
        <v>1.1396500181682094E-3</v>
      </c>
      <c r="AT74" s="15"/>
      <c r="AU74" s="15">
        <f t="shared" ref="AU74:BG74" si="142">AU15/AU$50</f>
        <v>1.2138124503741066E-3</v>
      </c>
      <c r="AV74" s="15">
        <f t="shared" si="142"/>
        <v>1.1744692343616954E-3</v>
      </c>
      <c r="AW74" s="15">
        <f t="shared" si="142"/>
        <v>1.2399128934640711E-3</v>
      </c>
      <c r="AX74" s="15">
        <f t="shared" si="142"/>
        <v>8.4439792311571211E-4</v>
      </c>
      <c r="AY74" s="15">
        <f t="shared" si="142"/>
        <v>9.6349931453578092E-4</v>
      </c>
      <c r="AZ74" s="15">
        <f t="shared" si="142"/>
        <v>1.059045732408727E-3</v>
      </c>
      <c r="BA74" s="15" t="e">
        <f t="shared" si="142"/>
        <v>#DIV/0!</v>
      </c>
      <c r="BB74" s="15" t="e">
        <f t="shared" si="142"/>
        <v>#DIV/0!</v>
      </c>
      <c r="BC74" s="15" t="e">
        <f t="shared" si="142"/>
        <v>#DIV/0!</v>
      </c>
      <c r="BD74" s="15" t="e">
        <f t="shared" si="142"/>
        <v>#DIV/0!</v>
      </c>
      <c r="BE74" s="15" t="e">
        <f t="shared" si="142"/>
        <v>#DIV/0!</v>
      </c>
      <c r="BF74" s="15" t="e">
        <f t="shared" si="142"/>
        <v>#DIV/0!</v>
      </c>
      <c r="BG74" s="15" t="e">
        <f t="shared" si="142"/>
        <v>#DIV/0!</v>
      </c>
      <c r="BH74" s="15">
        <f t="shared" ref="BH74" si="143">BH15/BH$50</f>
        <v>1.0290208882494556E-3</v>
      </c>
      <c r="BI74" s="15">
        <f t="shared" si="91"/>
        <v>1.6335745797633184E-3</v>
      </c>
      <c r="BJ74" s="4"/>
    </row>
    <row r="75" spans="1:62" x14ac:dyDescent="0.25">
      <c r="A75" s="3">
        <f t="shared" si="86"/>
        <v>13</v>
      </c>
      <c r="B75" s="3" t="s">
        <v>96</v>
      </c>
      <c r="C75" s="3" t="s">
        <v>49</v>
      </c>
      <c r="D75" s="32" t="s">
        <v>35</v>
      </c>
      <c r="E75" s="3" t="s">
        <v>115</v>
      </c>
      <c r="F75" s="15">
        <f t="shared" si="112"/>
        <v>2.2404445893427893E-3</v>
      </c>
      <c r="G75" s="15">
        <f t="shared" si="113"/>
        <v>1.8504222318367998E-3</v>
      </c>
      <c r="H75" s="15">
        <f t="shared" si="114"/>
        <v>1.6893539869727639E-3</v>
      </c>
      <c r="I75" s="15">
        <f t="shared" si="115"/>
        <v>2.4684451908982066E-3</v>
      </c>
      <c r="J75" s="15">
        <f t="shared" si="116"/>
        <v>1.7585474762020934E-3</v>
      </c>
      <c r="K75" s="15">
        <f t="shared" si="117"/>
        <v>2.849577711000785E-3</v>
      </c>
      <c r="L75" s="15">
        <f t="shared" si="118"/>
        <v>2.1960084467423598E-3</v>
      </c>
      <c r="M75" s="15">
        <f t="shared" si="119"/>
        <v>1.9877935512668163E-3</v>
      </c>
      <c r="N75" s="15">
        <f t="shared" si="120"/>
        <v>2.0817629758077823E-3</v>
      </c>
      <c r="O75" s="15">
        <f t="shared" si="121"/>
        <v>1.8769608146696687E-3</v>
      </c>
      <c r="P75" s="15">
        <f t="shared" si="122"/>
        <v>2.5632814634491004E-3</v>
      </c>
      <c r="Q75" s="15">
        <f t="shared" si="123"/>
        <v>1.4147583038259292E-3</v>
      </c>
      <c r="R75" s="15">
        <f t="shared" ref="R75:AQ75" si="144">R16/R$50</f>
        <v>2.0233319577584005E-3</v>
      </c>
      <c r="S75" s="15">
        <f t="shared" si="144"/>
        <v>1.3225922745586335E-3</v>
      </c>
      <c r="T75" s="15">
        <f t="shared" si="144"/>
        <v>1.7783139859496346E-3</v>
      </c>
      <c r="U75" s="15">
        <f t="shared" si="144"/>
        <v>1.1633829108138034E-3</v>
      </c>
      <c r="V75" s="15">
        <f t="shared" si="144"/>
        <v>1.1188695635400529E-3</v>
      </c>
      <c r="W75" s="15">
        <f t="shared" si="144"/>
        <v>1.0598234043081337E-3</v>
      </c>
      <c r="X75" s="15">
        <f t="shared" si="144"/>
        <v>1.2377984438167746E-3</v>
      </c>
      <c r="Y75" s="15">
        <f t="shared" si="144"/>
        <v>1.7627517594205832E-3</v>
      </c>
      <c r="Z75" s="15">
        <f t="shared" si="144"/>
        <v>1.8846694135195544E-3</v>
      </c>
      <c r="AA75" s="15">
        <f t="shared" si="144"/>
        <v>1.7340929481129326E-3</v>
      </c>
      <c r="AB75" s="15">
        <f t="shared" si="144"/>
        <v>1.5060281644293345E-3</v>
      </c>
      <c r="AC75" s="15">
        <f t="shared" si="144"/>
        <v>1.3450068812282754E-3</v>
      </c>
      <c r="AD75" s="15"/>
      <c r="AE75" s="15"/>
      <c r="AF75" s="15">
        <f t="shared" si="144"/>
        <v>1.4341419286420512E-3</v>
      </c>
      <c r="AG75" s="15">
        <f t="shared" si="144"/>
        <v>1.4341419286420503E-3</v>
      </c>
      <c r="AH75" s="15">
        <f t="shared" si="144"/>
        <v>3.2628130667057679E-3</v>
      </c>
      <c r="AI75" s="15">
        <f t="shared" si="144"/>
        <v>2.5609702058580538E-3</v>
      </c>
      <c r="AJ75" s="15">
        <f t="shared" si="144"/>
        <v>1.7359925944888384E-3</v>
      </c>
      <c r="AK75" s="15">
        <f t="shared" si="144"/>
        <v>1.8993424512547938E-3</v>
      </c>
      <c r="AL75" s="15">
        <f t="shared" si="144"/>
        <v>1.7170461197915086E-3</v>
      </c>
      <c r="AM75" s="15">
        <f t="shared" si="144"/>
        <v>2.0256679546156934E-3</v>
      </c>
      <c r="AN75" s="15">
        <f t="shared" si="144"/>
        <v>1.7987798546623842E-3</v>
      </c>
      <c r="AO75" s="15">
        <f t="shared" si="144"/>
        <v>1.9080788287211118E-3</v>
      </c>
      <c r="AP75" s="15">
        <f t="shared" si="144"/>
        <v>1.8371757758254604E-3</v>
      </c>
      <c r="AQ75" s="15">
        <f t="shared" si="144"/>
        <v>2.2514471649793129E-3</v>
      </c>
      <c r="AR75" s="15">
        <f t="shared" ref="AR75:AS75" si="145">AR16/AR$50</f>
        <v>2.8596640396536593E-3</v>
      </c>
      <c r="AS75" s="15">
        <f t="shared" si="145"/>
        <v>1.9425967170250615E-3</v>
      </c>
      <c r="AT75" s="15"/>
      <c r="AU75" s="15">
        <f t="shared" ref="AU75:BG75" si="146">AU16/AU$50</f>
        <v>2.0473005790191093E-3</v>
      </c>
      <c r="AV75" s="15">
        <f t="shared" si="146"/>
        <v>2.0051075659113858E-3</v>
      </c>
      <c r="AW75" s="15">
        <f t="shared" si="146"/>
        <v>2.5805532078001583E-3</v>
      </c>
      <c r="AX75" s="15">
        <f t="shared" si="146"/>
        <v>1.5081800933166431E-3</v>
      </c>
      <c r="AY75" s="15">
        <f t="shared" si="146"/>
        <v>1.3516592700206582E-3</v>
      </c>
      <c r="AZ75" s="15">
        <f t="shared" si="146"/>
        <v>1.4495572563661741E-3</v>
      </c>
      <c r="BA75" s="15" t="e">
        <f t="shared" si="146"/>
        <v>#DIV/0!</v>
      </c>
      <c r="BB75" s="15" t="e">
        <f t="shared" si="146"/>
        <v>#DIV/0!</v>
      </c>
      <c r="BC75" s="15" t="e">
        <f t="shared" si="146"/>
        <v>#DIV/0!</v>
      </c>
      <c r="BD75" s="15" t="e">
        <f t="shared" si="146"/>
        <v>#DIV/0!</v>
      </c>
      <c r="BE75" s="15" t="e">
        <f t="shared" si="146"/>
        <v>#DIV/0!</v>
      </c>
      <c r="BF75" s="15" t="e">
        <f t="shared" si="146"/>
        <v>#DIV/0!</v>
      </c>
      <c r="BG75" s="15" t="e">
        <f t="shared" si="146"/>
        <v>#DIV/0!</v>
      </c>
      <c r="BH75" s="15">
        <f t="shared" ref="BH75" si="147">BH16/BH$50</f>
        <v>1.6810336753891881E-3</v>
      </c>
      <c r="BI75" s="15">
        <f t="shared" si="91"/>
        <v>1.9120386476214675E-3</v>
      </c>
      <c r="BJ75" s="4"/>
    </row>
    <row r="76" spans="1:62" x14ac:dyDescent="0.25">
      <c r="A76" s="3">
        <f t="shared" si="86"/>
        <v>14</v>
      </c>
      <c r="B76" s="3" t="s">
        <v>96</v>
      </c>
      <c r="C76" s="3" t="s">
        <v>166</v>
      </c>
      <c r="D76" s="25" t="s">
        <v>41</v>
      </c>
      <c r="E76" s="3" t="s">
        <v>115</v>
      </c>
      <c r="F76" s="15">
        <f t="shared" si="112"/>
        <v>0</v>
      </c>
      <c r="G76" s="15">
        <f t="shared" si="113"/>
        <v>0</v>
      </c>
      <c r="H76" s="15">
        <f t="shared" si="114"/>
        <v>1.3808168365954466E-3</v>
      </c>
      <c r="I76" s="15">
        <f t="shared" si="115"/>
        <v>1.4268037123401688E-3</v>
      </c>
      <c r="J76" s="15">
        <f t="shared" si="116"/>
        <v>9.5275661871449373E-4</v>
      </c>
      <c r="K76" s="15">
        <f t="shared" si="117"/>
        <v>5.1348662132724493E-3</v>
      </c>
      <c r="L76" s="15">
        <f t="shared" si="118"/>
        <v>2.0105071340536817E-3</v>
      </c>
      <c r="M76" s="15">
        <f t="shared" si="119"/>
        <v>1.562803138065644E-3</v>
      </c>
      <c r="N76" s="15">
        <f t="shared" si="120"/>
        <v>0</v>
      </c>
      <c r="O76" s="15">
        <f t="shared" si="121"/>
        <v>3.8615910014167961E-3</v>
      </c>
      <c r="P76" s="15">
        <f t="shared" si="122"/>
        <v>2.719667921924138E-3</v>
      </c>
      <c r="Q76" s="15">
        <f t="shared" si="123"/>
        <v>2.1082816837257479E-3</v>
      </c>
      <c r="R76" s="15">
        <f t="shared" ref="R76:AQ76" si="148">R17/R$50</f>
        <v>1.8604716995296699E-3</v>
      </c>
      <c r="S76" s="15">
        <f t="shared" si="148"/>
        <v>9.3737986972599881E-5</v>
      </c>
      <c r="T76" s="15">
        <f t="shared" si="148"/>
        <v>0</v>
      </c>
      <c r="U76" s="15">
        <f t="shared" si="148"/>
        <v>-4.1989785136831445E-5</v>
      </c>
      <c r="V76" s="15">
        <f t="shared" si="148"/>
        <v>0</v>
      </c>
      <c r="W76" s="15">
        <f t="shared" si="148"/>
        <v>2.8315128067621078E-4</v>
      </c>
      <c r="X76" s="15">
        <f t="shared" si="148"/>
        <v>0</v>
      </c>
      <c r="Y76" s="15">
        <f t="shared" si="148"/>
        <v>0</v>
      </c>
      <c r="Z76" s="15">
        <f t="shared" si="148"/>
        <v>0</v>
      </c>
      <c r="AA76" s="15">
        <f t="shared" si="148"/>
        <v>0</v>
      </c>
      <c r="AB76" s="15">
        <f t="shared" si="148"/>
        <v>0</v>
      </c>
      <c r="AC76" s="15">
        <f t="shared" si="148"/>
        <v>2.0278000795876671E-4</v>
      </c>
      <c r="AD76" s="15"/>
      <c r="AE76" s="15"/>
      <c r="AF76" s="15">
        <f t="shared" si="148"/>
        <v>5.4082170764117136E-5</v>
      </c>
      <c r="AG76" s="15">
        <f t="shared" si="148"/>
        <v>5.4082170764117102E-5</v>
      </c>
      <c r="AH76" s="15">
        <f t="shared" si="148"/>
        <v>0</v>
      </c>
      <c r="AI76" s="15">
        <f t="shared" si="148"/>
        <v>0</v>
      </c>
      <c r="AJ76" s="15">
        <f t="shared" si="148"/>
        <v>0</v>
      </c>
      <c r="AK76" s="15">
        <f t="shared" si="148"/>
        <v>0</v>
      </c>
      <c r="AL76" s="15">
        <f t="shared" si="148"/>
        <v>0</v>
      </c>
      <c r="AM76" s="15">
        <f t="shared" si="148"/>
        <v>0</v>
      </c>
      <c r="AN76" s="15">
        <f t="shared" si="148"/>
        <v>0</v>
      </c>
      <c r="AO76" s="15">
        <f t="shared" si="148"/>
        <v>0</v>
      </c>
      <c r="AP76" s="15">
        <f t="shared" si="148"/>
        <v>0</v>
      </c>
      <c r="AQ76" s="15">
        <f t="shared" si="148"/>
        <v>0</v>
      </c>
      <c r="AR76" s="15">
        <f t="shared" ref="AR76:AS76" si="149">AR17/AR$50</f>
        <v>0</v>
      </c>
      <c r="AS76" s="15">
        <f t="shared" si="149"/>
        <v>0</v>
      </c>
      <c r="AT76" s="15"/>
      <c r="AU76" s="15">
        <f t="shared" ref="AU76:BG76" si="150">AU17/AU$50</f>
        <v>0</v>
      </c>
      <c r="AV76" s="15">
        <f t="shared" si="150"/>
        <v>0</v>
      </c>
      <c r="AW76" s="15">
        <f t="shared" si="150"/>
        <v>0</v>
      </c>
      <c r="AX76" s="15">
        <f t="shared" si="150"/>
        <v>0</v>
      </c>
      <c r="AY76" s="15">
        <f t="shared" si="150"/>
        <v>0</v>
      </c>
      <c r="AZ76" s="15">
        <f t="shared" si="150"/>
        <v>0</v>
      </c>
      <c r="BA76" s="15" t="e">
        <f t="shared" si="150"/>
        <v>#DIV/0!</v>
      </c>
      <c r="BB76" s="15" t="e">
        <f t="shared" si="150"/>
        <v>#DIV/0!</v>
      </c>
      <c r="BC76" s="15" t="e">
        <f t="shared" si="150"/>
        <v>#DIV/0!</v>
      </c>
      <c r="BD76" s="15" t="e">
        <f t="shared" si="150"/>
        <v>#DIV/0!</v>
      </c>
      <c r="BE76" s="15" t="e">
        <f t="shared" si="150"/>
        <v>#DIV/0!</v>
      </c>
      <c r="BF76" s="15" t="e">
        <f t="shared" si="150"/>
        <v>#DIV/0!</v>
      </c>
      <c r="BG76" s="15" t="e">
        <f t="shared" si="150"/>
        <v>#DIV/0!</v>
      </c>
      <c r="BH76" s="15">
        <f t="shared" ref="BH76" si="151">BH17/BH$50</f>
        <v>0</v>
      </c>
      <c r="BI76" s="15">
        <f t="shared" si="91"/>
        <v>0</v>
      </c>
      <c r="BJ76" s="4"/>
    </row>
    <row r="77" spans="1:62" x14ac:dyDescent="0.25">
      <c r="A77" s="3">
        <f t="shared" si="86"/>
        <v>15</v>
      </c>
      <c r="B77" s="3" t="s">
        <v>96</v>
      </c>
      <c r="C77" s="25" t="s">
        <v>42</v>
      </c>
      <c r="D77" s="25" t="s">
        <v>208</v>
      </c>
      <c r="E77" s="3" t="s">
        <v>115</v>
      </c>
      <c r="F77" s="15">
        <f t="shared" si="112"/>
        <v>2.6754033280099419E-3</v>
      </c>
      <c r="G77" s="15">
        <f t="shared" si="113"/>
        <v>2.4177067680408743E-3</v>
      </c>
      <c r="H77" s="15">
        <f t="shared" si="114"/>
        <v>2.7998470322064864E-3</v>
      </c>
      <c r="I77" s="15">
        <f t="shared" si="115"/>
        <v>2.2006641856401918E-3</v>
      </c>
      <c r="J77" s="15">
        <f t="shared" si="116"/>
        <v>2.7230105812094752E-3</v>
      </c>
      <c r="K77" s="15">
        <f t="shared" si="117"/>
        <v>3.6829212156868382E-3</v>
      </c>
      <c r="L77" s="15">
        <f t="shared" si="118"/>
        <v>2.228391432806353E-3</v>
      </c>
      <c r="M77" s="15">
        <f t="shared" si="119"/>
        <v>1.4742799475748164E-3</v>
      </c>
      <c r="N77" s="15">
        <f t="shared" si="120"/>
        <v>1.0570298168288024E-3</v>
      </c>
      <c r="O77" s="15">
        <f t="shared" si="121"/>
        <v>8.7662283489793418E-4</v>
      </c>
      <c r="P77" s="15">
        <f t="shared" si="122"/>
        <v>9.6621878632902666E-4</v>
      </c>
      <c r="Q77" s="15">
        <f t="shared" si="123"/>
        <v>1.201963078210355E-3</v>
      </c>
      <c r="R77" s="15">
        <f t="shared" ref="R77:AQ77" si="152">R18/R$50</f>
        <v>1.9330364487448318E-3</v>
      </c>
      <c r="S77" s="15">
        <f t="shared" si="152"/>
        <v>6.5001893720068526E-4</v>
      </c>
      <c r="T77" s="15">
        <f t="shared" si="152"/>
        <v>8.6583353943473179E-4</v>
      </c>
      <c r="U77" s="15">
        <f t="shared" si="152"/>
        <v>6.0446379237607357E-4</v>
      </c>
      <c r="V77" s="15">
        <f t="shared" si="152"/>
        <v>7.8881645332830016E-4</v>
      </c>
      <c r="W77" s="15">
        <f t="shared" si="152"/>
        <v>1.6073624593802825E-3</v>
      </c>
      <c r="X77" s="15">
        <f t="shared" si="152"/>
        <v>9.2479778084810318E-4</v>
      </c>
      <c r="Y77" s="15">
        <f t="shared" si="152"/>
        <v>1.3001427803115842E-3</v>
      </c>
      <c r="Z77" s="15">
        <f t="shared" si="152"/>
        <v>1.2728489213650958E-3</v>
      </c>
      <c r="AA77" s="15">
        <f t="shared" si="152"/>
        <v>7.704329866171848E-4</v>
      </c>
      <c r="AB77" s="15">
        <f t="shared" si="152"/>
        <v>8.1568750194782201E-4</v>
      </c>
      <c r="AC77" s="15">
        <f t="shared" si="152"/>
        <v>6.4827665721196393E-4</v>
      </c>
      <c r="AD77" s="15"/>
      <c r="AE77" s="15"/>
      <c r="AF77" s="15">
        <f t="shared" si="152"/>
        <v>8.9997165648318374E-4</v>
      </c>
      <c r="AG77" s="15">
        <f t="shared" si="152"/>
        <v>8.9997165648318309E-4</v>
      </c>
      <c r="AH77" s="15">
        <f t="shared" si="152"/>
        <v>7.9867353456340273E-4</v>
      </c>
      <c r="AI77" s="15">
        <f t="shared" si="152"/>
        <v>6.6191731312023757E-4</v>
      </c>
      <c r="AJ77" s="15">
        <f t="shared" si="152"/>
        <v>5.5943939985143734E-4</v>
      </c>
      <c r="AK77" s="15">
        <f t="shared" si="152"/>
        <v>8.9301238470814012E-4</v>
      </c>
      <c r="AL77" s="15">
        <f t="shared" si="152"/>
        <v>6.6432094876903223E-4</v>
      </c>
      <c r="AM77" s="15">
        <f t="shared" si="152"/>
        <v>6.2840226265452033E-4</v>
      </c>
      <c r="AN77" s="15">
        <f t="shared" si="152"/>
        <v>1.0921929876630365E-3</v>
      </c>
      <c r="AO77" s="15">
        <f t="shared" si="152"/>
        <v>7.5711229578419607E-4</v>
      </c>
      <c r="AP77" s="15">
        <f t="shared" si="152"/>
        <v>1.1262253799715349E-3</v>
      </c>
      <c r="AQ77" s="15">
        <f t="shared" si="152"/>
        <v>1.5092183923619662E-3</v>
      </c>
      <c r="AR77" s="15">
        <f t="shared" ref="AR77:AS77" si="153">AR18/AR$50</f>
        <v>7.8870688737269162E-4</v>
      </c>
      <c r="AS77" s="15">
        <f t="shared" si="153"/>
        <v>8.3641742037131393E-4</v>
      </c>
      <c r="AT77" s="15"/>
      <c r="AU77" s="15">
        <f t="shared" ref="AU77:BG77" si="154">AU18/AU$50</f>
        <v>8.5785387669566008E-4</v>
      </c>
      <c r="AV77" s="15">
        <f t="shared" si="154"/>
        <v>8.4616854744174168E-4</v>
      </c>
      <c r="AW77" s="15">
        <f t="shared" si="154"/>
        <v>7.3374407718814264E-4</v>
      </c>
      <c r="AX77" s="15">
        <f t="shared" si="154"/>
        <v>9.2841675493237654E-4</v>
      </c>
      <c r="AY77" s="15">
        <f t="shared" si="154"/>
        <v>9.9893190315438721E-4</v>
      </c>
      <c r="AZ77" s="15">
        <f t="shared" si="154"/>
        <v>8.4623517222518862E-4</v>
      </c>
      <c r="BA77" s="15" t="e">
        <f t="shared" si="154"/>
        <v>#DIV/0!</v>
      </c>
      <c r="BB77" s="15" t="e">
        <f t="shared" si="154"/>
        <v>#DIV/0!</v>
      </c>
      <c r="BC77" s="15" t="e">
        <f t="shared" si="154"/>
        <v>#DIV/0!</v>
      </c>
      <c r="BD77" s="15" t="e">
        <f t="shared" si="154"/>
        <v>#DIV/0!</v>
      </c>
      <c r="BE77" s="15" t="e">
        <f t="shared" si="154"/>
        <v>#DIV/0!</v>
      </c>
      <c r="BF77" s="15" t="e">
        <f t="shared" si="154"/>
        <v>#DIV/0!</v>
      </c>
      <c r="BG77" s="15" t="e">
        <f t="shared" si="154"/>
        <v>#DIV/0!</v>
      </c>
      <c r="BH77" s="15">
        <f t="shared" ref="BH77" si="155">BH18/BH$50</f>
        <v>8.8836155373655666E-4</v>
      </c>
      <c r="BI77" s="15">
        <f t="shared" si="91"/>
        <v>1.486167360414313E-3</v>
      </c>
      <c r="BJ77" s="4"/>
    </row>
    <row r="78" spans="1:62" x14ac:dyDescent="0.25">
      <c r="A78" s="3">
        <f t="shared" si="86"/>
        <v>16</v>
      </c>
      <c r="B78" s="3" t="s">
        <v>96</v>
      </c>
      <c r="C78" s="3" t="s">
        <v>49</v>
      </c>
      <c r="D78" s="25" t="s">
        <v>18</v>
      </c>
      <c r="E78" s="3" t="s">
        <v>115</v>
      </c>
      <c r="F78" s="15">
        <f t="shared" si="112"/>
        <v>1.1328114166539705E-3</v>
      </c>
      <c r="G78" s="15">
        <f t="shared" si="113"/>
        <v>2.5279652857112074E-3</v>
      </c>
      <c r="H78" s="15">
        <f t="shared" si="114"/>
        <v>5.074842028981231E-4</v>
      </c>
      <c r="I78" s="15">
        <f t="shared" si="115"/>
        <v>3.1583121076912911E-3</v>
      </c>
      <c r="J78" s="15">
        <f t="shared" si="116"/>
        <v>1.6904592384637577E-3</v>
      </c>
      <c r="K78" s="15">
        <f t="shared" si="117"/>
        <v>8.2806774090689382E-4</v>
      </c>
      <c r="L78" s="15">
        <f t="shared" si="118"/>
        <v>1.3675329004743872E-3</v>
      </c>
      <c r="M78" s="15">
        <f t="shared" si="119"/>
        <v>6.1629832601430565E-4</v>
      </c>
      <c r="N78" s="15">
        <f t="shared" si="120"/>
        <v>9.020601863893652E-4</v>
      </c>
      <c r="O78" s="15">
        <f t="shared" si="121"/>
        <v>2.0274812680064232E-4</v>
      </c>
      <c r="P78" s="15">
        <f t="shared" si="122"/>
        <v>3.4034565926484067E-4</v>
      </c>
      <c r="Q78" s="15">
        <f t="shared" si="123"/>
        <v>4.178386842219853E-4</v>
      </c>
      <c r="R78" s="15">
        <f t="shared" ref="R78:AQ78" si="156">R19/R$50</f>
        <v>1.052223905488975E-3</v>
      </c>
      <c r="S78" s="15">
        <f t="shared" si="156"/>
        <v>1.3593790070159332E-4</v>
      </c>
      <c r="T78" s="15">
        <f t="shared" si="156"/>
        <v>3.5565674793561139E-5</v>
      </c>
      <c r="U78" s="15">
        <f t="shared" si="156"/>
        <v>4.5319575098182175E-5</v>
      </c>
      <c r="V78" s="15">
        <f t="shared" si="156"/>
        <v>2.7078171987353323E-4</v>
      </c>
      <c r="W78" s="15">
        <f t="shared" si="156"/>
        <v>2.6594025747397562E-4</v>
      </c>
      <c r="X78" s="15">
        <f t="shared" si="156"/>
        <v>2.8786623414613403E-4</v>
      </c>
      <c r="Y78" s="15">
        <f t="shared" si="156"/>
        <v>5.1040080315928641E-4</v>
      </c>
      <c r="Z78" s="15">
        <f t="shared" si="156"/>
        <v>5.6627904967826805E-4</v>
      </c>
      <c r="AA78" s="15">
        <f t="shared" si="156"/>
        <v>8.2273491705669706E-4</v>
      </c>
      <c r="AB78" s="15">
        <f t="shared" si="156"/>
        <v>4.968862533342147E-4</v>
      </c>
      <c r="AC78" s="15">
        <f t="shared" si="156"/>
        <v>2.1586728074769491E-4</v>
      </c>
      <c r="AD78" s="15"/>
      <c r="AE78" s="15"/>
      <c r="AF78" s="15">
        <f t="shared" si="156"/>
        <v>3.3774998305031908E-4</v>
      </c>
      <c r="AG78" s="15">
        <f t="shared" si="156"/>
        <v>3.3774998305031886E-4</v>
      </c>
      <c r="AH78" s="15">
        <f t="shared" si="156"/>
        <v>6.6680400656018318E-4</v>
      </c>
      <c r="AI78" s="15">
        <f t="shared" si="156"/>
        <v>1.041042130264364E-3</v>
      </c>
      <c r="AJ78" s="15">
        <f t="shared" si="156"/>
        <v>2.0553456725033652E-4</v>
      </c>
      <c r="AK78" s="15">
        <f t="shared" si="156"/>
        <v>2.2101137793680044E-4</v>
      </c>
      <c r="AL78" s="15">
        <f t="shared" si="156"/>
        <v>2.4500190513226987E-4</v>
      </c>
      <c r="AM78" s="15">
        <f t="shared" si="156"/>
        <v>2.6944379373152789E-4</v>
      </c>
      <c r="AN78" s="15">
        <f t="shared" si="156"/>
        <v>2.9174005355108123E-4</v>
      </c>
      <c r="AO78" s="15">
        <f t="shared" si="156"/>
        <v>4.1147028769494511E-4</v>
      </c>
      <c r="AP78" s="15">
        <f t="shared" si="156"/>
        <v>2.9465875099468419E-4</v>
      </c>
      <c r="AQ78" s="15">
        <f t="shared" si="156"/>
        <v>3.5302869921834357E-4</v>
      </c>
      <c r="AR78" s="15">
        <f t="shared" ref="AR78:AS78" si="157">AR19/AR$50</f>
        <v>1.1501480652136077E-3</v>
      </c>
      <c r="AS78" s="15">
        <f t="shared" si="157"/>
        <v>6.1422035673268263E-4</v>
      </c>
      <c r="AT78" s="15"/>
      <c r="AU78" s="15">
        <f t="shared" ref="AU78:BG78" si="158">AU19/AU$50</f>
        <v>4.2410556724695506E-4</v>
      </c>
      <c r="AV78" s="15">
        <f t="shared" si="158"/>
        <v>5.0976972549367488E-4</v>
      </c>
      <c r="AW78" s="15">
        <f t="shared" si="158"/>
        <v>1.5367951177029954E-3</v>
      </c>
      <c r="AX78" s="15">
        <f t="shared" si="158"/>
        <v>2.0194694429649476E-3</v>
      </c>
      <c r="AY78" s="15">
        <f t="shared" si="158"/>
        <v>1.5255914958188114E-4</v>
      </c>
      <c r="AZ78" s="15">
        <f t="shared" si="158"/>
        <v>1.2273456262832654E-4</v>
      </c>
      <c r="BA78" s="15" t="e">
        <f t="shared" si="158"/>
        <v>#DIV/0!</v>
      </c>
      <c r="BB78" s="15" t="e">
        <f t="shared" si="158"/>
        <v>#DIV/0!</v>
      </c>
      <c r="BC78" s="15" t="e">
        <f t="shared" si="158"/>
        <v>#DIV/0!</v>
      </c>
      <c r="BD78" s="15" t="e">
        <f t="shared" si="158"/>
        <v>#DIV/0!</v>
      </c>
      <c r="BE78" s="15" t="e">
        <f t="shared" si="158"/>
        <v>#DIV/0!</v>
      </c>
      <c r="BF78" s="15" t="e">
        <f t="shared" si="158"/>
        <v>#DIV/0!</v>
      </c>
      <c r="BG78" s="15" t="e">
        <f t="shared" si="158"/>
        <v>#DIV/0!</v>
      </c>
      <c r="BH78" s="15">
        <f t="shared" ref="BH78" si="159">BH19/BH$50</f>
        <v>8.2126274782774831E-4</v>
      </c>
      <c r="BI78" s="15">
        <f t="shared" si="91"/>
        <v>5.1970600360010566E-4</v>
      </c>
      <c r="BJ78" s="4"/>
    </row>
    <row r="79" spans="1:62" x14ac:dyDescent="0.25">
      <c r="A79" s="3">
        <f t="shared" si="86"/>
        <v>17</v>
      </c>
      <c r="B79" s="3" t="s">
        <v>96</v>
      </c>
      <c r="C79" s="3" t="s">
        <v>49</v>
      </c>
      <c r="D79" s="25" t="s">
        <v>31</v>
      </c>
      <c r="E79" s="3" t="s">
        <v>115</v>
      </c>
      <c r="F79" s="15">
        <f t="shared" si="112"/>
        <v>2.0598196826421677E-3</v>
      </c>
      <c r="G79" s="15">
        <f t="shared" si="113"/>
        <v>4.8756207785693025E-4</v>
      </c>
      <c r="H79" s="15">
        <f t="shared" si="114"/>
        <v>0</v>
      </c>
      <c r="I79" s="15">
        <f t="shared" si="115"/>
        <v>0</v>
      </c>
      <c r="J79" s="15">
        <f t="shared" si="116"/>
        <v>1.2867336716248343E-3</v>
      </c>
      <c r="K79" s="15">
        <f t="shared" si="117"/>
        <v>1.3127126072598125E-3</v>
      </c>
      <c r="L79" s="15">
        <f t="shared" si="118"/>
        <v>7.4518907599800753E-4</v>
      </c>
      <c r="M79" s="15">
        <f t="shared" si="119"/>
        <v>5.7615440683691534E-4</v>
      </c>
      <c r="N79" s="15">
        <f t="shared" si="120"/>
        <v>5.1355567570306269E-4</v>
      </c>
      <c r="O79" s="15">
        <f t="shared" si="121"/>
        <v>1.5850766493391273E-3</v>
      </c>
      <c r="P79" s="15">
        <f t="shared" si="122"/>
        <v>1.8185611095754744E-3</v>
      </c>
      <c r="Q79" s="15">
        <f t="shared" si="123"/>
        <v>1.4563483550236629E-3</v>
      </c>
      <c r="R79" s="15">
        <f t="shared" ref="R79:AQ79" si="160">R20/R$50</f>
        <v>9.9326422906127147E-4</v>
      </c>
      <c r="S79" s="15">
        <f t="shared" si="160"/>
        <v>7.6380712338237368E-4</v>
      </c>
      <c r="T79" s="15">
        <f t="shared" si="160"/>
        <v>3.3881060264470274E-4</v>
      </c>
      <c r="U79" s="15">
        <f t="shared" si="160"/>
        <v>1.3441553350711179E-4</v>
      </c>
      <c r="V79" s="15">
        <f t="shared" si="160"/>
        <v>1.1785549123084191E-4</v>
      </c>
      <c r="W79" s="15">
        <f t="shared" si="160"/>
        <v>2.7211149539392598E-4</v>
      </c>
      <c r="X79" s="15">
        <f t="shared" si="160"/>
        <v>9.332273345993329E-5</v>
      </c>
      <c r="Y79" s="15">
        <f t="shared" si="160"/>
        <v>3.2467907168960138E-4</v>
      </c>
      <c r="Z79" s="15">
        <f t="shared" si="160"/>
        <v>3.5876243805503451E-4</v>
      </c>
      <c r="AA79" s="15">
        <f t="shared" si="160"/>
        <v>1.4764013416368666E-4</v>
      </c>
      <c r="AB79" s="15">
        <f t="shared" si="160"/>
        <v>2.2541393402754375E-4</v>
      </c>
      <c r="AC79" s="15">
        <f t="shared" si="160"/>
        <v>3.3958651736186441E-4</v>
      </c>
      <c r="AD79" s="15"/>
      <c r="AE79" s="15"/>
      <c r="AF79" s="15">
        <f t="shared" si="160"/>
        <v>2.8106289032911089E-4</v>
      </c>
      <c r="AG79" s="15">
        <f t="shared" si="160"/>
        <v>2.8106289032911073E-4</v>
      </c>
      <c r="AH79" s="15">
        <f t="shared" si="160"/>
        <v>2.1705965280468143E-4</v>
      </c>
      <c r="AI79" s="15">
        <f t="shared" si="160"/>
        <v>3.0003283086314027E-4</v>
      </c>
      <c r="AJ79" s="15">
        <f t="shared" si="160"/>
        <v>2.865155017856839E-4</v>
      </c>
      <c r="AK79" s="15">
        <f t="shared" si="160"/>
        <v>3.4921203645272712E-4</v>
      </c>
      <c r="AL79" s="15">
        <f t="shared" si="160"/>
        <v>1.7271618185699396E-4</v>
      </c>
      <c r="AM79" s="15">
        <f t="shared" si="160"/>
        <v>4.3237064085414098E-4</v>
      </c>
      <c r="AN79" s="15">
        <f t="shared" si="160"/>
        <v>4.1552478645175378E-4</v>
      </c>
      <c r="AO79" s="15">
        <f t="shared" si="160"/>
        <v>2.4593919210277887E-4</v>
      </c>
      <c r="AP79" s="15">
        <f t="shared" si="160"/>
        <v>3.1066935319468451E-4</v>
      </c>
      <c r="AQ79" s="15">
        <f t="shared" si="160"/>
        <v>3.8799860165287983E-4</v>
      </c>
      <c r="AR79" s="15">
        <f t="shared" ref="AR79:AS79" si="161">AR20/AR$50</f>
        <v>4.4459260323039256E-4</v>
      </c>
      <c r="AS79" s="15">
        <f t="shared" si="161"/>
        <v>4.8799769425948182E-4</v>
      </c>
      <c r="AT79" s="15"/>
      <c r="AU79" s="15">
        <f t="shared" ref="AU79:BG79" si="162">AU20/AU$50</f>
        <v>3.3456344478633012E-4</v>
      </c>
      <c r="AV79" s="15">
        <f t="shared" si="162"/>
        <v>1.4621229518426318E-3</v>
      </c>
      <c r="AW79" s="15">
        <f t="shared" si="162"/>
        <v>1.9580035414065119E-3</v>
      </c>
      <c r="AX79" s="15">
        <f t="shared" si="162"/>
        <v>1.5932464931384526E-3</v>
      </c>
      <c r="AY79" s="15">
        <f t="shared" si="162"/>
        <v>1.5258005131187245E-3</v>
      </c>
      <c r="AZ79" s="15">
        <f t="shared" si="162"/>
        <v>1.6374483827456278E-3</v>
      </c>
      <c r="BA79" s="15" t="e">
        <f t="shared" si="162"/>
        <v>#DIV/0!</v>
      </c>
      <c r="BB79" s="15" t="e">
        <f t="shared" si="162"/>
        <v>#DIV/0!</v>
      </c>
      <c r="BC79" s="15" t="e">
        <f t="shared" si="162"/>
        <v>#DIV/0!</v>
      </c>
      <c r="BD79" s="15" t="e">
        <f t="shared" si="162"/>
        <v>#DIV/0!</v>
      </c>
      <c r="BE79" s="15" t="e">
        <f t="shared" si="162"/>
        <v>#DIV/0!</v>
      </c>
      <c r="BF79" s="15" t="e">
        <f t="shared" si="162"/>
        <v>#DIV/0!</v>
      </c>
      <c r="BG79" s="15" t="e">
        <f t="shared" si="162"/>
        <v>#DIV/0!</v>
      </c>
      <c r="BH79" s="15">
        <f t="shared" ref="BH79" si="163">BH20/BH$50</f>
        <v>1.6080715524105875E-3</v>
      </c>
      <c r="BI79" s="15">
        <f t="shared" si="91"/>
        <v>2.0418458442750327E-3</v>
      </c>
      <c r="BJ79" s="4"/>
    </row>
    <row r="80" spans="1:62" x14ac:dyDescent="0.25">
      <c r="A80" s="3">
        <f t="shared" si="86"/>
        <v>18</v>
      </c>
      <c r="B80" s="3" t="s">
        <v>96</v>
      </c>
      <c r="C80" s="3" t="s">
        <v>55</v>
      </c>
      <c r="D80" s="25" t="s">
        <v>55</v>
      </c>
      <c r="E80" s="3" t="s">
        <v>115</v>
      </c>
      <c r="F80" s="15">
        <f t="shared" si="112"/>
        <v>0</v>
      </c>
      <c r="G80" s="15">
        <f t="shared" si="113"/>
        <v>0</v>
      </c>
      <c r="H80" s="15">
        <f t="shared" si="114"/>
        <v>0</v>
      </c>
      <c r="I80" s="15">
        <f t="shared" si="115"/>
        <v>1.6543215940100066E-3</v>
      </c>
      <c r="J80" s="15">
        <f t="shared" si="116"/>
        <v>9.0378477827798398E-4</v>
      </c>
      <c r="K80" s="15">
        <f t="shared" si="117"/>
        <v>1.1732342452188346E-3</v>
      </c>
      <c r="L80" s="15">
        <f t="shared" si="118"/>
        <v>5.5466246856624541E-4</v>
      </c>
      <c r="M80" s="15">
        <f t="shared" si="119"/>
        <v>1.074870021203708E-3</v>
      </c>
      <c r="N80" s="15">
        <f t="shared" si="120"/>
        <v>8.0259170568911192E-4</v>
      </c>
      <c r="O80" s="15">
        <f t="shared" si="121"/>
        <v>0</v>
      </c>
      <c r="P80" s="15">
        <f t="shared" si="122"/>
        <v>4.3116125255085176E-4</v>
      </c>
      <c r="Q80" s="15">
        <f t="shared" si="123"/>
        <v>1.3691448692118325E-6</v>
      </c>
      <c r="R80" s="15">
        <f t="shared" ref="R80:AC80" si="164">R21/R$50</f>
        <v>5.2765591337171282E-4</v>
      </c>
      <c r="S80" s="15">
        <f t="shared" si="164"/>
        <v>2.1534679902400323E-4</v>
      </c>
      <c r="T80" s="15">
        <f t="shared" si="164"/>
        <v>0</v>
      </c>
      <c r="U80" s="15">
        <f t="shared" si="164"/>
        <v>1.9353881377526187E-4</v>
      </c>
      <c r="V80" s="15">
        <f t="shared" si="164"/>
        <v>0</v>
      </c>
      <c r="W80" s="15">
        <f t="shared" si="164"/>
        <v>0</v>
      </c>
      <c r="X80" s="15">
        <f t="shared" si="164"/>
        <v>1.1877449692195108E-4</v>
      </c>
      <c r="Y80" s="15">
        <f t="shared" si="164"/>
        <v>3.603508628011516E-4</v>
      </c>
      <c r="Z80" s="15">
        <f t="shared" si="164"/>
        <v>4.7362008599346957E-4</v>
      </c>
      <c r="AA80" s="15">
        <f t="shared" si="164"/>
        <v>1.441546263024152E-6</v>
      </c>
      <c r="AB80" s="15">
        <f t="shared" si="164"/>
        <v>3.7545788823543122E-4</v>
      </c>
      <c r="AC80" s="15">
        <f t="shared" si="164"/>
        <v>9.7544179471283036E-5</v>
      </c>
      <c r="AD80" s="15"/>
      <c r="AE80" s="15"/>
      <c r="AF80" s="15">
        <f>AF21/AF$50</f>
        <v>1.4818301455886971E-4</v>
      </c>
      <c r="AG80" s="15">
        <f>AG21/AG$50</f>
        <v>1.481830145588696E-4</v>
      </c>
      <c r="AH80" s="15">
        <f t="shared" ref="AH80:AQ82" si="165">AH21/AH$50</f>
        <v>1.2112744385571704E-3</v>
      </c>
      <c r="AI80" s="15">
        <f t="shared" si="165"/>
        <v>3.0874861800679891E-4</v>
      </c>
      <c r="AJ80" s="15">
        <f t="shared" si="165"/>
        <v>2.2114708507688351E-4</v>
      </c>
      <c r="AK80" s="15">
        <f t="shared" si="165"/>
        <v>5.3404187819099309E-4</v>
      </c>
      <c r="AL80" s="15">
        <f t="shared" si="165"/>
        <v>5.0679144908153957E-4</v>
      </c>
      <c r="AM80" s="15">
        <f t="shared" si="165"/>
        <v>4.4089876580445252E-4</v>
      </c>
      <c r="AN80" s="15">
        <f t="shared" si="165"/>
        <v>1.0475891097831596E-6</v>
      </c>
      <c r="AO80" s="15">
        <f t="shared" si="165"/>
        <v>1.772411422260874E-4</v>
      </c>
      <c r="AP80" s="15">
        <f t="shared" si="165"/>
        <v>8.2349602039776058E-4</v>
      </c>
      <c r="AQ80" s="15">
        <f t="shared" si="165"/>
        <v>1.6321472290178468E-3</v>
      </c>
      <c r="AR80" s="15">
        <f t="shared" ref="AR80:AS80" si="166">AR21/AR$50</f>
        <v>1.5467163612795072E-3</v>
      </c>
      <c r="AS80" s="15">
        <f t="shared" si="166"/>
        <v>1.3063471355331117E-3</v>
      </c>
      <c r="AT80" s="15"/>
      <c r="AU80" s="15">
        <f t="shared" ref="AU80:BG80" si="167">AU21/AU$50</f>
        <v>6.4166374787411517E-4</v>
      </c>
      <c r="AV80" s="15">
        <f t="shared" si="167"/>
        <v>1.4509330775549726E-3</v>
      </c>
      <c r="AW80" s="15">
        <f t="shared" si="167"/>
        <v>7.0216180559628334E-4</v>
      </c>
      <c r="AX80" s="15">
        <f t="shared" si="167"/>
        <v>1.867512568958396E-3</v>
      </c>
      <c r="AY80" s="15">
        <f t="shared" si="167"/>
        <v>3.6876207087761066E-4</v>
      </c>
      <c r="AZ80" s="15">
        <f t="shared" si="167"/>
        <v>2.6704070345591247E-5</v>
      </c>
      <c r="BA80" s="15" t="e">
        <f t="shared" si="167"/>
        <v>#DIV/0!</v>
      </c>
      <c r="BB80" s="15" t="e">
        <f t="shared" si="167"/>
        <v>#DIV/0!</v>
      </c>
      <c r="BC80" s="15" t="e">
        <f t="shared" si="167"/>
        <v>#DIV/0!</v>
      </c>
      <c r="BD80" s="15" t="e">
        <f t="shared" si="167"/>
        <v>#DIV/0!</v>
      </c>
      <c r="BE80" s="15" t="e">
        <f t="shared" si="167"/>
        <v>#DIV/0!</v>
      </c>
      <c r="BF80" s="15" t="e">
        <f t="shared" si="167"/>
        <v>#DIV/0!</v>
      </c>
      <c r="BG80" s="15" t="e">
        <f t="shared" si="167"/>
        <v>#DIV/0!</v>
      </c>
      <c r="BH80" s="15">
        <f t="shared" ref="BH80" si="168">BH21/BH$50</f>
        <v>8.8419113487985521E-4</v>
      </c>
      <c r="BI80" s="15">
        <f t="shared" si="91"/>
        <v>5.3771065112542512E-4</v>
      </c>
      <c r="BJ80" s="4"/>
    </row>
    <row r="81" spans="1:76" s="24" customFormat="1" x14ac:dyDescent="0.25">
      <c r="A81" s="81" t="s">
        <v>164</v>
      </c>
      <c r="B81" s="77" t="s">
        <v>165</v>
      </c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77"/>
      <c r="AH81" s="77"/>
      <c r="AI81" s="77"/>
      <c r="AJ81" s="77"/>
      <c r="AK81" s="77"/>
      <c r="AL81" s="77"/>
      <c r="AM81" s="77"/>
      <c r="AN81" s="77"/>
      <c r="AO81" s="77"/>
      <c r="AP81" s="77"/>
      <c r="AQ81" s="77"/>
      <c r="AR81" s="77"/>
      <c r="AS81" s="77"/>
      <c r="AT81" s="77"/>
      <c r="AU81" s="77"/>
      <c r="AV81" s="77"/>
      <c r="AW81" s="77"/>
      <c r="AX81" s="77"/>
      <c r="AY81" s="77"/>
      <c r="AZ81" s="77"/>
      <c r="BA81" s="77"/>
      <c r="BB81" s="77"/>
      <c r="BC81" s="77"/>
      <c r="BD81" s="77"/>
      <c r="BE81" s="77"/>
      <c r="BF81" s="77"/>
      <c r="BG81" s="77"/>
      <c r="BH81" s="77"/>
      <c r="BI81" s="77"/>
      <c r="BJ81" s="77"/>
      <c r="BK81" s="597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</row>
    <row r="82" spans="1:76" x14ac:dyDescent="0.25">
      <c r="A82" s="3">
        <v>1</v>
      </c>
      <c r="B82" s="3" t="s">
        <v>97</v>
      </c>
      <c r="C82" s="25" t="s">
        <v>169</v>
      </c>
      <c r="D82" s="25" t="s">
        <v>169</v>
      </c>
      <c r="E82" s="3" t="s">
        <v>115</v>
      </c>
      <c r="F82" s="15">
        <f t="shared" ref="F82:AF82" si="169">F23/F$50</f>
        <v>8.7280604541598361E-2</v>
      </c>
      <c r="G82" s="15">
        <f t="shared" si="169"/>
        <v>6.4682952371603611E-2</v>
      </c>
      <c r="H82" s="15">
        <f t="shared" si="169"/>
        <v>5.3112132715737094E-2</v>
      </c>
      <c r="I82" s="15">
        <f t="shared" si="169"/>
        <v>2.4382042653058315E-2</v>
      </c>
      <c r="J82" s="15">
        <f t="shared" si="169"/>
        <v>2.3114650934385979E-2</v>
      </c>
      <c r="K82" s="15">
        <f t="shared" si="169"/>
        <v>2.5100356088038393E-2</v>
      </c>
      <c r="L82" s="15">
        <f t="shared" si="169"/>
        <v>2.1734888074623898E-2</v>
      </c>
      <c r="M82" s="15">
        <f t="shared" si="169"/>
        <v>1.8505636793651498E-2</v>
      </c>
      <c r="N82" s="15">
        <f t="shared" si="169"/>
        <v>0</v>
      </c>
      <c r="O82" s="15">
        <f t="shared" si="169"/>
        <v>1.2453748745615589E-3</v>
      </c>
      <c r="P82" s="15">
        <f t="shared" si="169"/>
        <v>1.5272946747041485E-3</v>
      </c>
      <c r="Q82" s="15">
        <f t="shared" si="169"/>
        <v>8.0462786955039342E-4</v>
      </c>
      <c r="R82" s="15">
        <f t="shared" si="169"/>
        <v>2.2626378733271758E-2</v>
      </c>
      <c r="S82" s="15">
        <f t="shared" si="169"/>
        <v>3.9706045697225294E-2</v>
      </c>
      <c r="T82" s="15">
        <f t="shared" si="169"/>
        <v>5.9884379843954456E-2</v>
      </c>
      <c r="U82" s="15">
        <f t="shared" si="169"/>
        <v>6.4159168098341601E-2</v>
      </c>
      <c r="V82" s="15">
        <f t="shared" si="169"/>
        <v>5.3420714188847085E-2</v>
      </c>
      <c r="W82" s="15">
        <f t="shared" si="169"/>
        <v>5.4436153467433711E-2</v>
      </c>
      <c r="X82" s="15">
        <f t="shared" si="169"/>
        <v>6.7817481704931556E-2</v>
      </c>
      <c r="Y82" s="15">
        <f t="shared" si="169"/>
        <v>0.10684169231527441</v>
      </c>
      <c r="Z82" s="15">
        <f t="shared" si="169"/>
        <v>9.6065658993308586E-2</v>
      </c>
      <c r="AA82" s="15">
        <f t="shared" si="169"/>
        <v>7.6612323582842062E-2</v>
      </c>
      <c r="AB82" s="15">
        <f t="shared" si="169"/>
        <v>5.0416306748895634E-2</v>
      </c>
      <c r="AC82" s="15">
        <f t="shared" si="169"/>
        <v>4.5538271603305959E-2</v>
      </c>
      <c r="AD82" s="15"/>
      <c r="AE82" s="15"/>
      <c r="AF82" s="15">
        <f t="shared" si="169"/>
        <v>5.7863288909197383E-2</v>
      </c>
      <c r="AG82" s="15">
        <f>AG23/AG$50</f>
        <v>5.7863288909197348E-2</v>
      </c>
      <c r="AH82" s="15">
        <f t="shared" si="165"/>
        <v>9.4191749727635055E-2</v>
      </c>
      <c r="AI82" s="15">
        <f t="shared" si="165"/>
        <v>6.5799699526253405E-2</v>
      </c>
      <c r="AJ82" s="15">
        <f t="shared" si="165"/>
        <v>4.4022631241837848E-2</v>
      </c>
      <c r="AK82" s="15">
        <f t="shared" si="165"/>
        <v>4.8427445309529964E-2</v>
      </c>
      <c r="AL82" s="15">
        <f t="shared" si="165"/>
        <v>4.2317046224954719E-2</v>
      </c>
      <c r="AM82" s="15">
        <f t="shared" si="165"/>
        <v>4.7528313867319004E-2</v>
      </c>
      <c r="AN82" s="15">
        <f t="shared" si="165"/>
        <v>4.3252340797605981E-2</v>
      </c>
      <c r="AO82" s="15">
        <f t="shared" si="165"/>
        <v>4.3455224750832501E-2</v>
      </c>
      <c r="AP82" s="15">
        <f t="shared" si="165"/>
        <v>4.3759174422129114E-2</v>
      </c>
      <c r="AQ82" s="15">
        <f t="shared" si="165"/>
        <v>6.0688919581996938E-2</v>
      </c>
      <c r="AR82" s="15">
        <f t="shared" ref="AR82:AS82" si="170">AR23/AR$50</f>
        <v>8.0234565785473722E-2</v>
      </c>
      <c r="AS82" s="15">
        <f t="shared" si="170"/>
        <v>5.6924391418529292E-2</v>
      </c>
      <c r="AT82" s="15"/>
      <c r="AU82" s="15">
        <f t="shared" ref="AU82:BG82" si="171">AU23/AU$50</f>
        <v>5.2285369330101777E-2</v>
      </c>
      <c r="AV82" s="15">
        <f t="shared" si="171"/>
        <v>0.11196963016471678</v>
      </c>
      <c r="AW82" s="15">
        <f t="shared" si="171"/>
        <v>0.16402065542894123</v>
      </c>
      <c r="AX82" s="15">
        <f t="shared" si="171"/>
        <v>8.6630466176162199E-2</v>
      </c>
      <c r="AY82" s="15">
        <f t="shared" si="171"/>
        <v>8.4462482407107325E-2</v>
      </c>
      <c r="AZ82" s="15">
        <f t="shared" si="171"/>
        <v>9.3204413724255114E-2</v>
      </c>
      <c r="BA82" s="15" t="e">
        <f t="shared" si="171"/>
        <v>#DIV/0!</v>
      </c>
      <c r="BB82" s="15" t="e">
        <f t="shared" si="171"/>
        <v>#DIV/0!</v>
      </c>
      <c r="BC82" s="15" t="e">
        <f t="shared" si="171"/>
        <v>#DIV/0!</v>
      </c>
      <c r="BD82" s="15" t="e">
        <f t="shared" si="171"/>
        <v>#DIV/0!</v>
      </c>
      <c r="BE82" s="15" t="e">
        <f t="shared" si="171"/>
        <v>#DIV/0!</v>
      </c>
      <c r="BF82" s="15" t="e">
        <f t="shared" si="171"/>
        <v>#DIV/0!</v>
      </c>
      <c r="BG82" s="15" t="e">
        <f t="shared" si="171"/>
        <v>#DIV/0!</v>
      </c>
      <c r="BH82" s="15">
        <f t="shared" ref="BH82" si="172">BH23/BH$50</f>
        <v>0.10175061679160415</v>
      </c>
      <c r="BI82" s="15">
        <f t="shared" ref="BI82:BI108" si="173">BI23/BI$50</f>
        <v>6.567946851532111E-2</v>
      </c>
      <c r="BJ82" s="4"/>
    </row>
    <row r="83" spans="1:76" x14ac:dyDescent="0.25">
      <c r="A83" s="3">
        <f>A82+1</f>
        <v>2</v>
      </c>
      <c r="B83" s="3" t="s">
        <v>97</v>
      </c>
      <c r="C83" s="3" t="s">
        <v>48</v>
      </c>
      <c r="D83" s="25" t="s">
        <v>39</v>
      </c>
      <c r="E83" s="3" t="s">
        <v>115</v>
      </c>
      <c r="F83" s="15">
        <f t="shared" ref="F83:AQ83" si="174">F24/F$50</f>
        <v>0.17649922444729346</v>
      </c>
      <c r="G83" s="15">
        <f t="shared" si="174"/>
        <v>0.13081393860268678</v>
      </c>
      <c r="H83" s="15">
        <f t="shared" si="174"/>
        <v>0.11234023642942238</v>
      </c>
      <c r="I83" s="15">
        <f t="shared" si="174"/>
        <v>0.14312030447568011</v>
      </c>
      <c r="J83" s="15">
        <f t="shared" si="174"/>
        <v>0.12333498355915214</v>
      </c>
      <c r="K83" s="15">
        <f t="shared" si="174"/>
        <v>0.14421540540358108</v>
      </c>
      <c r="L83" s="15">
        <f t="shared" si="174"/>
        <v>0.12363058841293641</v>
      </c>
      <c r="M83" s="15">
        <f t="shared" si="174"/>
        <v>0.13034228624735977</v>
      </c>
      <c r="N83" s="15">
        <f t="shared" si="174"/>
        <v>0.14368593228624368</v>
      </c>
      <c r="O83" s="15">
        <f t="shared" si="174"/>
        <v>0.12441324270906028</v>
      </c>
      <c r="P83" s="15">
        <f t="shared" si="174"/>
        <v>0.15945938095323794</v>
      </c>
      <c r="Q83" s="15">
        <f t="shared" si="174"/>
        <v>8.6295731071754783E-2</v>
      </c>
      <c r="R83" s="15">
        <f t="shared" si="174"/>
        <v>0.12841979865527664</v>
      </c>
      <c r="S83" s="15">
        <f t="shared" si="174"/>
        <v>5.6931699468259628E-2</v>
      </c>
      <c r="T83" s="15">
        <f t="shared" si="174"/>
        <v>7.0212016007607236E-2</v>
      </c>
      <c r="U83" s="15">
        <f t="shared" si="174"/>
        <v>4.7229203099008299E-2</v>
      </c>
      <c r="V83" s="15">
        <f t="shared" si="174"/>
        <v>5.7057048214448999E-2</v>
      </c>
      <c r="W83" s="15">
        <f t="shared" si="174"/>
        <v>5.8241173010345731E-2</v>
      </c>
      <c r="X83" s="15">
        <f t="shared" si="174"/>
        <v>7.3458010325803888E-2</v>
      </c>
      <c r="Y83" s="15">
        <f t="shared" si="174"/>
        <v>0.11052626449764127</v>
      </c>
      <c r="Z83" s="15">
        <f t="shared" si="174"/>
        <v>0.10034485552098693</v>
      </c>
      <c r="AA83" s="15">
        <f t="shared" si="174"/>
        <v>8.4733725147014896E-2</v>
      </c>
      <c r="AB83" s="15">
        <f t="shared" si="174"/>
        <v>6.4348496068428407E-2</v>
      </c>
      <c r="AC83" s="15">
        <f t="shared" si="174"/>
        <v>6.142500727611918E-2</v>
      </c>
      <c r="AD83" s="15"/>
      <c r="AE83" s="15"/>
      <c r="AF83" s="15">
        <f t="shared" si="174"/>
        <v>6.9220063369519899E-2</v>
      </c>
      <c r="AG83" s="15">
        <f t="shared" si="174"/>
        <v>6.9220063369519857E-2</v>
      </c>
      <c r="AH83" s="15">
        <f t="shared" si="174"/>
        <v>0.13327337650243778</v>
      </c>
      <c r="AI83" s="15">
        <f t="shared" si="174"/>
        <v>9.2572882329582051E-2</v>
      </c>
      <c r="AJ83" s="15">
        <f t="shared" si="174"/>
        <v>5.9558546828751724E-2</v>
      </c>
      <c r="AK83" s="15">
        <f t="shared" si="174"/>
        <v>7.1751065369139527E-2</v>
      </c>
      <c r="AL83" s="15">
        <f t="shared" si="174"/>
        <v>6.4158605167797408E-2</v>
      </c>
      <c r="AM83" s="15">
        <f t="shared" si="174"/>
        <v>7.224277284911193E-2</v>
      </c>
      <c r="AN83" s="15">
        <f t="shared" si="174"/>
        <v>7.2719109073020802E-2</v>
      </c>
      <c r="AO83" s="15">
        <f t="shared" si="174"/>
        <v>6.9829055757659825E-2</v>
      </c>
      <c r="AP83" s="15">
        <f t="shared" si="174"/>
        <v>7.6251972106553254E-2</v>
      </c>
      <c r="AQ83" s="15">
        <f t="shared" si="174"/>
        <v>9.5492728988494049E-2</v>
      </c>
      <c r="AR83" s="15">
        <f t="shared" ref="AR83:AS83" si="175">AR24/AR$50</f>
        <v>0.11689250404929551</v>
      </c>
      <c r="AS83" s="15">
        <f t="shared" si="175"/>
        <v>9.6690640242607262E-2</v>
      </c>
      <c r="AT83" s="15"/>
      <c r="AU83" s="15">
        <f t="shared" ref="AU83:BG83" si="176">AU24/AU$50</f>
        <v>8.0448134751993611E-2</v>
      </c>
      <c r="AV83" s="15">
        <f t="shared" si="176"/>
        <v>9.8940323783674483E-2</v>
      </c>
      <c r="AW83" s="15">
        <f t="shared" si="176"/>
        <v>0.12422134619263489</v>
      </c>
      <c r="AX83" s="15">
        <f t="shared" si="176"/>
        <v>4.2838692143916085E-2</v>
      </c>
      <c r="AY83" s="15">
        <f t="shared" si="176"/>
        <v>7.7538584144052708E-2</v>
      </c>
      <c r="AZ83" s="15">
        <f t="shared" si="176"/>
        <v>8.2332266306389734E-2</v>
      </c>
      <c r="BA83" s="15" t="e">
        <f t="shared" si="176"/>
        <v>#DIV/0!</v>
      </c>
      <c r="BB83" s="15" t="e">
        <f t="shared" si="176"/>
        <v>#DIV/0!</v>
      </c>
      <c r="BC83" s="15" t="e">
        <f t="shared" si="176"/>
        <v>#DIV/0!</v>
      </c>
      <c r="BD83" s="15" t="e">
        <f t="shared" si="176"/>
        <v>#DIV/0!</v>
      </c>
      <c r="BE83" s="15" t="e">
        <f t="shared" si="176"/>
        <v>#DIV/0!</v>
      </c>
      <c r="BF83" s="15" t="e">
        <f t="shared" si="176"/>
        <v>#DIV/0!</v>
      </c>
      <c r="BG83" s="15" t="e">
        <f t="shared" si="176"/>
        <v>#DIV/0!</v>
      </c>
      <c r="BH83" s="15">
        <f t="shared" ref="BH83" si="177">BH24/BH$50</f>
        <v>8.0115625585034045E-2</v>
      </c>
      <c r="BI83" s="15">
        <f t="shared" si="173"/>
        <v>0.10598068404637025</v>
      </c>
      <c r="BJ83" s="4"/>
    </row>
    <row r="84" spans="1:76" x14ac:dyDescent="0.25">
      <c r="A84" s="3">
        <f t="shared" ref="A84:A108" si="178">A83+1</f>
        <v>3</v>
      </c>
      <c r="B84" s="3" t="s">
        <v>97</v>
      </c>
      <c r="C84" s="3" t="s">
        <v>16</v>
      </c>
      <c r="D84" s="25" t="s">
        <v>16</v>
      </c>
      <c r="E84" s="3" t="s">
        <v>115</v>
      </c>
      <c r="F84" s="15">
        <f t="shared" ref="F84:AQ84" si="179">F25/F$50</f>
        <v>5.7619981327943465E-2</v>
      </c>
      <c r="G84" s="15">
        <f t="shared" si="179"/>
        <v>4.6104216180025456E-2</v>
      </c>
      <c r="H84" s="15">
        <f t="shared" si="179"/>
        <v>4.1299178418671874E-2</v>
      </c>
      <c r="I84" s="15">
        <f t="shared" si="179"/>
        <v>5.0863813788455239E-2</v>
      </c>
      <c r="J84" s="15">
        <f t="shared" si="179"/>
        <v>4.1048275943614161E-2</v>
      </c>
      <c r="K84" s="15">
        <f t="shared" si="179"/>
        <v>4.7542615026611584E-2</v>
      </c>
      <c r="L84" s="15">
        <f t="shared" si="179"/>
        <v>4.2977874225545845E-2</v>
      </c>
      <c r="M84" s="15">
        <f t="shared" si="179"/>
        <v>4.3107695150381625E-2</v>
      </c>
      <c r="N84" s="15">
        <f t="shared" si="179"/>
        <v>5.0906363910743678E-2</v>
      </c>
      <c r="O84" s="15">
        <f t="shared" si="179"/>
        <v>4.5217675393441313E-2</v>
      </c>
      <c r="P84" s="15">
        <f t="shared" si="179"/>
        <v>5.5540428246328363E-2</v>
      </c>
      <c r="Q84" s="15">
        <f t="shared" si="179"/>
        <v>3.0750935901317264E-2</v>
      </c>
      <c r="R84" s="15">
        <f t="shared" si="179"/>
        <v>4.4579002959506737E-2</v>
      </c>
      <c r="S84" s="15">
        <f t="shared" si="179"/>
        <v>2.6795416895023631E-2</v>
      </c>
      <c r="T84" s="15">
        <f t="shared" si="179"/>
        <v>3.7737638416112045E-2</v>
      </c>
      <c r="U84" s="15">
        <f t="shared" si="179"/>
        <v>2.4047509486506413E-2</v>
      </c>
      <c r="V84" s="15">
        <f t="shared" si="179"/>
        <v>2.6916870711057521E-2</v>
      </c>
      <c r="W84" s="15">
        <f t="shared" si="179"/>
        <v>2.68919446415418E-2</v>
      </c>
      <c r="X84" s="15">
        <f t="shared" si="179"/>
        <v>3.4375586032248821E-2</v>
      </c>
      <c r="Y84" s="15">
        <f t="shared" si="179"/>
        <v>5.4762563928431811E-2</v>
      </c>
      <c r="Z84" s="15">
        <f t="shared" si="179"/>
        <v>4.957427024526926E-2</v>
      </c>
      <c r="AA84" s="15">
        <f t="shared" si="179"/>
        <v>4.1313307501127203E-2</v>
      </c>
      <c r="AB84" s="15">
        <f t="shared" si="179"/>
        <v>3.0207467764661509E-2</v>
      </c>
      <c r="AC84" s="15">
        <f t="shared" si="179"/>
        <v>2.8195020115577514E-2</v>
      </c>
      <c r="AD84" s="15"/>
      <c r="AE84" s="15"/>
      <c r="AF84" s="15">
        <f t="shared" si="179"/>
        <v>3.3224220136361435E-2</v>
      </c>
      <c r="AG84" s="15">
        <f t="shared" si="179"/>
        <v>3.3224220136361414E-2</v>
      </c>
      <c r="AH84" s="15">
        <f t="shared" si="179"/>
        <v>6.2401874522753295E-2</v>
      </c>
      <c r="AI84" s="15">
        <f t="shared" si="179"/>
        <v>4.4603533743437063E-2</v>
      </c>
      <c r="AJ84" s="15">
        <f t="shared" si="179"/>
        <v>3.0795683763674902E-2</v>
      </c>
      <c r="AK84" s="15">
        <f t="shared" si="179"/>
        <v>3.2853146791006545E-2</v>
      </c>
      <c r="AL84" s="15">
        <f t="shared" si="179"/>
        <v>3.0029235759508346E-2</v>
      </c>
      <c r="AM84" s="15">
        <f t="shared" si="179"/>
        <v>3.3167494209180554E-2</v>
      </c>
      <c r="AN84" s="15">
        <f t="shared" si="179"/>
        <v>3.0240961766788581E-2</v>
      </c>
      <c r="AO84" s="15">
        <f t="shared" si="179"/>
        <v>3.0380922414120153E-2</v>
      </c>
      <c r="AP84" s="15">
        <f t="shared" si="179"/>
        <v>3.3135418225329318E-2</v>
      </c>
      <c r="AQ84" s="15">
        <f t="shared" si="179"/>
        <v>4.3826916631564107E-2</v>
      </c>
      <c r="AR84" s="15">
        <f t="shared" ref="AR84:AS84" si="180">AR25/AR$50</f>
        <v>6.029252521683659E-2</v>
      </c>
      <c r="AS84" s="15">
        <f t="shared" si="180"/>
        <v>4.3514926854808567E-2</v>
      </c>
      <c r="AT84" s="15"/>
      <c r="AU84" s="15">
        <f t="shared" ref="AU84:BG84" si="181">AU25/AU$50</f>
        <v>3.7131000104663629E-2</v>
      </c>
      <c r="AV84" s="15">
        <f t="shared" si="181"/>
        <v>2.4709111615129658E-2</v>
      </c>
      <c r="AW84" s="15">
        <f t="shared" si="181"/>
        <v>3.5647594701287671E-2</v>
      </c>
      <c r="AX84" s="15">
        <f t="shared" si="181"/>
        <v>1.9040706319039938E-2</v>
      </c>
      <c r="AY84" s="15">
        <f t="shared" si="181"/>
        <v>2.0018604947155495E-2</v>
      </c>
      <c r="AZ84" s="15">
        <f t="shared" si="181"/>
        <v>2.2604399528785728E-2</v>
      </c>
      <c r="BA84" s="15" t="e">
        <f t="shared" si="181"/>
        <v>#DIV/0!</v>
      </c>
      <c r="BB84" s="15" t="e">
        <f t="shared" si="181"/>
        <v>#DIV/0!</v>
      </c>
      <c r="BC84" s="15" t="e">
        <f t="shared" si="181"/>
        <v>#DIV/0!</v>
      </c>
      <c r="BD84" s="15" t="e">
        <f t="shared" si="181"/>
        <v>#DIV/0!</v>
      </c>
      <c r="BE84" s="15" t="e">
        <f t="shared" si="181"/>
        <v>#DIV/0!</v>
      </c>
      <c r="BF84" s="15" t="e">
        <f t="shared" si="181"/>
        <v>#DIV/0!</v>
      </c>
      <c r="BG84" s="15" t="e">
        <f t="shared" si="181"/>
        <v>#DIV/0!</v>
      </c>
      <c r="BH84" s="15">
        <f t="shared" ref="BH84" si="182">BH25/BH$50</f>
        <v>2.314504938965891E-2</v>
      </c>
      <c r="BI84" s="15">
        <f t="shared" si="173"/>
        <v>6.4032528537712519E-2</v>
      </c>
      <c r="BJ84" s="4"/>
    </row>
    <row r="85" spans="1:76" x14ac:dyDescent="0.25">
      <c r="A85" s="3">
        <f t="shared" si="178"/>
        <v>4</v>
      </c>
      <c r="B85" s="3" t="s">
        <v>97</v>
      </c>
      <c r="C85" s="3" t="s">
        <v>12</v>
      </c>
      <c r="D85" s="25" t="s">
        <v>12</v>
      </c>
      <c r="E85" s="3" t="s">
        <v>115</v>
      </c>
      <c r="F85" s="15">
        <f t="shared" ref="F85:AQ85" si="183">F26/F$50</f>
        <v>1.3406400526404291E-2</v>
      </c>
      <c r="G85" s="15">
        <f t="shared" si="183"/>
        <v>1.0653076680650075E-2</v>
      </c>
      <c r="H85" s="15">
        <f t="shared" si="183"/>
        <v>8.5081275984518322E-3</v>
      </c>
      <c r="I85" s="15">
        <f t="shared" si="183"/>
        <v>8.7769088585150229E-3</v>
      </c>
      <c r="J85" s="15">
        <f t="shared" si="183"/>
        <v>9.6807108726609144E-3</v>
      </c>
      <c r="K85" s="15">
        <f t="shared" si="183"/>
        <v>9.1627528551082148E-3</v>
      </c>
      <c r="L85" s="15">
        <f t="shared" si="183"/>
        <v>8.2944021859789243E-3</v>
      </c>
      <c r="M85" s="15">
        <f t="shared" si="183"/>
        <v>8.6967731124782E-3</v>
      </c>
      <c r="N85" s="15">
        <f t="shared" si="183"/>
        <v>8.3881771050163239E-3</v>
      </c>
      <c r="O85" s="15">
        <f t="shared" si="183"/>
        <v>8.5884973214401319E-3</v>
      </c>
      <c r="P85" s="15">
        <f t="shared" si="183"/>
        <v>1.1845313037789218E-2</v>
      </c>
      <c r="Q85" s="15">
        <f t="shared" si="183"/>
        <v>6.9001029035347695E-3</v>
      </c>
      <c r="R85" s="15">
        <f t="shared" si="183"/>
        <v>9.0843892052574898E-3</v>
      </c>
      <c r="S85" s="15">
        <f t="shared" si="183"/>
        <v>5.5710716809382029E-3</v>
      </c>
      <c r="T85" s="15">
        <f t="shared" si="183"/>
        <v>7.5171311001952321E-3</v>
      </c>
      <c r="U85" s="15">
        <f t="shared" si="183"/>
        <v>5.6680014929782509E-3</v>
      </c>
      <c r="V85" s="15">
        <f t="shared" si="183"/>
        <v>6.5203572217044916E-3</v>
      </c>
      <c r="W85" s="15">
        <f t="shared" si="183"/>
        <v>7.0313075813093779E-3</v>
      </c>
      <c r="X85" s="15">
        <f t="shared" si="183"/>
        <v>7.0789578539045255E-3</v>
      </c>
      <c r="Y85" s="15">
        <f t="shared" si="183"/>
        <v>9.3683767706001196E-3</v>
      </c>
      <c r="Z85" s="15">
        <f t="shared" si="183"/>
        <v>1.0826888321672523E-2</v>
      </c>
      <c r="AA85" s="15">
        <f t="shared" si="183"/>
        <v>1.1328890070090272E-2</v>
      </c>
      <c r="AB85" s="15">
        <f t="shared" si="183"/>
        <v>6.4851057552812973E-3</v>
      </c>
      <c r="AC85" s="15">
        <f t="shared" si="183"/>
        <v>7.3067910572748212E-3</v>
      </c>
      <c r="AD85" s="15"/>
      <c r="AE85" s="15"/>
      <c r="AF85" s="15">
        <f t="shared" si="183"/>
        <v>7.6448290212209943E-3</v>
      </c>
      <c r="AG85" s="15">
        <f t="shared" si="183"/>
        <v>7.6448290212209899E-3</v>
      </c>
      <c r="AH85" s="15">
        <f t="shared" si="183"/>
        <v>1.2384780306006633E-2</v>
      </c>
      <c r="AI85" s="15">
        <f t="shared" si="183"/>
        <v>1.0792731700237184E-2</v>
      </c>
      <c r="AJ85" s="15">
        <f t="shared" si="183"/>
        <v>6.9380889034365923E-3</v>
      </c>
      <c r="AK85" s="15">
        <f t="shared" si="183"/>
        <v>8.9108996182625452E-3</v>
      </c>
      <c r="AL85" s="15">
        <f t="shared" si="183"/>
        <v>7.174571417648587E-3</v>
      </c>
      <c r="AM85" s="15">
        <f t="shared" si="183"/>
        <v>7.0954444033926338E-3</v>
      </c>
      <c r="AN85" s="15">
        <f t="shared" si="183"/>
        <v>6.5931410283226336E-3</v>
      </c>
      <c r="AO85" s="15">
        <f t="shared" si="183"/>
        <v>6.4281926209350821E-3</v>
      </c>
      <c r="AP85" s="15">
        <f t="shared" si="183"/>
        <v>6.7384332685540135E-3</v>
      </c>
      <c r="AQ85" s="15">
        <f t="shared" si="183"/>
        <v>9.0243374147029338E-3</v>
      </c>
      <c r="AR85" s="15">
        <f t="shared" ref="AR85:AS85" si="184">AR26/AR$50</f>
        <v>1.3064450650364478E-2</v>
      </c>
      <c r="AS85" s="15">
        <f t="shared" si="184"/>
        <v>8.1653016627500526E-3</v>
      </c>
      <c r="AT85" s="15"/>
      <c r="AU85" s="15">
        <f t="shared" ref="AU85:BG85" si="185">AU26/AU$50</f>
        <v>8.1244626871219139E-3</v>
      </c>
      <c r="AV85" s="15">
        <f t="shared" si="185"/>
        <v>6.4933842431057747E-3</v>
      </c>
      <c r="AW85" s="15">
        <f t="shared" si="185"/>
        <v>8.0925107438804874E-3</v>
      </c>
      <c r="AX85" s="15">
        <f t="shared" si="185"/>
        <v>5.0831072685195182E-3</v>
      </c>
      <c r="AY85" s="15">
        <f t="shared" si="185"/>
        <v>4.6615140128517928E-3</v>
      </c>
      <c r="AZ85" s="15">
        <f t="shared" si="185"/>
        <v>5.3467140191476624E-3</v>
      </c>
      <c r="BA85" s="15" t="e">
        <f t="shared" si="185"/>
        <v>#DIV/0!</v>
      </c>
      <c r="BB85" s="15" t="e">
        <f t="shared" si="185"/>
        <v>#DIV/0!</v>
      </c>
      <c r="BC85" s="15" t="e">
        <f t="shared" si="185"/>
        <v>#DIV/0!</v>
      </c>
      <c r="BD85" s="15" t="e">
        <f t="shared" si="185"/>
        <v>#DIV/0!</v>
      </c>
      <c r="BE85" s="15" t="e">
        <f t="shared" si="185"/>
        <v>#DIV/0!</v>
      </c>
      <c r="BF85" s="15" t="e">
        <f t="shared" si="185"/>
        <v>#DIV/0!</v>
      </c>
      <c r="BG85" s="15" t="e">
        <f t="shared" si="185"/>
        <v>#DIV/0!</v>
      </c>
      <c r="BH85" s="15">
        <f t="shared" ref="BH85" si="186">BH26/BH$50</f>
        <v>5.6687769713458531E-3</v>
      </c>
      <c r="BI85" s="15">
        <f t="shared" si="173"/>
        <v>7.0873972065904536E-3</v>
      </c>
      <c r="BJ85" s="4"/>
    </row>
    <row r="86" spans="1:76" x14ac:dyDescent="0.25">
      <c r="A86" s="3">
        <f t="shared" si="178"/>
        <v>5</v>
      </c>
      <c r="B86" s="3" t="s">
        <v>97</v>
      </c>
      <c r="C86" s="3" t="s">
        <v>51</v>
      </c>
      <c r="D86" s="25" t="s">
        <v>30</v>
      </c>
      <c r="E86" s="3" t="s">
        <v>115</v>
      </c>
      <c r="F86" s="15">
        <f t="shared" ref="F86:AQ86" si="187">F27/F$50</f>
        <v>5.810961877701467E-3</v>
      </c>
      <c r="G86" s="15">
        <f t="shared" si="187"/>
        <v>2.7870739094193056E-3</v>
      </c>
      <c r="H86" s="15">
        <f t="shared" si="187"/>
        <v>2.8494951053127686E-3</v>
      </c>
      <c r="I86" s="15">
        <f t="shared" si="187"/>
        <v>1.6839947024657298E-3</v>
      </c>
      <c r="J86" s="15">
        <f t="shared" si="187"/>
        <v>4.0435816987700211E-3</v>
      </c>
      <c r="K86" s="15">
        <f t="shared" si="187"/>
        <v>3.9162032359852722E-3</v>
      </c>
      <c r="L86" s="15">
        <f t="shared" si="187"/>
        <v>5.7997144816962793E-3</v>
      </c>
      <c r="M86" s="15">
        <f t="shared" si="187"/>
        <v>4.0187980397367422E-3</v>
      </c>
      <c r="N86" s="15">
        <f t="shared" si="187"/>
        <v>3.9925180652990522E-3</v>
      </c>
      <c r="O86" s="15">
        <f t="shared" si="187"/>
        <v>4.8018799957131163E-3</v>
      </c>
      <c r="P86" s="15">
        <f t="shared" si="187"/>
        <v>8.6282444885201568E-3</v>
      </c>
      <c r="Q86" s="15">
        <f t="shared" si="187"/>
        <v>6.178943418997546E-3</v>
      </c>
      <c r="R86" s="15">
        <f t="shared" si="187"/>
        <v>4.6352531528411779E-3</v>
      </c>
      <c r="S86" s="15">
        <f t="shared" si="187"/>
        <v>3.0588711985722436E-3</v>
      </c>
      <c r="T86" s="15">
        <f t="shared" si="187"/>
        <v>3.6919133899782773E-3</v>
      </c>
      <c r="U86" s="15">
        <f t="shared" si="187"/>
        <v>3.0951298539605397E-3</v>
      </c>
      <c r="V86" s="15">
        <f t="shared" si="187"/>
        <v>3.0779790144758691E-3</v>
      </c>
      <c r="W86" s="15">
        <f t="shared" si="187"/>
        <v>4.4030488424766315E-3</v>
      </c>
      <c r="X86" s="15">
        <f t="shared" si="187"/>
        <v>5.6030877999333657E-3</v>
      </c>
      <c r="Y86" s="15">
        <f t="shared" si="187"/>
        <v>5.4661151853673271E-3</v>
      </c>
      <c r="Z86" s="15">
        <f t="shared" si="187"/>
        <v>5.0751774606147756E-3</v>
      </c>
      <c r="AA86" s="15">
        <f t="shared" si="187"/>
        <v>5.8472616168414523E-3</v>
      </c>
      <c r="AB86" s="15">
        <f t="shared" si="187"/>
        <v>5.699421158889907E-3</v>
      </c>
      <c r="AC86" s="15">
        <f t="shared" si="187"/>
        <v>5.578063200747229E-3</v>
      </c>
      <c r="AD86" s="15"/>
      <c r="AE86" s="15"/>
      <c r="AF86" s="15">
        <f t="shared" si="187"/>
        <v>4.8220594426397973E-3</v>
      </c>
      <c r="AG86" s="15">
        <f t="shared" si="187"/>
        <v>4.8220594426397938E-3</v>
      </c>
      <c r="AH86" s="15">
        <f t="shared" si="187"/>
        <v>9.074909557906588E-3</v>
      </c>
      <c r="AI86" s="15">
        <f t="shared" si="187"/>
        <v>7.2543370817329559E-3</v>
      </c>
      <c r="AJ86" s="15">
        <f t="shared" si="187"/>
        <v>4.5803341117964464E-3</v>
      </c>
      <c r="AK86" s="15">
        <f t="shared" si="187"/>
        <v>4.8858233650700003E-3</v>
      </c>
      <c r="AL86" s="15">
        <f t="shared" si="187"/>
        <v>4.4847448338413975E-3</v>
      </c>
      <c r="AM86" s="15">
        <f t="shared" si="187"/>
        <v>5.7850020687197287E-3</v>
      </c>
      <c r="AN86" s="15">
        <f t="shared" si="187"/>
        <v>5.8554690141622602E-3</v>
      </c>
      <c r="AO86" s="15">
        <f t="shared" si="187"/>
        <v>4.9262539962571239E-3</v>
      </c>
      <c r="AP86" s="15">
        <f t="shared" si="187"/>
        <v>5.1118701855121006E-3</v>
      </c>
      <c r="AQ86" s="15">
        <f t="shared" si="187"/>
        <v>6.4794548029605912E-3</v>
      </c>
      <c r="AR86" s="15">
        <f t="shared" ref="AR86:AS86" si="188">AR27/AR$50</f>
        <v>9.4037755439911001E-3</v>
      </c>
      <c r="AS86" s="15">
        <f t="shared" si="188"/>
        <v>6.4758377967484996E-3</v>
      </c>
      <c r="AT86" s="15"/>
      <c r="AU86" s="15">
        <f t="shared" ref="AU86:BG86" si="189">AU27/AU$50</f>
        <v>5.8531200149334215E-3</v>
      </c>
      <c r="AV86" s="15">
        <f t="shared" si="189"/>
        <v>5.8251241120828492E-3</v>
      </c>
      <c r="AW86" s="15">
        <f t="shared" si="189"/>
        <v>5.9191558582043129E-3</v>
      </c>
      <c r="AX86" s="15">
        <f t="shared" si="189"/>
        <v>4.640470082792887E-3</v>
      </c>
      <c r="AY86" s="15">
        <f t="shared" si="189"/>
        <v>5.4392546982274378E-3</v>
      </c>
      <c r="AZ86" s="15">
        <f t="shared" si="189"/>
        <v>6.5734248127348816E-3</v>
      </c>
      <c r="BA86" s="15" t="e">
        <f t="shared" si="189"/>
        <v>#DIV/0!</v>
      </c>
      <c r="BB86" s="15" t="e">
        <f t="shared" si="189"/>
        <v>#DIV/0!</v>
      </c>
      <c r="BC86" s="15" t="e">
        <f t="shared" si="189"/>
        <v>#DIV/0!</v>
      </c>
      <c r="BD86" s="15" t="e">
        <f t="shared" si="189"/>
        <v>#DIV/0!</v>
      </c>
      <c r="BE86" s="15" t="e">
        <f t="shared" si="189"/>
        <v>#DIV/0!</v>
      </c>
      <c r="BF86" s="15" t="e">
        <f t="shared" si="189"/>
        <v>#DIV/0!</v>
      </c>
      <c r="BG86" s="15" t="e">
        <f t="shared" si="189"/>
        <v>#DIV/0!</v>
      </c>
      <c r="BH86" s="15">
        <f t="shared" ref="BH86" si="190">BH27/BH$50</f>
        <v>5.6289196618839327E-3</v>
      </c>
      <c r="BI86" s="15">
        <f t="shared" si="173"/>
        <v>4.2969425019835509E-3</v>
      </c>
      <c r="BJ86" s="4"/>
    </row>
    <row r="87" spans="1:76" x14ac:dyDescent="0.25">
      <c r="A87" s="3">
        <f t="shared" si="178"/>
        <v>6</v>
      </c>
      <c r="B87" s="3" t="s">
        <v>97</v>
      </c>
      <c r="C87" s="3" t="s">
        <v>40</v>
      </c>
      <c r="D87" s="25" t="s">
        <v>40</v>
      </c>
      <c r="E87" s="3" t="s">
        <v>115</v>
      </c>
      <c r="F87" s="15">
        <f t="shared" ref="F87:AQ87" si="191">F28/F$50</f>
        <v>1.2770615794126586E-3</v>
      </c>
      <c r="G87" s="15">
        <f t="shared" si="191"/>
        <v>0</v>
      </c>
      <c r="H87" s="15">
        <f t="shared" si="191"/>
        <v>8.542855250601375E-4</v>
      </c>
      <c r="I87" s="15">
        <f t="shared" si="191"/>
        <v>1.548005647584758E-3</v>
      </c>
      <c r="J87" s="15">
        <f t="shared" si="191"/>
        <v>1.1510425475443262E-3</v>
      </c>
      <c r="K87" s="15">
        <f t="shared" si="191"/>
        <v>5.3806790772743156E-4</v>
      </c>
      <c r="L87" s="15">
        <f t="shared" si="191"/>
        <v>1.507409291522577E-3</v>
      </c>
      <c r="M87" s="15">
        <f t="shared" si="191"/>
        <v>1.4724789472676278E-3</v>
      </c>
      <c r="N87" s="15">
        <f t="shared" si="191"/>
        <v>1.9545518706528511E-3</v>
      </c>
      <c r="O87" s="15">
        <f t="shared" si="191"/>
        <v>2.0385057223931704E-3</v>
      </c>
      <c r="P87" s="15">
        <f t="shared" si="191"/>
        <v>3.0308508544911001E-3</v>
      </c>
      <c r="Q87" s="15">
        <f t="shared" si="191"/>
        <v>3.2105203537437831E-3</v>
      </c>
      <c r="R87" s="15">
        <f t="shared" si="191"/>
        <v>1.6771609232973978E-3</v>
      </c>
      <c r="S87" s="15">
        <f t="shared" si="191"/>
        <v>0</v>
      </c>
      <c r="T87" s="15">
        <f t="shared" si="191"/>
        <v>0</v>
      </c>
      <c r="U87" s="15">
        <f t="shared" si="191"/>
        <v>0</v>
      </c>
      <c r="V87" s="15">
        <f t="shared" si="191"/>
        <v>0</v>
      </c>
      <c r="W87" s="15">
        <f t="shared" si="191"/>
        <v>0</v>
      </c>
      <c r="X87" s="15">
        <f t="shared" si="191"/>
        <v>0</v>
      </c>
      <c r="Y87" s="15">
        <f t="shared" si="191"/>
        <v>0</v>
      </c>
      <c r="Z87" s="15">
        <f t="shared" si="191"/>
        <v>0</v>
      </c>
      <c r="AA87" s="15">
        <f t="shared" si="191"/>
        <v>0</v>
      </c>
      <c r="AB87" s="15">
        <f t="shared" si="191"/>
        <v>0</v>
      </c>
      <c r="AC87" s="15">
        <f t="shared" si="191"/>
        <v>0</v>
      </c>
      <c r="AD87" s="15"/>
      <c r="AE87" s="15"/>
      <c r="AF87" s="15">
        <f t="shared" si="191"/>
        <v>0</v>
      </c>
      <c r="AG87" s="15">
        <f t="shared" si="191"/>
        <v>0</v>
      </c>
      <c r="AH87" s="15">
        <f t="shared" si="191"/>
        <v>0</v>
      </c>
      <c r="AI87" s="15">
        <f t="shared" si="191"/>
        <v>0</v>
      </c>
      <c r="AJ87" s="15">
        <f t="shared" si="191"/>
        <v>0</v>
      </c>
      <c r="AK87" s="15">
        <f t="shared" si="191"/>
        <v>0</v>
      </c>
      <c r="AL87" s="15">
        <f t="shared" si="191"/>
        <v>0</v>
      </c>
      <c r="AM87" s="15">
        <f t="shared" si="191"/>
        <v>0</v>
      </c>
      <c r="AN87" s="15">
        <f t="shared" si="191"/>
        <v>0</v>
      </c>
      <c r="AO87" s="15">
        <f t="shared" si="191"/>
        <v>0</v>
      </c>
      <c r="AP87" s="15">
        <f t="shared" si="191"/>
        <v>0</v>
      </c>
      <c r="AQ87" s="15">
        <f t="shared" si="191"/>
        <v>0</v>
      </c>
      <c r="AR87" s="15">
        <f t="shared" ref="AR87:AS87" si="192">AR28/AR$50</f>
        <v>0</v>
      </c>
      <c r="AS87" s="15">
        <f t="shared" si="192"/>
        <v>0</v>
      </c>
      <c r="AT87" s="15"/>
      <c r="AU87" s="15">
        <f t="shared" ref="AU87:BG87" si="193">AU28/AU$50</f>
        <v>0</v>
      </c>
      <c r="AV87" s="15">
        <f t="shared" si="193"/>
        <v>0</v>
      </c>
      <c r="AW87" s="15">
        <f t="shared" si="193"/>
        <v>0</v>
      </c>
      <c r="AX87" s="15">
        <f t="shared" si="193"/>
        <v>0</v>
      </c>
      <c r="AY87" s="15">
        <f t="shared" si="193"/>
        <v>0</v>
      </c>
      <c r="AZ87" s="15">
        <f t="shared" si="193"/>
        <v>0</v>
      </c>
      <c r="BA87" s="15" t="e">
        <f t="shared" si="193"/>
        <v>#DIV/0!</v>
      </c>
      <c r="BB87" s="15" t="e">
        <f t="shared" si="193"/>
        <v>#DIV/0!</v>
      </c>
      <c r="BC87" s="15" t="e">
        <f t="shared" si="193"/>
        <v>#DIV/0!</v>
      </c>
      <c r="BD87" s="15" t="e">
        <f t="shared" si="193"/>
        <v>#DIV/0!</v>
      </c>
      <c r="BE87" s="15" t="e">
        <f t="shared" si="193"/>
        <v>#DIV/0!</v>
      </c>
      <c r="BF87" s="15" t="e">
        <f t="shared" si="193"/>
        <v>#DIV/0!</v>
      </c>
      <c r="BG87" s="15" t="e">
        <f t="shared" si="193"/>
        <v>#DIV/0!</v>
      </c>
      <c r="BH87" s="15">
        <f t="shared" ref="BH87" si="194">BH28/BH$50</f>
        <v>0</v>
      </c>
      <c r="BI87" s="15">
        <f t="shared" si="173"/>
        <v>0</v>
      </c>
      <c r="BJ87" s="4"/>
    </row>
    <row r="88" spans="1:76" x14ac:dyDescent="0.25">
      <c r="A88" s="3">
        <f t="shared" si="178"/>
        <v>7</v>
      </c>
      <c r="B88" s="3" t="s">
        <v>97</v>
      </c>
      <c r="C88" s="3" t="s">
        <v>36</v>
      </c>
      <c r="D88" s="25" t="s">
        <v>9</v>
      </c>
      <c r="E88" s="3" t="s">
        <v>115</v>
      </c>
      <c r="F88" s="15">
        <f t="shared" ref="F88:AQ88" si="195">F29/F$50</f>
        <v>3.4860695681677547E-3</v>
      </c>
      <c r="G88" s="15">
        <f t="shared" si="195"/>
        <v>2.1946063559575035E-3</v>
      </c>
      <c r="H88" s="15">
        <f t="shared" si="195"/>
        <v>4.9606678759211284E-3</v>
      </c>
      <c r="I88" s="15">
        <f t="shared" si="195"/>
        <v>1.9940488665898702E-3</v>
      </c>
      <c r="J88" s="15">
        <f t="shared" si="195"/>
        <v>3.0946827796311058E-3</v>
      </c>
      <c r="K88" s="15">
        <f t="shared" si="195"/>
        <v>4.5682098172500117E-3</v>
      </c>
      <c r="L88" s="15">
        <f t="shared" si="195"/>
        <v>2.0604674941460638E-3</v>
      </c>
      <c r="M88" s="15">
        <f t="shared" si="195"/>
        <v>2.381278470154239E-3</v>
      </c>
      <c r="N88" s="15">
        <f t="shared" si="195"/>
        <v>3.4321507575005824E-3</v>
      </c>
      <c r="O88" s="15">
        <f t="shared" si="195"/>
        <v>1.9318940179986538E-3</v>
      </c>
      <c r="P88" s="15">
        <f t="shared" si="195"/>
        <v>1.2318017560304304E-3</v>
      </c>
      <c r="Q88" s="15">
        <f t="shared" si="195"/>
        <v>4.0472985030316011E-3</v>
      </c>
      <c r="R88" s="15">
        <f t="shared" si="195"/>
        <v>3.0008070857716319E-3</v>
      </c>
      <c r="S88" s="15">
        <f t="shared" si="195"/>
        <v>8.3129977696066464E-5</v>
      </c>
      <c r="T88" s="15">
        <f t="shared" si="195"/>
        <v>1.1687757673444372E-4</v>
      </c>
      <c r="U88" s="15">
        <f t="shared" si="195"/>
        <v>3.7227446471881487E-5</v>
      </c>
      <c r="V88" s="15">
        <f t="shared" si="195"/>
        <v>3.9960875466372713E-5</v>
      </c>
      <c r="W88" s="15">
        <f t="shared" si="195"/>
        <v>2.5583160632971702E-5</v>
      </c>
      <c r="X88" s="15">
        <f t="shared" si="195"/>
        <v>3.2668462752273389E-5</v>
      </c>
      <c r="Y88" s="15">
        <f t="shared" si="195"/>
        <v>1.0453996128515247E-4</v>
      </c>
      <c r="Z88" s="15">
        <f t="shared" si="195"/>
        <v>3.6355319178058449E-4</v>
      </c>
      <c r="AA88" s="15">
        <f t="shared" si="195"/>
        <v>3.6905039473755516E-5</v>
      </c>
      <c r="AB88" s="15">
        <f t="shared" si="195"/>
        <v>9.468902094673484E-5</v>
      </c>
      <c r="AC88" s="15">
        <f t="shared" si="195"/>
        <v>2.3681559127194829E-5</v>
      </c>
      <c r="AD88" s="15"/>
      <c r="AE88" s="15"/>
      <c r="AF88" s="15">
        <f t="shared" si="195"/>
        <v>7.1174027018346565E-5</v>
      </c>
      <c r="AG88" s="15">
        <f t="shared" si="195"/>
        <v>7.117402701834651E-5</v>
      </c>
      <c r="AH88" s="15">
        <f t="shared" si="195"/>
        <v>1.0669052073838537E-3</v>
      </c>
      <c r="AI88" s="15">
        <f t="shared" si="195"/>
        <v>2.6311497871819433E-4</v>
      </c>
      <c r="AJ88" s="15">
        <f t="shared" si="195"/>
        <v>1.8554195707356361E-4</v>
      </c>
      <c r="AK88" s="15">
        <f t="shared" si="195"/>
        <v>1.649963221014072E-4</v>
      </c>
      <c r="AL88" s="15">
        <f t="shared" si="195"/>
        <v>1.4348514732929907E-4</v>
      </c>
      <c r="AM88" s="15">
        <f t="shared" si="195"/>
        <v>1.6684935847658257E-4</v>
      </c>
      <c r="AN88" s="15">
        <f t="shared" si="195"/>
        <v>2.1653502974986049E-4</v>
      </c>
      <c r="AO88" s="15">
        <f t="shared" si="195"/>
        <v>2.3197323652072644E-4</v>
      </c>
      <c r="AP88" s="15">
        <f t="shared" si="195"/>
        <v>1.5843229950018514E-4</v>
      </c>
      <c r="AQ88" s="15">
        <f t="shared" si="195"/>
        <v>3.9512127846022484E-4</v>
      </c>
      <c r="AR88" s="15">
        <f t="shared" ref="AR88:AS88" si="196">AR29/AR$50</f>
        <v>5.6529823861387702E-4</v>
      </c>
      <c r="AS88" s="15">
        <f t="shared" si="196"/>
        <v>4.4537913969435329E-4</v>
      </c>
      <c r="AT88" s="15"/>
      <c r="AU88" s="15">
        <f t="shared" ref="AU88:BG88" si="197">AU29/AU$50</f>
        <v>2.8414309542876135E-4</v>
      </c>
      <c r="AV88" s="15">
        <f t="shared" si="197"/>
        <v>9.8331974864039894E-5</v>
      </c>
      <c r="AW88" s="15">
        <f t="shared" si="197"/>
        <v>3.4476493346170762E-4</v>
      </c>
      <c r="AX88" s="15">
        <f t="shared" si="197"/>
        <v>5.1213254765844284E-5</v>
      </c>
      <c r="AY88" s="15">
        <f t="shared" si="197"/>
        <v>6.0067107636385847E-5</v>
      </c>
      <c r="AZ88" s="15">
        <f t="shared" si="197"/>
        <v>6.0715299676520372E-5</v>
      </c>
      <c r="BA88" s="15" t="e">
        <f t="shared" si="197"/>
        <v>#DIV/0!</v>
      </c>
      <c r="BB88" s="15" t="e">
        <f t="shared" si="197"/>
        <v>#DIV/0!</v>
      </c>
      <c r="BC88" s="15" t="e">
        <f t="shared" si="197"/>
        <v>#DIV/0!</v>
      </c>
      <c r="BD88" s="15" t="e">
        <f t="shared" si="197"/>
        <v>#DIV/0!</v>
      </c>
      <c r="BE88" s="15" t="e">
        <f t="shared" si="197"/>
        <v>#DIV/0!</v>
      </c>
      <c r="BF88" s="15" t="e">
        <f t="shared" si="197"/>
        <v>#DIV/0!</v>
      </c>
      <c r="BG88" s="15" t="e">
        <f t="shared" si="197"/>
        <v>#DIV/0!</v>
      </c>
      <c r="BH88" s="15">
        <f t="shared" ref="BH88" si="198">BH29/BH$50</f>
        <v>1.0040591575604193E-4</v>
      </c>
      <c r="BI88" s="15">
        <f t="shared" si="173"/>
        <v>4.4262250521194661E-5</v>
      </c>
      <c r="BJ88" s="4"/>
    </row>
    <row r="89" spans="1:76" ht="27.6" x14ac:dyDescent="0.25">
      <c r="A89" s="3">
        <f t="shared" si="178"/>
        <v>8</v>
      </c>
      <c r="B89" s="3" t="s">
        <v>97</v>
      </c>
      <c r="C89" s="3" t="s">
        <v>51</v>
      </c>
      <c r="D89" s="32" t="s">
        <v>17</v>
      </c>
      <c r="E89" s="3" t="s">
        <v>115</v>
      </c>
      <c r="F89" s="15">
        <f t="shared" ref="F89:AQ89" si="199">F30/F$50</f>
        <v>7.7825095466055967E-4</v>
      </c>
      <c r="G89" s="15">
        <f t="shared" si="199"/>
        <v>5.0865362220434477E-4</v>
      </c>
      <c r="H89" s="15">
        <f t="shared" si="199"/>
        <v>1.7095356160464073E-3</v>
      </c>
      <c r="I89" s="15">
        <f t="shared" si="199"/>
        <v>1.5602838753505097E-3</v>
      </c>
      <c r="J89" s="15">
        <f t="shared" si="199"/>
        <v>1.3926498568937891E-3</v>
      </c>
      <c r="K89" s="15">
        <f t="shared" si="199"/>
        <v>1.9547494676885389E-3</v>
      </c>
      <c r="L89" s="15">
        <f t="shared" si="199"/>
        <v>2.6128234706641641E-3</v>
      </c>
      <c r="M89" s="15">
        <f t="shared" si="199"/>
        <v>2.0787693833684909E-3</v>
      </c>
      <c r="N89" s="15">
        <f t="shared" si="199"/>
        <v>1.6993526993456963E-3</v>
      </c>
      <c r="O89" s="15">
        <f t="shared" si="199"/>
        <v>2.0915012116622354E-3</v>
      </c>
      <c r="P89" s="15">
        <f t="shared" si="199"/>
        <v>2.3929460353266435E-3</v>
      </c>
      <c r="Q89" s="15">
        <f t="shared" si="199"/>
        <v>1.825915485707561E-3</v>
      </c>
      <c r="R89" s="15">
        <f t="shared" si="199"/>
        <v>1.7773761703086099E-3</v>
      </c>
      <c r="S89" s="15">
        <f t="shared" si="199"/>
        <v>1.2580428344167044E-3</v>
      </c>
      <c r="T89" s="15">
        <f t="shared" si="199"/>
        <v>2.0353934561964239E-3</v>
      </c>
      <c r="U89" s="15">
        <f t="shared" si="199"/>
        <v>1.4740987129204029E-3</v>
      </c>
      <c r="V89" s="15">
        <f t="shared" si="199"/>
        <v>1.5241549511333065E-3</v>
      </c>
      <c r="W89" s="15">
        <f t="shared" si="199"/>
        <v>1.2820554567644022E-3</v>
      </c>
      <c r="X89" s="15">
        <f t="shared" si="199"/>
        <v>2.1959208588438394E-3</v>
      </c>
      <c r="Y89" s="15">
        <f t="shared" si="199"/>
        <v>1.8406075189738925E-3</v>
      </c>
      <c r="Z89" s="15">
        <f t="shared" si="199"/>
        <v>4.0343937963501697E-3</v>
      </c>
      <c r="AA89" s="15">
        <f t="shared" si="199"/>
        <v>1.8597202808881589E-3</v>
      </c>
      <c r="AB89" s="15">
        <f t="shared" si="199"/>
        <v>1.0710910329104551E-3</v>
      </c>
      <c r="AC89" s="15">
        <f t="shared" si="199"/>
        <v>1.3119478668869916E-3</v>
      </c>
      <c r="AD89" s="15"/>
      <c r="AE89" s="15"/>
      <c r="AF89" s="15">
        <f t="shared" si="199"/>
        <v>1.7382189308436714E-3</v>
      </c>
      <c r="AG89" s="15">
        <f t="shared" si="199"/>
        <v>1.7382189308436703E-3</v>
      </c>
      <c r="AH89" s="15">
        <f t="shared" si="199"/>
        <v>3.0935815546003953E-3</v>
      </c>
      <c r="AI89" s="15">
        <f t="shared" si="199"/>
        <v>1.0994408653738385E-3</v>
      </c>
      <c r="AJ89" s="15">
        <f t="shared" si="199"/>
        <v>1.1039402440762166E-3</v>
      </c>
      <c r="AK89" s="15">
        <f t="shared" si="199"/>
        <v>1.7950022684450439E-3</v>
      </c>
      <c r="AL89" s="15">
        <f t="shared" si="199"/>
        <v>1.4047155763982353E-3</v>
      </c>
      <c r="AM89" s="15">
        <f t="shared" si="199"/>
        <v>2.6638400461333539E-3</v>
      </c>
      <c r="AN89" s="15">
        <f t="shared" si="199"/>
        <v>2.2322291737956693E-3</v>
      </c>
      <c r="AO89" s="15">
        <f t="shared" si="199"/>
        <v>2.5355655147763566E-3</v>
      </c>
      <c r="AP89" s="15">
        <f t="shared" si="199"/>
        <v>6.7810519434097422E-4</v>
      </c>
      <c r="AQ89" s="15">
        <f t="shared" si="199"/>
        <v>1.6213485298741271E-3</v>
      </c>
      <c r="AR89" s="15">
        <f t="shared" ref="AR89:AS89" si="200">AR30/AR$50</f>
        <v>1.9072280515573521E-3</v>
      </c>
      <c r="AS89" s="15">
        <f t="shared" si="200"/>
        <v>1.4885434595661308E-3</v>
      </c>
      <c r="AT89" s="15"/>
      <c r="AU89" s="15">
        <f t="shared" ref="AU89:BG89" si="201">AU30/AU$50</f>
        <v>1.7599589285399965E-3</v>
      </c>
      <c r="AV89" s="15">
        <f t="shared" si="201"/>
        <v>2.3373654770549022E-3</v>
      </c>
      <c r="AW89" s="15">
        <f t="shared" si="201"/>
        <v>1.6477664368060943E-3</v>
      </c>
      <c r="AX89" s="15">
        <f t="shared" si="201"/>
        <v>9.1896105513366883E-4</v>
      </c>
      <c r="AY89" s="15">
        <f t="shared" si="201"/>
        <v>7.9730907785965542E-4</v>
      </c>
      <c r="AZ89" s="15">
        <f t="shared" si="201"/>
        <v>1.2331372915588776E-3</v>
      </c>
      <c r="BA89" s="15" t="e">
        <f t="shared" si="201"/>
        <v>#DIV/0!</v>
      </c>
      <c r="BB89" s="15" t="e">
        <f t="shared" si="201"/>
        <v>#DIV/0!</v>
      </c>
      <c r="BC89" s="15" t="e">
        <f t="shared" si="201"/>
        <v>#DIV/0!</v>
      </c>
      <c r="BD89" s="15" t="e">
        <f t="shared" si="201"/>
        <v>#DIV/0!</v>
      </c>
      <c r="BE89" s="15" t="e">
        <f t="shared" si="201"/>
        <v>#DIV/0!</v>
      </c>
      <c r="BF89" s="15" t="e">
        <f t="shared" si="201"/>
        <v>#DIV/0!</v>
      </c>
      <c r="BG89" s="15" t="e">
        <f t="shared" si="201"/>
        <v>#DIV/0!</v>
      </c>
      <c r="BH89" s="15">
        <f t="shared" ref="BH89" si="202">BH30/BH$50</f>
        <v>1.3064611436561944E-3</v>
      </c>
      <c r="BI89" s="15">
        <f t="shared" si="173"/>
        <v>1.9567225582314252E-3</v>
      </c>
      <c r="BJ89" s="4"/>
    </row>
    <row r="90" spans="1:76" x14ac:dyDescent="0.25">
      <c r="A90" s="3">
        <f t="shared" si="178"/>
        <v>9</v>
      </c>
      <c r="B90" s="3" t="s">
        <v>97</v>
      </c>
      <c r="C90" s="3" t="s">
        <v>36</v>
      </c>
      <c r="D90" s="25" t="s">
        <v>11</v>
      </c>
      <c r="E90" s="3" t="s">
        <v>115</v>
      </c>
      <c r="F90" s="15">
        <f t="shared" ref="F90:AQ90" si="203">F31/F$50</f>
        <v>0</v>
      </c>
      <c r="G90" s="15">
        <f t="shared" si="203"/>
        <v>0</v>
      </c>
      <c r="H90" s="15">
        <f t="shared" si="203"/>
        <v>0</v>
      </c>
      <c r="I90" s="15">
        <f t="shared" si="203"/>
        <v>0</v>
      </c>
      <c r="J90" s="15">
        <f t="shared" si="203"/>
        <v>0</v>
      </c>
      <c r="K90" s="15">
        <f t="shared" si="203"/>
        <v>0</v>
      </c>
      <c r="L90" s="15">
        <f t="shared" si="203"/>
        <v>0</v>
      </c>
      <c r="M90" s="15">
        <f t="shared" si="203"/>
        <v>0</v>
      </c>
      <c r="N90" s="15">
        <f t="shared" si="203"/>
        <v>0</v>
      </c>
      <c r="O90" s="15">
        <f t="shared" si="203"/>
        <v>0</v>
      </c>
      <c r="P90" s="15">
        <f t="shared" si="203"/>
        <v>3.5289426456127102E-3</v>
      </c>
      <c r="Q90" s="15">
        <f t="shared" si="203"/>
        <v>2.218521872625953E-3</v>
      </c>
      <c r="R90" s="15">
        <f t="shared" si="203"/>
        <v>5.7920920700085875E-4</v>
      </c>
      <c r="S90" s="15">
        <f t="shared" si="203"/>
        <v>0</v>
      </c>
      <c r="T90" s="15">
        <f t="shared" si="203"/>
        <v>0</v>
      </c>
      <c r="U90" s="15">
        <f t="shared" si="203"/>
        <v>0</v>
      </c>
      <c r="V90" s="15">
        <f t="shared" si="203"/>
        <v>0</v>
      </c>
      <c r="W90" s="15">
        <f t="shared" si="203"/>
        <v>0</v>
      </c>
      <c r="X90" s="15">
        <f t="shared" si="203"/>
        <v>0</v>
      </c>
      <c r="Y90" s="15">
        <f t="shared" si="203"/>
        <v>0</v>
      </c>
      <c r="Z90" s="15">
        <f t="shared" si="203"/>
        <v>0</v>
      </c>
      <c r="AA90" s="15">
        <f t="shared" si="203"/>
        <v>0</v>
      </c>
      <c r="AB90" s="15">
        <f t="shared" si="203"/>
        <v>0</v>
      </c>
      <c r="AC90" s="15">
        <f t="shared" si="203"/>
        <v>0</v>
      </c>
      <c r="AD90" s="15"/>
      <c r="AE90" s="15"/>
      <c r="AF90" s="15">
        <f t="shared" si="203"/>
        <v>0</v>
      </c>
      <c r="AG90" s="15">
        <f t="shared" si="203"/>
        <v>0</v>
      </c>
      <c r="AH90" s="15">
        <f t="shared" si="203"/>
        <v>0</v>
      </c>
      <c r="AI90" s="15">
        <f t="shared" si="203"/>
        <v>0</v>
      </c>
      <c r="AJ90" s="15">
        <f t="shared" si="203"/>
        <v>0</v>
      </c>
      <c r="AK90" s="15">
        <f t="shared" si="203"/>
        <v>0</v>
      </c>
      <c r="AL90" s="15">
        <f t="shared" si="203"/>
        <v>0</v>
      </c>
      <c r="AM90" s="15">
        <f t="shared" si="203"/>
        <v>0</v>
      </c>
      <c r="AN90" s="15">
        <f t="shared" si="203"/>
        <v>0</v>
      </c>
      <c r="AO90" s="15">
        <f t="shared" si="203"/>
        <v>0</v>
      </c>
      <c r="AP90" s="15">
        <f t="shared" si="203"/>
        <v>0</v>
      </c>
      <c r="AQ90" s="15">
        <f t="shared" si="203"/>
        <v>0</v>
      </c>
      <c r="AR90" s="15">
        <f t="shared" ref="AR90:AS90" si="204">AR31/AR$50</f>
        <v>0</v>
      </c>
      <c r="AS90" s="15">
        <f t="shared" si="204"/>
        <v>0</v>
      </c>
      <c r="AT90" s="15"/>
      <c r="AU90" s="15">
        <f t="shared" ref="AU90:BG90" si="205">AU31/AU$50</f>
        <v>0</v>
      </c>
      <c r="AV90" s="15">
        <f t="shared" si="205"/>
        <v>0</v>
      </c>
      <c r="AW90" s="15">
        <f t="shared" si="205"/>
        <v>0</v>
      </c>
      <c r="AX90" s="15">
        <f t="shared" si="205"/>
        <v>0</v>
      </c>
      <c r="AY90" s="15">
        <f t="shared" si="205"/>
        <v>0</v>
      </c>
      <c r="AZ90" s="15">
        <f t="shared" si="205"/>
        <v>0</v>
      </c>
      <c r="BA90" s="15" t="e">
        <f t="shared" si="205"/>
        <v>#DIV/0!</v>
      </c>
      <c r="BB90" s="15" t="e">
        <f t="shared" si="205"/>
        <v>#DIV/0!</v>
      </c>
      <c r="BC90" s="15" t="e">
        <f t="shared" si="205"/>
        <v>#DIV/0!</v>
      </c>
      <c r="BD90" s="15" t="e">
        <f t="shared" si="205"/>
        <v>#DIV/0!</v>
      </c>
      <c r="BE90" s="15" t="e">
        <f t="shared" si="205"/>
        <v>#DIV/0!</v>
      </c>
      <c r="BF90" s="15" t="e">
        <f t="shared" si="205"/>
        <v>#DIV/0!</v>
      </c>
      <c r="BG90" s="15" t="e">
        <f t="shared" si="205"/>
        <v>#DIV/0!</v>
      </c>
      <c r="BH90" s="15">
        <f t="shared" ref="BH90" si="206">BH31/BH$50</f>
        <v>0</v>
      </c>
      <c r="BI90" s="15">
        <f t="shared" si="173"/>
        <v>0</v>
      </c>
      <c r="BJ90" s="4"/>
    </row>
    <row r="91" spans="1:76" x14ac:dyDescent="0.25">
      <c r="A91" s="3">
        <f t="shared" si="178"/>
        <v>10</v>
      </c>
      <c r="B91" s="3" t="s">
        <v>97</v>
      </c>
      <c r="C91" s="3" t="s">
        <v>36</v>
      </c>
      <c r="D91" s="25" t="s">
        <v>22</v>
      </c>
      <c r="E91" s="3" t="s">
        <v>115</v>
      </c>
      <c r="F91" s="15">
        <f t="shared" ref="F91:AQ91" si="207">F32/F$50</f>
        <v>3.5046796798092919E-3</v>
      </c>
      <c r="G91" s="15">
        <f t="shared" si="207"/>
        <v>8.534715844637122E-4</v>
      </c>
      <c r="H91" s="15">
        <f t="shared" si="207"/>
        <v>3.2798174882664294E-3</v>
      </c>
      <c r="I91" s="15">
        <f t="shared" si="207"/>
        <v>2.9768457684456791E-3</v>
      </c>
      <c r="J91" s="15">
        <f t="shared" si="207"/>
        <v>1.2084657191083418E-3</v>
      </c>
      <c r="K91" s="15">
        <f t="shared" si="207"/>
        <v>3.3712990707003843E-3</v>
      </c>
      <c r="L91" s="15">
        <f t="shared" si="207"/>
        <v>2.3611865505404187E-3</v>
      </c>
      <c r="M91" s="15">
        <f t="shared" si="207"/>
        <v>1.8065474408546498E-3</v>
      </c>
      <c r="N91" s="15">
        <f t="shared" si="207"/>
        <v>1.8943453080453327E-3</v>
      </c>
      <c r="O91" s="15">
        <f t="shared" si="207"/>
        <v>1.5005621362290137E-3</v>
      </c>
      <c r="P91" s="15">
        <f t="shared" si="207"/>
        <v>1.2296100322323877E-3</v>
      </c>
      <c r="Q91" s="15">
        <f t="shared" si="207"/>
        <v>9.9045266258981825E-4</v>
      </c>
      <c r="R91" s="15">
        <f t="shared" si="207"/>
        <v>1.9660131768099226E-3</v>
      </c>
      <c r="S91" s="15">
        <f t="shared" si="207"/>
        <v>5.0249157175135794E-4</v>
      </c>
      <c r="T91" s="15">
        <f t="shared" si="207"/>
        <v>1.7035184224685072E-3</v>
      </c>
      <c r="U91" s="15">
        <f t="shared" si="207"/>
        <v>7.0830630298839047E-4</v>
      </c>
      <c r="V91" s="15">
        <f t="shared" si="207"/>
        <v>8.0745359726277371E-4</v>
      </c>
      <c r="W91" s="15">
        <f t="shared" si="207"/>
        <v>9.2058705366924499E-4</v>
      </c>
      <c r="X91" s="15">
        <f t="shared" si="207"/>
        <v>1.589226054862058E-3</v>
      </c>
      <c r="Y91" s="15">
        <f t="shared" si="207"/>
        <v>1.8900120340736935E-3</v>
      </c>
      <c r="Z91" s="15">
        <f t="shared" si="207"/>
        <v>1.7357363675079346E-3</v>
      </c>
      <c r="AA91" s="15">
        <f t="shared" si="207"/>
        <v>1.3840184641156557E-3</v>
      </c>
      <c r="AB91" s="15">
        <f t="shared" si="207"/>
        <v>1.1568272808170563E-3</v>
      </c>
      <c r="AC91" s="15">
        <f t="shared" si="207"/>
        <v>1.2579046370928154E-3</v>
      </c>
      <c r="AD91" s="15"/>
      <c r="AE91" s="15"/>
      <c r="AF91" s="15">
        <f t="shared" si="207"/>
        <v>1.1991100312269216E-3</v>
      </c>
      <c r="AG91" s="15">
        <f t="shared" si="207"/>
        <v>1.199110031226921E-3</v>
      </c>
      <c r="AH91" s="15">
        <f t="shared" si="207"/>
        <v>2.7397075278270981E-3</v>
      </c>
      <c r="AI91" s="15">
        <f t="shared" si="207"/>
        <v>1.1171848243859458E-3</v>
      </c>
      <c r="AJ91" s="15">
        <f t="shared" si="207"/>
        <v>9.0675229864179731E-4</v>
      </c>
      <c r="AK91" s="15">
        <f t="shared" si="207"/>
        <v>8.8127499380425702E-4</v>
      </c>
      <c r="AL91" s="15">
        <f t="shared" si="207"/>
        <v>5.408725186905332E-4</v>
      </c>
      <c r="AM91" s="15">
        <f t="shared" si="207"/>
        <v>2.087554134312357E-3</v>
      </c>
      <c r="AN91" s="15">
        <f t="shared" si="207"/>
        <v>1.1361442126978888E-3</v>
      </c>
      <c r="AO91" s="15">
        <f t="shared" si="207"/>
        <v>2.2748163621039391E-3</v>
      </c>
      <c r="AP91" s="15">
        <f t="shared" si="207"/>
        <v>1.5807986273341916E-3</v>
      </c>
      <c r="AQ91" s="15">
        <f t="shared" si="207"/>
        <v>8.2686971999234226E-4</v>
      </c>
      <c r="AR91" s="15">
        <f t="shared" ref="AR91:AS91" si="208">AR32/AR$50</f>
        <v>4.0790816690323599E-3</v>
      </c>
      <c r="AS91" s="15">
        <f t="shared" si="208"/>
        <v>2.3136267016225205E-3</v>
      </c>
      <c r="AT91" s="15"/>
      <c r="AU91" s="15">
        <f t="shared" ref="AU91:BG91" si="209">AU32/AU$50</f>
        <v>1.5798334507335136E-3</v>
      </c>
      <c r="AV91" s="15">
        <f t="shared" si="209"/>
        <v>1.7775239157246047E-3</v>
      </c>
      <c r="AW91" s="15">
        <f t="shared" si="209"/>
        <v>2.7076864791808417E-3</v>
      </c>
      <c r="AX91" s="15">
        <f t="shared" si="209"/>
        <v>1.5183264591809977E-3</v>
      </c>
      <c r="AY91" s="15">
        <f t="shared" si="209"/>
        <v>1.4716558448675625E-3</v>
      </c>
      <c r="AZ91" s="15">
        <f t="shared" si="209"/>
        <v>5.5454651125999284E-4</v>
      </c>
      <c r="BA91" s="15" t="e">
        <f t="shared" si="209"/>
        <v>#DIV/0!</v>
      </c>
      <c r="BB91" s="15" t="e">
        <f t="shared" si="209"/>
        <v>#DIV/0!</v>
      </c>
      <c r="BC91" s="15" t="e">
        <f t="shared" si="209"/>
        <v>#DIV/0!</v>
      </c>
      <c r="BD91" s="15" t="e">
        <f t="shared" si="209"/>
        <v>#DIV/0!</v>
      </c>
      <c r="BE91" s="15" t="e">
        <f t="shared" si="209"/>
        <v>#DIV/0!</v>
      </c>
      <c r="BF91" s="15" t="e">
        <f t="shared" si="209"/>
        <v>#DIV/0!</v>
      </c>
      <c r="BG91" s="15" t="e">
        <f t="shared" si="209"/>
        <v>#DIV/0!</v>
      </c>
      <c r="BH91" s="15">
        <f t="shared" ref="BH91" si="210">BH32/BH$50</f>
        <v>1.491324196257731E-3</v>
      </c>
      <c r="BI91" s="15">
        <f t="shared" si="173"/>
        <v>1.8112843940441348E-3</v>
      </c>
      <c r="BJ91" s="4"/>
    </row>
    <row r="92" spans="1:76" x14ac:dyDescent="0.25">
      <c r="A92" s="3">
        <f t="shared" si="178"/>
        <v>11</v>
      </c>
      <c r="B92" s="3" t="s">
        <v>97</v>
      </c>
      <c r="C92" s="3" t="s">
        <v>36</v>
      </c>
      <c r="D92" s="25" t="s">
        <v>21</v>
      </c>
      <c r="E92" s="3" t="s">
        <v>115</v>
      </c>
      <c r="F92" s="15">
        <f t="shared" ref="F92:AQ92" si="211">F33/F$50</f>
        <v>2.5044588039166388E-3</v>
      </c>
      <c r="G92" s="15">
        <f t="shared" si="211"/>
        <v>3.605300587116448E-3</v>
      </c>
      <c r="H92" s="15">
        <f t="shared" si="211"/>
        <v>2.9603658497678186E-3</v>
      </c>
      <c r="I92" s="15">
        <f t="shared" si="211"/>
        <v>3.4305183317806225E-3</v>
      </c>
      <c r="J92" s="15">
        <f t="shared" si="211"/>
        <v>1.4123244978062174E-3</v>
      </c>
      <c r="K92" s="15">
        <f t="shared" si="211"/>
        <v>1.6079231780889917E-3</v>
      </c>
      <c r="L92" s="15">
        <f t="shared" si="211"/>
        <v>1.3923320524130856E-3</v>
      </c>
      <c r="M92" s="15">
        <f t="shared" si="211"/>
        <v>1.3245767375795014E-3</v>
      </c>
      <c r="N92" s="15">
        <f t="shared" si="211"/>
        <v>0</v>
      </c>
      <c r="O92" s="15">
        <f t="shared" si="211"/>
        <v>0</v>
      </c>
      <c r="P92" s="15">
        <f t="shared" si="211"/>
        <v>1.0153578769673058E-3</v>
      </c>
      <c r="Q92" s="15">
        <f t="shared" si="211"/>
        <v>5.3492312839607825E-4</v>
      </c>
      <c r="R92" s="15">
        <f t="shared" si="211"/>
        <v>1.4919453499519925E-3</v>
      </c>
      <c r="S92" s="15">
        <f t="shared" si="211"/>
        <v>0</v>
      </c>
      <c r="T92" s="15">
        <f t="shared" si="211"/>
        <v>0</v>
      </c>
      <c r="U92" s="15">
        <f t="shared" si="211"/>
        <v>0</v>
      </c>
      <c r="V92" s="15">
        <f t="shared" si="211"/>
        <v>0</v>
      </c>
      <c r="W92" s="15">
        <f t="shared" si="211"/>
        <v>0</v>
      </c>
      <c r="X92" s="15">
        <f t="shared" si="211"/>
        <v>0</v>
      </c>
      <c r="Y92" s="15">
        <f t="shared" si="211"/>
        <v>0</v>
      </c>
      <c r="Z92" s="15">
        <f t="shared" si="211"/>
        <v>0</v>
      </c>
      <c r="AA92" s="15">
        <f t="shared" si="211"/>
        <v>0</v>
      </c>
      <c r="AB92" s="15">
        <f t="shared" si="211"/>
        <v>0</v>
      </c>
      <c r="AC92" s="15">
        <f t="shared" si="211"/>
        <v>0</v>
      </c>
      <c r="AD92" s="15"/>
      <c r="AE92" s="15"/>
      <c r="AF92" s="15">
        <f t="shared" si="211"/>
        <v>0</v>
      </c>
      <c r="AG92" s="15">
        <f t="shared" si="211"/>
        <v>0</v>
      </c>
      <c r="AH92" s="15">
        <f t="shared" si="211"/>
        <v>0</v>
      </c>
      <c r="AI92" s="15">
        <f t="shared" si="211"/>
        <v>0</v>
      </c>
      <c r="AJ92" s="15">
        <f t="shared" si="211"/>
        <v>0</v>
      </c>
      <c r="AK92" s="15">
        <f t="shared" si="211"/>
        <v>0</v>
      </c>
      <c r="AL92" s="15">
        <f t="shared" si="211"/>
        <v>0</v>
      </c>
      <c r="AM92" s="15">
        <f t="shared" si="211"/>
        <v>0</v>
      </c>
      <c r="AN92" s="15">
        <f t="shared" si="211"/>
        <v>0</v>
      </c>
      <c r="AO92" s="15">
        <f t="shared" si="211"/>
        <v>0</v>
      </c>
      <c r="AP92" s="15">
        <f t="shared" si="211"/>
        <v>0</v>
      </c>
      <c r="AQ92" s="15">
        <f t="shared" si="211"/>
        <v>0</v>
      </c>
      <c r="AR92" s="15">
        <f t="shared" ref="AR92:AS92" si="212">AR33/AR$50</f>
        <v>0</v>
      </c>
      <c r="AS92" s="15">
        <f t="shared" si="212"/>
        <v>0</v>
      </c>
      <c r="AT92" s="15"/>
      <c r="AU92" s="15">
        <f t="shared" ref="AU92:BG92" si="213">AU33/AU$50</f>
        <v>0</v>
      </c>
      <c r="AV92" s="15">
        <f t="shared" si="213"/>
        <v>0</v>
      </c>
      <c r="AW92" s="15">
        <f t="shared" si="213"/>
        <v>0</v>
      </c>
      <c r="AX92" s="15">
        <f t="shared" si="213"/>
        <v>0</v>
      </c>
      <c r="AY92" s="15">
        <f t="shared" si="213"/>
        <v>0</v>
      </c>
      <c r="AZ92" s="15">
        <f t="shared" si="213"/>
        <v>0</v>
      </c>
      <c r="BA92" s="15" t="e">
        <f t="shared" si="213"/>
        <v>#DIV/0!</v>
      </c>
      <c r="BB92" s="15" t="e">
        <f t="shared" si="213"/>
        <v>#DIV/0!</v>
      </c>
      <c r="BC92" s="15" t="e">
        <f t="shared" si="213"/>
        <v>#DIV/0!</v>
      </c>
      <c r="BD92" s="15" t="e">
        <f t="shared" si="213"/>
        <v>#DIV/0!</v>
      </c>
      <c r="BE92" s="15" t="e">
        <f t="shared" si="213"/>
        <v>#DIV/0!</v>
      </c>
      <c r="BF92" s="15" t="e">
        <f t="shared" si="213"/>
        <v>#DIV/0!</v>
      </c>
      <c r="BG92" s="15" t="e">
        <f t="shared" si="213"/>
        <v>#DIV/0!</v>
      </c>
      <c r="BH92" s="15">
        <f t="shared" ref="BH92" si="214">BH33/BH$50</f>
        <v>0</v>
      </c>
      <c r="BI92" s="15">
        <f t="shared" si="173"/>
        <v>0</v>
      </c>
      <c r="BJ92" s="4"/>
    </row>
    <row r="93" spans="1:76" x14ac:dyDescent="0.25">
      <c r="A93" s="3">
        <f t="shared" si="178"/>
        <v>12</v>
      </c>
      <c r="B93" s="3" t="s">
        <v>97</v>
      </c>
      <c r="C93" s="3" t="s">
        <v>36</v>
      </c>
      <c r="D93" s="25" t="s">
        <v>26</v>
      </c>
      <c r="E93" s="3" t="s">
        <v>115</v>
      </c>
      <c r="F93" s="15">
        <f t="shared" ref="F93:AQ93" si="215">F34/F$50</f>
        <v>1.0116339393676458E-3</v>
      </c>
      <c r="G93" s="15">
        <f t="shared" si="215"/>
        <v>1.6403422683011154E-3</v>
      </c>
      <c r="H93" s="15">
        <f t="shared" si="215"/>
        <v>4.9465557426948633E-4</v>
      </c>
      <c r="I93" s="15">
        <f t="shared" si="215"/>
        <v>4.6958997351361436E-4</v>
      </c>
      <c r="J93" s="15">
        <f t="shared" si="215"/>
        <v>3.2826755314385026E-4</v>
      </c>
      <c r="K93" s="15">
        <f t="shared" si="215"/>
        <v>4.1371743471780101E-4</v>
      </c>
      <c r="L93" s="15">
        <f t="shared" si="215"/>
        <v>5.7746989899538296E-4</v>
      </c>
      <c r="M93" s="15">
        <f t="shared" si="215"/>
        <v>5.5816928886549995E-4</v>
      </c>
      <c r="N93" s="15">
        <f t="shared" si="215"/>
        <v>7.9614845718320557E-4</v>
      </c>
      <c r="O93" s="15">
        <f t="shared" si="215"/>
        <v>6.7467876322780513E-4</v>
      </c>
      <c r="P93" s="15">
        <f t="shared" si="215"/>
        <v>6.8549034901987471E-4</v>
      </c>
      <c r="Q93" s="15">
        <f t="shared" si="215"/>
        <v>4.9218345223767893E-4</v>
      </c>
      <c r="R93" s="15">
        <f t="shared" si="215"/>
        <v>6.4327403309968564E-4</v>
      </c>
      <c r="S93" s="15">
        <f t="shared" si="215"/>
        <v>0</v>
      </c>
      <c r="T93" s="15">
        <f t="shared" si="215"/>
        <v>0</v>
      </c>
      <c r="U93" s="15">
        <f t="shared" si="215"/>
        <v>0</v>
      </c>
      <c r="V93" s="15">
        <f t="shared" si="215"/>
        <v>0</v>
      </c>
      <c r="W93" s="15">
        <f t="shared" si="215"/>
        <v>0</v>
      </c>
      <c r="X93" s="15">
        <f t="shared" si="215"/>
        <v>0</v>
      </c>
      <c r="Y93" s="15">
        <f t="shared" si="215"/>
        <v>0</v>
      </c>
      <c r="Z93" s="15">
        <f t="shared" si="215"/>
        <v>0</v>
      </c>
      <c r="AA93" s="15">
        <f t="shared" si="215"/>
        <v>0</v>
      </c>
      <c r="AB93" s="15">
        <f t="shared" si="215"/>
        <v>0</v>
      </c>
      <c r="AC93" s="15">
        <f t="shared" si="215"/>
        <v>0</v>
      </c>
      <c r="AD93" s="15"/>
      <c r="AE93" s="15"/>
      <c r="AF93" s="15">
        <f t="shared" si="215"/>
        <v>0</v>
      </c>
      <c r="AG93" s="15">
        <f t="shared" si="215"/>
        <v>0</v>
      </c>
      <c r="AH93" s="15">
        <f t="shared" si="215"/>
        <v>0</v>
      </c>
      <c r="AI93" s="15">
        <f t="shared" si="215"/>
        <v>0</v>
      </c>
      <c r="AJ93" s="15">
        <f t="shared" si="215"/>
        <v>0</v>
      </c>
      <c r="AK93" s="15">
        <f t="shared" si="215"/>
        <v>0</v>
      </c>
      <c r="AL93" s="15">
        <f t="shared" si="215"/>
        <v>0</v>
      </c>
      <c r="AM93" s="15">
        <f t="shared" si="215"/>
        <v>0</v>
      </c>
      <c r="AN93" s="15">
        <f t="shared" si="215"/>
        <v>0</v>
      </c>
      <c r="AO93" s="15">
        <f t="shared" si="215"/>
        <v>0</v>
      </c>
      <c r="AP93" s="15">
        <f t="shared" si="215"/>
        <v>0</v>
      </c>
      <c r="AQ93" s="15">
        <f t="shared" si="215"/>
        <v>0</v>
      </c>
      <c r="AR93" s="15">
        <f t="shared" ref="AR93:AS93" si="216">AR34/AR$50</f>
        <v>0</v>
      </c>
      <c r="AS93" s="15">
        <f t="shared" si="216"/>
        <v>0</v>
      </c>
      <c r="AT93" s="15"/>
      <c r="AU93" s="15">
        <f t="shared" ref="AU93:BG93" si="217">AU34/AU$50</f>
        <v>0</v>
      </c>
      <c r="AV93" s="15">
        <f t="shared" si="217"/>
        <v>0</v>
      </c>
      <c r="AW93" s="15">
        <f t="shared" si="217"/>
        <v>0</v>
      </c>
      <c r="AX93" s="15">
        <f t="shared" si="217"/>
        <v>0</v>
      </c>
      <c r="AY93" s="15">
        <f t="shared" si="217"/>
        <v>0</v>
      </c>
      <c r="AZ93" s="15">
        <f t="shared" si="217"/>
        <v>0</v>
      </c>
      <c r="BA93" s="15" t="e">
        <f t="shared" si="217"/>
        <v>#DIV/0!</v>
      </c>
      <c r="BB93" s="15" t="e">
        <f t="shared" si="217"/>
        <v>#DIV/0!</v>
      </c>
      <c r="BC93" s="15" t="e">
        <f t="shared" si="217"/>
        <v>#DIV/0!</v>
      </c>
      <c r="BD93" s="15" t="e">
        <f t="shared" si="217"/>
        <v>#DIV/0!</v>
      </c>
      <c r="BE93" s="15" t="e">
        <f t="shared" si="217"/>
        <v>#DIV/0!</v>
      </c>
      <c r="BF93" s="15" t="e">
        <f t="shared" si="217"/>
        <v>#DIV/0!</v>
      </c>
      <c r="BG93" s="15" t="e">
        <f t="shared" si="217"/>
        <v>#DIV/0!</v>
      </c>
      <c r="BH93" s="15">
        <f t="shared" ref="BH93" si="218">BH34/BH$50</f>
        <v>0</v>
      </c>
      <c r="BI93" s="15">
        <f t="shared" si="173"/>
        <v>0</v>
      </c>
      <c r="BJ93" s="4"/>
    </row>
    <row r="94" spans="1:76" x14ac:dyDescent="0.25">
      <c r="A94" s="3">
        <f t="shared" si="178"/>
        <v>13</v>
      </c>
      <c r="B94" s="3" t="s">
        <v>97</v>
      </c>
      <c r="C94" s="3" t="s">
        <v>36</v>
      </c>
      <c r="D94" s="25" t="s">
        <v>27</v>
      </c>
      <c r="E94" s="3" t="s">
        <v>115</v>
      </c>
      <c r="F94" s="15">
        <f t="shared" ref="F94:AQ94" si="219">F35/F$50</f>
        <v>1.2505130152176051E-3</v>
      </c>
      <c r="G94" s="15">
        <f t="shared" si="219"/>
        <v>1.6384383836384037E-3</v>
      </c>
      <c r="H94" s="15">
        <f t="shared" si="219"/>
        <v>1.13816745370175E-3</v>
      </c>
      <c r="I94" s="15">
        <f t="shared" si="219"/>
        <v>1.1987837637753671E-3</v>
      </c>
      <c r="J94" s="15">
        <f t="shared" si="219"/>
        <v>1.0231008679802238E-3</v>
      </c>
      <c r="K94" s="15">
        <f t="shared" si="219"/>
        <v>1.1396524396805516E-3</v>
      </c>
      <c r="L94" s="15">
        <f t="shared" si="219"/>
        <v>1.0198679417349685E-3</v>
      </c>
      <c r="M94" s="15">
        <f t="shared" si="219"/>
        <v>9.3486200555609861E-4</v>
      </c>
      <c r="N94" s="15">
        <f t="shared" si="219"/>
        <v>1.0566190751683956E-3</v>
      </c>
      <c r="O94" s="15">
        <f t="shared" si="219"/>
        <v>9.7355355870875791E-4</v>
      </c>
      <c r="P94" s="15">
        <f t="shared" si="219"/>
        <v>1.1889016973412948E-3</v>
      </c>
      <c r="Q94" s="15">
        <f t="shared" si="219"/>
        <v>6.0304906062164099E-4</v>
      </c>
      <c r="R94" s="15">
        <f t="shared" si="219"/>
        <v>1.0491428286925038E-3</v>
      </c>
      <c r="S94" s="15">
        <f t="shared" si="219"/>
        <v>0</v>
      </c>
      <c r="T94" s="15">
        <f t="shared" si="219"/>
        <v>0</v>
      </c>
      <c r="U94" s="15">
        <f t="shared" si="219"/>
        <v>0</v>
      </c>
      <c r="V94" s="15">
        <f t="shared" si="219"/>
        <v>0</v>
      </c>
      <c r="W94" s="15">
        <f t="shared" si="219"/>
        <v>0</v>
      </c>
      <c r="X94" s="15">
        <f t="shared" si="219"/>
        <v>0</v>
      </c>
      <c r="Y94" s="15">
        <f t="shared" si="219"/>
        <v>0</v>
      </c>
      <c r="Z94" s="15">
        <f t="shared" si="219"/>
        <v>0</v>
      </c>
      <c r="AA94" s="15">
        <f t="shared" si="219"/>
        <v>0</v>
      </c>
      <c r="AB94" s="15">
        <f t="shared" si="219"/>
        <v>0</v>
      </c>
      <c r="AC94" s="15">
        <f t="shared" si="219"/>
        <v>0</v>
      </c>
      <c r="AD94" s="15"/>
      <c r="AE94" s="15"/>
      <c r="AF94" s="15">
        <f t="shared" si="219"/>
        <v>0</v>
      </c>
      <c r="AG94" s="15">
        <f t="shared" si="219"/>
        <v>0</v>
      </c>
      <c r="AH94" s="15">
        <f t="shared" si="219"/>
        <v>0</v>
      </c>
      <c r="AI94" s="15">
        <f t="shared" si="219"/>
        <v>0</v>
      </c>
      <c r="AJ94" s="15">
        <f t="shared" si="219"/>
        <v>0</v>
      </c>
      <c r="AK94" s="15">
        <f t="shared" si="219"/>
        <v>0</v>
      </c>
      <c r="AL94" s="15">
        <f t="shared" si="219"/>
        <v>0</v>
      </c>
      <c r="AM94" s="15">
        <f t="shared" si="219"/>
        <v>0</v>
      </c>
      <c r="AN94" s="15">
        <f t="shared" si="219"/>
        <v>0</v>
      </c>
      <c r="AO94" s="15">
        <f t="shared" si="219"/>
        <v>0</v>
      </c>
      <c r="AP94" s="15">
        <f t="shared" si="219"/>
        <v>0</v>
      </c>
      <c r="AQ94" s="15">
        <f t="shared" si="219"/>
        <v>0</v>
      </c>
      <c r="AR94" s="15">
        <f t="shared" ref="AR94:AS94" si="220">AR35/AR$50</f>
        <v>0</v>
      </c>
      <c r="AS94" s="15">
        <f t="shared" si="220"/>
        <v>0</v>
      </c>
      <c r="AT94" s="15"/>
      <c r="AU94" s="15">
        <f t="shared" ref="AU94:BG94" si="221">AU35/AU$50</f>
        <v>0</v>
      </c>
      <c r="AV94" s="15">
        <f t="shared" si="221"/>
        <v>0</v>
      </c>
      <c r="AW94" s="15">
        <f t="shared" si="221"/>
        <v>0</v>
      </c>
      <c r="AX94" s="15">
        <f t="shared" si="221"/>
        <v>0</v>
      </c>
      <c r="AY94" s="15">
        <f t="shared" si="221"/>
        <v>0</v>
      </c>
      <c r="AZ94" s="15">
        <f t="shared" si="221"/>
        <v>0</v>
      </c>
      <c r="BA94" s="15" t="e">
        <f t="shared" si="221"/>
        <v>#DIV/0!</v>
      </c>
      <c r="BB94" s="15" t="e">
        <f t="shared" si="221"/>
        <v>#DIV/0!</v>
      </c>
      <c r="BC94" s="15" t="e">
        <f t="shared" si="221"/>
        <v>#DIV/0!</v>
      </c>
      <c r="BD94" s="15" t="e">
        <f t="shared" si="221"/>
        <v>#DIV/0!</v>
      </c>
      <c r="BE94" s="15" t="e">
        <f t="shared" si="221"/>
        <v>#DIV/0!</v>
      </c>
      <c r="BF94" s="15" t="e">
        <f t="shared" si="221"/>
        <v>#DIV/0!</v>
      </c>
      <c r="BG94" s="15" t="e">
        <f t="shared" si="221"/>
        <v>#DIV/0!</v>
      </c>
      <c r="BH94" s="15">
        <f t="shared" ref="BH94" si="222">BH35/BH$50</f>
        <v>0</v>
      </c>
      <c r="BI94" s="15">
        <f t="shared" si="173"/>
        <v>0</v>
      </c>
      <c r="BJ94" s="4"/>
    </row>
    <row r="95" spans="1:76" x14ac:dyDescent="0.25">
      <c r="A95" s="3">
        <f t="shared" si="178"/>
        <v>14</v>
      </c>
      <c r="B95" s="3" t="s">
        <v>97</v>
      </c>
      <c r="C95" s="3" t="s">
        <v>51</v>
      </c>
      <c r="D95" s="25" t="s">
        <v>34</v>
      </c>
      <c r="E95" s="3" t="s">
        <v>115</v>
      </c>
      <c r="F95" s="15">
        <f t="shared" ref="F95:AQ95" si="223">F36/F$50</f>
        <v>4.9412128738602473E-4</v>
      </c>
      <c r="G95" s="15">
        <f t="shared" si="223"/>
        <v>3.6618930248761991E-4</v>
      </c>
      <c r="H95" s="15">
        <f t="shared" si="223"/>
        <v>3.5647263328020598E-4</v>
      </c>
      <c r="I95" s="15">
        <f t="shared" si="223"/>
        <v>4.3514190614308532E-4</v>
      </c>
      <c r="J95" s="15">
        <f t="shared" si="223"/>
        <v>7.4825327007447975E-4</v>
      </c>
      <c r="K95" s="15">
        <f t="shared" si="223"/>
        <v>5.9148879680181955E-4</v>
      </c>
      <c r="L95" s="15">
        <f t="shared" si="223"/>
        <v>6.0307381455261305E-4</v>
      </c>
      <c r="M95" s="15">
        <f t="shared" si="223"/>
        <v>9.9216038872075541E-4</v>
      </c>
      <c r="N95" s="15">
        <f t="shared" si="223"/>
        <v>5.8193617601368661E-4</v>
      </c>
      <c r="O95" s="15">
        <f t="shared" si="223"/>
        <v>1.0338779536479888E-3</v>
      </c>
      <c r="P95" s="15">
        <f t="shared" si="223"/>
        <v>9.1741745054355745E-4</v>
      </c>
      <c r="Q95" s="15">
        <f t="shared" si="223"/>
        <v>5.6769734841355596E-4</v>
      </c>
      <c r="R95" s="15">
        <f t="shared" si="223"/>
        <v>6.5316455982565829E-4</v>
      </c>
      <c r="S95" s="15">
        <f t="shared" si="223"/>
        <v>4.2880243416083428E-4</v>
      </c>
      <c r="T95" s="15">
        <f t="shared" si="223"/>
        <v>2.0889744561226114E-3</v>
      </c>
      <c r="U95" s="15">
        <f t="shared" si="223"/>
        <v>1.0114633643113257E-3</v>
      </c>
      <c r="V95" s="15">
        <f t="shared" si="223"/>
        <v>7.5155063014796834E-4</v>
      </c>
      <c r="W95" s="15">
        <f t="shared" si="223"/>
        <v>6.7741707006666095E-4</v>
      </c>
      <c r="X95" s="15">
        <f t="shared" si="223"/>
        <v>1.1628777297229406E-3</v>
      </c>
      <c r="Y95" s="15">
        <f t="shared" si="223"/>
        <v>2.2320110331039648E-3</v>
      </c>
      <c r="Z95" s="15">
        <f t="shared" si="223"/>
        <v>2.9121543222757986E-3</v>
      </c>
      <c r="AA95" s="15">
        <f t="shared" si="223"/>
        <v>3.3533789869982606E-3</v>
      </c>
      <c r="AB95" s="15">
        <f t="shared" si="223"/>
        <v>1.9581052323207797E-3</v>
      </c>
      <c r="AC95" s="15">
        <f t="shared" si="223"/>
        <v>2.2233270751964799E-3</v>
      </c>
      <c r="AD95" s="15"/>
      <c r="AE95" s="15"/>
      <c r="AF95" s="15">
        <f t="shared" si="223"/>
        <v>1.7250727615263587E-3</v>
      </c>
      <c r="AG95" s="15">
        <f t="shared" si="223"/>
        <v>1.7250727615263574E-3</v>
      </c>
      <c r="AH95" s="15">
        <f t="shared" si="223"/>
        <v>3.7357026558420218E-3</v>
      </c>
      <c r="AI95" s="15">
        <f t="shared" si="223"/>
        <v>2.7810103721397058E-3</v>
      </c>
      <c r="AJ95" s="15">
        <f t="shared" si="223"/>
        <v>2.0165234475982051E-3</v>
      </c>
      <c r="AK95" s="15">
        <f t="shared" si="223"/>
        <v>2.535700489062198E-3</v>
      </c>
      <c r="AL95" s="15">
        <f t="shared" si="223"/>
        <v>1.6150382597691895E-3</v>
      </c>
      <c r="AM95" s="15">
        <f t="shared" si="223"/>
        <v>1.847561580112448E-3</v>
      </c>
      <c r="AN95" s="15">
        <f t="shared" si="223"/>
        <v>1.6605078143567356E-3</v>
      </c>
      <c r="AO95" s="15">
        <f t="shared" si="223"/>
        <v>1.7417113779960201E-3</v>
      </c>
      <c r="AP95" s="15">
        <f t="shared" si="223"/>
        <v>1.9721015767289632E-3</v>
      </c>
      <c r="AQ95" s="15">
        <f t="shared" si="223"/>
        <v>3.933366503394529E-3</v>
      </c>
      <c r="AR95" s="15">
        <f t="shared" ref="AR95:AS95" si="224">AR36/AR$50</f>
        <v>3.2394759954296986E-3</v>
      </c>
      <c r="AS95" s="15">
        <f t="shared" si="224"/>
        <v>1.8840097160287158E-3</v>
      </c>
      <c r="AT95" s="15"/>
      <c r="AU95" s="15">
        <f t="shared" ref="AU95:BG95" si="225">AU36/AU$50</f>
        <v>2.2613712323088396E-3</v>
      </c>
      <c r="AV95" s="15">
        <f t="shared" si="225"/>
        <v>1.8916317791267058E-3</v>
      </c>
      <c r="AW95" s="15">
        <f t="shared" si="225"/>
        <v>3.2218327704320072E-3</v>
      </c>
      <c r="AX95" s="15">
        <f t="shared" si="225"/>
        <v>1.4823457851760526E-3</v>
      </c>
      <c r="AY95" s="15">
        <f t="shared" si="225"/>
        <v>2.4485221310999081E-3</v>
      </c>
      <c r="AZ95" s="15">
        <f t="shared" si="225"/>
        <v>3.8628989708967163E-3</v>
      </c>
      <c r="BA95" s="15" t="e">
        <f t="shared" si="225"/>
        <v>#DIV/0!</v>
      </c>
      <c r="BB95" s="15" t="e">
        <f t="shared" si="225"/>
        <v>#DIV/0!</v>
      </c>
      <c r="BC95" s="15" t="e">
        <f t="shared" si="225"/>
        <v>#DIV/0!</v>
      </c>
      <c r="BD95" s="15" t="e">
        <f t="shared" si="225"/>
        <v>#DIV/0!</v>
      </c>
      <c r="BE95" s="15" t="e">
        <f t="shared" si="225"/>
        <v>#DIV/0!</v>
      </c>
      <c r="BF95" s="15" t="e">
        <f t="shared" si="225"/>
        <v>#DIV/0!</v>
      </c>
      <c r="BG95" s="15" t="e">
        <f t="shared" si="225"/>
        <v>#DIV/0!</v>
      </c>
      <c r="BH95" s="15">
        <f t="shared" ref="BH95" si="226">BH36/BH$50</f>
        <v>2.5251053926823599E-3</v>
      </c>
      <c r="BI95" s="15">
        <f t="shared" si="173"/>
        <v>2.047974151024228E-3</v>
      </c>
      <c r="BJ95" s="4"/>
    </row>
    <row r="96" spans="1:76" x14ac:dyDescent="0.25">
      <c r="A96" s="3">
        <f t="shared" si="178"/>
        <v>15</v>
      </c>
      <c r="B96" s="3" t="s">
        <v>97</v>
      </c>
      <c r="C96" s="3" t="s">
        <v>36</v>
      </c>
      <c r="D96" s="25" t="s">
        <v>15</v>
      </c>
      <c r="E96" s="3" t="s">
        <v>115</v>
      </c>
      <c r="F96" s="15">
        <f t="shared" ref="F96:AQ96" si="227">F37/F$50</f>
        <v>3.0943515526103498E-3</v>
      </c>
      <c r="G96" s="15">
        <f t="shared" si="227"/>
        <v>1.2093088237246615E-3</v>
      </c>
      <c r="H96" s="15">
        <f t="shared" si="227"/>
        <v>1.2365500220946526E-3</v>
      </c>
      <c r="I96" s="15">
        <f t="shared" si="227"/>
        <v>1.3673613895439321E-3</v>
      </c>
      <c r="J96" s="15">
        <f t="shared" si="227"/>
        <v>1.2702171858641744E-3</v>
      </c>
      <c r="K96" s="15">
        <f t="shared" si="227"/>
        <v>1.204178378383479E-3</v>
      </c>
      <c r="L96" s="15">
        <f t="shared" si="227"/>
        <v>1.0761458298268179E-3</v>
      </c>
      <c r="M96" s="15">
        <f t="shared" si="227"/>
        <v>4.8923346534958877E-4</v>
      </c>
      <c r="N96" s="15">
        <f t="shared" si="227"/>
        <v>6.4204413561016614E-4</v>
      </c>
      <c r="O96" s="15">
        <f t="shared" si="227"/>
        <v>5.1489060815601063E-4</v>
      </c>
      <c r="P96" s="15">
        <f t="shared" si="227"/>
        <v>3.1519345172794619E-4</v>
      </c>
      <c r="Q96" s="15">
        <f t="shared" si="227"/>
        <v>1.1827764485482388E-4</v>
      </c>
      <c r="R96" s="15">
        <f t="shared" si="227"/>
        <v>9.1277070055615001E-4</v>
      </c>
      <c r="S96" s="15">
        <f t="shared" si="227"/>
        <v>4.0974851977248527E-5</v>
      </c>
      <c r="T96" s="15">
        <f t="shared" si="227"/>
        <v>4.640675563760536E-5</v>
      </c>
      <c r="U96" s="15">
        <f t="shared" si="227"/>
        <v>2.957097866228948E-5</v>
      </c>
      <c r="V96" s="15">
        <f t="shared" si="227"/>
        <v>3.5573426331923235E-5</v>
      </c>
      <c r="W96" s="15">
        <f t="shared" si="227"/>
        <v>3.8323782567413356E-5</v>
      </c>
      <c r="X96" s="15">
        <f t="shared" si="227"/>
        <v>6.8308018381575837E-6</v>
      </c>
      <c r="Y96" s="15">
        <f t="shared" si="227"/>
        <v>1.1329467918808668E-4</v>
      </c>
      <c r="Z96" s="15">
        <f t="shared" si="227"/>
        <v>9.676052008100353E-6</v>
      </c>
      <c r="AA96" s="15">
        <f t="shared" si="227"/>
        <v>7.7166475014825871E-6</v>
      </c>
      <c r="AB96" s="15">
        <f t="shared" si="227"/>
        <v>3.9851201354113481E-6</v>
      </c>
      <c r="AC96" s="15">
        <f t="shared" si="227"/>
        <v>1.9725600737526125E-4</v>
      </c>
      <c r="AD96" s="15"/>
      <c r="AE96" s="15"/>
      <c r="AF96" s="15">
        <f t="shared" si="227"/>
        <v>4.596725545707619E-5</v>
      </c>
      <c r="AG96" s="15">
        <f t="shared" si="227"/>
        <v>4.5967255457076163E-5</v>
      </c>
      <c r="AH96" s="15">
        <f t="shared" si="227"/>
        <v>2.61989698392334E-4</v>
      </c>
      <c r="AI96" s="15">
        <f t="shared" si="227"/>
        <v>0</v>
      </c>
      <c r="AJ96" s="15">
        <f t="shared" si="227"/>
        <v>0</v>
      </c>
      <c r="AK96" s="15">
        <f t="shared" si="227"/>
        <v>0</v>
      </c>
      <c r="AL96" s="15">
        <f t="shared" si="227"/>
        <v>0</v>
      </c>
      <c r="AM96" s="15">
        <f t="shared" si="227"/>
        <v>0</v>
      </c>
      <c r="AN96" s="15">
        <f t="shared" si="227"/>
        <v>0</v>
      </c>
      <c r="AO96" s="15">
        <f t="shared" si="227"/>
        <v>4.1840595571848116E-6</v>
      </c>
      <c r="AP96" s="15">
        <f t="shared" si="227"/>
        <v>0</v>
      </c>
      <c r="AQ96" s="15">
        <f t="shared" si="227"/>
        <v>0</v>
      </c>
      <c r="AR96" s="15">
        <f t="shared" ref="AR96:AS96" si="228">AR37/AR$50</f>
        <v>2.0914352949559946E-5</v>
      </c>
      <c r="AS96" s="15">
        <f t="shared" si="228"/>
        <v>2.0913658826949554E-7</v>
      </c>
      <c r="AT96" s="15"/>
      <c r="AU96" s="15">
        <f t="shared" ref="AU96:BG96" si="229">AU37/AU$50</f>
        <v>1.3600392171097144E-5</v>
      </c>
      <c r="AV96" s="15">
        <f t="shared" si="229"/>
        <v>1.7416549723409145E-5</v>
      </c>
      <c r="AW96" s="15">
        <f t="shared" si="229"/>
        <v>0</v>
      </c>
      <c r="AX96" s="15">
        <f t="shared" si="229"/>
        <v>0</v>
      </c>
      <c r="AY96" s="15">
        <f t="shared" si="229"/>
        <v>0</v>
      </c>
      <c r="AZ96" s="15">
        <f t="shared" si="229"/>
        <v>0</v>
      </c>
      <c r="BA96" s="15" t="e">
        <f t="shared" si="229"/>
        <v>#DIV/0!</v>
      </c>
      <c r="BB96" s="15" t="e">
        <f t="shared" si="229"/>
        <v>#DIV/0!</v>
      </c>
      <c r="BC96" s="15" t="e">
        <f t="shared" si="229"/>
        <v>#DIV/0!</v>
      </c>
      <c r="BD96" s="15" t="e">
        <f t="shared" si="229"/>
        <v>#DIV/0!</v>
      </c>
      <c r="BE96" s="15" t="e">
        <f t="shared" si="229"/>
        <v>#DIV/0!</v>
      </c>
      <c r="BF96" s="15" t="e">
        <f t="shared" si="229"/>
        <v>#DIV/0!</v>
      </c>
      <c r="BG96" s="15" t="e">
        <f t="shared" si="229"/>
        <v>#DIV/0!</v>
      </c>
      <c r="BH96" s="15">
        <f t="shared" ref="BH96" si="230">BH37/BH$50</f>
        <v>3.1654023942015039E-6</v>
      </c>
      <c r="BI96" s="15">
        <f t="shared" si="173"/>
        <v>0</v>
      </c>
      <c r="BJ96" s="4"/>
    </row>
    <row r="97" spans="1:63" x14ac:dyDescent="0.25">
      <c r="A97" s="3">
        <f t="shared" si="178"/>
        <v>16</v>
      </c>
      <c r="B97" s="3" t="s">
        <v>97</v>
      </c>
      <c r="C97" s="3" t="s">
        <v>36</v>
      </c>
      <c r="D97" s="25" t="s">
        <v>10</v>
      </c>
      <c r="E97" s="3" t="s">
        <v>115</v>
      </c>
      <c r="F97" s="15">
        <f t="shared" ref="F97:AQ97" si="231">F38/F$50</f>
        <v>1.4042973024254255E-5</v>
      </c>
      <c r="G97" s="15">
        <f t="shared" si="231"/>
        <v>3.3964691670557382E-3</v>
      </c>
      <c r="H97" s="15">
        <f t="shared" si="231"/>
        <v>2.0017148595932122E-4</v>
      </c>
      <c r="I97" s="15">
        <f t="shared" si="231"/>
        <v>2.2832303767334828E-4</v>
      </c>
      <c r="J97" s="15">
        <f t="shared" si="231"/>
        <v>1.6941918986978827E-4</v>
      </c>
      <c r="K97" s="15">
        <f t="shared" si="231"/>
        <v>3.8187108781577E-4</v>
      </c>
      <c r="L97" s="15">
        <f t="shared" si="231"/>
        <v>3.2033901660828045E-4</v>
      </c>
      <c r="M97" s="15">
        <f t="shared" si="231"/>
        <v>3.0475029918548049E-4</v>
      </c>
      <c r="N97" s="15">
        <f t="shared" si="231"/>
        <v>7.9462065542818027E-4</v>
      </c>
      <c r="O97" s="15">
        <f t="shared" si="231"/>
        <v>3.0457067341369253E-4</v>
      </c>
      <c r="P97" s="15">
        <f t="shared" si="231"/>
        <v>3.7351738587110516E-4</v>
      </c>
      <c r="Q97" s="15">
        <f t="shared" si="231"/>
        <v>3.2777667777891188E-4</v>
      </c>
      <c r="R97" s="15">
        <f t="shared" si="231"/>
        <v>5.2800528294400049E-4</v>
      </c>
      <c r="S97" s="15">
        <f t="shared" si="231"/>
        <v>0</v>
      </c>
      <c r="T97" s="15">
        <f t="shared" si="231"/>
        <v>0</v>
      </c>
      <c r="U97" s="15">
        <f t="shared" si="231"/>
        <v>0</v>
      </c>
      <c r="V97" s="15">
        <f t="shared" si="231"/>
        <v>0</v>
      </c>
      <c r="W97" s="15">
        <f t="shared" si="231"/>
        <v>0</v>
      </c>
      <c r="X97" s="15">
        <f t="shared" si="231"/>
        <v>0</v>
      </c>
      <c r="Y97" s="15">
        <f t="shared" si="231"/>
        <v>0</v>
      </c>
      <c r="Z97" s="15">
        <f t="shared" si="231"/>
        <v>0</v>
      </c>
      <c r="AA97" s="15">
        <f t="shared" si="231"/>
        <v>0</v>
      </c>
      <c r="AB97" s="15">
        <f t="shared" si="231"/>
        <v>0</v>
      </c>
      <c r="AC97" s="15">
        <f t="shared" si="231"/>
        <v>0</v>
      </c>
      <c r="AD97" s="15"/>
      <c r="AE97" s="15"/>
      <c r="AF97" s="15">
        <f t="shared" si="231"/>
        <v>0</v>
      </c>
      <c r="AG97" s="15">
        <f t="shared" si="231"/>
        <v>0</v>
      </c>
      <c r="AH97" s="15">
        <f t="shared" si="231"/>
        <v>0</v>
      </c>
      <c r="AI97" s="15">
        <f t="shared" si="231"/>
        <v>0</v>
      </c>
      <c r="AJ97" s="15">
        <f t="shared" si="231"/>
        <v>0</v>
      </c>
      <c r="AK97" s="15">
        <f t="shared" si="231"/>
        <v>0</v>
      </c>
      <c r="AL97" s="15">
        <f t="shared" si="231"/>
        <v>0</v>
      </c>
      <c r="AM97" s="15">
        <f t="shared" si="231"/>
        <v>0</v>
      </c>
      <c r="AN97" s="15">
        <f t="shared" si="231"/>
        <v>0</v>
      </c>
      <c r="AO97" s="15">
        <f t="shared" si="231"/>
        <v>0</v>
      </c>
      <c r="AP97" s="15">
        <f t="shared" si="231"/>
        <v>0</v>
      </c>
      <c r="AQ97" s="15">
        <f t="shared" si="231"/>
        <v>0</v>
      </c>
      <c r="AR97" s="15">
        <f t="shared" ref="AR97:AS97" si="232">AR38/AR$50</f>
        <v>0</v>
      </c>
      <c r="AS97" s="15">
        <f t="shared" si="232"/>
        <v>0</v>
      </c>
      <c r="AT97" s="15"/>
      <c r="AU97" s="15">
        <f t="shared" ref="AU97:BG97" si="233">AU38/AU$50</f>
        <v>0</v>
      </c>
      <c r="AV97" s="15">
        <f t="shared" si="233"/>
        <v>0</v>
      </c>
      <c r="AW97" s="15">
        <f t="shared" si="233"/>
        <v>0</v>
      </c>
      <c r="AX97" s="15">
        <f t="shared" si="233"/>
        <v>0</v>
      </c>
      <c r="AY97" s="15">
        <f t="shared" si="233"/>
        <v>0</v>
      </c>
      <c r="AZ97" s="15">
        <f t="shared" si="233"/>
        <v>0</v>
      </c>
      <c r="BA97" s="15" t="e">
        <f t="shared" si="233"/>
        <v>#DIV/0!</v>
      </c>
      <c r="BB97" s="15" t="e">
        <f t="shared" si="233"/>
        <v>#DIV/0!</v>
      </c>
      <c r="BC97" s="15" t="e">
        <f t="shared" si="233"/>
        <v>#DIV/0!</v>
      </c>
      <c r="BD97" s="15" t="e">
        <f t="shared" si="233"/>
        <v>#DIV/0!</v>
      </c>
      <c r="BE97" s="15" t="e">
        <f t="shared" si="233"/>
        <v>#DIV/0!</v>
      </c>
      <c r="BF97" s="15" t="e">
        <f t="shared" si="233"/>
        <v>#DIV/0!</v>
      </c>
      <c r="BG97" s="15" t="e">
        <f t="shared" si="233"/>
        <v>#DIV/0!</v>
      </c>
      <c r="BH97" s="15">
        <f t="shared" ref="BH97" si="234">BH38/BH$50</f>
        <v>0</v>
      </c>
      <c r="BI97" s="15">
        <f t="shared" si="173"/>
        <v>0</v>
      </c>
      <c r="BJ97" s="4"/>
    </row>
    <row r="98" spans="1:63" x14ac:dyDescent="0.25">
      <c r="A98" s="3">
        <f t="shared" si="178"/>
        <v>17</v>
      </c>
      <c r="B98" s="3" t="s">
        <v>97</v>
      </c>
      <c r="C98" s="3" t="s">
        <v>36</v>
      </c>
      <c r="D98" s="25" t="s">
        <v>13</v>
      </c>
      <c r="E98" s="3" t="s">
        <v>115</v>
      </c>
      <c r="F98" s="15">
        <f t="shared" ref="F98:AQ98" si="235">F39/F$50</f>
        <v>8.8424420732109233E-4</v>
      </c>
      <c r="G98" s="15">
        <f t="shared" si="235"/>
        <v>5.0973479636587924E-4</v>
      </c>
      <c r="H98" s="15">
        <f t="shared" si="235"/>
        <v>1.9966453302864667E-4</v>
      </c>
      <c r="I98" s="15">
        <f t="shared" si="235"/>
        <v>7.7781402151621637E-4</v>
      </c>
      <c r="J98" s="15">
        <f t="shared" si="235"/>
        <v>4.3518035583450191E-4</v>
      </c>
      <c r="K98" s="15">
        <f t="shared" si="235"/>
        <v>4.5242619057615302E-4</v>
      </c>
      <c r="L98" s="15">
        <f t="shared" si="235"/>
        <v>4.9398631985946983E-4</v>
      </c>
      <c r="M98" s="15">
        <f t="shared" si="235"/>
        <v>7.4291872246653697E-4</v>
      </c>
      <c r="N98" s="15">
        <f t="shared" si="235"/>
        <v>5.3848228106117614E-4</v>
      </c>
      <c r="O98" s="15">
        <f t="shared" si="235"/>
        <v>6.4444323248041596E-4</v>
      </c>
      <c r="P98" s="15">
        <f t="shared" si="235"/>
        <v>6.7808839651591361E-4</v>
      </c>
      <c r="Q98" s="15">
        <f t="shared" si="235"/>
        <v>7.4296569277477575E-4</v>
      </c>
      <c r="R98" s="15">
        <f t="shared" si="235"/>
        <v>5.9165366349451837E-4</v>
      </c>
      <c r="S98" s="15">
        <f t="shared" si="235"/>
        <v>3.5698682834213328E-4</v>
      </c>
      <c r="T98" s="15">
        <f t="shared" si="235"/>
        <v>5.8014852934612211E-5</v>
      </c>
      <c r="U98" s="15">
        <f t="shared" si="235"/>
        <v>8.345027223609907E-5</v>
      </c>
      <c r="V98" s="15">
        <f t="shared" si="235"/>
        <v>3.9804373380055356E-5</v>
      </c>
      <c r="W98" s="15">
        <f t="shared" si="235"/>
        <v>1.9423061176524896E-4</v>
      </c>
      <c r="X98" s="15">
        <f t="shared" si="235"/>
        <v>2.8408785595712514E-4</v>
      </c>
      <c r="Y98" s="15">
        <f t="shared" si="235"/>
        <v>3.0244796287176416E-4</v>
      </c>
      <c r="Z98" s="15">
        <f t="shared" si="235"/>
        <v>9.2857657706308457E-4</v>
      </c>
      <c r="AA98" s="15">
        <f t="shared" si="235"/>
        <v>1.3735996337723311E-4</v>
      </c>
      <c r="AB98" s="15">
        <f t="shared" si="235"/>
        <v>5.1386584228512605E-4</v>
      </c>
      <c r="AC98" s="15">
        <f t="shared" si="235"/>
        <v>3.2344104812874632E-4</v>
      </c>
      <c r="AD98" s="15"/>
      <c r="AE98" s="15"/>
      <c r="AF98" s="15">
        <f t="shared" si="235"/>
        <v>2.9355062166053978E-4</v>
      </c>
      <c r="AG98" s="15">
        <f t="shared" si="235"/>
        <v>2.9355062166053957E-4</v>
      </c>
      <c r="AH98" s="15">
        <f t="shared" si="235"/>
        <v>7.3213078853471376E-4</v>
      </c>
      <c r="AI98" s="15">
        <f t="shared" si="235"/>
        <v>8.3641273991672113E-4</v>
      </c>
      <c r="AJ98" s="15">
        <f t="shared" si="235"/>
        <v>8.0971944286576921E-4</v>
      </c>
      <c r="AK98" s="15">
        <f t="shared" si="235"/>
        <v>4.6296035272523557E-4</v>
      </c>
      <c r="AL98" s="15">
        <f t="shared" si="235"/>
        <v>4.0133392001852369E-4</v>
      </c>
      <c r="AM98" s="15">
        <f t="shared" si="235"/>
        <v>1.8408212190674253E-3</v>
      </c>
      <c r="AN98" s="15">
        <f t="shared" si="235"/>
        <v>2.3383781921503918E-3</v>
      </c>
      <c r="AO98" s="15">
        <f t="shared" si="235"/>
        <v>8.5783691265719304E-4</v>
      </c>
      <c r="AP98" s="15">
        <f t="shared" si="235"/>
        <v>9.50605853399188E-4</v>
      </c>
      <c r="AQ98" s="15">
        <f t="shared" si="235"/>
        <v>5.4421187211872064E-3</v>
      </c>
      <c r="AR98" s="15">
        <f t="shared" ref="AR98:AS98" si="236">AR39/AR$50</f>
        <v>1.1482671300117606E-3</v>
      </c>
      <c r="AS98" s="15">
        <f t="shared" si="236"/>
        <v>6.3991099848376045E-4</v>
      </c>
      <c r="AT98" s="15"/>
      <c r="AU98" s="15">
        <f t="shared" ref="AU98:BG98" si="237">AU39/AU$50</f>
        <v>1.3470772317097702E-3</v>
      </c>
      <c r="AV98" s="15">
        <f t="shared" si="237"/>
        <v>3.6136202888297124E-3</v>
      </c>
      <c r="AW98" s="15">
        <f t="shared" si="237"/>
        <v>1.279951497744518E-3</v>
      </c>
      <c r="AX98" s="15">
        <f t="shared" si="237"/>
        <v>4.108507101590772E-4</v>
      </c>
      <c r="AY98" s="15">
        <f t="shared" si="237"/>
        <v>1.5465027779700169E-3</v>
      </c>
      <c r="AZ98" s="15">
        <f t="shared" si="237"/>
        <v>3.1299693200183254E-3</v>
      </c>
      <c r="BA98" s="15" t="e">
        <f t="shared" si="237"/>
        <v>#DIV/0!</v>
      </c>
      <c r="BB98" s="15" t="e">
        <f t="shared" si="237"/>
        <v>#DIV/0!</v>
      </c>
      <c r="BC98" s="15" t="e">
        <f t="shared" si="237"/>
        <v>#DIV/0!</v>
      </c>
      <c r="BD98" s="15" t="e">
        <f t="shared" si="237"/>
        <v>#DIV/0!</v>
      </c>
      <c r="BE98" s="15" t="e">
        <f t="shared" si="237"/>
        <v>#DIV/0!</v>
      </c>
      <c r="BF98" s="15" t="e">
        <f t="shared" si="237"/>
        <v>#DIV/0!</v>
      </c>
      <c r="BG98" s="15" t="e">
        <f t="shared" si="237"/>
        <v>#DIV/0!</v>
      </c>
      <c r="BH98" s="15">
        <f t="shared" ref="BH98" si="238">BH39/BH$50</f>
        <v>1.9680826639124163E-3</v>
      </c>
      <c r="BI98" s="15">
        <f t="shared" si="173"/>
        <v>7.4360580875607019E-4</v>
      </c>
      <c r="BJ98" s="4"/>
    </row>
    <row r="99" spans="1:63" x14ac:dyDescent="0.25">
      <c r="A99" s="3">
        <f t="shared" si="178"/>
        <v>18</v>
      </c>
      <c r="B99" s="3" t="s">
        <v>97</v>
      </c>
      <c r="C99" s="3" t="s">
        <v>36</v>
      </c>
      <c r="D99" s="25" t="s">
        <v>20</v>
      </c>
      <c r="E99" s="3" t="s">
        <v>115</v>
      </c>
      <c r="F99" s="15">
        <f t="shared" ref="F99:AQ99" si="239">F40/F$50</f>
        <v>9.182057492802951E-4</v>
      </c>
      <c r="G99" s="15">
        <f t="shared" si="239"/>
        <v>1.1950476471101043E-3</v>
      </c>
      <c r="H99" s="15">
        <f t="shared" si="239"/>
        <v>1.0383337055866713E-3</v>
      </c>
      <c r="I99" s="15">
        <f t="shared" si="239"/>
        <v>9.9148849051055817E-4</v>
      </c>
      <c r="J99" s="15">
        <f t="shared" si="239"/>
        <v>7.222309502787419E-4</v>
      </c>
      <c r="K99" s="15">
        <f t="shared" si="239"/>
        <v>3.2494714934223239E-4</v>
      </c>
      <c r="L99" s="15">
        <f t="shared" si="239"/>
        <v>1.5966507882637126E-3</v>
      </c>
      <c r="M99" s="15">
        <f t="shared" si="239"/>
        <v>5.1431413195553004E-4</v>
      </c>
      <c r="N99" s="15">
        <f t="shared" si="239"/>
        <v>3.2100286174658211E-4</v>
      </c>
      <c r="O99" s="15">
        <f t="shared" si="239"/>
        <v>3.4593630300251964E-4</v>
      </c>
      <c r="P99" s="15">
        <f t="shared" si="239"/>
        <v>2.3897589510735688E-4</v>
      </c>
      <c r="Q99" s="15">
        <f t="shared" si="239"/>
        <v>1.8094774698151978E-4</v>
      </c>
      <c r="R99" s="15">
        <f t="shared" si="239"/>
        <v>6.5620903834398168E-4</v>
      </c>
      <c r="S99" s="15">
        <f t="shared" si="239"/>
        <v>8.4365781821118421E-5</v>
      </c>
      <c r="T99" s="15">
        <f t="shared" si="239"/>
        <v>2.7096025525717851E-4</v>
      </c>
      <c r="U99" s="15">
        <f t="shared" si="239"/>
        <v>2.9268447299152825E-4</v>
      </c>
      <c r="V99" s="15">
        <f t="shared" si="239"/>
        <v>8.8466148248547369E-4</v>
      </c>
      <c r="W99" s="15">
        <f t="shared" si="239"/>
        <v>4.8950793452119364E-4</v>
      </c>
      <c r="X99" s="15">
        <f t="shared" si="239"/>
        <v>2.2598005872995978E-4</v>
      </c>
      <c r="Y99" s="15">
        <f t="shared" si="239"/>
        <v>7.7123718578189478E-4</v>
      </c>
      <c r="Z99" s="15">
        <f t="shared" si="239"/>
        <v>1.7176247546625082E-4</v>
      </c>
      <c r="AA99" s="15">
        <f t="shared" si="239"/>
        <v>2.1830565484244971E-4</v>
      </c>
      <c r="AB99" s="15">
        <f t="shared" si="239"/>
        <v>2.1204680514879556E-4</v>
      </c>
      <c r="AC99" s="15">
        <f t="shared" si="239"/>
        <v>2.7227208547394893E-4</v>
      </c>
      <c r="AD99" s="15"/>
      <c r="AE99" s="15"/>
      <c r="AF99" s="15">
        <f t="shared" si="239"/>
        <v>3.5716878219381362E-4</v>
      </c>
      <c r="AG99" s="15">
        <f t="shared" si="239"/>
        <v>3.5716878219381346E-4</v>
      </c>
      <c r="AH99" s="15">
        <f t="shared" si="239"/>
        <v>2.0756447718791333E-3</v>
      </c>
      <c r="AI99" s="15">
        <f t="shared" si="239"/>
        <v>3.4873135451766589E-4</v>
      </c>
      <c r="AJ99" s="15">
        <f t="shared" si="239"/>
        <v>2.2770311019468993E-4</v>
      </c>
      <c r="AK99" s="15">
        <f t="shared" si="239"/>
        <v>2.7658674650376543E-4</v>
      </c>
      <c r="AL99" s="15">
        <f t="shared" si="239"/>
        <v>3.2733861095540973E-4</v>
      </c>
      <c r="AM99" s="15">
        <f t="shared" si="239"/>
        <v>2.3372366862672262E-4</v>
      </c>
      <c r="AN99" s="15">
        <f t="shared" si="239"/>
        <v>3.1065278820465261E-4</v>
      </c>
      <c r="AO99" s="15">
        <f t="shared" si="239"/>
        <v>2.3270134779074112E-4</v>
      </c>
      <c r="AP99" s="15">
        <f t="shared" si="239"/>
        <v>5.8464269928853888E-4</v>
      </c>
      <c r="AQ99" s="15">
        <f t="shared" si="239"/>
        <v>2.2069902491546833E-4</v>
      </c>
      <c r="AR99" s="15">
        <f t="shared" ref="AR99:AS99" si="240">AR40/AR$50</f>
        <v>1.4916024661930071E-4</v>
      </c>
      <c r="AS99" s="15">
        <f t="shared" si="240"/>
        <v>2.350829622407093E-4</v>
      </c>
      <c r="AT99" s="15"/>
      <c r="AU99" s="15">
        <f t="shared" ref="AU99:BG99" si="241">AU40/AU$50</f>
        <v>3.759366693300289E-4</v>
      </c>
      <c r="AV99" s="15">
        <f t="shared" si="241"/>
        <v>1.4444963140660961E-4</v>
      </c>
      <c r="AW99" s="15">
        <f t="shared" si="241"/>
        <v>2.1464314673994844E-4</v>
      </c>
      <c r="AX99" s="15">
        <f t="shared" si="241"/>
        <v>4.827272288686293E-4</v>
      </c>
      <c r="AY99" s="15">
        <f t="shared" si="241"/>
        <v>4.5931547098615081E-4</v>
      </c>
      <c r="AZ99" s="15">
        <f t="shared" si="241"/>
        <v>1.9324039925202214E-4</v>
      </c>
      <c r="BA99" s="15" t="e">
        <f t="shared" si="241"/>
        <v>#DIV/0!</v>
      </c>
      <c r="BB99" s="15" t="e">
        <f t="shared" si="241"/>
        <v>#DIV/0!</v>
      </c>
      <c r="BC99" s="15" t="e">
        <f t="shared" si="241"/>
        <v>#DIV/0!</v>
      </c>
      <c r="BD99" s="15" t="e">
        <f t="shared" si="241"/>
        <v>#DIV/0!</v>
      </c>
      <c r="BE99" s="15" t="e">
        <f t="shared" si="241"/>
        <v>#DIV/0!</v>
      </c>
      <c r="BF99" s="15" t="e">
        <f t="shared" si="241"/>
        <v>#DIV/0!</v>
      </c>
      <c r="BG99" s="15" t="e">
        <f t="shared" si="241"/>
        <v>#DIV/0!</v>
      </c>
      <c r="BH99" s="15">
        <f t="shared" ref="BH99" si="242">BH40/BH$50</f>
        <v>3.1913811933109861E-4</v>
      </c>
      <c r="BI99" s="15">
        <f t="shared" si="173"/>
        <v>2.1346015840710658E-4</v>
      </c>
      <c r="BJ99" s="4"/>
    </row>
    <row r="100" spans="1:63" x14ac:dyDescent="0.25">
      <c r="A100" s="3">
        <f t="shared" si="178"/>
        <v>19</v>
      </c>
      <c r="B100" s="3" t="s">
        <v>97</v>
      </c>
      <c r="C100" s="3" t="s">
        <v>36</v>
      </c>
      <c r="D100" s="25" t="s">
        <v>19</v>
      </c>
      <c r="E100" s="3" t="s">
        <v>115</v>
      </c>
      <c r="F100" s="15">
        <f t="shared" ref="F100:AQ100" si="243">F41/F$50</f>
        <v>4.2940395409082395E-4</v>
      </c>
      <c r="G100" s="15">
        <f t="shared" si="243"/>
        <v>7.0033150269122242E-4</v>
      </c>
      <c r="H100" s="15">
        <f t="shared" si="243"/>
        <v>5.2067329008688196E-4</v>
      </c>
      <c r="I100" s="15">
        <f t="shared" si="243"/>
        <v>8.6912113426389063E-4</v>
      </c>
      <c r="J100" s="15">
        <f t="shared" si="243"/>
        <v>4.0561962678050534E-4</v>
      </c>
      <c r="K100" s="15">
        <f t="shared" si="243"/>
        <v>4.5071406439700927E-4</v>
      </c>
      <c r="L100" s="15">
        <f t="shared" si="243"/>
        <v>3.4942581003681795E-4</v>
      </c>
      <c r="M100" s="15">
        <f t="shared" si="243"/>
        <v>4.7728172900368985E-4</v>
      </c>
      <c r="N100" s="15">
        <f t="shared" si="243"/>
        <v>2.2463556097985466E-4</v>
      </c>
      <c r="O100" s="15">
        <f t="shared" si="243"/>
        <v>5.548810251298058E-4</v>
      </c>
      <c r="P100" s="15">
        <f t="shared" si="243"/>
        <v>5.1637468842285019E-4</v>
      </c>
      <c r="Q100" s="15">
        <f t="shared" si="243"/>
        <v>1.210179811627554E-4</v>
      </c>
      <c r="R100" s="15">
        <f t="shared" si="243"/>
        <v>4.4100095946871535E-4</v>
      </c>
      <c r="S100" s="15">
        <f t="shared" si="243"/>
        <v>1.4699624601514048E-4</v>
      </c>
      <c r="T100" s="15">
        <f t="shared" si="243"/>
        <v>1.6517885602588902E-4</v>
      </c>
      <c r="U100" s="15">
        <f t="shared" si="243"/>
        <v>9.7725657060466044E-5</v>
      </c>
      <c r="V100" s="15">
        <f t="shared" si="243"/>
        <v>1.342198166919017E-4</v>
      </c>
      <c r="W100" s="15">
        <f t="shared" si="243"/>
        <v>1.7330544897199631E-4</v>
      </c>
      <c r="X100" s="15">
        <f t="shared" si="243"/>
        <v>1.1816161226769814E-4</v>
      </c>
      <c r="Y100" s="15">
        <f t="shared" si="243"/>
        <v>1.9729241059060452E-4</v>
      </c>
      <c r="Z100" s="15">
        <f t="shared" si="243"/>
        <v>1.8222516635829549E-4</v>
      </c>
      <c r="AA100" s="15">
        <f t="shared" si="243"/>
        <v>1.3717666675229821E-4</v>
      </c>
      <c r="AB100" s="15">
        <f t="shared" si="243"/>
        <v>1.0071954365619074E-4</v>
      </c>
      <c r="AC100" s="15">
        <f t="shared" si="243"/>
        <v>1.4252372549729988E-4</v>
      </c>
      <c r="AD100" s="15"/>
      <c r="AE100" s="15"/>
      <c r="AF100" s="15">
        <f t="shared" si="243"/>
        <v>1.4044066532186916E-4</v>
      </c>
      <c r="AG100" s="15">
        <f t="shared" si="243"/>
        <v>1.4044066532186908E-4</v>
      </c>
      <c r="AH100" s="15">
        <f t="shared" si="243"/>
        <v>1.5068840523256002E-4</v>
      </c>
      <c r="AI100" s="15">
        <f t="shared" si="243"/>
        <v>8.9640364754452163E-5</v>
      </c>
      <c r="AJ100" s="15">
        <f t="shared" si="243"/>
        <v>6.6207343149830706E-5</v>
      </c>
      <c r="AK100" s="15">
        <f t="shared" si="243"/>
        <v>7.6738198500919962E-5</v>
      </c>
      <c r="AL100" s="15">
        <f t="shared" si="243"/>
        <v>7.1633987522530434E-5</v>
      </c>
      <c r="AM100" s="15">
        <f t="shared" si="243"/>
        <v>7.4576240177707081E-5</v>
      </c>
      <c r="AN100" s="15">
        <f t="shared" si="243"/>
        <v>9.4203307396526005E-5</v>
      </c>
      <c r="AO100" s="15">
        <f t="shared" si="243"/>
        <v>4.0573295992082785E-5</v>
      </c>
      <c r="AP100" s="15">
        <f t="shared" si="243"/>
        <v>1.1448298028161076E-4</v>
      </c>
      <c r="AQ100" s="15">
        <f t="shared" si="243"/>
        <v>4.5624073996816618E-5</v>
      </c>
      <c r="AR100" s="15">
        <f t="shared" ref="AR100:AS100" si="244">AR41/AR$50</f>
        <v>9.9601010415864335E-5</v>
      </c>
      <c r="AS100" s="15">
        <f t="shared" si="244"/>
        <v>7.1472763659641338E-5</v>
      </c>
      <c r="AT100" s="15"/>
      <c r="AU100" s="15">
        <f t="shared" ref="AU100:BG100" si="245">AU41/AU$50</f>
        <v>7.9707345773591347E-5</v>
      </c>
      <c r="AV100" s="15">
        <f t="shared" si="245"/>
        <v>7.0640491755416147E-5</v>
      </c>
      <c r="AW100" s="15">
        <f t="shared" si="245"/>
        <v>1.4242868129586326E-4</v>
      </c>
      <c r="AX100" s="15">
        <f t="shared" si="245"/>
        <v>5.770058345552026E-5</v>
      </c>
      <c r="AY100" s="15">
        <f t="shared" si="245"/>
        <v>4.7495918358311833E-5</v>
      </c>
      <c r="AZ100" s="15">
        <f t="shared" si="245"/>
        <v>6.9524907106334227E-5</v>
      </c>
      <c r="BA100" s="15" t="e">
        <f t="shared" si="245"/>
        <v>#DIV/0!</v>
      </c>
      <c r="BB100" s="15" t="e">
        <f t="shared" si="245"/>
        <v>#DIV/0!</v>
      </c>
      <c r="BC100" s="15" t="e">
        <f t="shared" si="245"/>
        <v>#DIV/0!</v>
      </c>
      <c r="BD100" s="15" t="e">
        <f t="shared" si="245"/>
        <v>#DIV/0!</v>
      </c>
      <c r="BE100" s="15" t="e">
        <f t="shared" si="245"/>
        <v>#DIV/0!</v>
      </c>
      <c r="BF100" s="15" t="e">
        <f t="shared" si="245"/>
        <v>#DIV/0!</v>
      </c>
      <c r="BG100" s="15" t="e">
        <f t="shared" si="245"/>
        <v>#DIV/0!</v>
      </c>
      <c r="BH100" s="15">
        <f t="shared" ref="BH100" si="246">BH41/BH$50</f>
        <v>7.0687654108972589E-5</v>
      </c>
      <c r="BI100" s="15">
        <f t="shared" si="173"/>
        <v>9.4728048808594975E-5</v>
      </c>
      <c r="BJ100" s="4"/>
    </row>
    <row r="101" spans="1:63" x14ac:dyDescent="0.25">
      <c r="A101" s="3">
        <f t="shared" si="178"/>
        <v>20</v>
      </c>
      <c r="B101" s="3" t="s">
        <v>97</v>
      </c>
      <c r="C101" s="3" t="s">
        <v>36</v>
      </c>
      <c r="D101" s="25" t="s">
        <v>6</v>
      </c>
      <c r="E101" s="3" t="s">
        <v>115</v>
      </c>
      <c r="F101" s="15">
        <f t="shared" ref="F101:AQ101" si="247">F42/F$50</f>
        <v>1.1237487413743081E-4</v>
      </c>
      <c r="G101" s="15">
        <f t="shared" si="247"/>
        <v>5.5177075893547212E-4</v>
      </c>
      <c r="H101" s="15">
        <f t="shared" si="247"/>
        <v>3.3550754424732844E-4</v>
      </c>
      <c r="I101" s="15">
        <f t="shared" si="247"/>
        <v>4.1819039258039086E-4</v>
      </c>
      <c r="J101" s="15">
        <f t="shared" si="247"/>
        <v>2.1888978235974052E-4</v>
      </c>
      <c r="K101" s="15">
        <f t="shared" si="247"/>
        <v>3.8460058531244383E-4</v>
      </c>
      <c r="L101" s="15">
        <f t="shared" si="247"/>
        <v>2.9673879654075334E-4</v>
      </c>
      <c r="M101" s="15">
        <f t="shared" si="247"/>
        <v>1.9842250968975871E-4</v>
      </c>
      <c r="N101" s="15">
        <f t="shared" si="247"/>
        <v>3.0984155117288196E-4</v>
      </c>
      <c r="O101" s="15">
        <f t="shared" si="247"/>
        <v>4.5890632326119323E-4</v>
      </c>
      <c r="P101" s="15">
        <f t="shared" si="247"/>
        <v>6.6296052531483382E-4</v>
      </c>
      <c r="Q101" s="15">
        <f t="shared" si="247"/>
        <v>2.2826089809800537E-4</v>
      </c>
      <c r="R101" s="15">
        <f t="shared" si="247"/>
        <v>3.4104390222141164E-4</v>
      </c>
      <c r="S101" s="15">
        <f t="shared" si="247"/>
        <v>0</v>
      </c>
      <c r="T101" s="15">
        <f t="shared" si="247"/>
        <v>0</v>
      </c>
      <c r="U101" s="15">
        <f t="shared" si="247"/>
        <v>0</v>
      </c>
      <c r="V101" s="15">
        <f t="shared" si="247"/>
        <v>0</v>
      </c>
      <c r="W101" s="15">
        <f t="shared" si="247"/>
        <v>0</v>
      </c>
      <c r="X101" s="15">
        <f t="shared" si="247"/>
        <v>0</v>
      </c>
      <c r="Y101" s="15">
        <f t="shared" si="247"/>
        <v>0</v>
      </c>
      <c r="Z101" s="15">
        <f t="shared" si="247"/>
        <v>0</v>
      </c>
      <c r="AA101" s="15">
        <f t="shared" si="247"/>
        <v>0</v>
      </c>
      <c r="AB101" s="15">
        <f t="shared" si="247"/>
        <v>0</v>
      </c>
      <c r="AC101" s="15">
        <f t="shared" si="247"/>
        <v>0</v>
      </c>
      <c r="AD101" s="15"/>
      <c r="AE101" s="15"/>
      <c r="AF101" s="15">
        <f t="shared" si="247"/>
        <v>0</v>
      </c>
      <c r="AG101" s="15">
        <f t="shared" si="247"/>
        <v>0</v>
      </c>
      <c r="AH101" s="15">
        <f t="shared" si="247"/>
        <v>0</v>
      </c>
      <c r="AI101" s="15">
        <f t="shared" si="247"/>
        <v>0</v>
      </c>
      <c r="AJ101" s="15">
        <f t="shared" si="247"/>
        <v>0</v>
      </c>
      <c r="AK101" s="15">
        <f t="shared" si="247"/>
        <v>0</v>
      </c>
      <c r="AL101" s="15">
        <f t="shared" si="247"/>
        <v>0</v>
      </c>
      <c r="AM101" s="15">
        <f t="shared" si="247"/>
        <v>0</v>
      </c>
      <c r="AN101" s="15">
        <f t="shared" si="247"/>
        <v>0</v>
      </c>
      <c r="AO101" s="15">
        <f t="shared" si="247"/>
        <v>0</v>
      </c>
      <c r="AP101" s="15">
        <f t="shared" si="247"/>
        <v>0</v>
      </c>
      <c r="AQ101" s="15">
        <f t="shared" si="247"/>
        <v>0</v>
      </c>
      <c r="AR101" s="15">
        <f t="shared" ref="AR101:AS101" si="248">AR42/AR$50</f>
        <v>0</v>
      </c>
      <c r="AS101" s="15">
        <f t="shared" si="248"/>
        <v>0</v>
      </c>
      <c r="AT101" s="15"/>
      <c r="AU101" s="15">
        <f t="shared" ref="AU101:BG101" si="249">AU42/AU$50</f>
        <v>0</v>
      </c>
      <c r="AV101" s="15">
        <f t="shared" si="249"/>
        <v>0</v>
      </c>
      <c r="AW101" s="15">
        <f t="shared" si="249"/>
        <v>0</v>
      </c>
      <c r="AX101" s="15">
        <f t="shared" si="249"/>
        <v>0</v>
      </c>
      <c r="AY101" s="15">
        <f t="shared" si="249"/>
        <v>0</v>
      </c>
      <c r="AZ101" s="15">
        <f t="shared" si="249"/>
        <v>0</v>
      </c>
      <c r="BA101" s="15" t="e">
        <f t="shared" si="249"/>
        <v>#DIV/0!</v>
      </c>
      <c r="BB101" s="15" t="e">
        <f t="shared" si="249"/>
        <v>#DIV/0!</v>
      </c>
      <c r="BC101" s="15" t="e">
        <f t="shared" si="249"/>
        <v>#DIV/0!</v>
      </c>
      <c r="BD101" s="15" t="e">
        <f t="shared" si="249"/>
        <v>#DIV/0!</v>
      </c>
      <c r="BE101" s="15" t="e">
        <f t="shared" si="249"/>
        <v>#DIV/0!</v>
      </c>
      <c r="BF101" s="15" t="e">
        <f t="shared" si="249"/>
        <v>#DIV/0!</v>
      </c>
      <c r="BG101" s="15" t="e">
        <f t="shared" si="249"/>
        <v>#DIV/0!</v>
      </c>
      <c r="BH101" s="15">
        <f t="shared" ref="BH101" si="250">BH42/BH$50</f>
        <v>0</v>
      </c>
      <c r="BI101" s="15">
        <f t="shared" si="173"/>
        <v>0</v>
      </c>
      <c r="BJ101" s="4"/>
    </row>
    <row r="102" spans="1:63" x14ac:dyDescent="0.25">
      <c r="A102" s="3">
        <f t="shared" si="178"/>
        <v>21</v>
      </c>
      <c r="B102" s="3" t="s">
        <v>97</v>
      </c>
      <c r="C102" s="3" t="s">
        <v>36</v>
      </c>
      <c r="D102" s="25" t="s">
        <v>14</v>
      </c>
      <c r="E102" s="3" t="s">
        <v>115</v>
      </c>
      <c r="F102" s="15">
        <f t="shared" ref="F102:AQ102" si="251">F43/F$50</f>
        <v>4.2794304370147914E-4</v>
      </c>
      <c r="G102" s="15">
        <f t="shared" si="251"/>
        <v>3.0861302015687488E-4</v>
      </c>
      <c r="H102" s="15">
        <f t="shared" si="251"/>
        <v>3.1118125541306792E-4</v>
      </c>
      <c r="I102" s="15">
        <f t="shared" si="251"/>
        <v>3.2670006910054774E-4</v>
      </c>
      <c r="J102" s="15">
        <f t="shared" si="251"/>
        <v>2.9608887770655659E-4</v>
      </c>
      <c r="K102" s="15">
        <f t="shared" si="251"/>
        <v>3.1614132765438884E-4</v>
      </c>
      <c r="L102" s="15">
        <f t="shared" si="251"/>
        <v>3.0179005140056427E-4</v>
      </c>
      <c r="M102" s="15">
        <f t="shared" si="251"/>
        <v>2.9237206422611092E-4</v>
      </c>
      <c r="N102" s="15">
        <f t="shared" si="251"/>
        <v>2.756560534004176E-4</v>
      </c>
      <c r="O102" s="15">
        <f t="shared" si="251"/>
        <v>2.5600287386537326E-4</v>
      </c>
      <c r="P102" s="15">
        <f t="shared" si="251"/>
        <v>3.1090846708502299E-4</v>
      </c>
      <c r="Q102" s="15">
        <f t="shared" si="251"/>
        <v>1.7220694992886313E-4</v>
      </c>
      <c r="R102" s="15">
        <f t="shared" si="251"/>
        <v>2.8678468321515941E-4</v>
      </c>
      <c r="S102" s="15">
        <f t="shared" si="251"/>
        <v>1.499807791561598E-5</v>
      </c>
      <c r="T102" s="15">
        <f t="shared" si="251"/>
        <v>2.1086725282912207E-5</v>
      </c>
      <c r="U102" s="15">
        <f t="shared" si="251"/>
        <v>1.3436731243786063E-5</v>
      </c>
      <c r="V102" s="15">
        <f t="shared" si="251"/>
        <v>1.4423324584285326E-5</v>
      </c>
      <c r="W102" s="15">
        <f t="shared" si="251"/>
        <v>1.4157564033810541E-5</v>
      </c>
      <c r="X102" s="15">
        <f t="shared" si="251"/>
        <v>1.8078526728452201E-5</v>
      </c>
      <c r="Y102" s="15">
        <f t="shared" si="251"/>
        <v>2.8481452594166386E-5</v>
      </c>
      <c r="Z102" s="15">
        <f t="shared" si="251"/>
        <v>5.36161750600849E-5</v>
      </c>
      <c r="AA102" s="15">
        <f t="shared" si="251"/>
        <v>4.7864633153804913E-5</v>
      </c>
      <c r="AB102" s="15">
        <f t="shared" si="251"/>
        <v>3.4996793057642135E-5</v>
      </c>
      <c r="AC102" s="15">
        <f t="shared" si="251"/>
        <v>3.3380545968602253E-5</v>
      </c>
      <c r="AD102" s="15"/>
      <c r="AE102" s="15"/>
      <c r="AF102" s="15">
        <f t="shared" si="251"/>
        <v>2.6732766360495297E-5</v>
      </c>
      <c r="AG102" s="15">
        <f t="shared" si="251"/>
        <v>2.6732766360495277E-5</v>
      </c>
      <c r="AH102" s="15">
        <f t="shared" si="251"/>
        <v>3.8425155764208984E-5</v>
      </c>
      <c r="AI102" s="15">
        <f t="shared" si="251"/>
        <v>2.9949400371370884E-5</v>
      </c>
      <c r="AJ102" s="15">
        <f t="shared" si="251"/>
        <v>1.9613305198652019E-5</v>
      </c>
      <c r="AK102" s="15">
        <f t="shared" si="251"/>
        <v>2.1575772234717229E-5</v>
      </c>
      <c r="AL102" s="15">
        <f t="shared" si="251"/>
        <v>1.8762859792348057E-5</v>
      </c>
      <c r="AM102" s="15">
        <f t="shared" si="251"/>
        <v>1.9015638587637329E-5</v>
      </c>
      <c r="AN102" s="15">
        <f t="shared" si="251"/>
        <v>1.7304861329030586E-5</v>
      </c>
      <c r="AO102" s="15">
        <f t="shared" si="251"/>
        <v>1.7386033321383537E-5</v>
      </c>
      <c r="AP102" s="15">
        <f t="shared" si="251"/>
        <v>1.5916037065774042E-5</v>
      </c>
      <c r="AQ102" s="15">
        <f t="shared" si="251"/>
        <v>2.6488445624615036E-5</v>
      </c>
      <c r="AR102" s="15">
        <f t="shared" ref="AR102:AS102" si="252">AR43/AR$50</f>
        <v>3.2101107341442555E-5</v>
      </c>
      <c r="AS102" s="15">
        <f t="shared" si="252"/>
        <v>2.5096390592339463E-5</v>
      </c>
      <c r="AT102" s="15"/>
      <c r="AU102" s="15">
        <f t="shared" ref="AU102:BG102" si="253">AU43/AU$50</f>
        <v>2.1942862789051617E-5</v>
      </c>
      <c r="AV102" s="15">
        <f t="shared" si="253"/>
        <v>3.7457466192708322E-5</v>
      </c>
      <c r="AW102" s="15">
        <f t="shared" si="253"/>
        <v>4.2480169736099823E-5</v>
      </c>
      <c r="AX102" s="15">
        <f t="shared" si="253"/>
        <v>2.2436667490791406E-5</v>
      </c>
      <c r="AY102" s="15">
        <f t="shared" si="253"/>
        <v>2.1875175291813701E-5</v>
      </c>
      <c r="AZ102" s="15">
        <f t="shared" si="253"/>
        <v>2.4139272628783048E-5</v>
      </c>
      <c r="BA102" s="15" t="e">
        <f t="shared" si="253"/>
        <v>#DIV/0!</v>
      </c>
      <c r="BB102" s="15" t="e">
        <f t="shared" si="253"/>
        <v>#DIV/0!</v>
      </c>
      <c r="BC102" s="15" t="e">
        <f t="shared" si="253"/>
        <v>#DIV/0!</v>
      </c>
      <c r="BD102" s="15" t="e">
        <f t="shared" si="253"/>
        <v>#DIV/0!</v>
      </c>
      <c r="BE102" s="15" t="e">
        <f t="shared" si="253"/>
        <v>#DIV/0!</v>
      </c>
      <c r="BF102" s="15" t="e">
        <f t="shared" si="253"/>
        <v>#DIV/0!</v>
      </c>
      <c r="BG102" s="15" t="e">
        <f t="shared" si="253"/>
        <v>#DIV/0!</v>
      </c>
      <c r="BH102" s="15">
        <f t="shared" ref="BH102" si="254">BH43/BH$50</f>
        <v>2.7889917258642519E-5</v>
      </c>
      <c r="BI102" s="15">
        <f t="shared" si="173"/>
        <v>2.7414039032481852E-5</v>
      </c>
      <c r="BJ102" s="4"/>
    </row>
    <row r="103" spans="1:63" x14ac:dyDescent="0.25">
      <c r="A103" s="3">
        <f t="shared" si="178"/>
        <v>22</v>
      </c>
      <c r="B103" s="3" t="s">
        <v>97</v>
      </c>
      <c r="C103" s="3" t="s">
        <v>36</v>
      </c>
      <c r="D103" s="25" t="s">
        <v>4</v>
      </c>
      <c r="E103" s="3" t="s">
        <v>115</v>
      </c>
      <c r="F103" s="15">
        <f t="shared" ref="F103:AQ103" si="255">F44/F$50</f>
        <v>3.8307766215018571E-4</v>
      </c>
      <c r="G103" s="15">
        <f t="shared" si="255"/>
        <v>9.0306207852307752E-5</v>
      </c>
      <c r="H103" s="15">
        <f t="shared" si="255"/>
        <v>3.7785202697876718E-5</v>
      </c>
      <c r="I103" s="15">
        <f t="shared" si="255"/>
        <v>1.4174833717605043E-4</v>
      </c>
      <c r="J103" s="15">
        <f t="shared" si="255"/>
        <v>3.3786051654610683E-4</v>
      </c>
      <c r="K103" s="15">
        <f t="shared" si="255"/>
        <v>1.7616462242338846E-5</v>
      </c>
      <c r="L103" s="15">
        <f t="shared" si="255"/>
        <v>1.3833163215825876E-5</v>
      </c>
      <c r="M103" s="15">
        <f t="shared" si="255"/>
        <v>1.4127586915224017E-4</v>
      </c>
      <c r="N103" s="15">
        <f t="shared" si="255"/>
        <v>9.2607487022375163E-5</v>
      </c>
      <c r="O103" s="15">
        <f t="shared" si="255"/>
        <v>9.7662759750739131E-4</v>
      </c>
      <c r="P103" s="15">
        <f t="shared" si="255"/>
        <v>7.1090963731722137E-5</v>
      </c>
      <c r="Q103" s="15">
        <f t="shared" si="255"/>
        <v>1.1741812618766053E-4</v>
      </c>
      <c r="R103" s="15">
        <f t="shared" si="255"/>
        <v>2.020057814287272E-4</v>
      </c>
      <c r="S103" s="15">
        <f t="shared" si="255"/>
        <v>0</v>
      </c>
      <c r="T103" s="15">
        <f t="shared" si="255"/>
        <v>0</v>
      </c>
      <c r="U103" s="15">
        <f t="shared" si="255"/>
        <v>0</v>
      </c>
      <c r="V103" s="15">
        <f t="shared" si="255"/>
        <v>0</v>
      </c>
      <c r="W103" s="15">
        <f t="shared" si="255"/>
        <v>0</v>
      </c>
      <c r="X103" s="15">
        <f t="shared" si="255"/>
        <v>0</v>
      </c>
      <c r="Y103" s="15">
        <f t="shared" si="255"/>
        <v>0</v>
      </c>
      <c r="Z103" s="15">
        <f t="shared" si="255"/>
        <v>2.4808542974560286E-5</v>
      </c>
      <c r="AA103" s="15">
        <f t="shared" si="255"/>
        <v>0</v>
      </c>
      <c r="AB103" s="15">
        <f t="shared" si="255"/>
        <v>4.1904424843084199E-5</v>
      </c>
      <c r="AC103" s="15">
        <f t="shared" si="255"/>
        <v>7.4556007724738745E-5</v>
      </c>
      <c r="AD103" s="15"/>
      <c r="AE103" s="15"/>
      <c r="AF103" s="15">
        <f t="shared" si="255"/>
        <v>1.3272017836932954E-5</v>
      </c>
      <c r="AG103" s="15">
        <f t="shared" si="255"/>
        <v>1.3272017836932946E-5</v>
      </c>
      <c r="AH103" s="15">
        <f t="shared" si="255"/>
        <v>0</v>
      </c>
      <c r="AI103" s="15">
        <f t="shared" si="255"/>
        <v>0</v>
      </c>
      <c r="AJ103" s="15">
        <f t="shared" si="255"/>
        <v>0</v>
      </c>
      <c r="AK103" s="15">
        <f t="shared" si="255"/>
        <v>5.0388418073162535E-5</v>
      </c>
      <c r="AL103" s="15">
        <f t="shared" si="255"/>
        <v>0</v>
      </c>
      <c r="AM103" s="15">
        <f t="shared" si="255"/>
        <v>0</v>
      </c>
      <c r="AN103" s="15">
        <f t="shared" si="255"/>
        <v>0</v>
      </c>
      <c r="AO103" s="15">
        <f t="shared" si="255"/>
        <v>1.13254991878218E-5</v>
      </c>
      <c r="AP103" s="15">
        <f t="shared" si="255"/>
        <v>5.7023977599255239E-7</v>
      </c>
      <c r="AQ103" s="15">
        <f t="shared" si="255"/>
        <v>0</v>
      </c>
      <c r="AR103" s="15">
        <f t="shared" ref="AR103:AS103" si="256">AR44/AR$50</f>
        <v>0</v>
      </c>
      <c r="AS103" s="15">
        <f t="shared" si="256"/>
        <v>2.6832224274976276E-5</v>
      </c>
      <c r="AT103" s="15"/>
      <c r="AU103" s="15">
        <f t="shared" ref="AU103:BG103" si="257">AU44/AU$50</f>
        <v>7.7486863400354331E-6</v>
      </c>
      <c r="AV103" s="15">
        <f t="shared" si="257"/>
        <v>1.8366241488037627E-6</v>
      </c>
      <c r="AW103" s="15">
        <f t="shared" si="257"/>
        <v>0</v>
      </c>
      <c r="AX103" s="15">
        <f t="shared" si="257"/>
        <v>0</v>
      </c>
      <c r="AY103" s="15">
        <f t="shared" si="257"/>
        <v>0</v>
      </c>
      <c r="AZ103" s="15">
        <f t="shared" si="257"/>
        <v>1.9512578708266297E-5</v>
      </c>
      <c r="BA103" s="15" t="e">
        <f t="shared" si="257"/>
        <v>#DIV/0!</v>
      </c>
      <c r="BB103" s="15" t="e">
        <f t="shared" si="257"/>
        <v>#DIV/0!</v>
      </c>
      <c r="BC103" s="15" t="e">
        <f t="shared" si="257"/>
        <v>#DIV/0!</v>
      </c>
      <c r="BD103" s="15" t="e">
        <f t="shared" si="257"/>
        <v>#DIV/0!</v>
      </c>
      <c r="BE103" s="15" t="e">
        <f t="shared" si="257"/>
        <v>#DIV/0!</v>
      </c>
      <c r="BF103" s="15" t="e">
        <f t="shared" si="257"/>
        <v>#DIV/0!</v>
      </c>
      <c r="BG103" s="15" t="e">
        <f t="shared" si="257"/>
        <v>#DIV/0!</v>
      </c>
      <c r="BH103" s="15">
        <f t="shared" ref="BH103" si="258">BH44/BH$50</f>
        <v>4.594150150006311E-6</v>
      </c>
      <c r="BI103" s="15">
        <f t="shared" si="173"/>
        <v>1.0470639908239596E-5</v>
      </c>
      <c r="BJ103" s="4"/>
    </row>
    <row r="104" spans="1:63" x14ac:dyDescent="0.25">
      <c r="A104" s="3">
        <f t="shared" si="178"/>
        <v>23</v>
      </c>
      <c r="B104" s="3" t="s">
        <v>97</v>
      </c>
      <c r="C104" s="3" t="s">
        <v>51</v>
      </c>
      <c r="D104" s="25" t="s">
        <v>2</v>
      </c>
      <c r="E104" s="3" t="s">
        <v>115</v>
      </c>
      <c r="F104" s="15">
        <f t="shared" ref="F104:AQ104" si="259">F45/F$50</f>
        <v>1.8944984043907266E-5</v>
      </c>
      <c r="G104" s="15">
        <f t="shared" si="259"/>
        <v>5.3010653308548604E-4</v>
      </c>
      <c r="H104" s="15">
        <f t="shared" si="259"/>
        <v>5.8401948982727062E-5</v>
      </c>
      <c r="I104" s="15">
        <f t="shared" si="259"/>
        <v>3.70494769020069E-4</v>
      </c>
      <c r="J104" s="15">
        <f t="shared" si="259"/>
        <v>5.1110274161958577E-4</v>
      </c>
      <c r="K104" s="15">
        <f t="shared" si="259"/>
        <v>8.1954573713200406E-4</v>
      </c>
      <c r="L104" s="15">
        <f t="shared" si="259"/>
        <v>4.9479256785570502E-7</v>
      </c>
      <c r="M104" s="15">
        <f t="shared" si="259"/>
        <v>1.1414941506860218E-4</v>
      </c>
      <c r="N104" s="15">
        <f t="shared" si="259"/>
        <v>0</v>
      </c>
      <c r="O104" s="15">
        <f t="shared" si="259"/>
        <v>3.2899285812531551E-5</v>
      </c>
      <c r="P104" s="15">
        <f t="shared" si="259"/>
        <v>6.8995587471832234E-5</v>
      </c>
      <c r="Q104" s="15">
        <f t="shared" si="259"/>
        <v>2.8100503679636172E-5</v>
      </c>
      <c r="R104" s="15">
        <f t="shared" si="259"/>
        <v>1.9628220418199218E-4</v>
      </c>
      <c r="S104" s="15">
        <f t="shared" si="259"/>
        <v>0</v>
      </c>
      <c r="T104" s="15">
        <f t="shared" si="259"/>
        <v>0</v>
      </c>
      <c r="U104" s="15">
        <f t="shared" si="259"/>
        <v>0</v>
      </c>
      <c r="V104" s="15">
        <f t="shared" si="259"/>
        <v>0</v>
      </c>
      <c r="W104" s="15">
        <f t="shared" si="259"/>
        <v>0</v>
      </c>
      <c r="X104" s="15">
        <f t="shared" si="259"/>
        <v>0</v>
      </c>
      <c r="Y104" s="15">
        <f t="shared" si="259"/>
        <v>0</v>
      </c>
      <c r="Z104" s="15">
        <f t="shared" si="259"/>
        <v>0</v>
      </c>
      <c r="AA104" s="15">
        <f t="shared" si="259"/>
        <v>0</v>
      </c>
      <c r="AB104" s="15">
        <f t="shared" si="259"/>
        <v>0</v>
      </c>
      <c r="AC104" s="15">
        <f t="shared" si="259"/>
        <v>0</v>
      </c>
      <c r="AD104" s="15"/>
      <c r="AE104" s="15"/>
      <c r="AF104" s="15">
        <f t="shared" si="259"/>
        <v>0</v>
      </c>
      <c r="AG104" s="15">
        <f t="shared" si="259"/>
        <v>0</v>
      </c>
      <c r="AH104" s="15">
        <f t="shared" si="259"/>
        <v>0</v>
      </c>
      <c r="AI104" s="15">
        <f t="shared" si="259"/>
        <v>0</v>
      </c>
      <c r="AJ104" s="15">
        <f t="shared" si="259"/>
        <v>0</v>
      </c>
      <c r="AK104" s="15">
        <f t="shared" si="259"/>
        <v>0</v>
      </c>
      <c r="AL104" s="15">
        <f t="shared" si="259"/>
        <v>0</v>
      </c>
      <c r="AM104" s="15">
        <f t="shared" si="259"/>
        <v>0</v>
      </c>
      <c r="AN104" s="15">
        <f t="shared" si="259"/>
        <v>0</v>
      </c>
      <c r="AO104" s="15">
        <f t="shared" si="259"/>
        <v>0</v>
      </c>
      <c r="AP104" s="15">
        <f t="shared" si="259"/>
        <v>0</v>
      </c>
      <c r="AQ104" s="15">
        <f t="shared" si="259"/>
        <v>0</v>
      </c>
      <c r="AR104" s="15">
        <f t="shared" ref="AR104:AS104" si="260">AR45/AR$50</f>
        <v>0</v>
      </c>
      <c r="AS104" s="15">
        <f t="shared" si="260"/>
        <v>0</v>
      </c>
      <c r="AT104" s="15"/>
      <c r="AU104" s="15">
        <f t="shared" ref="AU104:BG104" si="261">AU45/AU$50</f>
        <v>0</v>
      </c>
      <c r="AV104" s="15">
        <f t="shared" si="261"/>
        <v>0</v>
      </c>
      <c r="AW104" s="15">
        <f t="shared" si="261"/>
        <v>0</v>
      </c>
      <c r="AX104" s="15">
        <f t="shared" si="261"/>
        <v>0</v>
      </c>
      <c r="AY104" s="15">
        <f t="shared" si="261"/>
        <v>0</v>
      </c>
      <c r="AZ104" s="15">
        <f t="shared" si="261"/>
        <v>0</v>
      </c>
      <c r="BA104" s="15" t="e">
        <f t="shared" si="261"/>
        <v>#DIV/0!</v>
      </c>
      <c r="BB104" s="15" t="e">
        <f t="shared" si="261"/>
        <v>#DIV/0!</v>
      </c>
      <c r="BC104" s="15" t="e">
        <f t="shared" si="261"/>
        <v>#DIV/0!</v>
      </c>
      <c r="BD104" s="15" t="e">
        <f t="shared" si="261"/>
        <v>#DIV/0!</v>
      </c>
      <c r="BE104" s="15" t="e">
        <f t="shared" si="261"/>
        <v>#DIV/0!</v>
      </c>
      <c r="BF104" s="15" t="e">
        <f t="shared" si="261"/>
        <v>#DIV/0!</v>
      </c>
      <c r="BG104" s="15" t="e">
        <f t="shared" si="261"/>
        <v>#DIV/0!</v>
      </c>
      <c r="BH104" s="15">
        <f t="shared" ref="BH104" si="262">BH45/BH$50</f>
        <v>0</v>
      </c>
      <c r="BI104" s="15">
        <f t="shared" si="173"/>
        <v>0</v>
      </c>
      <c r="BJ104" s="4"/>
    </row>
    <row r="105" spans="1:63" x14ac:dyDescent="0.25">
      <c r="A105" s="3">
        <f t="shared" si="178"/>
        <v>24</v>
      </c>
      <c r="B105" s="3" t="s">
        <v>97</v>
      </c>
      <c r="C105" s="3" t="s">
        <v>36</v>
      </c>
      <c r="D105" s="25" t="s">
        <v>5</v>
      </c>
      <c r="E105" s="3" t="s">
        <v>115</v>
      </c>
      <c r="F105" s="15">
        <f t="shared" ref="F105:AQ105" si="263">F46/F$50</f>
        <v>1.4358808238855748E-4</v>
      </c>
      <c r="G105" s="15">
        <f t="shared" si="263"/>
        <v>0</v>
      </c>
      <c r="H105" s="15">
        <f t="shared" si="263"/>
        <v>0</v>
      </c>
      <c r="I105" s="15">
        <f t="shared" si="263"/>
        <v>0</v>
      </c>
      <c r="J105" s="15">
        <f t="shared" si="263"/>
        <v>0</v>
      </c>
      <c r="K105" s="15">
        <f t="shared" si="263"/>
        <v>0</v>
      </c>
      <c r="L105" s="15">
        <f t="shared" si="263"/>
        <v>1.1792556200560971E-3</v>
      </c>
      <c r="M105" s="15">
        <f t="shared" si="263"/>
        <v>0</v>
      </c>
      <c r="N105" s="15">
        <f t="shared" si="263"/>
        <v>0</v>
      </c>
      <c r="O105" s="15">
        <f t="shared" si="263"/>
        <v>5.4100247689343702E-4</v>
      </c>
      <c r="P105" s="15">
        <f t="shared" si="263"/>
        <v>0</v>
      </c>
      <c r="Q105" s="15">
        <f t="shared" si="263"/>
        <v>0</v>
      </c>
      <c r="R105" s="15">
        <f t="shared" si="263"/>
        <v>1.5971841024396094E-4</v>
      </c>
      <c r="S105" s="15">
        <f t="shared" si="263"/>
        <v>0</v>
      </c>
      <c r="T105" s="15">
        <f t="shared" si="263"/>
        <v>0</v>
      </c>
      <c r="U105" s="15">
        <f t="shared" si="263"/>
        <v>0</v>
      </c>
      <c r="V105" s="15">
        <f t="shared" si="263"/>
        <v>0</v>
      </c>
      <c r="W105" s="15">
        <f t="shared" si="263"/>
        <v>0</v>
      </c>
      <c r="X105" s="15">
        <f t="shared" si="263"/>
        <v>0</v>
      </c>
      <c r="Y105" s="15">
        <f t="shared" si="263"/>
        <v>0</v>
      </c>
      <c r="Z105" s="15">
        <f t="shared" si="263"/>
        <v>0</v>
      </c>
      <c r="AA105" s="15">
        <f t="shared" si="263"/>
        <v>0</v>
      </c>
      <c r="AB105" s="15">
        <f t="shared" si="263"/>
        <v>0</v>
      </c>
      <c r="AC105" s="15">
        <f t="shared" si="263"/>
        <v>0</v>
      </c>
      <c r="AD105" s="15"/>
      <c r="AE105" s="15"/>
      <c r="AF105" s="15">
        <f t="shared" si="263"/>
        <v>0</v>
      </c>
      <c r="AG105" s="15">
        <f t="shared" si="263"/>
        <v>0</v>
      </c>
      <c r="AH105" s="15">
        <f t="shared" si="263"/>
        <v>0</v>
      </c>
      <c r="AI105" s="15">
        <f t="shared" si="263"/>
        <v>0</v>
      </c>
      <c r="AJ105" s="15">
        <f t="shared" si="263"/>
        <v>0</v>
      </c>
      <c r="AK105" s="15">
        <f t="shared" si="263"/>
        <v>0</v>
      </c>
      <c r="AL105" s="15">
        <f t="shared" si="263"/>
        <v>0</v>
      </c>
      <c r="AM105" s="15">
        <f t="shared" si="263"/>
        <v>0</v>
      </c>
      <c r="AN105" s="15">
        <f t="shared" si="263"/>
        <v>0</v>
      </c>
      <c r="AO105" s="15">
        <f t="shared" si="263"/>
        <v>0</v>
      </c>
      <c r="AP105" s="15">
        <f t="shared" si="263"/>
        <v>0</v>
      </c>
      <c r="AQ105" s="15">
        <f t="shared" si="263"/>
        <v>0</v>
      </c>
      <c r="AR105" s="15">
        <f t="shared" ref="AR105:AS105" si="264">AR46/AR$50</f>
        <v>0</v>
      </c>
      <c r="AS105" s="15">
        <f t="shared" si="264"/>
        <v>0</v>
      </c>
      <c r="AT105" s="15"/>
      <c r="AU105" s="15">
        <f t="shared" ref="AU105:BG105" si="265">AU46/AU$50</f>
        <v>0</v>
      </c>
      <c r="AV105" s="15">
        <f t="shared" si="265"/>
        <v>0</v>
      </c>
      <c r="AW105" s="15">
        <f t="shared" si="265"/>
        <v>0</v>
      </c>
      <c r="AX105" s="15">
        <f t="shared" si="265"/>
        <v>0</v>
      </c>
      <c r="AY105" s="15">
        <f t="shared" si="265"/>
        <v>0</v>
      </c>
      <c r="AZ105" s="15">
        <f t="shared" si="265"/>
        <v>0</v>
      </c>
      <c r="BA105" s="15" t="e">
        <f t="shared" si="265"/>
        <v>#DIV/0!</v>
      </c>
      <c r="BB105" s="15" t="e">
        <f t="shared" si="265"/>
        <v>#DIV/0!</v>
      </c>
      <c r="BC105" s="15" t="e">
        <f t="shared" si="265"/>
        <v>#DIV/0!</v>
      </c>
      <c r="BD105" s="15" t="e">
        <f t="shared" si="265"/>
        <v>#DIV/0!</v>
      </c>
      <c r="BE105" s="15" t="e">
        <f t="shared" si="265"/>
        <v>#DIV/0!</v>
      </c>
      <c r="BF105" s="15" t="e">
        <f t="shared" si="265"/>
        <v>#DIV/0!</v>
      </c>
      <c r="BG105" s="15" t="e">
        <f t="shared" si="265"/>
        <v>#DIV/0!</v>
      </c>
      <c r="BH105" s="15">
        <f t="shared" ref="BH105" si="266">BH46/BH$50</f>
        <v>0</v>
      </c>
      <c r="BI105" s="15">
        <f t="shared" si="173"/>
        <v>0</v>
      </c>
      <c r="BJ105" s="4"/>
    </row>
    <row r="106" spans="1:63" x14ac:dyDescent="0.25">
      <c r="A106" s="3">
        <f t="shared" si="178"/>
        <v>25</v>
      </c>
      <c r="B106" s="3" t="s">
        <v>97</v>
      </c>
      <c r="C106" s="3" t="s">
        <v>36</v>
      </c>
      <c r="D106" s="25" t="s">
        <v>1</v>
      </c>
      <c r="E106" s="3" t="s">
        <v>115</v>
      </c>
      <c r="F106" s="15">
        <f t="shared" ref="F106:AQ106" si="267">F47/F$50</f>
        <v>0</v>
      </c>
      <c r="G106" s="15">
        <f t="shared" si="267"/>
        <v>6.8331436974845136E-5</v>
      </c>
      <c r="H106" s="15">
        <f t="shared" si="267"/>
        <v>1.2273615725528402E-4</v>
      </c>
      <c r="I106" s="15">
        <f t="shared" si="267"/>
        <v>0</v>
      </c>
      <c r="J106" s="15">
        <f t="shared" si="267"/>
        <v>0</v>
      </c>
      <c r="K106" s="15">
        <f t="shared" si="267"/>
        <v>0</v>
      </c>
      <c r="L106" s="15">
        <f t="shared" si="267"/>
        <v>0</v>
      </c>
      <c r="M106" s="15">
        <f t="shared" si="267"/>
        <v>0</v>
      </c>
      <c r="N106" s="15">
        <f t="shared" si="267"/>
        <v>0</v>
      </c>
      <c r="O106" s="15">
        <f t="shared" si="267"/>
        <v>3.4498708671465553E-5</v>
      </c>
      <c r="P106" s="15">
        <f t="shared" si="267"/>
        <v>5.7693136618418751E-5</v>
      </c>
      <c r="Q106" s="15">
        <f t="shared" si="267"/>
        <v>6.1599715879499632E-5</v>
      </c>
      <c r="R106" s="15">
        <f t="shared" si="267"/>
        <v>3.091231232026777E-5</v>
      </c>
      <c r="S106" s="15">
        <f t="shared" si="267"/>
        <v>0</v>
      </c>
      <c r="T106" s="15">
        <f t="shared" si="267"/>
        <v>0</v>
      </c>
      <c r="U106" s="15">
        <f t="shared" si="267"/>
        <v>4.6104784080240927E-4</v>
      </c>
      <c r="V106" s="15">
        <f t="shared" si="267"/>
        <v>1.2199728410388742E-4</v>
      </c>
      <c r="W106" s="15">
        <f t="shared" si="267"/>
        <v>1.5337360741678833E-4</v>
      </c>
      <c r="X106" s="15">
        <f t="shared" si="267"/>
        <v>2.0535782679541832E-4</v>
      </c>
      <c r="Y106" s="15">
        <f t="shared" si="267"/>
        <v>3.2352687232581226E-4</v>
      </c>
      <c r="Z106" s="15">
        <f t="shared" si="267"/>
        <v>2.9089601183319985E-4</v>
      </c>
      <c r="AA106" s="15">
        <f t="shared" si="267"/>
        <v>4.1869723016596251E-4</v>
      </c>
      <c r="AB106" s="15">
        <f t="shared" si="267"/>
        <v>3.1109443691641956E-5</v>
      </c>
      <c r="AC106" s="15">
        <f t="shared" si="267"/>
        <v>2.8901976212404472E-5</v>
      </c>
      <c r="AD106" s="15"/>
      <c r="AE106" s="15"/>
      <c r="AF106" s="15">
        <f t="shared" si="267"/>
        <v>1.6397641626319384E-4</v>
      </c>
      <c r="AG106" s="15">
        <f t="shared" si="267"/>
        <v>1.6397641626319373E-4</v>
      </c>
      <c r="AH106" s="15">
        <f t="shared" si="267"/>
        <v>5.8219927154080919E-5</v>
      </c>
      <c r="AI106" s="15">
        <f t="shared" si="267"/>
        <v>4.1596385245042843E-5</v>
      </c>
      <c r="AJ106" s="15">
        <f t="shared" si="267"/>
        <v>4.2359288364685238E-5</v>
      </c>
      <c r="AK106" s="15">
        <f t="shared" si="267"/>
        <v>2.9734111110969687E-4</v>
      </c>
      <c r="AL106" s="15">
        <f t="shared" si="267"/>
        <v>3.0294200706395299E-5</v>
      </c>
      <c r="AM106" s="15">
        <f t="shared" si="267"/>
        <v>3.3493454330497566E-5</v>
      </c>
      <c r="AN106" s="15">
        <f t="shared" si="267"/>
        <v>3.0480153477269779E-5</v>
      </c>
      <c r="AO106" s="15">
        <f t="shared" si="267"/>
        <v>5.4331354129323547E-5</v>
      </c>
      <c r="AP106" s="15">
        <f t="shared" si="267"/>
        <v>3.083732181493721E-5</v>
      </c>
      <c r="AQ106" s="15">
        <f t="shared" si="267"/>
        <v>9.8090025203652559E-4</v>
      </c>
      <c r="AR106" s="15">
        <f t="shared" ref="AR106:AS106" si="268">AR47/AR$50</f>
        <v>5.6541723158222682E-5</v>
      </c>
      <c r="AS106" s="15">
        <f t="shared" si="268"/>
        <v>4.0520213977214763E-5</v>
      </c>
      <c r="AT106" s="15"/>
      <c r="AU106" s="15">
        <f t="shared" ref="AU106:BG106" si="269">AU47/AU$50</f>
        <v>1.3127677958950457E-4</v>
      </c>
      <c r="AV106" s="15">
        <f t="shared" si="269"/>
        <v>4.6821832740885401E-5</v>
      </c>
      <c r="AW106" s="15">
        <f t="shared" si="269"/>
        <v>6.8587774053077846E-5</v>
      </c>
      <c r="AX106" s="15">
        <f t="shared" si="269"/>
        <v>3.6225869386173627E-5</v>
      </c>
      <c r="AY106" s="15">
        <f t="shared" si="269"/>
        <v>0</v>
      </c>
      <c r="AZ106" s="15">
        <f t="shared" si="269"/>
        <v>1.8104454471587288E-4</v>
      </c>
      <c r="BA106" s="15" t="e">
        <f t="shared" si="269"/>
        <v>#DIV/0!</v>
      </c>
      <c r="BB106" s="15" t="e">
        <f t="shared" si="269"/>
        <v>#DIV/0!</v>
      </c>
      <c r="BC106" s="15" t="e">
        <f t="shared" si="269"/>
        <v>#DIV/0!</v>
      </c>
      <c r="BD106" s="15" t="e">
        <f t="shared" si="269"/>
        <v>#DIV/0!</v>
      </c>
      <c r="BE106" s="15" t="e">
        <f t="shared" si="269"/>
        <v>#DIV/0!</v>
      </c>
      <c r="BF106" s="15" t="e">
        <f t="shared" si="269"/>
        <v>#DIV/0!</v>
      </c>
      <c r="BG106" s="15" t="e">
        <f t="shared" si="269"/>
        <v>#DIV/0!</v>
      </c>
      <c r="BH106" s="15">
        <f t="shared" ref="BH106" si="270">BH47/BH$50</f>
        <v>6.5058173132857049E-5</v>
      </c>
      <c r="BI106" s="15">
        <f t="shared" si="173"/>
        <v>7.8529799311796974E-5</v>
      </c>
      <c r="BJ106" s="4"/>
    </row>
    <row r="107" spans="1:63" s="16" customFormat="1" x14ac:dyDescent="0.25">
      <c r="A107" s="3">
        <f t="shared" si="178"/>
        <v>26</v>
      </c>
      <c r="B107" s="3" t="s">
        <v>97</v>
      </c>
      <c r="C107" s="35" t="s">
        <v>36</v>
      </c>
      <c r="D107" s="36" t="s">
        <v>23</v>
      </c>
      <c r="E107" s="3" t="s">
        <v>115</v>
      </c>
      <c r="F107" s="15">
        <f t="shared" ref="F107:AQ108" si="271">F48/F$50</f>
        <v>5.7627327890212226E-6</v>
      </c>
      <c r="G107" s="15">
        <f t="shared" si="271"/>
        <v>2.7724626409581226E-4</v>
      </c>
      <c r="H107" s="15">
        <f t="shared" si="271"/>
        <v>1.0824163076422123E-4</v>
      </c>
      <c r="I107" s="15">
        <f t="shared" si="271"/>
        <v>1.3914019007345277E-4</v>
      </c>
      <c r="J107" s="15">
        <f t="shared" si="271"/>
        <v>9.8877109427620714E-5</v>
      </c>
      <c r="K107" s="15">
        <f t="shared" si="271"/>
        <v>0</v>
      </c>
      <c r="L107" s="15">
        <f t="shared" si="271"/>
        <v>2.0140256040037036E-4</v>
      </c>
      <c r="M107" s="15">
        <f t="shared" si="271"/>
        <v>1.2968808916856862E-4</v>
      </c>
      <c r="N107" s="15">
        <f t="shared" si="271"/>
        <v>1.8687941573969697E-4</v>
      </c>
      <c r="O107" s="15">
        <f t="shared" si="271"/>
        <v>1.3921326635121353E-4</v>
      </c>
      <c r="P107" s="15">
        <f t="shared" si="271"/>
        <v>1.8897002278452272E-4</v>
      </c>
      <c r="Q107" s="15">
        <f t="shared" si="271"/>
        <v>9.1104764001913912E-5</v>
      </c>
      <c r="R107" s="15">
        <f t="shared" si="271"/>
        <v>1.3059742180991142E-4</v>
      </c>
      <c r="S107" s="15">
        <f t="shared" si="271"/>
        <v>0</v>
      </c>
      <c r="T107" s="15">
        <f t="shared" si="271"/>
        <v>0</v>
      </c>
      <c r="U107" s="15">
        <f t="shared" si="271"/>
        <v>6.634386051619369E-6</v>
      </c>
      <c r="V107" s="15">
        <f t="shared" si="271"/>
        <v>0</v>
      </c>
      <c r="W107" s="15">
        <f t="shared" si="271"/>
        <v>1.008726437409001E-5</v>
      </c>
      <c r="X107" s="15">
        <f t="shared" si="271"/>
        <v>0</v>
      </c>
      <c r="Y107" s="15">
        <f t="shared" si="271"/>
        <v>1.4952762611937351E-5</v>
      </c>
      <c r="Z107" s="15">
        <f t="shared" si="271"/>
        <v>0</v>
      </c>
      <c r="AA107" s="15">
        <f t="shared" si="271"/>
        <v>0</v>
      </c>
      <c r="AB107" s="15">
        <f t="shared" si="271"/>
        <v>0</v>
      </c>
      <c r="AC107" s="15">
        <f t="shared" si="271"/>
        <v>0</v>
      </c>
      <c r="AD107" s="15"/>
      <c r="AE107" s="15"/>
      <c r="AF107" s="15">
        <f t="shared" si="271"/>
        <v>2.4807884952209734E-6</v>
      </c>
      <c r="AG107" s="15">
        <f t="shared" si="271"/>
        <v>2.4807884952209717E-6</v>
      </c>
      <c r="AH107" s="15">
        <f t="shared" si="271"/>
        <v>0</v>
      </c>
      <c r="AI107" s="15">
        <f t="shared" si="271"/>
        <v>0</v>
      </c>
      <c r="AJ107" s="15">
        <f t="shared" si="271"/>
        <v>0</v>
      </c>
      <c r="AK107" s="15">
        <f t="shared" si="271"/>
        <v>0</v>
      </c>
      <c r="AL107" s="15">
        <f t="shared" si="271"/>
        <v>0</v>
      </c>
      <c r="AM107" s="15">
        <f t="shared" si="271"/>
        <v>0</v>
      </c>
      <c r="AN107" s="15">
        <f t="shared" si="271"/>
        <v>0</v>
      </c>
      <c r="AO107" s="15">
        <f t="shared" si="271"/>
        <v>0</v>
      </c>
      <c r="AP107" s="15">
        <f t="shared" si="271"/>
        <v>0</v>
      </c>
      <c r="AQ107" s="15">
        <f t="shared" si="271"/>
        <v>0</v>
      </c>
      <c r="AR107" s="15">
        <f t="shared" ref="AR107:AS107" si="272">AR48/AR$50</f>
        <v>0</v>
      </c>
      <c r="AS107" s="15">
        <f t="shared" si="272"/>
        <v>0</v>
      </c>
      <c r="AT107" s="15"/>
      <c r="AU107" s="15">
        <f t="shared" ref="AU107:BG108" si="273">AU48/AU$50</f>
        <v>0</v>
      </c>
      <c r="AV107" s="15">
        <f t="shared" si="273"/>
        <v>0</v>
      </c>
      <c r="AW107" s="15">
        <f t="shared" si="273"/>
        <v>0</v>
      </c>
      <c r="AX107" s="15">
        <f t="shared" si="273"/>
        <v>0</v>
      </c>
      <c r="AY107" s="15">
        <f t="shared" si="273"/>
        <v>0</v>
      </c>
      <c r="AZ107" s="15">
        <f t="shared" si="273"/>
        <v>0</v>
      </c>
      <c r="BA107" s="15" t="e">
        <f t="shared" si="273"/>
        <v>#DIV/0!</v>
      </c>
      <c r="BB107" s="15" t="e">
        <f t="shared" si="273"/>
        <v>#DIV/0!</v>
      </c>
      <c r="BC107" s="15" t="e">
        <f t="shared" si="273"/>
        <v>#DIV/0!</v>
      </c>
      <c r="BD107" s="15" t="e">
        <f t="shared" si="273"/>
        <v>#DIV/0!</v>
      </c>
      <c r="BE107" s="15" t="e">
        <f t="shared" si="273"/>
        <v>#DIV/0!</v>
      </c>
      <c r="BF107" s="15" t="e">
        <f t="shared" si="273"/>
        <v>#DIV/0!</v>
      </c>
      <c r="BG107" s="15" t="e">
        <f t="shared" si="273"/>
        <v>#DIV/0!</v>
      </c>
      <c r="BH107" s="15">
        <f t="shared" ref="BH107" si="274">BH48/BH$50</f>
        <v>0</v>
      </c>
      <c r="BI107" s="15">
        <f t="shared" si="173"/>
        <v>0</v>
      </c>
      <c r="BJ107" s="19"/>
      <c r="BK107" s="599"/>
    </row>
    <row r="108" spans="1:63" s="16" customFormat="1" x14ac:dyDescent="0.25">
      <c r="A108" s="3">
        <f t="shared" si="178"/>
        <v>27</v>
      </c>
      <c r="B108" s="3" t="s">
        <v>97</v>
      </c>
      <c r="C108" s="35" t="s">
        <v>36</v>
      </c>
      <c r="D108" s="36" t="s">
        <v>214</v>
      </c>
      <c r="E108" s="3" t="s">
        <v>115</v>
      </c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>
        <f t="shared" si="271"/>
        <v>0</v>
      </c>
      <c r="AI108" s="15">
        <f t="shared" si="271"/>
        <v>1.8094429391036575E-3</v>
      </c>
      <c r="AJ108" s="15">
        <f t="shared" si="271"/>
        <v>1.0844523332754678E-3</v>
      </c>
      <c r="AK108" s="15">
        <f t="shared" si="271"/>
        <v>8.7291978499626785E-4</v>
      </c>
      <c r="AL108" s="15">
        <f t="shared" si="271"/>
        <v>1.1883144535153769E-3</v>
      </c>
      <c r="AM108" s="15">
        <f t="shared" si="271"/>
        <v>1.4003865385661762E-3</v>
      </c>
      <c r="AN108" s="15">
        <f t="shared" si="271"/>
        <v>1.3796947739066418E-3</v>
      </c>
      <c r="AO108" s="15">
        <f t="shared" si="271"/>
        <v>1.517326544411654E-3</v>
      </c>
      <c r="AP108" s="15">
        <f t="shared" si="271"/>
        <v>1.6946122984670938E-3</v>
      </c>
      <c r="AQ108" s="15">
        <f t="shared" si="271"/>
        <v>2.2924425265823081E-3</v>
      </c>
      <c r="AR108" s="15">
        <f t="shared" ref="AR108:AS108" si="275">AR49/AR$50</f>
        <v>2.8745082483019012E-3</v>
      </c>
      <c r="AS108" s="15">
        <f t="shared" si="275"/>
        <v>2.0181680768006321E-3</v>
      </c>
      <c r="AT108" s="15"/>
      <c r="AU108" s="15">
        <f t="shared" si="273"/>
        <v>1.4950552479137248E-3</v>
      </c>
      <c r="AV108" s="15">
        <f t="shared" si="273"/>
        <v>2.1765087504726694E-3</v>
      </c>
      <c r="AW108" s="15">
        <f t="shared" si="273"/>
        <v>3.9648158420359835E-3</v>
      </c>
      <c r="AX108" s="15">
        <f t="shared" si="273"/>
        <v>2.0012059862788319E-3</v>
      </c>
      <c r="AY108" s="15">
        <f t="shared" si="273"/>
        <v>2.1732378978276622E-3</v>
      </c>
      <c r="AZ108" s="15">
        <f t="shared" si="273"/>
        <v>2.3981696787818392E-3</v>
      </c>
      <c r="BA108" s="15" t="e">
        <f t="shared" si="273"/>
        <v>#DIV/0!</v>
      </c>
      <c r="BB108" s="15" t="e">
        <f t="shared" si="273"/>
        <v>#DIV/0!</v>
      </c>
      <c r="BC108" s="15" t="e">
        <f t="shared" si="273"/>
        <v>#DIV/0!</v>
      </c>
      <c r="BD108" s="15" t="e">
        <f t="shared" si="273"/>
        <v>#DIV/0!</v>
      </c>
      <c r="BE108" s="15" t="e">
        <f t="shared" si="273"/>
        <v>#DIV/0!</v>
      </c>
      <c r="BF108" s="15" t="e">
        <f t="shared" si="273"/>
        <v>#DIV/0!</v>
      </c>
      <c r="BG108" s="15" t="e">
        <f t="shared" si="273"/>
        <v>#DIV/0!</v>
      </c>
      <c r="BH108" s="15">
        <f t="shared" ref="BH108" si="276">BH49/BH$50</f>
        <v>2.4048140757237293E-3</v>
      </c>
      <c r="BI108" s="15">
        <f t="shared" si="173"/>
        <v>3.3639310396107939E-3</v>
      </c>
      <c r="BJ108" s="19"/>
      <c r="BK108" s="599"/>
    </row>
    <row r="109" spans="1:63" s="16" customFormat="1" x14ac:dyDescent="0.25">
      <c r="A109" s="11"/>
      <c r="B109" s="3"/>
      <c r="C109" s="11"/>
      <c r="D109" s="39" t="s">
        <v>106</v>
      </c>
      <c r="E109" s="11"/>
      <c r="F109" s="48">
        <f>F50/$F$50</f>
        <v>1</v>
      </c>
      <c r="G109" s="48">
        <f>G50/$G$50</f>
        <v>1</v>
      </c>
      <c r="H109" s="48">
        <f>H50/$H$50</f>
        <v>1</v>
      </c>
      <c r="I109" s="48">
        <f>I50/$I$50</f>
        <v>1</v>
      </c>
      <c r="J109" s="48">
        <f>J50/$J$50</f>
        <v>1</v>
      </c>
      <c r="K109" s="48">
        <f>K50/$K$50</f>
        <v>1</v>
      </c>
      <c r="L109" s="51">
        <f>L50/$L$50</f>
        <v>1</v>
      </c>
      <c r="M109" s="48">
        <f>M50/$M$50</f>
        <v>1</v>
      </c>
      <c r="N109" s="48">
        <f>N50/$N$50</f>
        <v>1</v>
      </c>
      <c r="O109" s="51">
        <f>O50/$O$50</f>
        <v>1</v>
      </c>
      <c r="P109" s="51">
        <f>P50/$P$50</f>
        <v>1</v>
      </c>
      <c r="Q109" s="51">
        <f>Q50/$Q$50</f>
        <v>1</v>
      </c>
      <c r="R109" s="51">
        <f t="shared" ref="R109:AO109" si="277">R50/R$50</f>
        <v>1</v>
      </c>
      <c r="S109" s="51">
        <f t="shared" si="277"/>
        <v>1</v>
      </c>
      <c r="T109" s="51">
        <f t="shared" si="277"/>
        <v>1</v>
      </c>
      <c r="U109" s="51">
        <f t="shared" si="277"/>
        <v>1</v>
      </c>
      <c r="V109" s="51">
        <f t="shared" si="277"/>
        <v>1</v>
      </c>
      <c r="W109" s="51">
        <f t="shared" si="277"/>
        <v>1</v>
      </c>
      <c r="X109" s="51">
        <f t="shared" si="277"/>
        <v>1</v>
      </c>
      <c r="Y109" s="51">
        <f t="shared" si="277"/>
        <v>1</v>
      </c>
      <c r="Z109" s="51">
        <f t="shared" si="277"/>
        <v>1</v>
      </c>
      <c r="AA109" s="51">
        <f t="shared" si="277"/>
        <v>1</v>
      </c>
      <c r="AB109" s="51">
        <f t="shared" si="277"/>
        <v>1</v>
      </c>
      <c r="AC109" s="51">
        <f t="shared" si="277"/>
        <v>1</v>
      </c>
      <c r="AD109" s="51">
        <f t="shared" si="277"/>
        <v>1</v>
      </c>
      <c r="AE109" s="51" t="e">
        <f t="shared" si="277"/>
        <v>#DIV/0!</v>
      </c>
      <c r="AF109" s="51">
        <f t="shared" si="277"/>
        <v>1</v>
      </c>
      <c r="AG109" s="51">
        <f t="shared" si="277"/>
        <v>1</v>
      </c>
      <c r="AH109" s="51">
        <f t="shared" si="277"/>
        <v>1</v>
      </c>
      <c r="AI109" s="51">
        <f t="shared" si="277"/>
        <v>1</v>
      </c>
      <c r="AJ109" s="51">
        <f t="shared" si="277"/>
        <v>1</v>
      </c>
      <c r="AK109" s="51">
        <f t="shared" si="277"/>
        <v>1</v>
      </c>
      <c r="AL109" s="51">
        <f t="shared" si="277"/>
        <v>1</v>
      </c>
      <c r="AM109" s="51">
        <f t="shared" si="277"/>
        <v>1</v>
      </c>
      <c r="AN109" s="51">
        <f t="shared" si="277"/>
        <v>1</v>
      </c>
      <c r="AO109" s="51">
        <f t="shared" si="277"/>
        <v>1</v>
      </c>
      <c r="AP109" s="51">
        <f t="shared" ref="AP109:AQ109" si="278">AP50/AP$50</f>
        <v>1</v>
      </c>
      <c r="AQ109" s="51">
        <f t="shared" si="278"/>
        <v>1</v>
      </c>
      <c r="AR109" s="51">
        <f t="shared" ref="AR109:AS109" si="279">AR50/AR$50</f>
        <v>1</v>
      </c>
      <c r="AS109" s="51">
        <f t="shared" si="279"/>
        <v>1</v>
      </c>
      <c r="AT109" s="51"/>
      <c r="AU109" s="51">
        <f t="shared" ref="AU109:BG109" si="280">AU50/AU$50</f>
        <v>1</v>
      </c>
      <c r="AV109" s="51">
        <f t="shared" si="280"/>
        <v>1</v>
      </c>
      <c r="AW109" s="51">
        <f t="shared" si="280"/>
        <v>1</v>
      </c>
      <c r="AX109" s="51">
        <f t="shared" si="280"/>
        <v>1</v>
      </c>
      <c r="AY109" s="51">
        <f t="shared" si="280"/>
        <v>1</v>
      </c>
      <c r="AZ109" s="51">
        <f t="shared" si="280"/>
        <v>1</v>
      </c>
      <c r="BA109" s="51" t="e">
        <f t="shared" si="280"/>
        <v>#DIV/0!</v>
      </c>
      <c r="BB109" s="51" t="e">
        <f t="shared" si="280"/>
        <v>#DIV/0!</v>
      </c>
      <c r="BC109" s="51" t="e">
        <f t="shared" si="280"/>
        <v>#DIV/0!</v>
      </c>
      <c r="BD109" s="51" t="e">
        <f t="shared" si="280"/>
        <v>#DIV/0!</v>
      </c>
      <c r="BE109" s="51" t="e">
        <f t="shared" si="280"/>
        <v>#DIV/0!</v>
      </c>
      <c r="BF109" s="51" t="e">
        <f t="shared" si="280"/>
        <v>#DIV/0!</v>
      </c>
      <c r="BG109" s="51" t="e">
        <f t="shared" si="280"/>
        <v>#DIV/0!</v>
      </c>
      <c r="BH109" s="51">
        <f t="shared" ref="BH109" si="281">BH50/BH$50</f>
        <v>1</v>
      </c>
      <c r="BI109" s="48">
        <f>BI50/BI$50</f>
        <v>1</v>
      </c>
      <c r="BJ109" s="19"/>
      <c r="BK109" s="599"/>
    </row>
    <row r="110" spans="1:63" s="16" customFormat="1" x14ac:dyDescent="0.25">
      <c r="D110" s="52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  <c r="BE110" s="53"/>
      <c r="BF110" s="53"/>
      <c r="BG110" s="53"/>
      <c r="BH110" s="53"/>
      <c r="BI110" s="53"/>
      <c r="BJ110" s="54"/>
      <c r="BK110" s="599"/>
    </row>
    <row r="111" spans="1:63" s="16" customFormat="1" x14ac:dyDescent="0.25">
      <c r="D111" s="52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  <c r="BE111" s="53"/>
      <c r="BF111" s="53"/>
      <c r="BG111" s="53"/>
      <c r="BH111" s="53"/>
      <c r="BI111" s="53"/>
      <c r="BJ111" s="54"/>
      <c r="BK111" s="599"/>
    </row>
    <row r="112" spans="1:63" s="16" customFormat="1" x14ac:dyDescent="0.25">
      <c r="D112" s="52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  <c r="BE112" s="53"/>
      <c r="BF112" s="53"/>
      <c r="BG112" s="53"/>
      <c r="BH112" s="53"/>
      <c r="BI112" s="53"/>
      <c r="BJ112" s="54"/>
      <c r="BK112" s="599"/>
    </row>
    <row r="113" spans="4:63" s="16" customFormat="1" x14ac:dyDescent="0.25"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67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67"/>
      <c r="AZ113" s="53"/>
      <c r="BA113" s="53"/>
      <c r="BB113" s="53"/>
      <c r="BC113" s="53"/>
      <c r="BD113" s="53"/>
      <c r="BE113" s="53"/>
      <c r="BF113" s="53"/>
      <c r="BG113" s="53"/>
      <c r="BH113" s="53"/>
      <c r="BI113" s="53"/>
      <c r="BJ113" s="54"/>
      <c r="BK113" s="599"/>
    </row>
    <row r="115" spans="4:63" x14ac:dyDescent="0.25">
      <c r="D115" s="576"/>
    </row>
  </sheetData>
  <autoFilter ref="A2:BY53" xr:uid="{2273DB92-4D86-45B1-B3B4-32D1A743297F}"/>
  <conditionalFormatting sqref="Q23 S23 X23 Z23 Q52:S52 W52:AT52 AU52:BI53 AF53:AT53">
    <cfRule type="cellIs" dxfId="2" priority="3" operator="greaterThan">
      <formula>#REF!</formula>
    </cfRule>
  </conditionalFormatting>
  <conditionalFormatting sqref="S25:S26 X25:X26 Z25:Z26">
    <cfRule type="cellIs" dxfId="1" priority="2" operator="greaterThan">
      <formula>#REF!</formula>
    </cfRule>
  </conditionalFormatting>
  <conditionalFormatting sqref="S29 X29 Z29">
    <cfRule type="cellIs" dxfId="0" priority="1" operator="greaterThan">
      <formula>#REF!</formula>
    </cfRule>
  </conditionalFormatting>
  <hyperlinks>
    <hyperlink ref="BJ51" location="'Thuế TNDN'!A1" display="'Thuế TNDN'!A1" xr:uid="{AC33F8C2-2629-4173-97D3-987748C2FE83}"/>
    <hyperlink ref="BJ52" location="'DT-CP khác'!A1" display="'DT-CP khác'!A1" xr:uid="{71C408EE-C9EF-4DEF-8230-99AA4C9616CD}"/>
  </hyperlinks>
  <pageMargins left="0.17" right="0.17" top="0.84499999999999997" bottom="0.17" header="0.3" footer="0.17"/>
  <pageSetup paperSize="9" scale="96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45483-82C3-4BAD-889C-E83A4FEA200A}">
  <sheetPr codeName="Sheet28"/>
  <dimension ref="A1:O6"/>
  <sheetViews>
    <sheetView workbookViewId="0">
      <pane xSplit="5" ySplit="2" topLeftCell="G3" activePane="bottomRight" state="frozen"/>
      <selection activeCell="Y173" sqref="Y173"/>
      <selection pane="topRight" activeCell="Y173" sqref="Y173"/>
      <selection pane="bottomLeft" activeCell="Y173" sqref="Y173"/>
      <selection pane="bottomRight" activeCell="Y173" sqref="Y173"/>
    </sheetView>
  </sheetViews>
  <sheetFormatPr defaultColWidth="8.5546875" defaultRowHeight="13.2" x14ac:dyDescent="0.25"/>
  <cols>
    <col min="1" max="1" width="2.5546875" style="55" customWidth="1"/>
    <col min="2" max="2" width="11.44140625" style="55" bestFit="1" customWidth="1"/>
    <col min="3" max="3" width="13.5546875" style="55" hidden="1" customWidth="1"/>
    <col min="4" max="4" width="11.5546875" style="55" bestFit="1" customWidth="1"/>
    <col min="5" max="5" width="18.44140625" style="55" bestFit="1" customWidth="1"/>
    <col min="6" max="6" width="10.5546875" style="55" hidden="1" customWidth="1"/>
    <col min="7" max="7" width="18.44140625" style="55" bestFit="1" customWidth="1"/>
    <col min="8" max="8" width="28.5546875" style="55" customWidth="1"/>
    <col min="9" max="9" width="26" style="55" bestFit="1" customWidth="1"/>
    <col min="10" max="11" width="8.5546875" style="55"/>
    <col min="12" max="12" width="16.44140625" style="55" bestFit="1" customWidth="1"/>
    <col min="13" max="13" width="20.44140625" style="55" hidden="1" customWidth="1"/>
    <col min="14" max="14" width="0" style="55" hidden="1" customWidth="1"/>
    <col min="15" max="16384" width="8.5546875" style="55"/>
  </cols>
  <sheetData>
    <row r="1" spans="1:15" x14ac:dyDescent="0.25">
      <c r="B1" s="57" t="s">
        <v>126</v>
      </c>
      <c r="L1" s="58">
        <f>SUBTOTAL(9,L3:L958)</f>
        <v>13743249251</v>
      </c>
    </row>
    <row r="2" spans="1:15" ht="26.4" x14ac:dyDescent="0.25">
      <c r="A2" s="56" t="s">
        <v>127</v>
      </c>
      <c r="B2" s="59" t="s">
        <v>128</v>
      </c>
      <c r="C2" s="59" t="s">
        <v>129</v>
      </c>
      <c r="D2" s="59" t="s">
        <v>130</v>
      </c>
      <c r="E2" s="59" t="s">
        <v>7</v>
      </c>
      <c r="F2" s="59" t="s">
        <v>8</v>
      </c>
      <c r="G2" s="59" t="s">
        <v>131</v>
      </c>
      <c r="H2" s="59" t="s">
        <v>132</v>
      </c>
      <c r="I2" s="59" t="s">
        <v>133</v>
      </c>
      <c r="J2" s="59" t="s">
        <v>134</v>
      </c>
      <c r="K2" s="59" t="s">
        <v>135</v>
      </c>
      <c r="L2" s="61" t="s">
        <v>136</v>
      </c>
      <c r="M2" s="59" t="s">
        <v>137</v>
      </c>
      <c r="N2" s="60" t="s">
        <v>138</v>
      </c>
      <c r="O2" s="59" t="s">
        <v>139</v>
      </c>
    </row>
    <row r="3" spans="1:15" x14ac:dyDescent="0.25">
      <c r="A3" s="62" t="s">
        <v>149</v>
      </c>
      <c r="B3" s="63">
        <v>45107</v>
      </c>
      <c r="C3" s="62" t="s">
        <v>150</v>
      </c>
      <c r="D3" s="62" t="s">
        <v>38</v>
      </c>
      <c r="E3" s="62" t="s">
        <v>37</v>
      </c>
      <c r="F3" s="62" t="s">
        <v>0</v>
      </c>
      <c r="G3" s="62" t="s">
        <v>148</v>
      </c>
      <c r="H3" s="62" t="s">
        <v>142</v>
      </c>
      <c r="I3" s="62" t="s">
        <v>151</v>
      </c>
      <c r="J3" s="62" t="s">
        <v>144</v>
      </c>
      <c r="K3" s="62" t="s">
        <v>141</v>
      </c>
      <c r="L3" s="64">
        <v>5795561979</v>
      </c>
      <c r="M3" s="62" t="s">
        <v>152</v>
      </c>
      <c r="N3" s="62" t="s">
        <v>142</v>
      </c>
      <c r="O3" s="62" t="s">
        <v>143</v>
      </c>
    </row>
    <row r="4" spans="1:15" x14ac:dyDescent="0.25">
      <c r="A4" s="62" t="s">
        <v>149</v>
      </c>
      <c r="B4" s="63">
        <v>45169</v>
      </c>
      <c r="C4" s="62" t="s">
        <v>153</v>
      </c>
      <c r="D4" s="62" t="s">
        <v>38</v>
      </c>
      <c r="E4" s="62" t="s">
        <v>37</v>
      </c>
      <c r="F4" s="62" t="s">
        <v>0</v>
      </c>
      <c r="G4" s="62" t="s">
        <v>148</v>
      </c>
      <c r="H4" s="62" t="s">
        <v>142</v>
      </c>
      <c r="I4" s="62" t="s">
        <v>154</v>
      </c>
      <c r="J4" s="62" t="s">
        <v>140</v>
      </c>
      <c r="K4" s="62" t="s">
        <v>141</v>
      </c>
      <c r="L4" s="64">
        <v>2481605805</v>
      </c>
      <c r="M4" s="62" t="s">
        <v>155</v>
      </c>
      <c r="N4" s="62" t="s">
        <v>142</v>
      </c>
      <c r="O4" s="62" t="s">
        <v>143</v>
      </c>
    </row>
    <row r="5" spans="1:15" x14ac:dyDescent="0.25">
      <c r="A5" s="62" t="s">
        <v>149</v>
      </c>
      <c r="B5" s="63">
        <v>45138</v>
      </c>
      <c r="C5" s="62" t="s">
        <v>156</v>
      </c>
      <c r="D5" s="62" t="s">
        <v>38</v>
      </c>
      <c r="E5" s="62" t="s">
        <v>37</v>
      </c>
      <c r="F5" s="62" t="s">
        <v>0</v>
      </c>
      <c r="G5" s="62" t="s">
        <v>148</v>
      </c>
      <c r="H5" s="62" t="s">
        <v>142</v>
      </c>
      <c r="I5" s="62" t="s">
        <v>157</v>
      </c>
      <c r="J5" s="62" t="s">
        <v>146</v>
      </c>
      <c r="K5" s="62" t="s">
        <v>141</v>
      </c>
      <c r="L5" s="64">
        <v>885794272</v>
      </c>
      <c r="M5" s="62" t="s">
        <v>158</v>
      </c>
      <c r="N5" s="62" t="s">
        <v>142</v>
      </c>
      <c r="O5" s="62" t="s">
        <v>143</v>
      </c>
    </row>
    <row r="6" spans="1:15" x14ac:dyDescent="0.25">
      <c r="A6" s="62" t="s">
        <v>149</v>
      </c>
      <c r="B6" s="63">
        <v>45199</v>
      </c>
      <c r="C6" s="62" t="s">
        <v>159</v>
      </c>
      <c r="D6" s="62" t="s">
        <v>38</v>
      </c>
      <c r="E6" s="62" t="s">
        <v>37</v>
      </c>
      <c r="F6" s="62" t="s">
        <v>0</v>
      </c>
      <c r="G6" s="62" t="s">
        <v>148</v>
      </c>
      <c r="H6" s="62" t="s">
        <v>160</v>
      </c>
      <c r="I6" s="62" t="s">
        <v>160</v>
      </c>
      <c r="J6" s="62" t="s">
        <v>145</v>
      </c>
      <c r="K6" s="62" t="s">
        <v>141</v>
      </c>
      <c r="L6" s="64">
        <v>4580287195</v>
      </c>
      <c r="M6" s="62" t="s">
        <v>161</v>
      </c>
      <c r="N6" s="62" t="s">
        <v>142</v>
      </c>
      <c r="O6" s="62" t="s">
        <v>143</v>
      </c>
    </row>
  </sheetData>
  <autoFilter ref="A2:O6" xr:uid="{A9066941-7283-49AA-A3E2-FD863C96B768}"/>
  <hyperlinks>
    <hyperlink ref="B1" location="'48 KMP -Tháng'!A1" display="'48 KMP -Tháng'!A1" xr:uid="{2A089910-E47A-40DD-90FA-E5F9D0FB001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item1.xml>������
</file>

<file path=customXml/item2.xml>��
</file>

<file path=customXml/item3.xml>��
</file>

<file path=customXml/item4.xml>������
</file>

<file path=customXml/item5.xml>��
</file>

<file path=customXml/item6.xml>������
</file>

<file path=customXml/item7.xml>��
</file>

<file path=customXml/item8.xml>��
</file>

<file path=customXml/item9.xml>��
</file>

<file path=customXml/item10.xml>��
</file>

<file path=customXml/item11.xml>������
</file>

<file path=customXml/item12.xml>��
</file>

<file path=customXml/item13.xml>��
</file>

<file path=customXml/item14.xml>��
</file>

<file path=customXml/item15.xml>��������
</file>

<file path=customXml/item16.xml>��
</file>

<file path=customXml/item17.xml>��
</file>

<file path=customXml/item18.xml>������
</file>

<file path=customXml/item19.xml>��
</file>

<file path=customXml/item20.xml>������
</file>

<file path=customXml/item21.xml>������
</file>

<file path=customXml/item22.xml>��
</file>

<file path=customXml/item23.xml>��
</file>

<file path=customXml/item24.xml>��
</file>

<file path=customXml/item25.xml>��
</file>

<file path=customXml/item26.xml>����������������������������
</file>

<file path=customXml/item27.xml>��
</file>

<file path=customXml/item28.xml>��
</file>

<file path=customXml/item29.xml>��
</file>

<file path=customXml/item30.xml>������
</file>

<file path=customXml/item31.xml>������
</file>

<file path=customXml/item32.xml>��
</file>

<file path=customXml/item33.xml>��
</file>

<file path=customXml/item34.xml>������
</file>

<file path=customXml/item35.xml>������
</file>

<file path=customXml/item36.xml>������
</file>

<file path=customXml/item37.xml>��
</file>

<file path=customXml/item38.xml>��
</file>

<file path=customXml/item39.xml>������
</file>

<file path=customXml/item40.xml>��
</file>

<file path=customXml/itemProps1.xml><?xml version="1.0" encoding="utf-8"?>
<ds:datastoreItem xmlns:ds="http://schemas.openxmlformats.org/officeDocument/2006/customXml" ds:itemID="{75FE727E-00BF-4334-BEF0-2A1D02AA7B4B}">
  <ds:schemaRefs/>
</ds:datastoreItem>
</file>

<file path=customXml/itemProps2.xml><?xml version="1.0" encoding="utf-8"?>
<ds:datastoreItem xmlns:ds="http://schemas.openxmlformats.org/officeDocument/2006/customXml" ds:itemID="{7DC06B28-DDAD-495E-9D7E-85C55D1DC8C0}">
  <ds:schemaRefs/>
</ds:datastoreItem>
</file>

<file path=customXml/itemProps3.xml><?xml version="1.0" encoding="utf-8"?>
<ds:datastoreItem xmlns:ds="http://schemas.openxmlformats.org/officeDocument/2006/customXml" ds:itemID="{F82E136A-7FAF-426A-B0DB-F42CAE1221D4}">
  <ds:schemaRefs/>
</ds:datastoreItem>
</file>

<file path=customXml/itemProps4.xml><?xml version="1.0" encoding="utf-8"?>
<ds:datastoreItem xmlns:ds="http://schemas.openxmlformats.org/officeDocument/2006/customXml" ds:itemID="{920C0BF1-ED90-4779-8DE2-4308E6E4D401}">
  <ds:schemaRefs/>
</ds:datastoreItem>
</file>

<file path=customXml/itemProps5.xml><?xml version="1.0" encoding="utf-8"?>
<ds:datastoreItem xmlns:ds="http://schemas.openxmlformats.org/officeDocument/2006/customXml" ds:itemID="{46301C50-18D2-47AD-812D-BF6A0B0BB66E}">
  <ds:schemaRefs/>
</ds:datastoreItem>
</file>

<file path=customXml/itemProps6.xml><?xml version="1.0" encoding="utf-8"?>
<ds:datastoreItem xmlns:ds="http://schemas.openxmlformats.org/officeDocument/2006/customXml" ds:itemID="{33E1ED1B-39CC-42F1-82C8-8D7CBBCA8B60}">
  <ds:schemaRefs/>
</ds:datastoreItem>
</file>

<file path=customXml/itemProps7.xml><?xml version="1.0" encoding="utf-8"?>
<ds:datastoreItem xmlns:ds="http://schemas.openxmlformats.org/officeDocument/2006/customXml" ds:itemID="{17349FA4-4EF9-4C97-BC33-E635231D65F4}">
  <ds:schemaRefs/>
</ds:datastoreItem>
</file>

<file path=customXml/itemProps8.xml><?xml version="1.0" encoding="utf-8"?>
<ds:datastoreItem xmlns:ds="http://schemas.openxmlformats.org/officeDocument/2006/customXml" ds:itemID="{EFFD76BC-5084-48F4-A786-001A6042C0B0}">
  <ds:schemaRefs/>
</ds:datastoreItem>
</file>

<file path=customXml/itemProps9.xml><?xml version="1.0" encoding="utf-8"?>
<ds:datastoreItem xmlns:ds="http://schemas.openxmlformats.org/officeDocument/2006/customXml" ds:itemID="{F3889890-A8A6-4269-82EC-4D6BD3B71A88}">
  <ds:schemaRefs/>
</ds:datastoreItem>
</file>

<file path=customXml/itemProps10.xml><?xml version="1.0" encoding="utf-8"?>
<ds:datastoreItem xmlns:ds="http://schemas.openxmlformats.org/officeDocument/2006/customXml" ds:itemID="{4A34AA75-8269-45DB-893F-FF049F89BA2D}">
  <ds:schemaRefs/>
</ds:datastoreItem>
</file>

<file path=customXml/itemProps11.xml><?xml version="1.0" encoding="utf-8"?>
<ds:datastoreItem xmlns:ds="http://schemas.openxmlformats.org/officeDocument/2006/customXml" ds:itemID="{A0C76F20-3730-44DF-BD44-3566C1AF62E9}">
  <ds:schemaRefs/>
</ds:datastoreItem>
</file>

<file path=customXml/itemProps12.xml><?xml version="1.0" encoding="utf-8"?>
<ds:datastoreItem xmlns:ds="http://schemas.openxmlformats.org/officeDocument/2006/customXml" ds:itemID="{7643B710-6085-40D5-B6A3-CB7695EA5C1F}">
  <ds:schemaRefs/>
</ds:datastoreItem>
</file>

<file path=customXml/itemProps13.xml><?xml version="1.0" encoding="utf-8"?>
<ds:datastoreItem xmlns:ds="http://schemas.openxmlformats.org/officeDocument/2006/customXml" ds:itemID="{E25D6C07-7B8D-4A64-88BB-686A49C14AA8}">
  <ds:schemaRefs/>
</ds:datastoreItem>
</file>

<file path=customXml/itemProps14.xml><?xml version="1.0" encoding="utf-8"?>
<ds:datastoreItem xmlns:ds="http://schemas.openxmlformats.org/officeDocument/2006/customXml" ds:itemID="{407F44B5-85DD-45CC-8F35-DC77335327DB}">
  <ds:schemaRefs/>
</ds:datastoreItem>
</file>

<file path=customXml/itemProps15.xml><?xml version="1.0" encoding="utf-8"?>
<ds:datastoreItem xmlns:ds="http://schemas.openxmlformats.org/officeDocument/2006/customXml" ds:itemID="{9DE21B68-7AA0-4B35-A6E6-B7F9423B9D5F}">
  <ds:schemaRefs/>
</ds:datastoreItem>
</file>

<file path=customXml/itemProps16.xml><?xml version="1.0" encoding="utf-8"?>
<ds:datastoreItem xmlns:ds="http://schemas.openxmlformats.org/officeDocument/2006/customXml" ds:itemID="{757B46FF-4DC9-4CB8-AA4A-B29F20ED3820}">
  <ds:schemaRefs/>
</ds:datastoreItem>
</file>

<file path=customXml/itemProps17.xml><?xml version="1.0" encoding="utf-8"?>
<ds:datastoreItem xmlns:ds="http://schemas.openxmlformats.org/officeDocument/2006/customXml" ds:itemID="{46A36F23-A6D7-4A10-B537-939517B8A4E5}">
  <ds:schemaRefs/>
</ds:datastoreItem>
</file>

<file path=customXml/itemProps18.xml><?xml version="1.0" encoding="utf-8"?>
<ds:datastoreItem xmlns:ds="http://schemas.openxmlformats.org/officeDocument/2006/customXml" ds:itemID="{D46EDAB1-2ACA-4037-A4DA-8A61F68A9033}">
  <ds:schemaRefs/>
</ds:datastoreItem>
</file>

<file path=customXml/itemProps19.xml><?xml version="1.0" encoding="utf-8"?>
<ds:datastoreItem xmlns:ds="http://schemas.openxmlformats.org/officeDocument/2006/customXml" ds:itemID="{DA8DB7D7-6DFD-4970-AD59-07C6B5A78635}">
  <ds:schemaRefs/>
</ds:datastoreItem>
</file>

<file path=customXml/itemProps20.xml><?xml version="1.0" encoding="utf-8"?>
<ds:datastoreItem xmlns:ds="http://schemas.openxmlformats.org/officeDocument/2006/customXml" ds:itemID="{5B04FDA0-1A0F-4332-9D4D-676083848A41}">
  <ds:schemaRefs/>
</ds:datastoreItem>
</file>

<file path=customXml/itemProps21.xml><?xml version="1.0" encoding="utf-8"?>
<ds:datastoreItem xmlns:ds="http://schemas.openxmlformats.org/officeDocument/2006/customXml" ds:itemID="{66D4DA9B-C5C5-49D5-8A3E-588986681407}">
  <ds:schemaRefs/>
</ds:datastoreItem>
</file>

<file path=customXml/itemProps22.xml><?xml version="1.0" encoding="utf-8"?>
<ds:datastoreItem xmlns:ds="http://schemas.openxmlformats.org/officeDocument/2006/customXml" ds:itemID="{EBC5C457-9339-4D37-9A3F-3544BDC19380}">
  <ds:schemaRefs/>
</ds:datastoreItem>
</file>

<file path=customXml/itemProps23.xml><?xml version="1.0" encoding="utf-8"?>
<ds:datastoreItem xmlns:ds="http://schemas.openxmlformats.org/officeDocument/2006/customXml" ds:itemID="{B5A6C083-52FA-45BA-BB14-F81BD38A7605}">
  <ds:schemaRefs/>
</ds:datastoreItem>
</file>

<file path=customXml/itemProps24.xml><?xml version="1.0" encoding="utf-8"?>
<ds:datastoreItem xmlns:ds="http://schemas.openxmlformats.org/officeDocument/2006/customXml" ds:itemID="{86DDD575-A695-478E-8228-A821DD2A032E}">
  <ds:schemaRefs/>
</ds:datastoreItem>
</file>

<file path=customXml/itemProps25.xml><?xml version="1.0" encoding="utf-8"?>
<ds:datastoreItem xmlns:ds="http://schemas.openxmlformats.org/officeDocument/2006/customXml" ds:itemID="{E950482B-250E-4B56-B377-E04A262E357E}">
  <ds:schemaRefs/>
</ds:datastoreItem>
</file>

<file path=customXml/itemProps26.xml><?xml version="1.0" encoding="utf-8"?>
<ds:datastoreItem xmlns:ds="http://schemas.openxmlformats.org/officeDocument/2006/customXml" ds:itemID="{1D8684E1-C179-47C1-9246-080D465A98B3}">
  <ds:schemaRefs/>
</ds:datastoreItem>
</file>

<file path=customXml/itemProps27.xml><?xml version="1.0" encoding="utf-8"?>
<ds:datastoreItem xmlns:ds="http://schemas.openxmlformats.org/officeDocument/2006/customXml" ds:itemID="{777D17D5-5262-422E-B7B2-FF0F2B91361F}">
  <ds:schemaRefs/>
</ds:datastoreItem>
</file>

<file path=customXml/itemProps28.xml><?xml version="1.0" encoding="utf-8"?>
<ds:datastoreItem xmlns:ds="http://schemas.openxmlformats.org/officeDocument/2006/customXml" ds:itemID="{4A75E357-1F19-4D6C-8808-F726138813C2}">
  <ds:schemaRefs/>
</ds:datastoreItem>
</file>

<file path=customXml/itemProps29.xml><?xml version="1.0" encoding="utf-8"?>
<ds:datastoreItem xmlns:ds="http://schemas.openxmlformats.org/officeDocument/2006/customXml" ds:itemID="{23E02783-120C-44D7-8CCF-048E9FB3CB73}">
  <ds:schemaRefs/>
</ds:datastoreItem>
</file>

<file path=customXml/itemProps30.xml><?xml version="1.0" encoding="utf-8"?>
<ds:datastoreItem xmlns:ds="http://schemas.openxmlformats.org/officeDocument/2006/customXml" ds:itemID="{EF43CC96-0D56-4CAE-B3FB-63AA7327D64F}">
  <ds:schemaRefs/>
</ds:datastoreItem>
</file>

<file path=customXml/itemProps31.xml><?xml version="1.0" encoding="utf-8"?>
<ds:datastoreItem xmlns:ds="http://schemas.openxmlformats.org/officeDocument/2006/customXml" ds:itemID="{11836300-42E2-4105-A876-1529E6178DEB}">
  <ds:schemaRefs/>
</ds:datastoreItem>
</file>

<file path=customXml/itemProps32.xml><?xml version="1.0" encoding="utf-8"?>
<ds:datastoreItem xmlns:ds="http://schemas.openxmlformats.org/officeDocument/2006/customXml" ds:itemID="{297DB4C4-6C96-4791-AAB7-7BEEA6FF3139}">
  <ds:schemaRefs>
    <ds:schemaRef ds:uri="http://schemas.microsoft.com/DataMashup"/>
  </ds:schemaRefs>
</ds:datastoreItem>
</file>

<file path=customXml/itemProps33.xml><?xml version="1.0" encoding="utf-8"?>
<ds:datastoreItem xmlns:ds="http://schemas.openxmlformats.org/officeDocument/2006/customXml" ds:itemID="{9F0F1267-28D7-47EB-8753-99CD4073ED76}">
  <ds:schemaRefs/>
</ds:datastoreItem>
</file>

<file path=customXml/itemProps34.xml><?xml version="1.0" encoding="utf-8"?>
<ds:datastoreItem xmlns:ds="http://schemas.openxmlformats.org/officeDocument/2006/customXml" ds:itemID="{D8B5CA34-0903-4093-AF52-680F7D205A6C}">
  <ds:schemaRefs/>
</ds:datastoreItem>
</file>

<file path=customXml/itemProps35.xml><?xml version="1.0" encoding="utf-8"?>
<ds:datastoreItem xmlns:ds="http://schemas.openxmlformats.org/officeDocument/2006/customXml" ds:itemID="{EC965678-F6E1-43D5-A43D-77A58C7E158F}">
  <ds:schemaRefs/>
</ds:datastoreItem>
</file>

<file path=customXml/itemProps36.xml><?xml version="1.0" encoding="utf-8"?>
<ds:datastoreItem xmlns:ds="http://schemas.openxmlformats.org/officeDocument/2006/customXml" ds:itemID="{D1D4E2F4-07A5-49C8-9E79-3097BD6654BA}">
  <ds:schemaRefs/>
</ds:datastoreItem>
</file>

<file path=customXml/itemProps37.xml><?xml version="1.0" encoding="utf-8"?>
<ds:datastoreItem xmlns:ds="http://schemas.openxmlformats.org/officeDocument/2006/customXml" ds:itemID="{528CC92F-9128-4092-B642-FFBBC3270AB9}">
  <ds:schemaRefs/>
</ds:datastoreItem>
</file>

<file path=customXml/itemProps38.xml><?xml version="1.0" encoding="utf-8"?>
<ds:datastoreItem xmlns:ds="http://schemas.openxmlformats.org/officeDocument/2006/customXml" ds:itemID="{A162406A-40E8-42B1-8325-67ABF8C8D5A5}">
  <ds:schemaRefs/>
</ds:datastoreItem>
</file>

<file path=customXml/itemProps39.xml><?xml version="1.0" encoding="utf-8"?>
<ds:datastoreItem xmlns:ds="http://schemas.openxmlformats.org/officeDocument/2006/customXml" ds:itemID="{81AE9E05-86A0-433A-AFC9-991C51C33204}">
  <ds:schemaRefs/>
</ds:datastoreItem>
</file>

<file path=customXml/itemProps40.xml><?xml version="1.0" encoding="utf-8"?>
<ds:datastoreItem xmlns:ds="http://schemas.openxmlformats.org/officeDocument/2006/customXml" ds:itemID="{9DD498C0-5D94-4D54-8DBF-253BF39C68A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18 KMP- Tháng (Tâm)</vt:lpstr>
      <vt:lpstr>18 KMP- Tháng (Tâm) (3)</vt:lpstr>
      <vt:lpstr>Chart - Tâm</vt:lpstr>
      <vt:lpstr>KMP- PET</vt:lpstr>
      <vt:lpstr>KMP- HDPE</vt:lpstr>
      <vt:lpstr>18 KMP- Tháng</vt:lpstr>
      <vt:lpstr>48 KMP -Tháng</vt:lpstr>
      <vt:lpstr>Thuế TNDN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Danh, Hoàng Duy</dc:creator>
  <cp:lastModifiedBy>Danh, Hoàng Duy</cp:lastModifiedBy>
  <dcterms:created xsi:type="dcterms:W3CDTF">2024-04-26T04:49:11Z</dcterms:created>
  <dcterms:modified xsi:type="dcterms:W3CDTF">2026-06-08T14:13:10Z</dcterms:modified>
</cp:coreProperties>
</file>