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1.BÁO CÁO/NĂM 2026/T6/DIỄM/"/>
    </mc:Choice>
  </mc:AlternateContent>
  <xr:revisionPtr revIDLastSave="1007" documentId="8_{722A94D5-886D-41BF-BBDA-05C98BEFFB33}" xr6:coauthVersionLast="47" xr6:coauthVersionMax="47" xr10:uidLastSave="{765D266A-8742-4002-8781-F25E40BD072B}"/>
  <bookViews>
    <workbookView xWindow="-110" yWindow="-110" windowWidth="19420" windowHeight="10300" tabRatio="845" firstSheet="3" activeTab="3" xr2:uid="{E1B11B01-C1D7-46E9-BB89-886B873A9FF2}"/>
  </bookViews>
  <sheets>
    <sheet name="Chụp hình" sheetId="66" state="hidden" r:id="rId1"/>
    <sheet name="Chụp hình-2" sheetId="67" state="hidden" r:id="rId2"/>
    <sheet name="Phương Phương" sheetId="65" state="hidden" r:id="rId3"/>
    <sheet name="18 KMP- Tháng (Tâm)" sheetId="56" r:id="rId4"/>
    <sheet name="18 KMP- Tháng (Tâm) (3)" sheetId="63" state="hidden" r:id="rId5"/>
    <sheet name="Chart - Tâm" sheetId="57" state="hidden" r:id="rId6"/>
    <sheet name="KMP- PET" sheetId="60" state="hidden" r:id="rId7"/>
    <sheet name="KMP- HDPE" sheetId="61" state="hidden" r:id="rId8"/>
    <sheet name="18 KMP- Tháng" sheetId="11" state="hidden" r:id="rId9"/>
    <sheet name="48 KMP -Tháng" sheetId="13" r:id="rId10"/>
    <sheet name="Thuế TNDN" sheetId="37" state="hidden" r:id="rId11"/>
  </sheets>
  <definedNames>
    <definedName name="_xlnm._FilterDatabase" localSheetId="8" hidden="1">'18 KMP- Tháng'!$B$17:$BT$17</definedName>
    <definedName name="_xlnm._FilterDatabase" localSheetId="3" hidden="1">'18 KMP- Tháng (Tâm)'!$A$8:$CN$34</definedName>
    <definedName name="_xlnm._FilterDatabase" localSheetId="4" hidden="1">'18 KMP- Tháng (Tâm) (3)'!$A$38:$BS$62</definedName>
    <definedName name="_xlnm._FilterDatabase" localSheetId="9" hidden="1">'48 KMP -Tháng'!$A$2:$FR$53</definedName>
    <definedName name="_xlnm._FilterDatabase" localSheetId="7" hidden="1">'KMP- HDPE'!$B$16:$R$16</definedName>
    <definedName name="_xlnm._FilterDatabase" localSheetId="6" hidden="1">'KMP- PET'!$B$17:$Q$17</definedName>
    <definedName name="_xlnm._FilterDatabase" localSheetId="10" hidden="1">'Thuế TNDN'!$A$2:$O$6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ate_03a1694f-a721-4245-b3f2-7505eaa961fb" name="dim_date" connection="Query - dim_date"/>
          <x15:modelTable id="dim_GL_Account_6f1a08be-a94b-4b16-bd92-1846f3ed2c8b" name="dim_GL_Account" connection="Query - dim_GL_Account"/>
          <x15:modelTable id="dim_cost_center_d7f0bcc0-27cb-43c7-b991-9439c1b1a060" name="dim_cost_center" connection="Query - dim_cost_center(1)"/>
          <x15:modelTable id="Data_KSB1_TT_8c3c0a02-964d-4f89-9770-564eed7a158f" name="Data_KSB1_TT" connection="Query - Data_KSB1_TT"/>
          <x15:modelTable id="01_Formulas_KSB1_TT_d0cd7f02-b3a5-40ec-a9f2-f1a57038ff1b" name="01_Formulas_KSB1_TT" connection="Query - 01_Formulas_KSB1_TT"/>
          <x15:modelTable id="dim_KMP_9fdcde28-8321-4ec2-af6a-a61b70fa935c" name="dim_KMP" connection="Query - dim_KMP"/>
          <x15:modelTable id="dim_GL_Acc_KMP_db4890b9-9a88-4f92-a770-9cdc57c5235f" name="dim_GL_Acc_KMP" connection="Query - dim_GL_Acc_KMP"/>
          <x15:modelTable id="Data_KSB1_NS_0144e189-0780-40f4-8225-dad85508bfe6" name="Data_KSB1_NS" connection="Query - Data_KSB1_NS"/>
          <x15:modelTable id="dim_version_c973e1a5-431b-43f3-8975-5d216be1315a" name="dim_version" connection="Query - dim_version"/>
          <x15:modelTable id="02_Formulas_KSB1_NS_51c36739-bfa9-4fdf-9974-30924616e367" name="02_Formulas_KSB1_NS" connection="Query - 02_Formulas_KSB1_NS"/>
          <x15:modelTable id="03_  -_TT_vs_NS_8682b296-9c35-469f-9170-044f9cea5e49" name="03_  -_TT_vs_NS" connection="Query - 03_+/-_TT_vs_NS"/>
        </x15:modelTables>
        <x15:modelRelationships>
          <x15:modelRelationship fromTable="Data_KSB1_TT" fromColumn="Posting Date" toTable="dim_date" toColumn="Date"/>
          <x15:modelRelationship fromTable="Data_KSB1_TT" fromColumn="Cost Center" toTable="dim_cost_center" toColumn="Cost Center"/>
          <x15:modelRelationship fromTable="Data_KSB1_TT" fromColumn="GL_Acc | KMP" toTable="dim_GL_Acc_KMP" toColumn="GL_Acc | KMP"/>
          <x15:modelRelationship fromTable="Data_KSB1_TT" fromColumn="Version" toTable="dim_version" toColumn="Version"/>
          <x15:modelRelationship fromTable="dim_GL_Acc_KMP" fromColumn="G/L Account" toTable="dim_GL_Account" toColumn="G/L Account"/>
          <x15:modelRelationship fromTable="dim_GL_Acc_KMP" fromColumn="KMP" toTable="dim_KMP" toColumn="KMP"/>
          <x15:modelRelationship fromTable="Data_KSB1_NS" fromColumn="Version" toTable="dim_version" toColumn="Version"/>
          <x15:modelRelationship fromTable="Data_KSB1_NS" fromColumn="GL_Acc | KMP" toTable="dim_GL_Acc_KMP" toColumn="GL_Acc | KMP"/>
          <x15:modelRelationship fromTable="Data_KSB1_NS" fromColumn="Cost Center" toTable="dim_cost_center" toColumn="Cost Center"/>
          <x15:modelRelationship fromTable="Data_KSB1_NS" fromColumn="Posting 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KSB1_NS" columnName="Posting Date" columnId="Posting Date">
                <x16:calculatedTimeColumn columnName="Posting Date (Month Index)" columnId="Posting Date (Month Index)" contentType="monthsindex" isSelected="1"/>
                <x16:calculatedTimeColumn columnName="Posting Date (Month)" columnId="Posting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66" i="13" l="1"/>
  <c r="BA55" i="13"/>
  <c r="BA56" i="13"/>
  <c r="BT31" i="56"/>
  <c r="BT30" i="56"/>
  <c r="BT29" i="56"/>
  <c r="BT28" i="56"/>
  <c r="BT27" i="56"/>
  <c r="BT26" i="56"/>
  <c r="BT25" i="56"/>
  <c r="BT24" i="56"/>
  <c r="BT23" i="56"/>
  <c r="BT22" i="56"/>
  <c r="BT21" i="56"/>
  <c r="BT20" i="56"/>
  <c r="BT19" i="56"/>
  <c r="BT18" i="56"/>
  <c r="BT17" i="56"/>
  <c r="BT16" i="56"/>
  <c r="BT15" i="56"/>
  <c r="BT14" i="56"/>
  <c r="BT13" i="56"/>
  <c r="BT12" i="56"/>
  <c r="BT11" i="56"/>
  <c r="BT10" i="56"/>
  <c r="BT9" i="56"/>
  <c r="AD23" i="67"/>
  <c r="AD22" i="67"/>
  <c r="AD21" i="67"/>
  <c r="AD20" i="67"/>
  <c r="AD19" i="67"/>
  <c r="AD18" i="67"/>
  <c r="AD17" i="67"/>
  <c r="AD16" i="67"/>
  <c r="AD15" i="67"/>
  <c r="AD14" i="67"/>
  <c r="AD13" i="67"/>
  <c r="AD12" i="67"/>
  <c r="AD11" i="67"/>
  <c r="AD10" i="67"/>
  <c r="AD9" i="67"/>
  <c r="AD8" i="67"/>
  <c r="AD7" i="67"/>
  <c r="AD6" i="67"/>
  <c r="AD5" i="67"/>
  <c r="AD4" i="67"/>
  <c r="AD3" i="67"/>
  <c r="N3" i="67"/>
  <c r="N4" i="67"/>
  <c r="N5" i="67"/>
  <c r="N6" i="67"/>
  <c r="N7" i="67"/>
  <c r="N8" i="67"/>
  <c r="N9" i="67"/>
  <c r="N10" i="67"/>
  <c r="N11" i="67"/>
  <c r="N12" i="67"/>
  <c r="N13" i="67"/>
  <c r="N14" i="67"/>
  <c r="N15" i="67"/>
  <c r="N16" i="67"/>
  <c r="N17" i="67"/>
  <c r="N18" i="67"/>
  <c r="N19" i="67"/>
  <c r="N20" i="67"/>
  <c r="N21" i="67"/>
  <c r="N22" i="67"/>
  <c r="N23" i="67"/>
  <c r="AM25" i="66"/>
  <c r="AM24" i="66"/>
  <c r="AM23" i="66"/>
  <c r="AM22" i="66"/>
  <c r="AM21" i="66"/>
  <c r="AM20" i="66"/>
  <c r="AM19" i="66"/>
  <c r="AM18" i="66"/>
  <c r="AM17" i="66"/>
  <c r="AM16" i="66"/>
  <c r="AM15" i="66"/>
  <c r="AM14" i="66"/>
  <c r="AM13" i="66"/>
  <c r="AM12" i="66"/>
  <c r="AM11" i="66"/>
  <c r="AM10" i="66"/>
  <c r="AM9" i="66"/>
  <c r="AM8" i="66"/>
  <c r="AM7" i="66"/>
  <c r="AM6" i="66"/>
  <c r="AM5" i="66"/>
  <c r="AM4" i="66"/>
  <c r="AM3" i="66"/>
  <c r="Q31" i="66" l="1"/>
  <c r="Q27" i="66"/>
  <c r="Q26" i="66"/>
  <c r="Q28" i="66" l="1"/>
  <c r="Q30" i="66" s="1"/>
  <c r="BW19" i="13" l="1"/>
  <c r="BV19" i="13"/>
  <c r="BU19" i="13"/>
  <c r="BT19" i="13"/>
  <c r="BS19" i="13"/>
  <c r="BR19" i="13"/>
  <c r="BQ19" i="13"/>
  <c r="BP19" i="13"/>
  <c r="BO19" i="13"/>
  <c r="BN19" i="13"/>
  <c r="BM19" i="13"/>
  <c r="BL19" i="13"/>
  <c r="BW10" i="13"/>
  <c r="BU10" i="13"/>
  <c r="BR10" i="13"/>
  <c r="BO10" i="13"/>
  <c r="BL10" i="13"/>
  <c r="BW36" i="13"/>
  <c r="BU36" i="13"/>
  <c r="BR36" i="13"/>
  <c r="BO36" i="13"/>
  <c r="BL36" i="13"/>
  <c r="BH21" i="11"/>
  <c r="AY19" i="13"/>
  <c r="AX19" i="13"/>
  <c r="AW19" i="13"/>
  <c r="AZ56" i="13"/>
  <c r="P31" i="66"/>
  <c r="P27" i="66"/>
  <c r="P26" i="66"/>
  <c r="P28" i="66" l="1"/>
  <c r="P30" i="66" s="1"/>
  <c r="AY56" i="13" l="1"/>
  <c r="O31" i="66"/>
  <c r="R26" i="66" l="1"/>
  <c r="O27" i="66"/>
  <c r="O26" i="66"/>
  <c r="O28" i="66" l="1"/>
  <c r="O30" i="66" s="1"/>
  <c r="AX56" i="13"/>
  <c r="BS24" i="11" l="1"/>
  <c r="BR24" i="11"/>
  <c r="BQ24" i="11"/>
  <c r="BP24" i="11"/>
  <c r="BO24" i="11"/>
  <c r="BN24" i="11"/>
  <c r="BM24" i="11"/>
  <c r="BL24" i="11"/>
  <c r="BK24" i="11"/>
  <c r="BJ24" i="11"/>
  <c r="BI24" i="11"/>
  <c r="BH24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S21" i="11"/>
  <c r="BR21" i="11"/>
  <c r="BQ21" i="11"/>
  <c r="BP21" i="11"/>
  <c r="BO21" i="11"/>
  <c r="BN21" i="11"/>
  <c r="BM21" i="11"/>
  <c r="BL21" i="11"/>
  <c r="BK21" i="11"/>
  <c r="BJ21" i="11"/>
  <c r="BI21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S18" i="11"/>
  <c r="BR18" i="11"/>
  <c r="BQ18" i="11"/>
  <c r="BP18" i="11"/>
  <c r="BO18" i="11"/>
  <c r="BN18" i="11"/>
  <c r="BM18" i="11"/>
  <c r="BL18" i="11"/>
  <c r="BK18" i="11"/>
  <c r="BJ18" i="11"/>
  <c r="BI18" i="11"/>
  <c r="BH18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W77" i="13" l="1"/>
  <c r="BV77" i="13"/>
  <c r="BU77" i="13"/>
  <c r="BT77" i="13"/>
  <c r="BS77" i="13"/>
  <c r="BR77" i="13"/>
  <c r="BQ77" i="13"/>
  <c r="BP77" i="13"/>
  <c r="BO77" i="13"/>
  <c r="BN77" i="13"/>
  <c r="BM77" i="13"/>
  <c r="BW70" i="13"/>
  <c r="BV70" i="13"/>
  <c r="BU70" i="13"/>
  <c r="BT70" i="13"/>
  <c r="BS70" i="13"/>
  <c r="BR70" i="13"/>
  <c r="BQ70" i="13"/>
  <c r="BP70" i="13"/>
  <c r="BO70" i="13"/>
  <c r="BN70" i="13"/>
  <c r="BM70" i="13"/>
  <c r="BW69" i="13"/>
  <c r="BV69" i="13"/>
  <c r="BU69" i="13"/>
  <c r="BT69" i="13"/>
  <c r="BS69" i="13"/>
  <c r="BR69" i="13"/>
  <c r="BQ69" i="13"/>
  <c r="BP69" i="13"/>
  <c r="BO69" i="13"/>
  <c r="BN69" i="13"/>
  <c r="BM69" i="13"/>
  <c r="BW66" i="13"/>
  <c r="BV66" i="13"/>
  <c r="BU66" i="13"/>
  <c r="BT66" i="13"/>
  <c r="BS66" i="13"/>
  <c r="BR66" i="13"/>
  <c r="BQ66" i="13"/>
  <c r="BP66" i="13"/>
  <c r="BO66" i="13"/>
  <c r="BN66" i="13"/>
  <c r="BM66" i="13"/>
  <c r="BL77" i="13"/>
  <c r="BL70" i="13"/>
  <c r="BL69" i="13"/>
  <c r="BL66" i="13"/>
  <c r="BL62" i="13"/>
  <c r="BW62" i="13"/>
  <c r="BV62" i="13"/>
  <c r="BU62" i="13"/>
  <c r="BT62" i="13"/>
  <c r="BS62" i="13"/>
  <c r="BR62" i="13"/>
  <c r="BQ62" i="13"/>
  <c r="BP62" i="13"/>
  <c r="BO62" i="13"/>
  <c r="BN62" i="13"/>
  <c r="BM62" i="13"/>
  <c r="BI56" i="13" a="1"/>
  <c r="BG77" i="13"/>
  <c r="BF77" i="13"/>
  <c r="BE77" i="13"/>
  <c r="BD77" i="13"/>
  <c r="BC77" i="13"/>
  <c r="BB77" i="13"/>
  <c r="BA77" i="13"/>
  <c r="AZ77" i="13"/>
  <c r="AY77" i="13"/>
  <c r="AX77" i="13"/>
  <c r="AW77" i="13"/>
  <c r="BG70" i="13"/>
  <c r="BF70" i="13"/>
  <c r="BE70" i="13"/>
  <c r="BD70" i="13"/>
  <c r="BC70" i="13"/>
  <c r="BB70" i="13"/>
  <c r="BA70" i="13"/>
  <c r="AZ70" i="13"/>
  <c r="AY70" i="13"/>
  <c r="AX70" i="13"/>
  <c r="AW70" i="13"/>
  <c r="BG69" i="13"/>
  <c r="BF69" i="13"/>
  <c r="BE69" i="13"/>
  <c r="BD69" i="13"/>
  <c r="BC69" i="13"/>
  <c r="BB69" i="13"/>
  <c r="BA69" i="13"/>
  <c r="AZ69" i="13"/>
  <c r="AY69" i="13"/>
  <c r="AX69" i="13"/>
  <c r="AW69" i="13"/>
  <c r="BG66" i="13"/>
  <c r="BF66" i="13"/>
  <c r="BE66" i="13"/>
  <c r="BD66" i="13"/>
  <c r="BC66" i="13"/>
  <c r="BB66" i="13"/>
  <c r="AZ66" i="13"/>
  <c r="AY66" i="13"/>
  <c r="AX66" i="13"/>
  <c r="AW66" i="13"/>
  <c r="AV77" i="13"/>
  <c r="AV70" i="13"/>
  <c r="AV69" i="13"/>
  <c r="AV66" i="13"/>
  <c r="AG70" i="13"/>
  <c r="R70" i="13"/>
  <c r="BX56" i="13"/>
  <c r="BX57" i="13"/>
  <c r="BX58" i="13"/>
  <c r="BX59" i="13"/>
  <c r="BM56" i="13"/>
  <c r="BN56" i="13"/>
  <c r="BO56" i="13"/>
  <c r="BP56" i="13"/>
  <c r="BQ56" i="13"/>
  <c r="BR56" i="13"/>
  <c r="BS56" i="13"/>
  <c r="BT56" i="13"/>
  <c r="BU56" i="13"/>
  <c r="BV56" i="13"/>
  <c r="BW56" i="13"/>
  <c r="BL56" i="13"/>
  <c r="BH56" i="13"/>
  <c r="BH57" i="13"/>
  <c r="BH58" i="13"/>
  <c r="BH59" i="13"/>
  <c r="AW56" i="13"/>
  <c r="AV56" i="13"/>
  <c r="AU56" i="13"/>
  <c r="AG56" i="13"/>
  <c r="R56" i="13"/>
  <c r="BA64" i="13"/>
  <c r="BB64" i="13"/>
  <c r="BB110" i="13" s="1"/>
  <c r="BC64" i="13"/>
  <c r="BC110" i="13" s="1"/>
  <c r="BD64" i="13"/>
  <c r="BD110" i="13" s="1"/>
  <c r="BE64" i="13"/>
  <c r="BE110" i="13" s="1"/>
  <c r="BF64" i="13"/>
  <c r="BF110" i="13" s="1"/>
  <c r="BG64" i="13"/>
  <c r="BG110" i="13" s="1"/>
  <c r="BA65" i="13"/>
  <c r="BB65" i="13"/>
  <c r="BC65" i="13"/>
  <c r="BD65" i="13"/>
  <c r="BE65" i="13"/>
  <c r="BF65" i="13"/>
  <c r="BG65" i="13"/>
  <c r="BA67" i="13"/>
  <c r="BB67" i="13"/>
  <c r="BC67" i="13"/>
  <c r="BD67" i="13"/>
  <c r="BE67" i="13"/>
  <c r="BF67" i="13"/>
  <c r="BG67" i="13"/>
  <c r="BA68" i="13"/>
  <c r="BB68" i="13"/>
  <c r="BC68" i="13"/>
  <c r="BD68" i="13"/>
  <c r="BE68" i="13"/>
  <c r="BF68" i="13"/>
  <c r="BG68" i="13"/>
  <c r="BA71" i="13"/>
  <c r="BB71" i="13"/>
  <c r="BC71" i="13"/>
  <c r="BD71" i="13"/>
  <c r="BE71" i="13"/>
  <c r="BF71" i="13"/>
  <c r="BG71" i="13"/>
  <c r="BA72" i="13"/>
  <c r="BB72" i="13"/>
  <c r="BC72" i="13"/>
  <c r="BD72" i="13"/>
  <c r="BE72" i="13"/>
  <c r="BF72" i="13"/>
  <c r="BG72" i="13"/>
  <c r="BA73" i="13"/>
  <c r="BB73" i="13"/>
  <c r="BC73" i="13"/>
  <c r="BD73" i="13"/>
  <c r="BE73" i="13"/>
  <c r="BF73" i="13"/>
  <c r="BG73" i="13"/>
  <c r="BA74" i="13"/>
  <c r="BB74" i="13"/>
  <c r="BC74" i="13"/>
  <c r="BD74" i="13"/>
  <c r="BE74" i="13"/>
  <c r="BF74" i="13"/>
  <c r="BG74" i="13"/>
  <c r="BA75" i="13"/>
  <c r="BB75" i="13"/>
  <c r="BC75" i="13"/>
  <c r="BD75" i="13"/>
  <c r="BE75" i="13"/>
  <c r="BF75" i="13"/>
  <c r="BG75" i="13"/>
  <c r="BA76" i="13"/>
  <c r="BB76" i="13"/>
  <c r="BC76" i="13"/>
  <c r="BD76" i="13"/>
  <c r="BE76" i="13"/>
  <c r="BF76" i="13"/>
  <c r="BG76" i="13"/>
  <c r="BA78" i="13"/>
  <c r="BB78" i="13"/>
  <c r="BC78" i="13"/>
  <c r="BD78" i="13"/>
  <c r="BE78" i="13"/>
  <c r="BF78" i="13"/>
  <c r="BG78" i="13"/>
  <c r="BA79" i="13"/>
  <c r="BB79" i="13"/>
  <c r="BC79" i="13"/>
  <c r="BD79" i="13"/>
  <c r="BE79" i="13"/>
  <c r="BF79" i="13"/>
  <c r="BG79" i="13"/>
  <c r="BA80" i="13"/>
  <c r="BB80" i="13"/>
  <c r="BC80" i="13"/>
  <c r="BD80" i="13"/>
  <c r="BE80" i="13"/>
  <c r="BF80" i="13"/>
  <c r="BG80" i="13"/>
  <c r="BA81" i="13"/>
  <c r="BB81" i="13"/>
  <c r="BC81" i="13"/>
  <c r="BD81" i="13"/>
  <c r="BE81" i="13"/>
  <c r="BF81" i="13"/>
  <c r="BG81" i="13"/>
  <c r="BA83" i="13"/>
  <c r="BB83" i="13"/>
  <c r="BC83" i="13"/>
  <c r="BD83" i="13"/>
  <c r="BE83" i="13"/>
  <c r="BF83" i="13"/>
  <c r="BG83" i="13"/>
  <c r="BA84" i="13"/>
  <c r="BB84" i="13"/>
  <c r="BC84" i="13"/>
  <c r="BD84" i="13"/>
  <c r="BE84" i="13"/>
  <c r="BF84" i="13"/>
  <c r="BG84" i="13"/>
  <c r="BA85" i="13"/>
  <c r="BB85" i="13"/>
  <c r="BC85" i="13"/>
  <c r="BD85" i="13"/>
  <c r="BE85" i="13"/>
  <c r="BF85" i="13"/>
  <c r="BG85" i="13"/>
  <c r="BA86" i="13"/>
  <c r="BB86" i="13"/>
  <c r="BC86" i="13"/>
  <c r="BD86" i="13"/>
  <c r="BE86" i="13"/>
  <c r="BF86" i="13"/>
  <c r="BG86" i="13"/>
  <c r="BA87" i="13"/>
  <c r="BB87" i="13"/>
  <c r="BC87" i="13"/>
  <c r="BD87" i="13"/>
  <c r="BE87" i="13"/>
  <c r="BF87" i="13"/>
  <c r="BG87" i="13"/>
  <c r="BA88" i="13"/>
  <c r="BB88" i="13"/>
  <c r="BC88" i="13"/>
  <c r="BD88" i="13"/>
  <c r="BE88" i="13"/>
  <c r="BF88" i="13"/>
  <c r="BG88" i="13"/>
  <c r="BA89" i="13"/>
  <c r="BB89" i="13"/>
  <c r="BC89" i="13"/>
  <c r="BD89" i="13"/>
  <c r="BE89" i="13"/>
  <c r="BF89" i="13"/>
  <c r="BG89" i="13"/>
  <c r="BA90" i="13"/>
  <c r="BB90" i="13"/>
  <c r="BC90" i="13"/>
  <c r="BD90" i="13"/>
  <c r="BE90" i="13"/>
  <c r="BF90" i="13"/>
  <c r="BG90" i="13"/>
  <c r="BA91" i="13"/>
  <c r="BB91" i="13"/>
  <c r="BC91" i="13"/>
  <c r="BD91" i="13"/>
  <c r="BE91" i="13"/>
  <c r="BF91" i="13"/>
  <c r="BG91" i="13"/>
  <c r="BA92" i="13"/>
  <c r="BB92" i="13"/>
  <c r="BC92" i="13"/>
  <c r="BD92" i="13"/>
  <c r="BE92" i="13"/>
  <c r="BF92" i="13"/>
  <c r="BG92" i="13"/>
  <c r="BA93" i="13"/>
  <c r="BB93" i="13"/>
  <c r="BC93" i="13"/>
  <c r="BD93" i="13"/>
  <c r="BE93" i="13"/>
  <c r="BF93" i="13"/>
  <c r="BG93" i="13"/>
  <c r="BA94" i="13"/>
  <c r="BB94" i="13"/>
  <c r="BC94" i="13"/>
  <c r="BD94" i="13"/>
  <c r="BE94" i="13"/>
  <c r="BF94" i="13"/>
  <c r="BG94" i="13"/>
  <c r="BA95" i="13"/>
  <c r="BB95" i="13"/>
  <c r="BC95" i="13"/>
  <c r="BD95" i="13"/>
  <c r="BE95" i="13"/>
  <c r="BF95" i="13"/>
  <c r="BG95" i="13"/>
  <c r="BA96" i="13"/>
  <c r="BB96" i="13"/>
  <c r="BC96" i="13"/>
  <c r="BD96" i="13"/>
  <c r="BE96" i="13"/>
  <c r="BF96" i="13"/>
  <c r="BG96" i="13"/>
  <c r="BA97" i="13"/>
  <c r="BB97" i="13"/>
  <c r="BC97" i="13"/>
  <c r="BD97" i="13"/>
  <c r="BE97" i="13"/>
  <c r="BF97" i="13"/>
  <c r="BG97" i="13"/>
  <c r="BA98" i="13"/>
  <c r="BB98" i="13"/>
  <c r="BC98" i="13"/>
  <c r="BD98" i="13"/>
  <c r="BE98" i="13"/>
  <c r="BF98" i="13"/>
  <c r="BG98" i="13"/>
  <c r="BA99" i="13"/>
  <c r="BB99" i="13"/>
  <c r="BC99" i="13"/>
  <c r="BD99" i="13"/>
  <c r="BE99" i="13"/>
  <c r="BF99" i="13"/>
  <c r="BG99" i="13"/>
  <c r="BA100" i="13"/>
  <c r="BB100" i="13"/>
  <c r="BC100" i="13"/>
  <c r="BD100" i="13"/>
  <c r="BE100" i="13"/>
  <c r="BF100" i="13"/>
  <c r="BG100" i="13"/>
  <c r="BA101" i="13"/>
  <c r="BB101" i="13"/>
  <c r="BC101" i="13"/>
  <c r="BD101" i="13"/>
  <c r="BE101" i="13"/>
  <c r="BF101" i="13"/>
  <c r="BG101" i="13"/>
  <c r="BA102" i="13"/>
  <c r="BB102" i="13"/>
  <c r="BC102" i="13"/>
  <c r="BD102" i="13"/>
  <c r="BE102" i="13"/>
  <c r="BF102" i="13"/>
  <c r="BG102" i="13"/>
  <c r="BA103" i="13"/>
  <c r="BB103" i="13"/>
  <c r="BC103" i="13"/>
  <c r="BD103" i="13"/>
  <c r="BE103" i="13"/>
  <c r="BF103" i="13"/>
  <c r="BG103" i="13"/>
  <c r="BA104" i="13"/>
  <c r="BB104" i="13"/>
  <c r="BC104" i="13"/>
  <c r="BD104" i="13"/>
  <c r="BE104" i="13"/>
  <c r="BF104" i="13"/>
  <c r="BG104" i="13"/>
  <c r="BA105" i="13"/>
  <c r="BB105" i="13"/>
  <c r="BC105" i="13"/>
  <c r="BD105" i="13"/>
  <c r="BE105" i="13"/>
  <c r="BF105" i="13"/>
  <c r="BG105" i="13"/>
  <c r="BA106" i="13"/>
  <c r="BB106" i="13"/>
  <c r="BC106" i="13"/>
  <c r="BD106" i="13"/>
  <c r="BE106" i="13"/>
  <c r="BF106" i="13"/>
  <c r="BG106" i="13"/>
  <c r="BA107" i="13"/>
  <c r="BB107" i="13"/>
  <c r="BC107" i="13"/>
  <c r="BD107" i="13"/>
  <c r="BE107" i="13"/>
  <c r="BF107" i="13"/>
  <c r="BG107" i="13"/>
  <c r="BA108" i="13"/>
  <c r="BB108" i="13"/>
  <c r="BC108" i="13"/>
  <c r="BD108" i="13"/>
  <c r="BE108" i="13"/>
  <c r="BF108" i="13"/>
  <c r="BG108" i="13"/>
  <c r="BA109" i="13"/>
  <c r="BB109" i="13"/>
  <c r="BC109" i="13"/>
  <c r="BD109" i="13"/>
  <c r="BE109" i="13"/>
  <c r="BF109" i="13"/>
  <c r="BG109" i="13"/>
  <c r="AU23" i="13"/>
  <c r="AF18" i="11"/>
  <c r="BA110" i="13" l="1"/>
  <c r="F26" i="66"/>
  <c r="Y3" i="66"/>
  <c r="AV9" i="13" l="1"/>
  <c r="AC18" i="11" l="1"/>
  <c r="AB18" i="11"/>
  <c r="AA18" i="11"/>
  <c r="Z18" i="11"/>
  <c r="Y18" i="11"/>
  <c r="X18" i="11"/>
  <c r="W18" i="11"/>
  <c r="V18" i="11"/>
  <c r="U18" i="11"/>
  <c r="T18" i="11"/>
  <c r="S18" i="11"/>
  <c r="S22" i="56" s="1"/>
  <c r="R18" i="11"/>
  <c r="R22" i="56" s="1"/>
  <c r="AC29" i="11" l="1"/>
  <c r="AQ29" i="11" l="1"/>
  <c r="FR10" i="13" l="1"/>
  <c r="FD10" i="13"/>
  <c r="EP10" i="13"/>
  <c r="EB10" i="13"/>
  <c r="DN10" i="13"/>
  <c r="CZ10" i="13"/>
  <c r="CL10" i="13"/>
  <c r="BX10" i="13"/>
  <c r="BX70" i="13" s="1"/>
  <c r="FD49" i="13"/>
  <c r="FD48" i="13"/>
  <c r="FD47" i="13"/>
  <c r="FD46" i="13"/>
  <c r="FD45" i="13"/>
  <c r="FD44" i="13"/>
  <c r="FD43" i="13"/>
  <c r="FD42" i="13"/>
  <c r="FD40" i="13"/>
  <c r="FD38" i="13"/>
  <c r="FD37" i="13"/>
  <c r="FD36" i="13"/>
  <c r="FD35" i="13"/>
  <c r="FD34" i="13"/>
  <c r="FD33" i="13"/>
  <c r="FD32" i="13"/>
  <c r="FD31" i="13"/>
  <c r="FD30" i="13"/>
  <c r="FD29" i="13"/>
  <c r="FD28" i="13"/>
  <c r="FD27" i="13"/>
  <c r="FD26" i="13"/>
  <c r="FD24" i="13"/>
  <c r="FD23" i="13"/>
  <c r="FD21" i="13"/>
  <c r="FD20" i="13"/>
  <c r="FD19" i="13"/>
  <c r="FD18" i="13"/>
  <c r="FD16" i="13"/>
  <c r="FD15" i="13"/>
  <c r="FD13" i="13"/>
  <c r="FD12" i="13"/>
  <c r="FD11" i="13"/>
  <c r="FD9" i="13"/>
  <c r="FD8" i="13"/>
  <c r="FD7" i="13"/>
  <c r="FD6" i="13"/>
  <c r="FD5" i="13"/>
  <c r="FD4" i="13"/>
  <c r="EP48" i="13"/>
  <c r="EP47" i="13"/>
  <c r="EP46" i="13"/>
  <c r="EP44" i="13"/>
  <c r="EP43" i="13"/>
  <c r="EP42" i="13"/>
  <c r="EP41" i="13"/>
  <c r="EP40" i="13"/>
  <c r="EP39" i="13"/>
  <c r="EP38" i="13"/>
  <c r="EP37" i="13"/>
  <c r="EP36" i="13"/>
  <c r="EP35" i="13"/>
  <c r="EP34" i="13"/>
  <c r="EP32" i="13"/>
  <c r="EP31" i="13"/>
  <c r="EP30" i="13"/>
  <c r="EP28" i="13"/>
  <c r="EP27" i="13"/>
  <c r="EP26" i="13"/>
  <c r="EP25" i="13"/>
  <c r="EP24" i="13"/>
  <c r="EP23" i="13"/>
  <c r="EP21" i="13"/>
  <c r="EP20" i="13"/>
  <c r="EP19" i="13"/>
  <c r="EP17" i="13"/>
  <c r="EP15" i="13"/>
  <c r="EP14" i="13"/>
  <c r="EP13" i="13"/>
  <c r="EP12" i="13"/>
  <c r="EP11" i="13"/>
  <c r="EP9" i="13"/>
  <c r="EP8" i="13"/>
  <c r="EP6" i="13"/>
  <c r="EP5" i="13"/>
  <c r="DN48" i="13"/>
  <c r="DN47" i="13"/>
  <c r="DN46" i="13"/>
  <c r="DN44" i="13"/>
  <c r="DN43" i="13"/>
  <c r="DN42" i="13"/>
  <c r="DN40" i="13"/>
  <c r="DN39" i="13"/>
  <c r="DN38" i="13"/>
  <c r="DN36" i="13"/>
  <c r="DN35" i="13"/>
  <c r="DN34" i="13"/>
  <c r="DN31" i="13"/>
  <c r="DN30" i="13"/>
  <c r="DN28" i="13"/>
  <c r="DN27" i="13"/>
  <c r="DN26" i="13"/>
  <c r="DN24" i="13"/>
  <c r="DN23" i="13"/>
  <c r="DN21" i="13"/>
  <c r="DN19" i="13"/>
  <c r="DN18" i="13"/>
  <c r="DN17" i="13"/>
  <c r="DN15" i="13"/>
  <c r="DN14" i="13"/>
  <c r="DN13" i="13"/>
  <c r="DN9" i="13"/>
  <c r="DN8" i="13"/>
  <c r="DN7" i="13"/>
  <c r="DG50" i="13"/>
  <c r="DG54" i="13" s="1"/>
  <c r="DN6" i="13"/>
  <c r="DD50" i="13"/>
  <c r="DD54" i="13" s="1"/>
  <c r="DC50" i="13"/>
  <c r="DC54" i="13" s="1"/>
  <c r="DN5" i="13"/>
  <c r="DK50" i="13"/>
  <c r="DK54" i="13" s="1"/>
  <c r="DH50" i="13"/>
  <c r="DH54" i="13" s="1"/>
  <c r="DF50" i="13"/>
  <c r="DF54" i="13" s="1"/>
  <c r="DE50" i="13"/>
  <c r="DE54" i="13" s="1"/>
  <c r="DN49" i="13"/>
  <c r="DN37" i="13"/>
  <c r="DN33" i="13"/>
  <c r="DN32" i="13"/>
  <c r="DN20" i="13"/>
  <c r="DN16" i="13"/>
  <c r="DN11" i="13"/>
  <c r="DI50" i="13"/>
  <c r="DI54" i="13" s="1"/>
  <c r="DN4" i="13"/>
  <c r="CK21" i="13"/>
  <c r="CJ21" i="13"/>
  <c r="CI21" i="13"/>
  <c r="CH21" i="13"/>
  <c r="CG21" i="13"/>
  <c r="CF21" i="13"/>
  <c r="CE21" i="13"/>
  <c r="CD21" i="13"/>
  <c r="CC21" i="13"/>
  <c r="CB21" i="13"/>
  <c r="CA21" i="13"/>
  <c r="BZ21" i="13"/>
  <c r="CK13" i="13"/>
  <c r="CJ13" i="13"/>
  <c r="CI13" i="13"/>
  <c r="CH13" i="13"/>
  <c r="CG13" i="13"/>
  <c r="CF13" i="13"/>
  <c r="CE13" i="13"/>
  <c r="CD13" i="13"/>
  <c r="CC13" i="13"/>
  <c r="CB13" i="13"/>
  <c r="CA13" i="13"/>
  <c r="BZ13" i="13"/>
  <c r="CK8" i="13"/>
  <c r="CJ8" i="13"/>
  <c r="CI8" i="13"/>
  <c r="CH8" i="13"/>
  <c r="CG8" i="13"/>
  <c r="CF8" i="13"/>
  <c r="CE8" i="13"/>
  <c r="CD8" i="13"/>
  <c r="CC8" i="13"/>
  <c r="CB8" i="13"/>
  <c r="CA8" i="13"/>
  <c r="BZ8" i="13"/>
  <c r="CK7" i="13"/>
  <c r="CJ7" i="13"/>
  <c r="CI7" i="13"/>
  <c r="CH7" i="13"/>
  <c r="CG7" i="13"/>
  <c r="CF7" i="13"/>
  <c r="CE7" i="13"/>
  <c r="CD7" i="13"/>
  <c r="CC7" i="13"/>
  <c r="CB7" i="13"/>
  <c r="CA7" i="13"/>
  <c r="BZ7" i="13"/>
  <c r="CK4" i="13"/>
  <c r="CJ4" i="13"/>
  <c r="CI4" i="13"/>
  <c r="CH4" i="13"/>
  <c r="CG4" i="13"/>
  <c r="CF4" i="13"/>
  <c r="CE4" i="13"/>
  <c r="CD4" i="13"/>
  <c r="CC4" i="13"/>
  <c r="CB4" i="13"/>
  <c r="CA4" i="13"/>
  <c r="BZ4" i="13"/>
  <c r="FR52" i="13"/>
  <c r="FQ50" i="13"/>
  <c r="FP50" i="13"/>
  <c r="FO50" i="13"/>
  <c r="FN50" i="13"/>
  <c r="FM50" i="13"/>
  <c r="FL50" i="13"/>
  <c r="FK50" i="13"/>
  <c r="FJ50" i="13"/>
  <c r="FI50" i="13"/>
  <c r="FH50" i="13"/>
  <c r="FG50" i="13"/>
  <c r="FF50" i="13"/>
  <c r="FR49" i="13"/>
  <c r="FR48" i="13"/>
  <c r="FR47" i="13"/>
  <c r="FR46" i="13"/>
  <c r="FR45" i="13"/>
  <c r="FR44" i="13"/>
  <c r="FR43" i="13"/>
  <c r="FR42" i="13"/>
  <c r="FR41" i="13"/>
  <c r="FR40" i="13"/>
  <c r="FR39" i="13"/>
  <c r="FR38" i="13"/>
  <c r="FR37" i="13"/>
  <c r="FR36" i="13"/>
  <c r="FR35" i="13"/>
  <c r="FR34" i="13"/>
  <c r="FR33" i="13"/>
  <c r="FR32" i="13"/>
  <c r="FR31" i="13"/>
  <c r="FR30" i="13"/>
  <c r="FR29" i="13"/>
  <c r="FR28" i="13"/>
  <c r="FR27" i="13"/>
  <c r="FR26" i="13"/>
  <c r="FR25" i="13"/>
  <c r="FR24" i="13"/>
  <c r="FR23" i="13"/>
  <c r="FR21" i="13"/>
  <c r="FR20" i="13"/>
  <c r="FR19" i="13"/>
  <c r="FR18" i="13"/>
  <c r="FR17" i="13"/>
  <c r="FR16" i="13"/>
  <c r="FR15" i="13"/>
  <c r="FR14" i="13"/>
  <c r="FR13" i="13"/>
  <c r="FR12" i="13"/>
  <c r="FR11" i="13"/>
  <c r="FR9" i="13"/>
  <c r="FR8" i="13"/>
  <c r="FR7" i="13"/>
  <c r="FR6" i="13"/>
  <c r="FR5" i="13"/>
  <c r="FR4" i="13"/>
  <c r="FD52" i="13"/>
  <c r="FD41" i="13"/>
  <c r="FD39" i="13"/>
  <c r="FD25" i="13"/>
  <c r="FD17" i="13"/>
  <c r="FD14" i="13"/>
  <c r="EP52" i="13"/>
  <c r="EP49" i="13"/>
  <c r="EP45" i="13"/>
  <c r="EP33" i="13"/>
  <c r="EP29" i="13"/>
  <c r="EP18" i="13"/>
  <c r="EP16" i="13"/>
  <c r="EB52" i="13"/>
  <c r="EA50" i="13"/>
  <c r="DZ50" i="13"/>
  <c r="DY50" i="13"/>
  <c r="DX50" i="13"/>
  <c r="DW50" i="13"/>
  <c r="DV50" i="13"/>
  <c r="DU50" i="13"/>
  <c r="DT50" i="13"/>
  <c r="DS50" i="13"/>
  <c r="DR50" i="13"/>
  <c r="DQ50" i="13"/>
  <c r="DP50" i="13"/>
  <c r="EB49" i="13"/>
  <c r="EB48" i="13"/>
  <c r="EB47" i="13"/>
  <c r="EB46" i="13"/>
  <c r="EB45" i="13"/>
  <c r="EB44" i="13"/>
  <c r="EB43" i="13"/>
  <c r="EB42" i="13"/>
  <c r="EB41" i="13"/>
  <c r="EB40" i="13"/>
  <c r="EB39" i="13"/>
  <c r="EB38" i="13"/>
  <c r="EB37" i="13"/>
  <c r="EB36" i="13"/>
  <c r="EB35" i="13"/>
  <c r="EB34" i="13"/>
  <c r="EB33" i="13"/>
  <c r="EB32" i="13"/>
  <c r="EB31" i="13"/>
  <c r="EB30" i="13"/>
  <c r="EB29" i="13"/>
  <c r="EB28" i="13"/>
  <c r="EB27" i="13"/>
  <c r="EB26" i="13"/>
  <c r="EB25" i="13"/>
  <c r="EB24" i="13"/>
  <c r="EB23" i="13"/>
  <c r="EB21" i="13"/>
  <c r="EB20" i="13"/>
  <c r="EB19" i="13"/>
  <c r="EB18" i="13"/>
  <c r="EB17" i="13"/>
  <c r="EB16" i="13"/>
  <c r="EB15" i="13"/>
  <c r="EB14" i="13"/>
  <c r="EB13" i="13"/>
  <c r="EB12" i="13"/>
  <c r="EB11" i="13"/>
  <c r="EB9" i="13"/>
  <c r="EB8" i="13"/>
  <c r="EB7" i="13"/>
  <c r="EB6" i="13"/>
  <c r="EB5" i="13"/>
  <c r="EB4" i="13"/>
  <c r="DN52" i="13"/>
  <c r="DM50" i="13"/>
  <c r="DM54" i="13" s="1"/>
  <c r="DL50" i="13"/>
  <c r="DL54" i="13" s="1"/>
  <c r="DN45" i="13"/>
  <c r="DN41" i="13"/>
  <c r="DN29" i="13"/>
  <c r="DN25" i="13"/>
  <c r="DN12" i="13"/>
  <c r="CZ52" i="13"/>
  <c r="CY50" i="13"/>
  <c r="CY54" i="13" s="1"/>
  <c r="CX50" i="13"/>
  <c r="CX54" i="13" s="1"/>
  <c r="CW50" i="13"/>
  <c r="CW54" i="13" s="1"/>
  <c r="CV50" i="13"/>
  <c r="CV54" i="13" s="1"/>
  <c r="CU50" i="13"/>
  <c r="CU54" i="13" s="1"/>
  <c r="CT50" i="13"/>
  <c r="CT54" i="13" s="1"/>
  <c r="CS50" i="13"/>
  <c r="CS54" i="13" s="1"/>
  <c r="CR50" i="13"/>
  <c r="CR54" i="13" s="1"/>
  <c r="CQ50" i="13"/>
  <c r="CQ54" i="13" s="1"/>
  <c r="CP50" i="13"/>
  <c r="CP54" i="13" s="1"/>
  <c r="CO50" i="13"/>
  <c r="CO54" i="13" s="1"/>
  <c r="CN50" i="13"/>
  <c r="CN54" i="13" s="1"/>
  <c r="CZ49" i="13"/>
  <c r="CZ48" i="13"/>
  <c r="CZ47" i="13"/>
  <c r="CZ46" i="13"/>
  <c r="CZ45" i="13"/>
  <c r="CZ44" i="13"/>
  <c r="CZ43" i="13"/>
  <c r="CZ42" i="13"/>
  <c r="CZ41" i="13"/>
  <c r="CZ40" i="13"/>
  <c r="CZ39" i="13"/>
  <c r="CZ38" i="13"/>
  <c r="CZ37" i="13"/>
  <c r="CZ36" i="13"/>
  <c r="CZ35" i="13"/>
  <c r="CZ34" i="13"/>
  <c r="CZ33" i="13"/>
  <c r="CZ32" i="13"/>
  <c r="CZ31" i="13"/>
  <c r="CZ30" i="13"/>
  <c r="CZ29" i="13"/>
  <c r="CZ28" i="13"/>
  <c r="CZ27" i="13"/>
  <c r="CZ26" i="13"/>
  <c r="CZ25" i="13"/>
  <c r="CZ24" i="13"/>
  <c r="CZ23" i="13"/>
  <c r="CZ21" i="13"/>
  <c r="CZ20" i="13"/>
  <c r="CZ19" i="13"/>
  <c r="CZ18" i="13"/>
  <c r="CZ17" i="13"/>
  <c r="CZ16" i="13"/>
  <c r="CZ15" i="13"/>
  <c r="CZ14" i="13"/>
  <c r="CZ13" i="13"/>
  <c r="CZ12" i="13"/>
  <c r="CZ11" i="13"/>
  <c r="CZ9" i="13"/>
  <c r="CZ8" i="13"/>
  <c r="CZ7" i="13"/>
  <c r="CZ6" i="13"/>
  <c r="CZ5" i="13"/>
  <c r="CZ4" i="13"/>
  <c r="CL52" i="13"/>
  <c r="CL49" i="13"/>
  <c r="CL48" i="13"/>
  <c r="CL47" i="13"/>
  <c r="CL46" i="13"/>
  <c r="CL45" i="13"/>
  <c r="CL44" i="13"/>
  <c r="CL43" i="13"/>
  <c r="CL42" i="13"/>
  <c r="CL41" i="13"/>
  <c r="CL40" i="13"/>
  <c r="CL39" i="13"/>
  <c r="CL38" i="13"/>
  <c r="CL37" i="13"/>
  <c r="CL36" i="13"/>
  <c r="CL35" i="13"/>
  <c r="CL34" i="13"/>
  <c r="CL33" i="13"/>
  <c r="CL32" i="13"/>
  <c r="CL31" i="13"/>
  <c r="CL30" i="13"/>
  <c r="CL29" i="13"/>
  <c r="CL28" i="13"/>
  <c r="CL27" i="13"/>
  <c r="CL26" i="13"/>
  <c r="CL25" i="13"/>
  <c r="CL24" i="13"/>
  <c r="CL23" i="13"/>
  <c r="CL20" i="13"/>
  <c r="CL19" i="13"/>
  <c r="CL18" i="13"/>
  <c r="CL17" i="13"/>
  <c r="CL16" i="13"/>
  <c r="CL15" i="13"/>
  <c r="CL14" i="13"/>
  <c r="CL12" i="13"/>
  <c r="CL11" i="13"/>
  <c r="CL9" i="13"/>
  <c r="CL6" i="13"/>
  <c r="CL5" i="13"/>
  <c r="CI50" i="13" l="1"/>
  <c r="CI54" i="13" s="1"/>
  <c r="CJ50" i="13"/>
  <c r="CJ54" i="13" s="1"/>
  <c r="CC50" i="13"/>
  <c r="CC54" i="13" s="1"/>
  <c r="CL21" i="13"/>
  <c r="CL4" i="13"/>
  <c r="CH50" i="13"/>
  <c r="CH54" i="13" s="1"/>
  <c r="CI55" i="13"/>
  <c r="CC55" i="13"/>
  <c r="CJ55" i="13"/>
  <c r="CE50" i="13"/>
  <c r="CE54" i="13" s="1"/>
  <c r="CE55" i="13" s="1"/>
  <c r="CF50" i="13"/>
  <c r="CF54" i="13" s="1"/>
  <c r="CF55" i="13" s="1"/>
  <c r="CG50" i="13"/>
  <c r="CG54" i="13" s="1"/>
  <c r="CG55" i="13" s="1"/>
  <c r="CK50" i="13"/>
  <c r="CK54" i="13" s="1"/>
  <c r="CK55" i="13" s="1"/>
  <c r="BY10" i="13"/>
  <c r="CL13" i="13"/>
  <c r="BZ50" i="13"/>
  <c r="BZ54" i="13" s="1"/>
  <c r="CL8" i="13"/>
  <c r="FR50" i="13"/>
  <c r="CA50" i="13"/>
  <c r="CA54" i="13" s="1"/>
  <c r="CA55" i="13" s="1"/>
  <c r="CB50" i="13"/>
  <c r="CB54" i="13" s="1"/>
  <c r="CB55" i="13" s="1"/>
  <c r="EW50" i="13"/>
  <c r="EX50" i="13"/>
  <c r="EV50" i="13"/>
  <c r="ET50" i="13"/>
  <c r="EY50" i="13"/>
  <c r="FA50" i="13"/>
  <c r="ES50" i="13"/>
  <c r="FB50" i="13"/>
  <c r="FC50" i="13"/>
  <c r="EU50" i="13"/>
  <c r="FD50" i="13"/>
  <c r="EZ50" i="13"/>
  <c r="ER50" i="13"/>
  <c r="ED50" i="13"/>
  <c r="EI50" i="13"/>
  <c r="EE50" i="13"/>
  <c r="EJ50" i="13"/>
  <c r="EK50" i="13"/>
  <c r="EG50" i="13"/>
  <c r="EL50" i="13"/>
  <c r="EH50" i="13"/>
  <c r="EM50" i="13"/>
  <c r="EN50" i="13"/>
  <c r="EF50" i="13"/>
  <c r="EO50" i="13"/>
  <c r="EP4" i="13"/>
  <c r="EP7" i="13"/>
  <c r="EB50" i="13"/>
  <c r="DJ50" i="13"/>
  <c r="DJ54" i="13" s="1"/>
  <c r="DN50" i="13"/>
  <c r="DN54" i="13" s="1"/>
  <c r="DB50" i="13"/>
  <c r="DB54" i="13" s="1"/>
  <c r="CZ50" i="13"/>
  <c r="CZ54" i="13" s="1"/>
  <c r="CD50" i="13"/>
  <c r="CD54" i="13" s="1"/>
  <c r="CD55" i="13" s="1"/>
  <c r="CL7" i="13"/>
  <c r="CH55" i="13" l="1"/>
  <c r="CL50" i="13"/>
  <c r="CL54" i="13" s="1"/>
  <c r="CL55" i="13" s="1"/>
  <c r="BZ55" i="13"/>
  <c r="EP50" i="13"/>
  <c r="J31" i="66" l="1"/>
  <c r="J27" i="66"/>
  <c r="K27" i="66" s="1"/>
  <c r="J26" i="66"/>
  <c r="K26" i="66" s="1"/>
  <c r="K31" i="66"/>
  <c r="K29" i="66"/>
  <c r="K23" i="66"/>
  <c r="K22" i="66"/>
  <c r="K21" i="66"/>
  <c r="K20" i="66"/>
  <c r="K19" i="66"/>
  <c r="K18" i="66"/>
  <c r="K17" i="66"/>
  <c r="K16" i="66"/>
  <c r="K15" i="66"/>
  <c r="K14" i="66"/>
  <c r="K13" i="66"/>
  <c r="K12" i="66"/>
  <c r="K11" i="66"/>
  <c r="K10" i="66"/>
  <c r="K9" i="66"/>
  <c r="K8" i="66"/>
  <c r="K7" i="66"/>
  <c r="K6" i="66"/>
  <c r="K5" i="66"/>
  <c r="K4" i="66"/>
  <c r="K3" i="66"/>
  <c r="H23" i="67"/>
  <c r="H22" i="67"/>
  <c r="H21" i="67"/>
  <c r="H20" i="67"/>
  <c r="H19" i="67"/>
  <c r="H18" i="67"/>
  <c r="H17" i="67"/>
  <c r="H16" i="67"/>
  <c r="H15" i="67"/>
  <c r="H14" i="67"/>
  <c r="H13" i="67"/>
  <c r="H12" i="67"/>
  <c r="H11" i="67"/>
  <c r="H10" i="67"/>
  <c r="H9" i="67"/>
  <c r="H8" i="67"/>
  <c r="H7" i="67"/>
  <c r="H6" i="67"/>
  <c r="H5" i="67"/>
  <c r="H4" i="67"/>
  <c r="H3" i="67"/>
  <c r="X31" i="66"/>
  <c r="Y31" i="66" s="1"/>
  <c r="U31" i="66"/>
  <c r="R31" i="66"/>
  <c r="S31" i="66" s="1"/>
  <c r="N31" i="66"/>
  <c r="L31" i="66"/>
  <c r="M31" i="66" s="1"/>
  <c r="H31" i="66"/>
  <c r="I31" i="66" s="1"/>
  <c r="F31" i="66"/>
  <c r="G31" i="66" s="1"/>
  <c r="Z29" i="66"/>
  <c r="Y29" i="66"/>
  <c r="W29" i="66"/>
  <c r="V29" i="66"/>
  <c r="S29" i="66"/>
  <c r="M29" i="66"/>
  <c r="I29" i="66"/>
  <c r="G29" i="66"/>
  <c r="X27" i="66"/>
  <c r="Y27" i="66" s="1"/>
  <c r="U27" i="66"/>
  <c r="V27" i="66" s="1"/>
  <c r="R27" i="66"/>
  <c r="N27" i="66"/>
  <c r="L27" i="66"/>
  <c r="M27" i="66" s="1"/>
  <c r="H27" i="66"/>
  <c r="I27" i="66" s="1"/>
  <c r="F27" i="66"/>
  <c r="G27" i="66" s="1"/>
  <c r="X26" i="66"/>
  <c r="U26" i="66"/>
  <c r="S26" i="66"/>
  <c r="N26" i="66"/>
  <c r="L26" i="66"/>
  <c r="H26" i="66"/>
  <c r="I26" i="66" s="1"/>
  <c r="Z25" i="66"/>
  <c r="W25" i="66"/>
  <c r="Z24" i="66"/>
  <c r="W24" i="66"/>
  <c r="Z23" i="66"/>
  <c r="Y23" i="66"/>
  <c r="W23" i="66"/>
  <c r="V23" i="66"/>
  <c r="S23" i="66"/>
  <c r="M23" i="66"/>
  <c r="I23" i="66"/>
  <c r="G23" i="66"/>
  <c r="Z22" i="66"/>
  <c r="Y22" i="66"/>
  <c r="W22" i="66"/>
  <c r="V22" i="66"/>
  <c r="S22" i="66"/>
  <c r="M22" i="66"/>
  <c r="I22" i="66"/>
  <c r="G22" i="66"/>
  <c r="Z21" i="66"/>
  <c r="Y21" i="66"/>
  <c r="W21" i="66"/>
  <c r="V21" i="66"/>
  <c r="S21" i="66"/>
  <c r="M21" i="66"/>
  <c r="I21" i="66"/>
  <c r="G21" i="66"/>
  <c r="Z20" i="66"/>
  <c r="Y20" i="66"/>
  <c r="W20" i="66"/>
  <c r="V20" i="66"/>
  <c r="S20" i="66"/>
  <c r="M20" i="66"/>
  <c r="I20" i="66"/>
  <c r="G20" i="66"/>
  <c r="Z19" i="66"/>
  <c r="Y19" i="66"/>
  <c r="W19" i="66"/>
  <c r="V19" i="66"/>
  <c r="S19" i="66"/>
  <c r="M19" i="66"/>
  <c r="I19" i="66"/>
  <c r="G19" i="66"/>
  <c r="Z18" i="66"/>
  <c r="Y18" i="66"/>
  <c r="W18" i="66"/>
  <c r="V18" i="66"/>
  <c r="S18" i="66"/>
  <c r="M18" i="66"/>
  <c r="I18" i="66"/>
  <c r="G18" i="66"/>
  <c r="Z17" i="66"/>
  <c r="Y17" i="66"/>
  <c r="W17" i="66"/>
  <c r="V17" i="66"/>
  <c r="S17" i="66"/>
  <c r="M17" i="66"/>
  <c r="I17" i="66"/>
  <c r="G17" i="66"/>
  <c r="Z16" i="66"/>
  <c r="Y16" i="66"/>
  <c r="W16" i="66"/>
  <c r="V16" i="66"/>
  <c r="S16" i="66"/>
  <c r="M16" i="66"/>
  <c r="I16" i="66"/>
  <c r="G16" i="66"/>
  <c r="Z15" i="66"/>
  <c r="Y15" i="66"/>
  <c r="W15" i="66"/>
  <c r="V15" i="66"/>
  <c r="S15" i="66"/>
  <c r="M15" i="66"/>
  <c r="I15" i="66"/>
  <c r="G15" i="66"/>
  <c r="Z14" i="66"/>
  <c r="Y14" i="66"/>
  <c r="W14" i="66"/>
  <c r="V14" i="66"/>
  <c r="S14" i="66"/>
  <c r="M14" i="66"/>
  <c r="I14" i="66"/>
  <c r="G14" i="66"/>
  <c r="Z13" i="66"/>
  <c r="Y13" i="66"/>
  <c r="W13" i="66"/>
  <c r="V13" i="66"/>
  <c r="S13" i="66"/>
  <c r="M13" i="66"/>
  <c r="I13" i="66"/>
  <c r="G13" i="66"/>
  <c r="Z12" i="66"/>
  <c r="Y12" i="66"/>
  <c r="W12" i="66"/>
  <c r="V12" i="66"/>
  <c r="S12" i="66"/>
  <c r="M12" i="66"/>
  <c r="I12" i="66"/>
  <c r="G12" i="66"/>
  <c r="Z11" i="66"/>
  <c r="Y11" i="66"/>
  <c r="W11" i="66"/>
  <c r="V11" i="66"/>
  <c r="S11" i="66"/>
  <c r="M11" i="66"/>
  <c r="I11" i="66"/>
  <c r="G11" i="66"/>
  <c r="Z10" i="66"/>
  <c r="Y10" i="66"/>
  <c r="W10" i="66"/>
  <c r="V10" i="66"/>
  <c r="S10" i="66"/>
  <c r="M10" i="66"/>
  <c r="I10" i="66"/>
  <c r="G10" i="66"/>
  <c r="Z9" i="66"/>
  <c r="Y9" i="66"/>
  <c r="W9" i="66"/>
  <c r="V9" i="66"/>
  <c r="S9" i="66"/>
  <c r="M9" i="66"/>
  <c r="I9" i="66"/>
  <c r="G9" i="66"/>
  <c r="Z8" i="66"/>
  <c r="Y8" i="66"/>
  <c r="W8" i="66"/>
  <c r="V8" i="66"/>
  <c r="S8" i="66"/>
  <c r="M8" i="66"/>
  <c r="I8" i="66"/>
  <c r="G8" i="66"/>
  <c r="Z7" i="66"/>
  <c r="Y7" i="66"/>
  <c r="W7" i="66"/>
  <c r="V7" i="66"/>
  <c r="S7" i="66"/>
  <c r="M7" i="66"/>
  <c r="I7" i="66"/>
  <c r="G7" i="66"/>
  <c r="Z6" i="66"/>
  <c r="Y6" i="66"/>
  <c r="W6" i="66"/>
  <c r="V6" i="66"/>
  <c r="S6" i="66"/>
  <c r="M6" i="66"/>
  <c r="I6" i="66"/>
  <c r="G6" i="66"/>
  <c r="Z5" i="66"/>
  <c r="Y5" i="66"/>
  <c r="W5" i="66"/>
  <c r="V5" i="66"/>
  <c r="S5" i="66"/>
  <c r="M5" i="66"/>
  <c r="I5" i="66"/>
  <c r="G5" i="66"/>
  <c r="Z4" i="66"/>
  <c r="Y4" i="66"/>
  <c r="W4" i="66"/>
  <c r="V4" i="66"/>
  <c r="S4" i="66"/>
  <c r="M4" i="66"/>
  <c r="I4" i="66"/>
  <c r="G4" i="66"/>
  <c r="Z3" i="66"/>
  <c r="W3" i="66"/>
  <c r="V3" i="66"/>
  <c r="S3" i="66"/>
  <c r="M3" i="66"/>
  <c r="I3" i="66"/>
  <c r="G3" i="66"/>
  <c r="Z27" i="66" l="1"/>
  <c r="J28" i="66"/>
  <c r="K28" i="66" s="1"/>
  <c r="J30" i="66"/>
  <c r="K30" i="66" s="1"/>
  <c r="F28" i="66"/>
  <c r="F30" i="66" s="1"/>
  <c r="G30" i="66" s="1"/>
  <c r="W31" i="66"/>
  <c r="R28" i="66"/>
  <c r="S28" i="66" s="1"/>
  <c r="U28" i="66"/>
  <c r="U30" i="66" s="1"/>
  <c r="H28" i="66"/>
  <c r="H30" i="66" s="1"/>
  <c r="I30" i="66" s="1"/>
  <c r="Z31" i="66"/>
  <c r="V26" i="66"/>
  <c r="R30" i="66"/>
  <c r="M26" i="66"/>
  <c r="L28" i="66"/>
  <c r="M28" i="66" s="1"/>
  <c r="Z26" i="66"/>
  <c r="N28" i="66"/>
  <c r="N30" i="66" s="1"/>
  <c r="S27" i="66"/>
  <c r="W27" i="66"/>
  <c r="V31" i="66"/>
  <c r="W26" i="66"/>
  <c r="X28" i="66"/>
  <c r="Y28" i="66" s="1"/>
  <c r="G26" i="66"/>
  <c r="Y26" i="66"/>
  <c r="V28" i="66" l="1"/>
  <c r="I28" i="66"/>
  <c r="W28" i="66"/>
  <c r="G28" i="66"/>
  <c r="L30" i="66"/>
  <c r="M30" i="66" s="1"/>
  <c r="X30" i="66"/>
  <c r="Y30" i="66" s="1"/>
  <c r="V30" i="66"/>
  <c r="W30" i="66"/>
  <c r="Z28" i="66"/>
  <c r="S30" i="66"/>
  <c r="Z30" i="66" l="1"/>
  <c r="Q34" i="65" a="1"/>
  <c r="N34" i="65" a="1"/>
  <c r="L34" i="65" a="1"/>
  <c r="H34" i="65" a="1"/>
  <c r="F34" i="65" a="1"/>
  <c r="B20" i="65"/>
  <c r="B21" i="65" s="1"/>
  <c r="B22" i="65" s="1"/>
  <c r="B23" i="65" s="1"/>
  <c r="B24" i="65" s="1"/>
  <c r="B19" i="65"/>
  <c r="B8" i="65"/>
  <c r="B9" i="65" s="1"/>
  <c r="B10" i="65" s="1"/>
  <c r="B11" i="65" s="1"/>
  <c r="B12" i="65" s="1"/>
  <c r="B13" i="65" s="1"/>
  <c r="B14" i="65" s="1"/>
  <c r="B15" i="65" s="1"/>
  <c r="B16" i="65" s="1"/>
  <c r="B7" i="65"/>
  <c r="F3" i="65"/>
  <c r="P34" i="65" l="1"/>
  <c r="J34" i="65"/>
  <c r="AT24" i="13" l="1"/>
  <c r="AT50" i="13" l="1"/>
  <c r="AU24" i="13"/>
  <c r="AT31" i="56"/>
  <c r="BM55" i="13" s="1"/>
  <c r="BM64" i="13" s="1"/>
  <c r="AS31" i="56"/>
  <c r="BL55" i="13" s="1"/>
  <c r="BM105" i="13" l="1"/>
  <c r="BM85" i="13"/>
  <c r="BM72" i="13"/>
  <c r="BM109" i="13"/>
  <c r="BM101" i="13"/>
  <c r="BM80" i="13"/>
  <c r="BM108" i="13"/>
  <c r="BM104" i="13"/>
  <c r="BM100" i="13"/>
  <c r="BM96" i="13"/>
  <c r="BM92" i="13"/>
  <c r="BM88" i="13"/>
  <c r="BM84" i="13"/>
  <c r="BM79" i="13"/>
  <c r="BM75" i="13"/>
  <c r="BM71" i="13"/>
  <c r="BM67" i="13"/>
  <c r="BM97" i="13"/>
  <c r="BM76" i="13"/>
  <c r="BM93" i="13"/>
  <c r="BM89" i="13"/>
  <c r="BM68" i="13"/>
  <c r="BM81" i="13"/>
  <c r="BM78" i="13"/>
  <c r="BM74" i="13"/>
  <c r="BM73" i="13"/>
  <c r="BM107" i="13"/>
  <c r="BM102" i="13"/>
  <c r="BM95" i="13"/>
  <c r="BM65" i="13"/>
  <c r="BM94" i="13"/>
  <c r="BM90" i="13"/>
  <c r="BM86" i="13"/>
  <c r="BM91" i="13"/>
  <c r="BM87" i="13"/>
  <c r="BM106" i="13"/>
  <c r="BM103" i="13"/>
  <c r="BM99" i="13"/>
  <c r="BM98" i="13"/>
  <c r="BM83" i="13"/>
  <c r="BL94" i="13"/>
  <c r="BL107" i="13"/>
  <c r="BL90" i="13"/>
  <c r="BL89" i="13"/>
  <c r="BL87" i="13"/>
  <c r="BL86" i="13"/>
  <c r="BL67" i="13"/>
  <c r="BL109" i="13"/>
  <c r="BL93" i="13"/>
  <c r="BL76" i="13"/>
  <c r="BL92" i="13"/>
  <c r="BL91" i="13"/>
  <c r="BL106" i="13"/>
  <c r="BL105" i="13"/>
  <c r="BL104" i="13"/>
  <c r="BL101" i="13"/>
  <c r="BL84" i="13"/>
  <c r="BL83" i="13"/>
  <c r="BL81" i="13"/>
  <c r="BL80" i="13"/>
  <c r="BL95" i="13"/>
  <c r="BL108" i="13"/>
  <c r="BL75" i="13"/>
  <c r="BL74" i="13"/>
  <c r="BL73" i="13"/>
  <c r="BL72" i="13"/>
  <c r="BL88" i="13"/>
  <c r="BL103" i="13"/>
  <c r="BL102" i="13"/>
  <c r="BL85" i="13"/>
  <c r="BL99" i="13"/>
  <c r="BL97" i="13"/>
  <c r="BL96" i="13"/>
  <c r="BL71" i="13"/>
  <c r="BL68" i="13"/>
  <c r="BL100" i="13"/>
  <c r="BL65" i="13"/>
  <c r="BL64" i="13"/>
  <c r="BL79" i="13"/>
  <c r="BL78" i="13"/>
  <c r="BL98" i="13"/>
  <c r="BX9" i="13"/>
  <c r="BX4" i="13"/>
  <c r="BY4" i="13" s="1"/>
  <c r="AQ24" i="11"/>
  <c r="AQ23" i="11"/>
  <c r="AQ22" i="11"/>
  <c r="AQ20" i="11"/>
  <c r="AQ19" i="11"/>
  <c r="AQ16" i="11"/>
  <c r="AQ15" i="11"/>
  <c r="AQ14" i="11"/>
  <c r="AQ13" i="11"/>
  <c r="AQ12" i="11"/>
  <c r="AQ11" i="11"/>
  <c r="AQ10" i="11"/>
  <c r="AQ9" i="11"/>
  <c r="AQ8" i="11"/>
  <c r="AQ7" i="11"/>
  <c r="AQ6" i="11"/>
  <c r="AP10" i="56" s="1"/>
  <c r="BY9" i="13" l="1"/>
  <c r="BX69" i="13"/>
  <c r="BM110" i="13"/>
  <c r="BL110" i="13"/>
  <c r="AS44" i="13"/>
  <c r="AQ21" i="11" s="1"/>
  <c r="AU49" i="13" l="1"/>
  <c r="AU48" i="13"/>
  <c r="AU47" i="13"/>
  <c r="AU46" i="13"/>
  <c r="AU45" i="13"/>
  <c r="AU44" i="13"/>
  <c r="AU43" i="13"/>
  <c r="AU42" i="13"/>
  <c r="AU41" i="13"/>
  <c r="AU40" i="13"/>
  <c r="AU39" i="13"/>
  <c r="AU38" i="13"/>
  <c r="AU37" i="13"/>
  <c r="AU36" i="13"/>
  <c r="AU35" i="13"/>
  <c r="AU34" i="13"/>
  <c r="AU33" i="13"/>
  <c r="AU32" i="13"/>
  <c r="AU31" i="13"/>
  <c r="AU30" i="13"/>
  <c r="AU29" i="13"/>
  <c r="AU28" i="13"/>
  <c r="AU27" i="13"/>
  <c r="AU26" i="13"/>
  <c r="AU25" i="13"/>
  <c r="AU21" i="13"/>
  <c r="AU20" i="13"/>
  <c r="AU19" i="13"/>
  <c r="AU18" i="13"/>
  <c r="AU17" i="13"/>
  <c r="AU77" i="13" s="1"/>
  <c r="AU16" i="13"/>
  <c r="AU15" i="13"/>
  <c r="AU13" i="13"/>
  <c r="AU12" i="13"/>
  <c r="AU11" i="13"/>
  <c r="AU10" i="13"/>
  <c r="AU70" i="13" s="1"/>
  <c r="AU9" i="13"/>
  <c r="AU69" i="13" s="1"/>
  <c r="AU8" i="13"/>
  <c r="AU7" i="13"/>
  <c r="AU6" i="13"/>
  <c r="AU66" i="13" s="1"/>
  <c r="AU5" i="13"/>
  <c r="AU4" i="13"/>
  <c r="AS18" i="11"/>
  <c r="BF22" i="56" s="1"/>
  <c r="AS23" i="11"/>
  <c r="BF27" i="56" s="1"/>
  <c r="AS21" i="11"/>
  <c r="BF25" i="56" s="1"/>
  <c r="AS20" i="11"/>
  <c r="BF24" i="56" s="1"/>
  <c r="AS14" i="11"/>
  <c r="BF18" i="56" s="1"/>
  <c r="AS15" i="11"/>
  <c r="BF19" i="56" s="1"/>
  <c r="AS10" i="11"/>
  <c r="BF14" i="56" s="1"/>
  <c r="AS12" i="11"/>
  <c r="BF16" i="56" s="1"/>
  <c r="AS8" i="11"/>
  <c r="BF12" i="56" s="1"/>
  <c r="AS11" i="11"/>
  <c r="BF15" i="56" s="1"/>
  <c r="AS9" i="11"/>
  <c r="BF13" i="56" s="1"/>
  <c r="BR69" i="56"/>
  <c r="BQ69" i="56"/>
  <c r="BP69" i="56"/>
  <c r="BO69" i="56"/>
  <c r="BN69" i="56"/>
  <c r="BM69" i="56"/>
  <c r="BL69" i="56"/>
  <c r="BK69" i="56"/>
  <c r="BJ69" i="56"/>
  <c r="BI69" i="56"/>
  <c r="BH69" i="56"/>
  <c r="BG69" i="56"/>
  <c r="BF69" i="56"/>
  <c r="BS37" i="56"/>
  <c r="BQ34" i="56"/>
  <c r="BP34" i="56"/>
  <c r="BO34" i="56"/>
  <c r="BN34" i="56"/>
  <c r="BM34" i="56"/>
  <c r="BL34" i="56"/>
  <c r="BK34" i="56"/>
  <c r="BJ34" i="56"/>
  <c r="BI34" i="56"/>
  <c r="BH34" i="56"/>
  <c r="BG34" i="56"/>
  <c r="BF34" i="56"/>
  <c r="BQ31" i="56"/>
  <c r="BP31" i="56"/>
  <c r="BO31" i="56"/>
  <c r="BN31" i="56"/>
  <c r="BM31" i="56"/>
  <c r="BL31" i="56"/>
  <c r="BK31" i="56"/>
  <c r="BJ31" i="56"/>
  <c r="BI31" i="56"/>
  <c r="BH31" i="56"/>
  <c r="BG31" i="56"/>
  <c r="BF31" i="56"/>
  <c r="AV55" i="13" s="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AS35" i="11"/>
  <c r="BD31" i="11"/>
  <c r="BD32" i="11" s="1"/>
  <c r="BD18" i="11"/>
  <c r="BQ22" i="56" s="1"/>
  <c r="BD24" i="11"/>
  <c r="BQ28" i="56" s="1"/>
  <c r="BC24" i="11"/>
  <c r="BP28" i="56" s="1"/>
  <c r="BB24" i="11"/>
  <c r="BO28" i="56" s="1"/>
  <c r="BA24" i="11"/>
  <c r="BN28" i="56" s="1"/>
  <c r="AZ24" i="11"/>
  <c r="BM28" i="56" s="1"/>
  <c r="AY24" i="11"/>
  <c r="BL28" i="56" s="1"/>
  <c r="AX24" i="11"/>
  <c r="BK28" i="56" s="1"/>
  <c r="AW24" i="11"/>
  <c r="BJ28" i="56" s="1"/>
  <c r="AV24" i="11"/>
  <c r="BI28" i="56" s="1"/>
  <c r="AU24" i="11"/>
  <c r="BH28" i="56" s="1"/>
  <c r="AT24" i="11"/>
  <c r="AS24" i="11"/>
  <c r="BD23" i="11"/>
  <c r="BQ27" i="56" s="1"/>
  <c r="BC23" i="11"/>
  <c r="BP27" i="56" s="1"/>
  <c r="BB23" i="11"/>
  <c r="BO27" i="56" s="1"/>
  <c r="BA23" i="11"/>
  <c r="BN27" i="56" s="1"/>
  <c r="AZ23" i="11"/>
  <c r="BM27" i="56" s="1"/>
  <c r="AY23" i="11"/>
  <c r="BL27" i="56" s="1"/>
  <c r="AX23" i="11"/>
  <c r="BK27" i="56" s="1"/>
  <c r="AW23" i="11"/>
  <c r="BJ27" i="56" s="1"/>
  <c r="AV23" i="11"/>
  <c r="BI27" i="56" s="1"/>
  <c r="AU23" i="11"/>
  <c r="BH27" i="56" s="1"/>
  <c r="AT23" i="11"/>
  <c r="BG27" i="56" s="1"/>
  <c r="BD22" i="11"/>
  <c r="BQ26" i="56" s="1"/>
  <c r="BC22" i="11"/>
  <c r="BP26" i="56" s="1"/>
  <c r="BB22" i="11"/>
  <c r="BA22" i="11"/>
  <c r="AZ22" i="11"/>
  <c r="BM26" i="56" s="1"/>
  <c r="AY22" i="11"/>
  <c r="BL26" i="56" s="1"/>
  <c r="AX22" i="11"/>
  <c r="BK26" i="56" s="1"/>
  <c r="AW22" i="11"/>
  <c r="BJ26" i="56" s="1"/>
  <c r="AV22" i="11"/>
  <c r="BI26" i="56" s="1"/>
  <c r="AU22" i="11"/>
  <c r="BH26" i="56" s="1"/>
  <c r="AT22" i="11"/>
  <c r="BG26" i="56" s="1"/>
  <c r="AS22" i="11"/>
  <c r="BF26" i="56" s="1"/>
  <c r="BD21" i="11"/>
  <c r="BQ25" i="56" s="1"/>
  <c r="BC21" i="11"/>
  <c r="BP25" i="56" s="1"/>
  <c r="BB21" i="11"/>
  <c r="BO25" i="56" s="1"/>
  <c r="BA21" i="11"/>
  <c r="BN25" i="56" s="1"/>
  <c r="AZ21" i="11"/>
  <c r="BM25" i="56" s="1"/>
  <c r="AY21" i="11"/>
  <c r="AX21" i="11"/>
  <c r="AW21" i="11"/>
  <c r="AV21" i="11"/>
  <c r="BI25" i="56" s="1"/>
  <c r="AU21" i="11"/>
  <c r="BH25" i="56" s="1"/>
  <c r="AT21" i="11"/>
  <c r="BG25" i="56" s="1"/>
  <c r="BD20" i="11"/>
  <c r="BQ24" i="56" s="1"/>
  <c r="BC20" i="11"/>
  <c r="BP24" i="56" s="1"/>
  <c r="BB20" i="11"/>
  <c r="BO24" i="56" s="1"/>
  <c r="BA20" i="11"/>
  <c r="BN24" i="56" s="1"/>
  <c r="AZ20" i="11"/>
  <c r="BM24" i="56" s="1"/>
  <c r="AY20" i="11"/>
  <c r="AX20" i="11"/>
  <c r="BK24" i="56" s="1"/>
  <c r="AW20" i="11"/>
  <c r="BJ24" i="56" s="1"/>
  <c r="AV20" i="11"/>
  <c r="BI24" i="56" s="1"/>
  <c r="AU20" i="11"/>
  <c r="BH24" i="56" s="1"/>
  <c r="AT20" i="11"/>
  <c r="BD19" i="11"/>
  <c r="BQ23" i="56" s="1"/>
  <c r="BC19" i="11"/>
  <c r="BP23" i="56" s="1"/>
  <c r="BB19" i="11"/>
  <c r="BO23" i="56" s="1"/>
  <c r="BA19" i="11"/>
  <c r="BN23" i="56" s="1"/>
  <c r="AZ19" i="11"/>
  <c r="BM23" i="56" s="1"/>
  <c r="AY19" i="11"/>
  <c r="BL23" i="56" s="1"/>
  <c r="AX19" i="11"/>
  <c r="BK23" i="56" s="1"/>
  <c r="AW19" i="11"/>
  <c r="BJ23" i="56" s="1"/>
  <c r="AV19" i="11"/>
  <c r="BI23" i="56" s="1"/>
  <c r="AU19" i="11"/>
  <c r="BH23" i="56" s="1"/>
  <c r="AT19" i="11"/>
  <c r="BG23" i="56" s="1"/>
  <c r="AS19" i="11"/>
  <c r="BF23" i="56" s="1"/>
  <c r="BC18" i="11"/>
  <c r="BP22" i="56" s="1"/>
  <c r="BB18" i="11"/>
  <c r="BA18" i="11"/>
  <c r="AZ18" i="11"/>
  <c r="AY18" i="11"/>
  <c r="BL22" i="56" s="1"/>
  <c r="AX18" i="11"/>
  <c r="BK22" i="56" s="1"/>
  <c r="AW18" i="11"/>
  <c r="BJ22" i="56" s="1"/>
  <c r="AV18" i="11"/>
  <c r="BI22" i="56" s="1"/>
  <c r="AU18" i="11"/>
  <c r="BH22" i="56" s="1"/>
  <c r="AT18" i="11"/>
  <c r="BG22" i="56" s="1"/>
  <c r="BD16" i="11"/>
  <c r="BQ20" i="56" s="1"/>
  <c r="BC16" i="11"/>
  <c r="BP20" i="56" s="1"/>
  <c r="BB16" i="11"/>
  <c r="BO20" i="56" s="1"/>
  <c r="BA16" i="11"/>
  <c r="BN20" i="56" s="1"/>
  <c r="AZ16" i="11"/>
  <c r="BM20" i="56" s="1"/>
  <c r="AY16" i="11"/>
  <c r="BL20" i="56" s="1"/>
  <c r="AX16" i="11"/>
  <c r="AW16" i="11"/>
  <c r="AV16" i="11"/>
  <c r="AU16" i="11"/>
  <c r="AT16" i="11"/>
  <c r="BG20" i="56" s="1"/>
  <c r="AS16" i="11"/>
  <c r="BF20" i="56" s="1"/>
  <c r="BD15" i="11"/>
  <c r="BQ19" i="56" s="1"/>
  <c r="BC15" i="11"/>
  <c r="BP19" i="56" s="1"/>
  <c r="BB15" i="11"/>
  <c r="BO19" i="56" s="1"/>
  <c r="BA15" i="11"/>
  <c r="BN19" i="56" s="1"/>
  <c r="AZ15" i="11"/>
  <c r="BM19" i="56" s="1"/>
  <c r="AY15" i="11"/>
  <c r="BL19" i="56" s="1"/>
  <c r="AX15" i="11"/>
  <c r="BK19" i="56" s="1"/>
  <c r="AW15" i="11"/>
  <c r="BJ19" i="56" s="1"/>
  <c r="AV15" i="11"/>
  <c r="BI19" i="56" s="1"/>
  <c r="AU15" i="11"/>
  <c r="BH19" i="56" s="1"/>
  <c r="AT15" i="11"/>
  <c r="BD14" i="11"/>
  <c r="BC14" i="11"/>
  <c r="BB14" i="11"/>
  <c r="BO18" i="56" s="1"/>
  <c r="BA14" i="11"/>
  <c r="BN18" i="56" s="1"/>
  <c r="AZ14" i="11"/>
  <c r="BM18" i="56" s="1"/>
  <c r="AY14" i="11"/>
  <c r="BL18" i="56" s="1"/>
  <c r="AX14" i="11"/>
  <c r="BK18" i="56" s="1"/>
  <c r="AW14" i="11"/>
  <c r="BJ18" i="56" s="1"/>
  <c r="AV14" i="11"/>
  <c r="BI18" i="56" s="1"/>
  <c r="AU14" i="11"/>
  <c r="BH18" i="56" s="1"/>
  <c r="AT14" i="11"/>
  <c r="BG18" i="56" s="1"/>
  <c r="BD13" i="11"/>
  <c r="BQ17" i="56" s="1"/>
  <c r="BC13" i="11"/>
  <c r="BP17" i="56" s="1"/>
  <c r="BB13" i="11"/>
  <c r="BA13" i="11"/>
  <c r="AZ13" i="11"/>
  <c r="AY13" i="11"/>
  <c r="AX13" i="11"/>
  <c r="BK17" i="56" s="1"/>
  <c r="AW13" i="11"/>
  <c r="BJ17" i="56" s="1"/>
  <c r="AV13" i="11"/>
  <c r="BI17" i="56" s="1"/>
  <c r="AU13" i="11"/>
  <c r="BH17" i="56" s="1"/>
  <c r="AT13" i="11"/>
  <c r="BG17" i="56" s="1"/>
  <c r="AS13" i="11"/>
  <c r="BF17" i="56" s="1"/>
  <c r="BD12" i="11"/>
  <c r="BQ16" i="56" s="1"/>
  <c r="BC12" i="11"/>
  <c r="BP16" i="56" s="1"/>
  <c r="BB12" i="11"/>
  <c r="BO16" i="56" s="1"/>
  <c r="BA12" i="11"/>
  <c r="BN16" i="56" s="1"/>
  <c r="AZ12" i="11"/>
  <c r="BM16" i="56" s="1"/>
  <c r="AY12" i="11"/>
  <c r="BL16" i="56" s="1"/>
  <c r="AX12" i="11"/>
  <c r="AW12" i="11"/>
  <c r="AV12" i="11"/>
  <c r="AU12" i="11"/>
  <c r="AT12" i="11"/>
  <c r="BG16" i="56" s="1"/>
  <c r="BD11" i="11"/>
  <c r="BQ15" i="56" s="1"/>
  <c r="BC11" i="11"/>
  <c r="BP15" i="56" s="1"/>
  <c r="BB11" i="11"/>
  <c r="BO15" i="56" s="1"/>
  <c r="BA11" i="11"/>
  <c r="BN15" i="56" s="1"/>
  <c r="AZ11" i="11"/>
  <c r="BM15" i="56" s="1"/>
  <c r="AY11" i="11"/>
  <c r="BL15" i="56" s="1"/>
  <c r="AX11" i="11"/>
  <c r="BK15" i="56" s="1"/>
  <c r="AW11" i="11"/>
  <c r="BJ15" i="56" s="1"/>
  <c r="AV11" i="11"/>
  <c r="BI15" i="56" s="1"/>
  <c r="AU11" i="11"/>
  <c r="AT11" i="11"/>
  <c r="BD10" i="11"/>
  <c r="BC10" i="11"/>
  <c r="BB10" i="11"/>
  <c r="BO14" i="56" s="1"/>
  <c r="BA10" i="11"/>
  <c r="BN14" i="56" s="1"/>
  <c r="AZ10" i="11"/>
  <c r="BM14" i="56" s="1"/>
  <c r="AY10" i="11"/>
  <c r="BL14" i="56" s="1"/>
  <c r="AX10" i="11"/>
  <c r="BK14" i="56" s="1"/>
  <c r="AW10" i="11"/>
  <c r="BJ14" i="56" s="1"/>
  <c r="AV10" i="11"/>
  <c r="BI14" i="56" s="1"/>
  <c r="AU10" i="11"/>
  <c r="BH14" i="56" s="1"/>
  <c r="AT10" i="11"/>
  <c r="BG14" i="56" s="1"/>
  <c r="BD9" i="11"/>
  <c r="BQ13" i="56" s="1"/>
  <c r="BC9" i="11"/>
  <c r="BB9" i="11"/>
  <c r="BA9" i="11"/>
  <c r="AZ9" i="11"/>
  <c r="AY9" i="11"/>
  <c r="AX9" i="11"/>
  <c r="BK13" i="56" s="1"/>
  <c r="AW9" i="11"/>
  <c r="BJ13" i="56" s="1"/>
  <c r="AV9" i="11"/>
  <c r="BI13" i="56" s="1"/>
  <c r="AU9" i="11"/>
  <c r="BH13" i="56" s="1"/>
  <c r="AT9" i="11"/>
  <c r="BG13" i="56" s="1"/>
  <c r="BD8" i="11"/>
  <c r="BQ12" i="56" s="1"/>
  <c r="BC8" i="11"/>
  <c r="BP12" i="56" s="1"/>
  <c r="BB8" i="11"/>
  <c r="BO12" i="56" s="1"/>
  <c r="BA8" i="11"/>
  <c r="BN12" i="56" s="1"/>
  <c r="AZ8" i="11"/>
  <c r="BM12" i="56" s="1"/>
  <c r="AY8" i="11"/>
  <c r="AX8" i="11"/>
  <c r="AW8" i="11"/>
  <c r="AV8" i="11"/>
  <c r="AU8" i="11"/>
  <c r="AT8" i="11"/>
  <c r="BG12" i="56" s="1"/>
  <c r="BD7" i="11"/>
  <c r="BQ11" i="56" s="1"/>
  <c r="BC7" i="11"/>
  <c r="BP11" i="56" s="1"/>
  <c r="BB7" i="11"/>
  <c r="BO11" i="56" s="1"/>
  <c r="BA7" i="11"/>
  <c r="BN11" i="56" s="1"/>
  <c r="AZ7" i="11"/>
  <c r="BM11" i="56" s="1"/>
  <c r="AY7" i="11"/>
  <c r="BL11" i="56" s="1"/>
  <c r="AX7" i="11"/>
  <c r="BK11" i="56" s="1"/>
  <c r="AW7" i="11"/>
  <c r="BJ11" i="56" s="1"/>
  <c r="AV7" i="11"/>
  <c r="BI11" i="56" s="1"/>
  <c r="AU7" i="11"/>
  <c r="AT7" i="11"/>
  <c r="AS7" i="11"/>
  <c r="BD6" i="11"/>
  <c r="BC6" i="11"/>
  <c r="BP10" i="56" s="1"/>
  <c r="BB6" i="11"/>
  <c r="BO10" i="56" s="1"/>
  <c r="BA6" i="11"/>
  <c r="BN10" i="56" s="1"/>
  <c r="AZ6" i="11"/>
  <c r="BM10" i="56" s="1"/>
  <c r="AY6" i="11"/>
  <c r="BL10" i="56" s="1"/>
  <c r="AX6" i="11"/>
  <c r="BK10" i="56" s="1"/>
  <c r="AW6" i="11"/>
  <c r="BJ10" i="56" s="1"/>
  <c r="AV6" i="11"/>
  <c r="BI10" i="56" s="1"/>
  <c r="AU6" i="11"/>
  <c r="BH10" i="56" s="1"/>
  <c r="AT6" i="11"/>
  <c r="BG10" i="56" s="1"/>
  <c r="AS6" i="11"/>
  <c r="AQ31" i="11"/>
  <c r="AR26" i="11"/>
  <c r="AZ55" i="13" l="1"/>
  <c r="AZ92" i="13"/>
  <c r="AZ109" i="13"/>
  <c r="AZ108" i="13"/>
  <c r="AZ107" i="13"/>
  <c r="AZ105" i="13"/>
  <c r="AZ102" i="13"/>
  <c r="AY55" i="13"/>
  <c r="AY65" i="13" s="1"/>
  <c r="AX55" i="13"/>
  <c r="AX93" i="13" s="1"/>
  <c r="AX86" i="13"/>
  <c r="AV106" i="13"/>
  <c r="AV90" i="13"/>
  <c r="AV73" i="13"/>
  <c r="AV105" i="13"/>
  <c r="AV89" i="13"/>
  <c r="AV72" i="13"/>
  <c r="AV79" i="13"/>
  <c r="AV104" i="13"/>
  <c r="AV88" i="13"/>
  <c r="AV71" i="13"/>
  <c r="AV99" i="13"/>
  <c r="AV81" i="13"/>
  <c r="AV97" i="13"/>
  <c r="AV103" i="13"/>
  <c r="AV87" i="13"/>
  <c r="AV67" i="13"/>
  <c r="AV102" i="13"/>
  <c r="AV86" i="13"/>
  <c r="AV84" i="13"/>
  <c r="AV83" i="13"/>
  <c r="AV80" i="13"/>
  <c r="AV96" i="13"/>
  <c r="AV91" i="13"/>
  <c r="AV101" i="13"/>
  <c r="AV85" i="13"/>
  <c r="AV68" i="13"/>
  <c r="AV100" i="13"/>
  <c r="AV98" i="13"/>
  <c r="AV65" i="13"/>
  <c r="AV95" i="13"/>
  <c r="AV78" i="13"/>
  <c r="AV64" i="13"/>
  <c r="AV94" i="13"/>
  <c r="AV109" i="13"/>
  <c r="AV93" i="13"/>
  <c r="AV76" i="13"/>
  <c r="AV108" i="13"/>
  <c r="AV92" i="13"/>
  <c r="AV75" i="13"/>
  <c r="AV107" i="13"/>
  <c r="AV74" i="13"/>
  <c r="AW55" i="13"/>
  <c r="BE23" i="11"/>
  <c r="BE6" i="11"/>
  <c r="BL13" i="56"/>
  <c r="BL17" i="56"/>
  <c r="BJ25" i="56"/>
  <c r="AV25" i="11"/>
  <c r="AV46" i="11" s="1"/>
  <c r="BI12" i="56"/>
  <c r="BM17" i="56"/>
  <c r="BG24" i="56"/>
  <c r="BK25" i="56"/>
  <c r="BO26" i="56"/>
  <c r="BE24" i="11"/>
  <c r="BF28" i="56"/>
  <c r="AU25" i="11"/>
  <c r="AU41" i="11" s="1"/>
  <c r="BH12" i="56"/>
  <c r="BH16" i="56"/>
  <c r="BH20" i="56"/>
  <c r="BN26" i="56"/>
  <c r="BQ14" i="56"/>
  <c r="BI20" i="56"/>
  <c r="BJ12" i="56"/>
  <c r="BO22" i="56"/>
  <c r="BQ10" i="56"/>
  <c r="BP14" i="56"/>
  <c r="BP18" i="56"/>
  <c r="BM22" i="56"/>
  <c r="BM13" i="56"/>
  <c r="BI16" i="56"/>
  <c r="BQ18" i="56"/>
  <c r="BN22" i="56"/>
  <c r="BE7" i="11"/>
  <c r="BF11" i="56"/>
  <c r="BN13" i="56"/>
  <c r="BJ16" i="56"/>
  <c r="BN17" i="56"/>
  <c r="BJ20" i="56"/>
  <c r="BE21" i="11"/>
  <c r="BL25" i="56"/>
  <c r="BG28" i="56"/>
  <c r="BK12" i="56"/>
  <c r="BK16" i="56"/>
  <c r="BH11" i="56"/>
  <c r="BH15" i="56"/>
  <c r="BF10" i="56"/>
  <c r="BL24" i="56"/>
  <c r="BG11" i="56"/>
  <c r="BG15" i="56"/>
  <c r="BO17" i="56"/>
  <c r="BK20" i="56"/>
  <c r="BP13" i="56"/>
  <c r="BO13" i="56"/>
  <c r="BG19" i="56"/>
  <c r="BL12" i="56"/>
  <c r="BE14" i="11"/>
  <c r="BE13" i="11"/>
  <c r="BE11" i="11"/>
  <c r="BE8" i="11"/>
  <c r="BE12" i="11"/>
  <c r="BE9" i="11"/>
  <c r="AS25" i="11"/>
  <c r="AS47" i="11" s="1"/>
  <c r="AY25" i="11"/>
  <c r="AY38" i="11" s="1"/>
  <c r="AZ25" i="11"/>
  <c r="AZ51" i="11" s="1"/>
  <c r="AT25" i="11"/>
  <c r="AT50" i="11" s="1"/>
  <c r="BA25" i="11"/>
  <c r="BA53" i="11" s="1"/>
  <c r="BB25" i="11"/>
  <c r="BB40" i="11" s="1"/>
  <c r="BE18" i="11"/>
  <c r="BD25" i="11"/>
  <c r="BD40" i="11" s="1"/>
  <c r="BE22" i="11"/>
  <c r="AX25" i="11"/>
  <c r="AX44" i="11" s="1"/>
  <c r="BE29" i="11"/>
  <c r="BC25" i="11"/>
  <c r="BC41" i="11" s="1"/>
  <c r="BE20" i="11"/>
  <c r="BE16" i="11"/>
  <c r="BE15" i="11"/>
  <c r="AW25" i="11"/>
  <c r="AW43" i="11" s="1"/>
  <c r="BE19" i="11"/>
  <c r="BE10" i="11"/>
  <c r="AZ100" i="13" l="1"/>
  <c r="AZ98" i="13"/>
  <c r="AZ94" i="13"/>
  <c r="AZ85" i="13"/>
  <c r="AZ84" i="13"/>
  <c r="AZ83" i="13"/>
  <c r="AZ81" i="13"/>
  <c r="AZ80" i="13"/>
  <c r="AZ79" i="13"/>
  <c r="AZ103" i="13"/>
  <c r="AZ76" i="13"/>
  <c r="AZ97" i="13"/>
  <c r="AZ78" i="13"/>
  <c r="AY86" i="13"/>
  <c r="AY102" i="13"/>
  <c r="AY78" i="13"/>
  <c r="AZ75" i="13"/>
  <c r="AZ96" i="13"/>
  <c r="AZ104" i="13"/>
  <c r="AZ101" i="13"/>
  <c r="AZ99" i="13"/>
  <c r="AZ95" i="13"/>
  <c r="AZ90" i="13"/>
  <c r="AZ74" i="13"/>
  <c r="AZ73" i="13"/>
  <c r="AZ72" i="13"/>
  <c r="AZ71" i="13"/>
  <c r="AZ68" i="13"/>
  <c r="AZ67" i="13"/>
  <c r="AZ65" i="13"/>
  <c r="AZ64" i="13"/>
  <c r="AZ106" i="13"/>
  <c r="AZ91" i="13"/>
  <c r="AZ93" i="13"/>
  <c r="AY109" i="13"/>
  <c r="AX76" i="13"/>
  <c r="AX65" i="13"/>
  <c r="AX94" i="13"/>
  <c r="AX102" i="13"/>
  <c r="AX99" i="13"/>
  <c r="AX73" i="13"/>
  <c r="AX83" i="13"/>
  <c r="AX91" i="13"/>
  <c r="AX104" i="13"/>
  <c r="AX96" i="13"/>
  <c r="AX68" i="13"/>
  <c r="AX79" i="13"/>
  <c r="AX88" i="13"/>
  <c r="AX106" i="13"/>
  <c r="AX85" i="13"/>
  <c r="AX67" i="13"/>
  <c r="AX78" i="13"/>
  <c r="AX87" i="13"/>
  <c r="AZ89" i="13"/>
  <c r="AZ88" i="13"/>
  <c r="AZ87" i="13"/>
  <c r="AZ86" i="13"/>
  <c r="AY95" i="13"/>
  <c r="AY68" i="13"/>
  <c r="AY88" i="13"/>
  <c r="AY75" i="13"/>
  <c r="AY93" i="13"/>
  <c r="AY104" i="13"/>
  <c r="AY80" i="13"/>
  <c r="AY97" i="13"/>
  <c r="AY108" i="13"/>
  <c r="AY101" i="13"/>
  <c r="AY76" i="13"/>
  <c r="AY87" i="13"/>
  <c r="AX103" i="13"/>
  <c r="AX92" i="13"/>
  <c r="AX74" i="13"/>
  <c r="AX84" i="13"/>
  <c r="AX100" i="13"/>
  <c r="AX108" i="13"/>
  <c r="AX80" i="13"/>
  <c r="AX71" i="13"/>
  <c r="AY72" i="13"/>
  <c r="AY90" i="13"/>
  <c r="AY106" i="13"/>
  <c r="AY64" i="13"/>
  <c r="AY98" i="13"/>
  <c r="AY107" i="13"/>
  <c r="AY83" i="13"/>
  <c r="AY99" i="13"/>
  <c r="AY92" i="13"/>
  <c r="AY85" i="13"/>
  <c r="AY94" i="13"/>
  <c r="AY67" i="13"/>
  <c r="AY103" i="13"/>
  <c r="AY73" i="13"/>
  <c r="AY91" i="13"/>
  <c r="AY84" i="13"/>
  <c r="AY74" i="13"/>
  <c r="AY105" i="13"/>
  <c r="AY79" i="13"/>
  <c r="AY96" i="13"/>
  <c r="AY89" i="13"/>
  <c r="AY81" i="13"/>
  <c r="AY71" i="13"/>
  <c r="AY100" i="13"/>
  <c r="AX95" i="13"/>
  <c r="AX107" i="13"/>
  <c r="AX72" i="13"/>
  <c r="AX105" i="13"/>
  <c r="AX81" i="13"/>
  <c r="AX98" i="13"/>
  <c r="AX109" i="13"/>
  <c r="AX90" i="13"/>
  <c r="AX97" i="13"/>
  <c r="AX75" i="13"/>
  <c r="AX101" i="13"/>
  <c r="AX89" i="13"/>
  <c r="AX64" i="13"/>
  <c r="AW73" i="13"/>
  <c r="AW90" i="13"/>
  <c r="AW106" i="13"/>
  <c r="AW76" i="13"/>
  <c r="AW93" i="13"/>
  <c r="AW109" i="13"/>
  <c r="AW79" i="13"/>
  <c r="AW96" i="13"/>
  <c r="AW98" i="13"/>
  <c r="AW85" i="13"/>
  <c r="AW101" i="13"/>
  <c r="AW83" i="13"/>
  <c r="AW99" i="13"/>
  <c r="AW108" i="13"/>
  <c r="AW68" i="13"/>
  <c r="AW88" i="13"/>
  <c r="AW86" i="13"/>
  <c r="AW102" i="13"/>
  <c r="AW75" i="13"/>
  <c r="AW92" i="13"/>
  <c r="AW95" i="13"/>
  <c r="AW81" i="13"/>
  <c r="AW71" i="13"/>
  <c r="AW72" i="13"/>
  <c r="AW89" i="13"/>
  <c r="AW105" i="13"/>
  <c r="AW78" i="13"/>
  <c r="AW104" i="13"/>
  <c r="AW74" i="13"/>
  <c r="AW91" i="13"/>
  <c r="AW107" i="13"/>
  <c r="AW94" i="13"/>
  <c r="AW65" i="13"/>
  <c r="AW80" i="13"/>
  <c r="AW97" i="13"/>
  <c r="AW64" i="13"/>
  <c r="AW67" i="13"/>
  <c r="AW84" i="13"/>
  <c r="AW100" i="13"/>
  <c r="AW87" i="13"/>
  <c r="AW103" i="13"/>
  <c r="AV110" i="13"/>
  <c r="BH55" i="13"/>
  <c r="AV49" i="11"/>
  <c r="BB54" i="11"/>
  <c r="BB53" i="11"/>
  <c r="BA27" i="11"/>
  <c r="BC44" i="11"/>
  <c r="BA51" i="11"/>
  <c r="BA43" i="11"/>
  <c r="AU38" i="11"/>
  <c r="AU46" i="11"/>
  <c r="AU27" i="11"/>
  <c r="BB41" i="11"/>
  <c r="AU54" i="11"/>
  <c r="AS40" i="11"/>
  <c r="BB28" i="11"/>
  <c r="BA37" i="11"/>
  <c r="AV39" i="11"/>
  <c r="AX53" i="11"/>
  <c r="BB50" i="11"/>
  <c r="AU55" i="11"/>
  <c r="AU42" i="11"/>
  <c r="AS43" i="11"/>
  <c r="AU47" i="11"/>
  <c r="AU43" i="11"/>
  <c r="AX38" i="11"/>
  <c r="AU39" i="11"/>
  <c r="BA54" i="11"/>
  <c r="AX43" i="11"/>
  <c r="BB27" i="11"/>
  <c r="AW49" i="11"/>
  <c r="BB43" i="11"/>
  <c r="BA40" i="11"/>
  <c r="BC37" i="11"/>
  <c r="AX52" i="11"/>
  <c r="BA45" i="11"/>
  <c r="BA50" i="11"/>
  <c r="BC40" i="11"/>
  <c r="AW46" i="11"/>
  <c r="AX39" i="11"/>
  <c r="BC53" i="11"/>
  <c r="AX46" i="11"/>
  <c r="AX47" i="11"/>
  <c r="BB49" i="11"/>
  <c r="AX49" i="11"/>
  <c r="AU28" i="11"/>
  <c r="BA52" i="11"/>
  <c r="AZ40" i="11"/>
  <c r="AW44" i="11"/>
  <c r="AW52" i="11"/>
  <c r="BA41" i="11"/>
  <c r="BA49" i="11"/>
  <c r="BB37" i="11"/>
  <c r="BB44" i="11"/>
  <c r="AW40" i="11"/>
  <c r="AW47" i="11"/>
  <c r="AW39" i="11"/>
  <c r="AW54" i="11"/>
  <c r="BC45" i="11"/>
  <c r="AV47" i="11"/>
  <c r="BC43" i="11"/>
  <c r="AS53" i="11"/>
  <c r="BB45" i="11"/>
  <c r="BA28" i="11"/>
  <c r="AS37" i="11"/>
  <c r="BA44" i="11"/>
  <c r="BF41" i="56"/>
  <c r="AG4" i="66" s="1"/>
  <c r="AZ44" i="11"/>
  <c r="AT28" i="11"/>
  <c r="AT27" i="11"/>
  <c r="AT41" i="11"/>
  <c r="AS50" i="11"/>
  <c r="BD46" i="11"/>
  <c r="AZ49" i="11"/>
  <c r="AS38" i="11"/>
  <c r="AV27" i="11"/>
  <c r="AZ45" i="11"/>
  <c r="AW41" i="11"/>
  <c r="AW42" i="11"/>
  <c r="AW50" i="11"/>
  <c r="AW55" i="11"/>
  <c r="AW51" i="11"/>
  <c r="AW45" i="11"/>
  <c r="AW37" i="11"/>
  <c r="AS28" i="11"/>
  <c r="AT54" i="11"/>
  <c r="AT42" i="11"/>
  <c r="AV54" i="11"/>
  <c r="AS54" i="11"/>
  <c r="AV42" i="11"/>
  <c r="AV53" i="11"/>
  <c r="AT38" i="11"/>
  <c r="AZ50" i="11"/>
  <c r="AZ28" i="11"/>
  <c r="AS27" i="11"/>
  <c r="AS51" i="11"/>
  <c r="AV55" i="11"/>
  <c r="AT55" i="11"/>
  <c r="AU52" i="11"/>
  <c r="AU44" i="11"/>
  <c r="AU49" i="11"/>
  <c r="AU37" i="11"/>
  <c r="AU50" i="11"/>
  <c r="AU53" i="11"/>
  <c r="AU45" i="11"/>
  <c r="AU51" i="11"/>
  <c r="AU40" i="11"/>
  <c r="AT44" i="11"/>
  <c r="AT49" i="11"/>
  <c r="AT37" i="11"/>
  <c r="AT45" i="11"/>
  <c r="AT40" i="11"/>
  <c r="AT53" i="11"/>
  <c r="AZ53" i="11"/>
  <c r="AZ38" i="11"/>
  <c r="AZ46" i="11"/>
  <c r="AZ47" i="11"/>
  <c r="AZ55" i="11"/>
  <c r="AZ42" i="11"/>
  <c r="BD50" i="11"/>
  <c r="BD54" i="11"/>
  <c r="BD47" i="11"/>
  <c r="BD43" i="11"/>
  <c r="BD44" i="11"/>
  <c r="BD49" i="11"/>
  <c r="BD52" i="11"/>
  <c r="BD39" i="11"/>
  <c r="AY28" i="11"/>
  <c r="AY49" i="11"/>
  <c r="AY53" i="11"/>
  <c r="AY45" i="11"/>
  <c r="AY41" i="11"/>
  <c r="AY54" i="11"/>
  <c r="AY47" i="11"/>
  <c r="AY46" i="11"/>
  <c r="AY42" i="11"/>
  <c r="AY37" i="11"/>
  <c r="AY55" i="11"/>
  <c r="AY50" i="11"/>
  <c r="AT52" i="11"/>
  <c r="AZ37" i="11"/>
  <c r="BD42" i="11"/>
  <c r="BD51" i="11"/>
  <c r="BD41" i="11"/>
  <c r="AV52" i="11"/>
  <c r="AV50" i="11"/>
  <c r="AV41" i="11"/>
  <c r="AV51" i="11"/>
  <c r="AV45" i="11"/>
  <c r="AV37" i="11"/>
  <c r="AS55" i="11"/>
  <c r="AV28" i="11"/>
  <c r="AS44" i="11"/>
  <c r="AV44" i="11"/>
  <c r="AS49" i="11"/>
  <c r="AS41" i="11"/>
  <c r="AZ41" i="11"/>
  <c r="AZ54" i="11"/>
  <c r="AY44" i="11"/>
  <c r="AS39" i="11"/>
  <c r="AV40" i="11"/>
  <c r="AY51" i="11"/>
  <c r="AY40" i="11"/>
  <c r="AS42" i="11"/>
  <c r="AZ27" i="11"/>
  <c r="BD38" i="11"/>
  <c r="BD37" i="11"/>
  <c r="AS45" i="11"/>
  <c r="AV38" i="11"/>
  <c r="BC50" i="11"/>
  <c r="BC54" i="11"/>
  <c r="BC55" i="11"/>
  <c r="BC51" i="11"/>
  <c r="BC39" i="11"/>
  <c r="BC38" i="11"/>
  <c r="BC28" i="11"/>
  <c r="BC46" i="11"/>
  <c r="BC52" i="11"/>
  <c r="BC42" i="11"/>
  <c r="BC47" i="11"/>
  <c r="AW38" i="11"/>
  <c r="AT39" i="11"/>
  <c r="AS52" i="11"/>
  <c r="AS46" i="11"/>
  <c r="AY43" i="11"/>
  <c r="AZ43" i="11"/>
  <c r="AY39" i="11"/>
  <c r="BC49" i="11"/>
  <c r="AY52" i="11"/>
  <c r="BD45" i="11"/>
  <c r="AX45" i="11"/>
  <c r="AX42" i="11"/>
  <c r="AX41" i="11"/>
  <c r="AX54" i="11"/>
  <c r="AX55" i="11"/>
  <c r="AX37" i="11"/>
  <c r="AX50" i="11"/>
  <c r="AY27" i="11"/>
  <c r="BB51" i="11"/>
  <c r="BB46" i="11"/>
  <c r="BB52" i="11"/>
  <c r="BB39" i="11"/>
  <c r="BB38" i="11"/>
  <c r="BB47" i="11"/>
  <c r="BB55" i="11"/>
  <c r="BB42" i="11"/>
  <c r="AX51" i="11"/>
  <c r="BD55" i="11"/>
  <c r="AV43" i="11"/>
  <c r="AT47" i="11"/>
  <c r="BA38" i="11"/>
  <c r="BA39" i="11"/>
  <c r="BA46" i="11"/>
  <c r="BA47" i="11"/>
  <c r="BA55" i="11"/>
  <c r="BA42" i="11"/>
  <c r="BD53" i="11"/>
  <c r="AW53" i="11"/>
  <c r="AT46" i="11"/>
  <c r="AZ52" i="11"/>
  <c r="AZ39" i="11"/>
  <c r="AT43" i="11"/>
  <c r="AX40" i="11"/>
  <c r="AT51" i="11"/>
  <c r="AX27" i="11"/>
  <c r="AX28" i="11"/>
  <c r="BE25" i="11"/>
  <c r="BE44" i="11" s="1"/>
  <c r="AW28" i="11"/>
  <c r="AW27" i="11"/>
  <c r="BD28" i="11"/>
  <c r="BD27" i="11"/>
  <c r="BC27" i="11"/>
  <c r="AZ110" i="13" l="1"/>
  <c r="AY110" i="13"/>
  <c r="AX110" i="13"/>
  <c r="AW110" i="13"/>
  <c r="BE40" i="11"/>
  <c r="BE28" i="11"/>
  <c r="BE39" i="11"/>
  <c r="BE43" i="11"/>
  <c r="BE46" i="11"/>
  <c r="BE52" i="11"/>
  <c r="BE47" i="11"/>
  <c r="BE42" i="11"/>
  <c r="BE49" i="11"/>
  <c r="BE50" i="11"/>
  <c r="BE51" i="11"/>
  <c r="BE45" i="11"/>
  <c r="BE37" i="11"/>
  <c r="BE54" i="11"/>
  <c r="BE55" i="11"/>
  <c r="BE41" i="11"/>
  <c r="BE38" i="11"/>
  <c r="BE53" i="11"/>
  <c r="BE27" i="11"/>
  <c r="AW62" i="13" l="1"/>
  <c r="AX62" i="13"/>
  <c r="AY62" i="13"/>
  <c r="AZ62" i="13"/>
  <c r="BA62" i="13"/>
  <c r="BB62" i="13"/>
  <c r="BC62" i="13"/>
  <c r="BD62" i="13"/>
  <c r="BE62" i="13"/>
  <c r="BF62" i="13"/>
  <c r="BG62" i="13"/>
  <c r="AV62" i="13"/>
  <c r="BG50" i="13"/>
  <c r="BF50" i="13"/>
  <c r="BE50" i="13"/>
  <c r="BD50" i="13"/>
  <c r="BC50" i="13"/>
  <c r="BB50" i="13"/>
  <c r="BA50" i="13"/>
  <c r="AZ50" i="13"/>
  <c r="AY50" i="13"/>
  <c r="AW50" i="13"/>
  <c r="AV50" i="13"/>
  <c r="BH49" i="13"/>
  <c r="BH109" i="13" s="1"/>
  <c r="BH48" i="13"/>
  <c r="BH108" i="13" s="1"/>
  <c r="BH47" i="13"/>
  <c r="BH107" i="13" s="1"/>
  <c r="BH46" i="13"/>
  <c r="BH106" i="13" s="1"/>
  <c r="BH45" i="13"/>
  <c r="BH105" i="13" s="1"/>
  <c r="BH44" i="13"/>
  <c r="BH104" i="13" s="1"/>
  <c r="BH43" i="13"/>
  <c r="BH103" i="13" s="1"/>
  <c r="BH42" i="13"/>
  <c r="BH102" i="13" s="1"/>
  <c r="BH41" i="13"/>
  <c r="BH101" i="13" s="1"/>
  <c r="BH40" i="13"/>
  <c r="BH100" i="13" s="1"/>
  <c r="BH39" i="13"/>
  <c r="BH99" i="13" s="1"/>
  <c r="BH38" i="13"/>
  <c r="BH98" i="13" s="1"/>
  <c r="BH37" i="13"/>
  <c r="BH97" i="13" s="1"/>
  <c r="BH36" i="13"/>
  <c r="BH96" i="13" s="1"/>
  <c r="BH35" i="13"/>
  <c r="BH95" i="13" s="1"/>
  <c r="BH34" i="13"/>
  <c r="BH94" i="13" s="1"/>
  <c r="BH33" i="13"/>
  <c r="BH93" i="13" s="1"/>
  <c r="BH32" i="13"/>
  <c r="BH92" i="13" s="1"/>
  <c r="BH31" i="13"/>
  <c r="BH91" i="13" s="1"/>
  <c r="BH30" i="13"/>
  <c r="BH90" i="13" s="1"/>
  <c r="BH29" i="13"/>
  <c r="BH89" i="13" s="1"/>
  <c r="BH28" i="13"/>
  <c r="BH88" i="13" s="1"/>
  <c r="BH27" i="13"/>
  <c r="BH87" i="13" s="1"/>
  <c r="BH26" i="13"/>
  <c r="BH86" i="13" s="1"/>
  <c r="BH25" i="13"/>
  <c r="BH85" i="13" s="1"/>
  <c r="BH24" i="13"/>
  <c r="BH84" i="13" s="1"/>
  <c r="BH23" i="13"/>
  <c r="BH83" i="13" s="1"/>
  <c r="BH21" i="13"/>
  <c r="BH81" i="13" s="1"/>
  <c r="BH20" i="13"/>
  <c r="BH80" i="13" s="1"/>
  <c r="BH19" i="13"/>
  <c r="BH79" i="13" s="1"/>
  <c r="BH18" i="13"/>
  <c r="BH78" i="13" s="1"/>
  <c r="BH17" i="13"/>
  <c r="BH77" i="13" s="1"/>
  <c r="BH16" i="13"/>
  <c r="BH76" i="13" s="1"/>
  <c r="BH15" i="13"/>
  <c r="BH75" i="13" s="1"/>
  <c r="AX50" i="13"/>
  <c r="BH13" i="13"/>
  <c r="BH73" i="13" s="1"/>
  <c r="BH12" i="13"/>
  <c r="BH72" i="13" s="1"/>
  <c r="BH11" i="13"/>
  <c r="BH71" i="13" s="1"/>
  <c r="BH10" i="13"/>
  <c r="BH70" i="13" s="1"/>
  <c r="BH9" i="13"/>
  <c r="BH69" i="13" s="1"/>
  <c r="BH8" i="13"/>
  <c r="BH68" i="13" s="1"/>
  <c r="BH7" i="13"/>
  <c r="BH67" i="13" s="1"/>
  <c r="BH6" i="13"/>
  <c r="BH66" i="13" s="1"/>
  <c r="BH5" i="13"/>
  <c r="BH65" i="13" s="1"/>
  <c r="BH4" i="13"/>
  <c r="BH64" i="13" s="1"/>
  <c r="BI2" i="13"/>
  <c r="BV39" i="56"/>
  <c r="BU39" i="56"/>
  <c r="BG39" i="56"/>
  <c r="BH39" i="56"/>
  <c r="BI39" i="56"/>
  <c r="BJ39" i="56"/>
  <c r="BK39" i="56"/>
  <c r="BL39" i="56"/>
  <c r="BM39" i="56"/>
  <c r="BN39" i="56"/>
  <c r="BO39" i="56"/>
  <c r="BP39" i="56"/>
  <c r="BQ39" i="56"/>
  <c r="BR39" i="56"/>
  <c r="BF39" i="56"/>
  <c r="AT39" i="56"/>
  <c r="AU39" i="56"/>
  <c r="AV39" i="56"/>
  <c r="AW39" i="56"/>
  <c r="AX39" i="56"/>
  <c r="AY39" i="56"/>
  <c r="AZ39" i="56"/>
  <c r="BA39" i="56"/>
  <c r="BB39" i="56"/>
  <c r="BC39" i="56"/>
  <c r="BD39" i="56"/>
  <c r="BE39" i="56"/>
  <c r="AS39" i="56"/>
  <c r="BT8" i="56"/>
  <c r="AR37" i="56"/>
  <c r="AQ37" i="56"/>
  <c r="AO34" i="56"/>
  <c r="AN34" i="56"/>
  <c r="AM34" i="56"/>
  <c r="AL34" i="56"/>
  <c r="AK34" i="56"/>
  <c r="AJ34" i="56"/>
  <c r="AI34" i="56"/>
  <c r="AH34" i="56"/>
  <c r="AG34" i="56"/>
  <c r="AF34" i="56"/>
  <c r="AE34" i="56"/>
  <c r="AP31" i="56"/>
  <c r="AP62" i="56" s="1"/>
  <c r="AO31" i="56"/>
  <c r="AN31" i="56"/>
  <c r="AN62" i="56" s="1"/>
  <c r="AM31" i="56"/>
  <c r="AL31" i="56"/>
  <c r="AK31" i="56"/>
  <c r="AJ31" i="56"/>
  <c r="AI31" i="56"/>
  <c r="AH31" i="56"/>
  <c r="AH62" i="56" s="1"/>
  <c r="AG31" i="56"/>
  <c r="AG62" i="56" s="1"/>
  <c r="AF31" i="56"/>
  <c r="AE31" i="56"/>
  <c r="AE3" i="13"/>
  <c r="AC3" i="13"/>
  <c r="AB3" i="13"/>
  <c r="AA3" i="13"/>
  <c r="X3" i="13"/>
  <c r="W3" i="13"/>
  <c r="V3" i="13"/>
  <c r="U3" i="13"/>
  <c r="T3" i="13"/>
  <c r="AD3" i="13"/>
  <c r="AE62" i="56" l="1"/>
  <c r="AK62" i="56"/>
  <c r="AR31" i="56"/>
  <c r="AL62" i="56"/>
  <c r="BH14" i="13"/>
  <c r="BH74" i="13" s="1"/>
  <c r="AM62" i="56"/>
  <c r="AO62" i="56"/>
  <c r="AJ62" i="56"/>
  <c r="AI62" i="56"/>
  <c r="AF62" i="56"/>
  <c r="AP34" i="56" l="1"/>
  <c r="AR34" i="56" s="1"/>
  <c r="AR29" i="11"/>
  <c r="BH50" i="13"/>
  <c r="AQ32" i="11"/>
  <c r="AF39" i="13" l="1"/>
  <c r="AP8" i="11"/>
  <c r="AO12" i="56" s="1"/>
  <c r="AO43" i="56" s="1"/>
  <c r="A84" i="13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Q50" i="13"/>
  <c r="AQ99" i="13" s="1"/>
  <c r="BI10" i="13" a="1"/>
  <c r="BI70" i="13" s="1"/>
  <c r="BH110" i="13" l="1"/>
  <c r="AQ55" i="13"/>
  <c r="AQ109" i="13"/>
  <c r="AQ78" i="13"/>
  <c r="AQ88" i="13"/>
  <c r="AQ74" i="13"/>
  <c r="AQ81" i="13"/>
  <c r="AQ73" i="13"/>
  <c r="AQ65" i="13"/>
  <c r="AQ102" i="13"/>
  <c r="AQ94" i="13"/>
  <c r="AQ86" i="13"/>
  <c r="AQ70" i="13"/>
  <c r="AQ107" i="13"/>
  <c r="AQ91" i="13"/>
  <c r="AQ76" i="13"/>
  <c r="AQ68" i="13"/>
  <c r="AQ105" i="13"/>
  <c r="AQ97" i="13"/>
  <c r="AQ89" i="13"/>
  <c r="AQ83" i="13"/>
  <c r="AQ66" i="13"/>
  <c r="AQ103" i="13"/>
  <c r="AQ95" i="13"/>
  <c r="AQ87" i="13"/>
  <c r="AQ77" i="13"/>
  <c r="AQ69" i="13"/>
  <c r="AQ106" i="13"/>
  <c r="AQ98" i="13"/>
  <c r="AQ90" i="13"/>
  <c r="AQ93" i="13"/>
  <c r="AQ79" i="13"/>
  <c r="AQ71" i="13"/>
  <c r="AQ108" i="13"/>
  <c r="AQ100" i="13"/>
  <c r="AQ92" i="13"/>
  <c r="AQ84" i="13"/>
  <c r="AQ80" i="13"/>
  <c r="AQ72" i="13"/>
  <c r="AQ101" i="13"/>
  <c r="AQ85" i="13"/>
  <c r="AQ75" i="13"/>
  <c r="AQ67" i="13"/>
  <c r="AQ104" i="13"/>
  <c r="AQ96" i="13"/>
  <c r="BR37" i="56" l="1"/>
  <c r="AG49" i="13" l="1"/>
  <c r="AG47" i="13"/>
  <c r="AG46" i="13"/>
  <c r="AG45" i="13"/>
  <c r="AG44" i="13"/>
  <c r="AG43" i="13"/>
  <c r="AG40" i="13"/>
  <c r="AG39" i="13"/>
  <c r="AG38" i="13"/>
  <c r="AG37" i="13"/>
  <c r="AG36" i="13"/>
  <c r="AG34" i="13"/>
  <c r="AG33" i="13"/>
  <c r="AG32" i="13"/>
  <c r="AG31" i="13"/>
  <c r="AG29" i="13"/>
  <c r="AG28" i="13"/>
  <c r="AG25" i="13"/>
  <c r="AG23" i="13"/>
  <c r="AG21" i="13"/>
  <c r="AG20" i="13"/>
  <c r="AG19" i="13"/>
  <c r="AG18" i="13"/>
  <c r="AG17" i="13"/>
  <c r="AG77" i="13" s="1"/>
  <c r="AG16" i="13"/>
  <c r="AG15" i="13"/>
  <c r="AG14" i="13"/>
  <c r="AG13" i="13"/>
  <c r="AG11" i="13"/>
  <c r="AG9" i="13"/>
  <c r="AG69" i="13" s="1"/>
  <c r="AG8" i="13"/>
  <c r="AG6" i="13"/>
  <c r="AG66" i="13" s="1"/>
  <c r="AG5" i="13"/>
  <c r="AG4" i="13"/>
  <c r="BI4" i="13" l="1" a="1"/>
  <c r="AD50" i="13" l="1"/>
  <c r="AD110" i="13" s="1"/>
  <c r="S27" i="13" l="1"/>
  <c r="AG27" i="13" s="1"/>
  <c r="S30" i="13"/>
  <c r="AG30" i="13" s="1"/>
  <c r="S35" i="13"/>
  <c r="AG35" i="13" s="1"/>
  <c r="S24" i="13" l="1"/>
  <c r="AG24" i="13" s="1"/>
  <c r="V1" i="13" l="1"/>
  <c r="W1" i="13"/>
  <c r="X1" i="13"/>
  <c r="AA1" i="13"/>
  <c r="AB1" i="13"/>
  <c r="AC1" i="13"/>
  <c r="AD1" i="13"/>
  <c r="AE1" i="13"/>
  <c r="AL6" i="11"/>
  <c r="AK10" i="56" s="1"/>
  <c r="AM6" i="11"/>
  <c r="AL10" i="56" s="1"/>
  <c r="AN6" i="11"/>
  <c r="AM10" i="56" s="1"/>
  <c r="AO6" i="11"/>
  <c r="AN10" i="56" s="1"/>
  <c r="AP6" i="11"/>
  <c r="AL7" i="11"/>
  <c r="AK11" i="56" s="1"/>
  <c r="AK42" i="56" s="1"/>
  <c r="AM7" i="11"/>
  <c r="AN7" i="11"/>
  <c r="AM11" i="56" s="1"/>
  <c r="AM42" i="56" s="1"/>
  <c r="AO7" i="11"/>
  <c r="AN11" i="56" s="1"/>
  <c r="AN42" i="56" s="1"/>
  <c r="AP7" i="11"/>
  <c r="AL8" i="11"/>
  <c r="AK12" i="56" s="1"/>
  <c r="AK43" i="56" s="1"/>
  <c r="AM8" i="11"/>
  <c r="AN8" i="11"/>
  <c r="AM12" i="56" s="1"/>
  <c r="AM43" i="56" s="1"/>
  <c r="AO8" i="11"/>
  <c r="AN12" i="56" s="1"/>
  <c r="AN43" i="56" s="1"/>
  <c r="AP12" i="56"/>
  <c r="AP43" i="56" s="1"/>
  <c r="AL9" i="11"/>
  <c r="AM9" i="11"/>
  <c r="AN9" i="11"/>
  <c r="AM13" i="56" s="1"/>
  <c r="AM44" i="56" s="1"/>
  <c r="AO9" i="11"/>
  <c r="AN13" i="56" s="1"/>
  <c r="AN44" i="56" s="1"/>
  <c r="AP9" i="11"/>
  <c r="AL10" i="11"/>
  <c r="AM10" i="11"/>
  <c r="AN10" i="11"/>
  <c r="AM14" i="56" s="1"/>
  <c r="AM45" i="56" s="1"/>
  <c r="AO10" i="11"/>
  <c r="AN14" i="56" s="1"/>
  <c r="AN45" i="56" s="1"/>
  <c r="AP10" i="11"/>
  <c r="AL11" i="11"/>
  <c r="AK15" i="56" s="1"/>
  <c r="AK46" i="56" s="1"/>
  <c r="AM11" i="11"/>
  <c r="AN11" i="11"/>
  <c r="AM15" i="56" s="1"/>
  <c r="AM46" i="56" s="1"/>
  <c r="AO11" i="11"/>
  <c r="AN15" i="56" s="1"/>
  <c r="AN46" i="56" s="1"/>
  <c r="AP11" i="11"/>
  <c r="AL12" i="11"/>
  <c r="AM12" i="11"/>
  <c r="AN12" i="11"/>
  <c r="AM16" i="56" s="1"/>
  <c r="AM47" i="56" s="1"/>
  <c r="AO12" i="11"/>
  <c r="AN16" i="56" s="1"/>
  <c r="AN47" i="56" s="1"/>
  <c r="AP12" i="11"/>
  <c r="AL13" i="11"/>
  <c r="AM13" i="11"/>
  <c r="AN13" i="11"/>
  <c r="AM17" i="56" s="1"/>
  <c r="AM48" i="56" s="1"/>
  <c r="AO13" i="11"/>
  <c r="AN17" i="56" s="1"/>
  <c r="AN48" i="56" s="1"/>
  <c r="AP13" i="11"/>
  <c r="AL14" i="11"/>
  <c r="AK18" i="56" s="1"/>
  <c r="AK49" i="56" s="1"/>
  <c r="AM14" i="11"/>
  <c r="AN14" i="11"/>
  <c r="AM18" i="56" s="1"/>
  <c r="AM49" i="56" s="1"/>
  <c r="AO14" i="11"/>
  <c r="AN18" i="56" s="1"/>
  <c r="AN49" i="56" s="1"/>
  <c r="AP14" i="11"/>
  <c r="AL15" i="11"/>
  <c r="AK19" i="56" s="1"/>
  <c r="AK50" i="56" s="1"/>
  <c r="AM15" i="11"/>
  <c r="AN15" i="11"/>
  <c r="AM19" i="56" s="1"/>
  <c r="AM50" i="56" s="1"/>
  <c r="AO15" i="11"/>
  <c r="AN19" i="56" s="1"/>
  <c r="AN50" i="56" s="1"/>
  <c r="AP15" i="11"/>
  <c r="AL16" i="11"/>
  <c r="AK20" i="56" s="1"/>
  <c r="AK51" i="56" s="1"/>
  <c r="AM16" i="11"/>
  <c r="AN16" i="11"/>
  <c r="AM20" i="56" s="1"/>
  <c r="AM51" i="56" s="1"/>
  <c r="AO16" i="11"/>
  <c r="AN20" i="56" s="1"/>
  <c r="AN51" i="56" s="1"/>
  <c r="AP16" i="11"/>
  <c r="AL19" i="11"/>
  <c r="AM19" i="11"/>
  <c r="AN19" i="11"/>
  <c r="AM23" i="56" s="1"/>
  <c r="AM54" i="56" s="1"/>
  <c r="AO19" i="11"/>
  <c r="AN23" i="56" s="1"/>
  <c r="AN54" i="56" s="1"/>
  <c r="AP19" i="11"/>
  <c r="AL20" i="11"/>
  <c r="AK24" i="56" s="1"/>
  <c r="AK55" i="56" s="1"/>
  <c r="AM20" i="11"/>
  <c r="AN20" i="11"/>
  <c r="AM24" i="56" s="1"/>
  <c r="AM55" i="56" s="1"/>
  <c r="AO20" i="11"/>
  <c r="AN24" i="56" s="1"/>
  <c r="AN55" i="56" s="1"/>
  <c r="AP20" i="11"/>
  <c r="AL21" i="11"/>
  <c r="AM21" i="11"/>
  <c r="AN21" i="11"/>
  <c r="AM25" i="56" s="1"/>
  <c r="AM56" i="56" s="1"/>
  <c r="AO21" i="11"/>
  <c r="AN25" i="56" s="1"/>
  <c r="AN56" i="56" s="1"/>
  <c r="AP21" i="11"/>
  <c r="AL22" i="11"/>
  <c r="AK26" i="56" s="1"/>
  <c r="AK57" i="56" s="1"/>
  <c r="AM22" i="11"/>
  <c r="AN22" i="11"/>
  <c r="AM26" i="56" s="1"/>
  <c r="AM57" i="56" s="1"/>
  <c r="AO22" i="11"/>
  <c r="AN26" i="56" s="1"/>
  <c r="AN57" i="56" s="1"/>
  <c r="AP22" i="11"/>
  <c r="AL23" i="11"/>
  <c r="AM23" i="11"/>
  <c r="AN23" i="11"/>
  <c r="AM27" i="56" s="1"/>
  <c r="AM58" i="56" s="1"/>
  <c r="AO23" i="11"/>
  <c r="AN27" i="56" s="1"/>
  <c r="AN58" i="56" s="1"/>
  <c r="AP23" i="11"/>
  <c r="AL24" i="11"/>
  <c r="AK28" i="56" s="1"/>
  <c r="AK59" i="56" s="1"/>
  <c r="AM24" i="11"/>
  <c r="AN24" i="11"/>
  <c r="AM28" i="56" s="1"/>
  <c r="AM59" i="56" s="1"/>
  <c r="AO24" i="11"/>
  <c r="AN28" i="56" s="1"/>
  <c r="AN59" i="56" s="1"/>
  <c r="AP24" i="11"/>
  <c r="AL18" i="11"/>
  <c r="AK22" i="56" s="1"/>
  <c r="AM18" i="11"/>
  <c r="AL22" i="56" s="1"/>
  <c r="AN18" i="11"/>
  <c r="AM22" i="56" s="1"/>
  <c r="AO18" i="11"/>
  <c r="AN22" i="56" s="1"/>
  <c r="AP18" i="11"/>
  <c r="AQ18" i="11"/>
  <c r="D58" i="13"/>
  <c r="D57" i="13"/>
  <c r="D59" i="13" s="1"/>
  <c r="AK18" i="11"/>
  <c r="AJ18" i="11"/>
  <c r="AK19" i="11"/>
  <c r="AK20" i="11"/>
  <c r="AK21" i="11"/>
  <c r="AK22" i="11"/>
  <c r="AK23" i="11"/>
  <c r="AK24" i="11"/>
  <c r="AK7" i="11"/>
  <c r="AK8" i="11"/>
  <c r="AK9" i="11"/>
  <c r="AK10" i="11"/>
  <c r="AK11" i="11"/>
  <c r="AK12" i="11"/>
  <c r="AK13" i="11"/>
  <c r="AK14" i="11"/>
  <c r="AK15" i="11"/>
  <c r="AK16" i="11"/>
  <c r="AJ20" i="56" s="1"/>
  <c r="AJ51" i="56" s="1"/>
  <c r="AK6" i="11"/>
  <c r="BF6" i="11"/>
  <c r="AF49" i="13"/>
  <c r="AF47" i="13"/>
  <c r="AF46" i="13"/>
  <c r="AF45" i="13"/>
  <c r="AF44" i="13"/>
  <c r="AF43" i="13"/>
  <c r="AF40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5" i="13"/>
  <c r="AF24" i="13"/>
  <c r="AF23" i="13"/>
  <c r="AF21" i="13"/>
  <c r="AF20" i="13"/>
  <c r="AF19" i="13"/>
  <c r="AF18" i="13"/>
  <c r="AF17" i="13"/>
  <c r="AF16" i="13"/>
  <c r="AF15" i="13"/>
  <c r="AF14" i="13"/>
  <c r="AF13" i="13"/>
  <c r="AF11" i="13"/>
  <c r="AF9" i="13"/>
  <c r="AF8" i="13"/>
  <c r="AF6" i="13"/>
  <c r="AF5" i="13"/>
  <c r="AF4" i="13"/>
  <c r="AJ19" i="11"/>
  <c r="AJ20" i="11"/>
  <c r="AJ21" i="11"/>
  <c r="AJ22" i="11"/>
  <c r="AJ23" i="11"/>
  <c r="AI27" i="56" s="1"/>
  <c r="AI58" i="56" s="1"/>
  <c r="AJ24" i="11"/>
  <c r="AJ6" i="11"/>
  <c r="AJ7" i="11"/>
  <c r="AJ8" i="11"/>
  <c r="AJ9" i="11"/>
  <c r="AJ10" i="11"/>
  <c r="AJ11" i="11"/>
  <c r="AJ12" i="11"/>
  <c r="AJ13" i="11"/>
  <c r="AJ14" i="11"/>
  <c r="AJ15" i="11"/>
  <c r="AJ16" i="11"/>
  <c r="AE50" i="13"/>
  <c r="AE110" i="13" s="1"/>
  <c r="AC22" i="56"/>
  <c r="AD32" i="11"/>
  <c r="AC30" i="11"/>
  <c r="AD29" i="11"/>
  <c r="V24" i="61"/>
  <c r="V26" i="61"/>
  <c r="AE26" i="60"/>
  <c r="V25" i="60"/>
  <c r="V27" i="60"/>
  <c r="AK50" i="13"/>
  <c r="AL50" i="13"/>
  <c r="AM50" i="13"/>
  <c r="AN50" i="13"/>
  <c r="AO50" i="13"/>
  <c r="AP50" i="13"/>
  <c r="AR50" i="13"/>
  <c r="AR55" i="13" s="1"/>
  <c r="AS50" i="13"/>
  <c r="BI49" i="13" a="1"/>
  <c r="BI48" i="13" a="1"/>
  <c r="BI47" i="13" a="1"/>
  <c r="BI46" i="13" a="1"/>
  <c r="BI45" i="13" a="1"/>
  <c r="BI44" i="13" a="1"/>
  <c r="BI43" i="13" a="1"/>
  <c r="BI42" i="13" a="1"/>
  <c r="BI41" i="13" a="1"/>
  <c r="BI40" i="13" a="1"/>
  <c r="BI39" i="13" a="1"/>
  <c r="BI38" i="13" a="1"/>
  <c r="BI37" i="13" a="1"/>
  <c r="BI36" i="13" a="1"/>
  <c r="BI35" i="13" a="1"/>
  <c r="BI34" i="13" a="1"/>
  <c r="BI33" i="13" a="1"/>
  <c r="BI32" i="13" a="1"/>
  <c r="BI31" i="13" a="1"/>
  <c r="BI30" i="13" a="1"/>
  <c r="BI29" i="13" a="1"/>
  <c r="BI28" i="13" a="1"/>
  <c r="BI27" i="13" a="1"/>
  <c r="BI26" i="13" a="1"/>
  <c r="BI25" i="13" a="1"/>
  <c r="BI24" i="13" a="1"/>
  <c r="BI23" i="13" a="1"/>
  <c r="BI21" i="13" a="1"/>
  <c r="BI20" i="13" a="1"/>
  <c r="BI19" i="13" a="1"/>
  <c r="BI18" i="13" a="1"/>
  <c r="BI17" i="13" a="1"/>
  <c r="BI77" i="13" s="1"/>
  <c r="BI16" i="13" a="1"/>
  <c r="BI15" i="13" a="1"/>
  <c r="BI14" i="13" a="1"/>
  <c r="BI13" i="13" a="1"/>
  <c r="BI12" i="13" a="1"/>
  <c r="BI11" i="13" a="1"/>
  <c r="BI9" i="13" a="1"/>
  <c r="BI69" i="13" s="1"/>
  <c r="BI8" i="13" a="1"/>
  <c r="BI7" i="13" a="1"/>
  <c r="BI6" i="13" a="1"/>
  <c r="BI66" i="13" s="1"/>
  <c r="BI5" i="13" a="1"/>
  <c r="AI18" i="11"/>
  <c r="AI19" i="11"/>
  <c r="AI20" i="11"/>
  <c r="AI21" i="11"/>
  <c r="AI22" i="11"/>
  <c r="AI23" i="11"/>
  <c r="AI24" i="11"/>
  <c r="AI6" i="11"/>
  <c r="AI7" i="11"/>
  <c r="AI8" i="11"/>
  <c r="AI9" i="11"/>
  <c r="AI10" i="11"/>
  <c r="AI11" i="11"/>
  <c r="AI12" i="11"/>
  <c r="AI13" i="11"/>
  <c r="AI14" i="11"/>
  <c r="AI15" i="11"/>
  <c r="AI16" i="11"/>
  <c r="T58" i="60"/>
  <c r="U58" i="60"/>
  <c r="V58" i="60"/>
  <c r="W58" i="60"/>
  <c r="X58" i="60"/>
  <c r="Y58" i="60"/>
  <c r="Z58" i="60"/>
  <c r="AA58" i="60"/>
  <c r="AB58" i="60"/>
  <c r="AC58" i="60"/>
  <c r="AD58" i="60"/>
  <c r="AJ14" i="13"/>
  <c r="AU14" i="13" s="1"/>
  <c r="U25" i="60"/>
  <c r="U27" i="60"/>
  <c r="U24" i="61"/>
  <c r="U26" i="61"/>
  <c r="U53" i="61"/>
  <c r="AH50" i="13"/>
  <c r="AI50" i="13"/>
  <c r="AH18" i="11"/>
  <c r="AH19" i="11"/>
  <c r="AH20" i="11"/>
  <c r="AH21" i="11"/>
  <c r="AH23" i="11"/>
  <c r="AH24" i="11"/>
  <c r="AG28" i="56" s="1"/>
  <c r="AG59" i="56" s="1"/>
  <c r="AH7" i="11"/>
  <c r="AH8" i="11"/>
  <c r="AH9" i="11"/>
  <c r="AH11" i="11"/>
  <c r="AH12" i="11"/>
  <c r="AH13" i="11"/>
  <c r="AH14" i="11"/>
  <c r="AH15" i="11"/>
  <c r="AH16" i="11"/>
  <c r="AH6" i="11"/>
  <c r="BF4" i="11"/>
  <c r="BF35" i="11" s="1"/>
  <c r="T53" i="61"/>
  <c r="T24" i="61"/>
  <c r="T26" i="61"/>
  <c r="T25" i="60"/>
  <c r="T27" i="60"/>
  <c r="AG18" i="11"/>
  <c r="AG19" i="11"/>
  <c r="AG20" i="11"/>
  <c r="AG21" i="11"/>
  <c r="AG22" i="11"/>
  <c r="AF26" i="56" s="1"/>
  <c r="AF57" i="56" s="1"/>
  <c r="AG23" i="11"/>
  <c r="AG24" i="11"/>
  <c r="AG6" i="11"/>
  <c r="AG7" i="11"/>
  <c r="AG8" i="11"/>
  <c r="AG9" i="11"/>
  <c r="AG10" i="11"/>
  <c r="AG11" i="11"/>
  <c r="AG12" i="11"/>
  <c r="AG13" i="11"/>
  <c r="AG14" i="11"/>
  <c r="AG15" i="11"/>
  <c r="AG16" i="11"/>
  <c r="T33" i="61"/>
  <c r="U33" i="61"/>
  <c r="V33" i="61"/>
  <c r="W33" i="61"/>
  <c r="W32" i="61"/>
  <c r="X33" i="61"/>
  <c r="X32" i="61"/>
  <c r="Y33" i="61"/>
  <c r="Y32" i="61"/>
  <c r="Z33" i="61"/>
  <c r="Z32" i="61"/>
  <c r="AA33" i="61"/>
  <c r="AA32" i="61"/>
  <c r="AB33" i="61"/>
  <c r="AC33" i="61"/>
  <c r="AC32" i="61"/>
  <c r="AD33" i="61"/>
  <c r="AD32" i="61"/>
  <c r="T34" i="61"/>
  <c r="U34" i="61"/>
  <c r="V34" i="61"/>
  <c r="W34" i="61"/>
  <c r="X34" i="61"/>
  <c r="Y34" i="61"/>
  <c r="Z34" i="61"/>
  <c r="AA34" i="61"/>
  <c r="AB34" i="61"/>
  <c r="AC34" i="61"/>
  <c r="AD34" i="61"/>
  <c r="T35" i="61"/>
  <c r="U35" i="61"/>
  <c r="V35" i="61"/>
  <c r="W35" i="61"/>
  <c r="X35" i="61"/>
  <c r="Y35" i="61"/>
  <c r="Z35" i="61"/>
  <c r="AA35" i="61"/>
  <c r="AB35" i="61"/>
  <c r="AC35" i="61"/>
  <c r="AD35" i="61"/>
  <c r="T36" i="61"/>
  <c r="AF54" i="61"/>
  <c r="U36" i="61"/>
  <c r="V36" i="61"/>
  <c r="W36" i="61"/>
  <c r="X36" i="61"/>
  <c r="Y36" i="61"/>
  <c r="Z36" i="61"/>
  <c r="AA36" i="61"/>
  <c r="AB36" i="61"/>
  <c r="AC36" i="61"/>
  <c r="AD36" i="61"/>
  <c r="T37" i="61"/>
  <c r="U37" i="61"/>
  <c r="V37" i="61"/>
  <c r="W37" i="61"/>
  <c r="X37" i="61"/>
  <c r="Y37" i="61"/>
  <c r="Z37" i="61"/>
  <c r="AA37" i="61"/>
  <c r="AB37" i="61"/>
  <c r="AC37" i="61"/>
  <c r="AD37" i="61"/>
  <c r="T38" i="61"/>
  <c r="U38" i="61"/>
  <c r="V38" i="61"/>
  <c r="W38" i="61"/>
  <c r="X38" i="61"/>
  <c r="Y38" i="61"/>
  <c r="Z38" i="61"/>
  <c r="AA38" i="61"/>
  <c r="AB38" i="61"/>
  <c r="AC38" i="61"/>
  <c r="AD38" i="61"/>
  <c r="T39" i="61"/>
  <c r="U39" i="61"/>
  <c r="V39" i="61"/>
  <c r="W39" i="61"/>
  <c r="X39" i="61"/>
  <c r="Y39" i="61"/>
  <c r="Z39" i="61"/>
  <c r="AA39" i="61"/>
  <c r="AB39" i="61"/>
  <c r="AC39" i="61"/>
  <c r="AD39" i="61"/>
  <c r="T40" i="61"/>
  <c r="U40" i="61"/>
  <c r="V40" i="61"/>
  <c r="W40" i="61"/>
  <c r="X40" i="61"/>
  <c r="Y40" i="61"/>
  <c r="Z40" i="61"/>
  <c r="AA40" i="61"/>
  <c r="AB40" i="61"/>
  <c r="AC40" i="61"/>
  <c r="AD40" i="61"/>
  <c r="T41" i="61"/>
  <c r="U41" i="61"/>
  <c r="V41" i="61"/>
  <c r="W41" i="61"/>
  <c r="X41" i="61"/>
  <c r="Y41" i="61"/>
  <c r="Z41" i="61"/>
  <c r="AA41" i="61"/>
  <c r="AB41" i="61"/>
  <c r="AC41" i="61"/>
  <c r="AD41" i="61"/>
  <c r="T42" i="61"/>
  <c r="U42" i="61"/>
  <c r="V42" i="61"/>
  <c r="W42" i="61"/>
  <c r="X42" i="61"/>
  <c r="Y42" i="61"/>
  <c r="Z42" i="61"/>
  <c r="AA42" i="61"/>
  <c r="AB42" i="61"/>
  <c r="AC42" i="61"/>
  <c r="AD42" i="61"/>
  <c r="T43" i="61"/>
  <c r="U43" i="61"/>
  <c r="V43" i="61"/>
  <c r="W43" i="61"/>
  <c r="X43" i="61"/>
  <c r="Y43" i="61"/>
  <c r="Z43" i="61"/>
  <c r="AA43" i="61"/>
  <c r="AB43" i="61"/>
  <c r="AC43" i="61"/>
  <c r="AD43" i="61"/>
  <c r="T45" i="61"/>
  <c r="U45" i="61"/>
  <c r="V45" i="61"/>
  <c r="W45" i="61"/>
  <c r="X45" i="61"/>
  <c r="Y45" i="61"/>
  <c r="Z45" i="61"/>
  <c r="Z44" i="61"/>
  <c r="AA45" i="61"/>
  <c r="AA44" i="61"/>
  <c r="AB45" i="61"/>
  <c r="AB44" i="61"/>
  <c r="AC45" i="61"/>
  <c r="AC44" i="61"/>
  <c r="AD45" i="61"/>
  <c r="AD44" i="61"/>
  <c r="T46" i="61"/>
  <c r="U46" i="61"/>
  <c r="V46" i="61"/>
  <c r="W46" i="61"/>
  <c r="X46" i="61"/>
  <c r="Y46" i="61"/>
  <c r="Z46" i="61"/>
  <c r="AA46" i="61"/>
  <c r="AB46" i="61"/>
  <c r="AC46" i="61"/>
  <c r="AD46" i="61"/>
  <c r="T47" i="61"/>
  <c r="U47" i="61"/>
  <c r="V47" i="61"/>
  <c r="W47" i="61"/>
  <c r="X47" i="61"/>
  <c r="Y47" i="61"/>
  <c r="Z47" i="61"/>
  <c r="AA47" i="61"/>
  <c r="AB47" i="61"/>
  <c r="AC47" i="61"/>
  <c r="AD47" i="61"/>
  <c r="T48" i="61"/>
  <c r="U48" i="61"/>
  <c r="V48" i="61"/>
  <c r="W48" i="61"/>
  <c r="X48" i="61"/>
  <c r="Y48" i="61"/>
  <c r="Z48" i="61"/>
  <c r="AA48" i="61"/>
  <c r="AB48" i="61"/>
  <c r="AC48" i="61"/>
  <c r="AD48" i="61"/>
  <c r="T49" i="61"/>
  <c r="U49" i="61"/>
  <c r="V49" i="61"/>
  <c r="W49" i="61"/>
  <c r="X49" i="61"/>
  <c r="Y49" i="61"/>
  <c r="Z49" i="61"/>
  <c r="AA49" i="61"/>
  <c r="AB49" i="61"/>
  <c r="AC49" i="61"/>
  <c r="AD49" i="61"/>
  <c r="T50" i="61"/>
  <c r="U50" i="61"/>
  <c r="V50" i="61"/>
  <c r="W50" i="61"/>
  <c r="X50" i="61"/>
  <c r="Y50" i="61"/>
  <c r="Z50" i="61"/>
  <c r="AA50" i="61"/>
  <c r="AB50" i="61"/>
  <c r="AC50" i="61"/>
  <c r="AD50" i="61"/>
  <c r="T51" i="61"/>
  <c r="U51" i="61"/>
  <c r="V51" i="61"/>
  <c r="W51" i="61"/>
  <c r="X51" i="61"/>
  <c r="Y51" i="61"/>
  <c r="Z51" i="61"/>
  <c r="AA51" i="61"/>
  <c r="AB51" i="61"/>
  <c r="AC51" i="61"/>
  <c r="AD51" i="61"/>
  <c r="S51" i="61"/>
  <c r="S50" i="61"/>
  <c r="S49" i="61"/>
  <c r="S48" i="61"/>
  <c r="S47" i="61"/>
  <c r="S46" i="61"/>
  <c r="S45" i="61"/>
  <c r="S43" i="61"/>
  <c r="S42" i="61"/>
  <c r="S41" i="61"/>
  <c r="S40" i="61"/>
  <c r="S39" i="61"/>
  <c r="S38" i="61"/>
  <c r="S37" i="61"/>
  <c r="S36" i="61"/>
  <c r="S35" i="61"/>
  <c r="S34" i="61"/>
  <c r="AE27" i="61"/>
  <c r="AE53" i="61"/>
  <c r="AE25" i="61"/>
  <c r="AE39" i="61"/>
  <c r="AE18" i="61"/>
  <c r="AE19" i="61"/>
  <c r="AE20" i="61"/>
  <c r="AE21" i="61"/>
  <c r="AE22" i="61"/>
  <c r="AE23" i="61"/>
  <c r="AE17" i="61"/>
  <c r="AE6" i="61"/>
  <c r="AE7" i="61"/>
  <c r="AE8" i="61"/>
  <c r="AE9" i="61"/>
  <c r="AE10" i="61"/>
  <c r="AE11" i="61"/>
  <c r="AE12" i="61"/>
  <c r="AE13" i="61"/>
  <c r="AE14" i="61"/>
  <c r="AE15" i="61"/>
  <c r="AE5" i="61"/>
  <c r="S33" i="61"/>
  <c r="AF53" i="61"/>
  <c r="S24" i="61"/>
  <c r="S26" i="61"/>
  <c r="R27" i="61"/>
  <c r="R25" i="61"/>
  <c r="R53" i="61"/>
  <c r="R23" i="61"/>
  <c r="R22" i="61"/>
  <c r="R21" i="61"/>
  <c r="R20" i="61"/>
  <c r="R19" i="61"/>
  <c r="R18" i="61"/>
  <c r="R17" i="61"/>
  <c r="R6" i="61"/>
  <c r="R7" i="61"/>
  <c r="R8" i="61"/>
  <c r="R9" i="61"/>
  <c r="R10" i="61"/>
  <c r="R11" i="61"/>
  <c r="R12" i="61"/>
  <c r="R13" i="61"/>
  <c r="R14" i="61"/>
  <c r="R42" i="61"/>
  <c r="R15" i="61"/>
  <c r="R5" i="61"/>
  <c r="AD56" i="60"/>
  <c r="AC56" i="60"/>
  <c r="AB56" i="60"/>
  <c r="AA56" i="60"/>
  <c r="Z56" i="60"/>
  <c r="Y56" i="60"/>
  <c r="X56" i="60"/>
  <c r="W56" i="60"/>
  <c r="V56" i="60"/>
  <c r="U56" i="60"/>
  <c r="T56" i="60"/>
  <c r="AD55" i="60"/>
  <c r="AC55" i="60"/>
  <c r="AB55" i="60"/>
  <c r="AA55" i="60"/>
  <c r="Z55" i="60"/>
  <c r="Y55" i="60"/>
  <c r="X55" i="60"/>
  <c r="W55" i="60"/>
  <c r="V55" i="60"/>
  <c r="U55" i="60"/>
  <c r="T55" i="60"/>
  <c r="AD54" i="60"/>
  <c r="AC54" i="60"/>
  <c r="AB54" i="60"/>
  <c r="AA54" i="60"/>
  <c r="Z54" i="60"/>
  <c r="Y54" i="60"/>
  <c r="X54" i="60"/>
  <c r="W54" i="60"/>
  <c r="V54" i="60"/>
  <c r="U54" i="60"/>
  <c r="T54" i="60"/>
  <c r="AD53" i="60"/>
  <c r="AC53" i="60"/>
  <c r="AB53" i="60"/>
  <c r="AA53" i="60"/>
  <c r="Z53" i="60"/>
  <c r="Y53" i="60"/>
  <c r="X53" i="60"/>
  <c r="W53" i="60"/>
  <c r="V53" i="60"/>
  <c r="U53" i="60"/>
  <c r="T53" i="60"/>
  <c r="AD52" i="60"/>
  <c r="AC52" i="60"/>
  <c r="AB52" i="60"/>
  <c r="AA52" i="60"/>
  <c r="Z52" i="60"/>
  <c r="Y52" i="60"/>
  <c r="X52" i="60"/>
  <c r="W52" i="60"/>
  <c r="V52" i="60"/>
  <c r="U52" i="60"/>
  <c r="T52" i="60"/>
  <c r="AD51" i="60"/>
  <c r="AC51" i="60"/>
  <c r="AB51" i="60"/>
  <c r="AA51" i="60"/>
  <c r="Z51" i="60"/>
  <c r="Y51" i="60"/>
  <c r="X51" i="60"/>
  <c r="W51" i="60"/>
  <c r="V51" i="60"/>
  <c r="U51" i="60"/>
  <c r="T51" i="60"/>
  <c r="AD50" i="60"/>
  <c r="AD49" i="60"/>
  <c r="AC50" i="60"/>
  <c r="AB50" i="60"/>
  <c r="AB49" i="60"/>
  <c r="AA50" i="60"/>
  <c r="AA49" i="60"/>
  <c r="Z50" i="60"/>
  <c r="Z49" i="60"/>
  <c r="Y50" i="60"/>
  <c r="Y49" i="60"/>
  <c r="X50" i="60"/>
  <c r="X49" i="60"/>
  <c r="W50" i="60"/>
  <c r="W49" i="60"/>
  <c r="V50" i="60"/>
  <c r="U50" i="60"/>
  <c r="T50" i="60"/>
  <c r="AD48" i="60"/>
  <c r="AC48" i="60"/>
  <c r="AB48" i="60"/>
  <c r="AA48" i="60"/>
  <c r="Z48" i="60"/>
  <c r="Y48" i="60"/>
  <c r="X48" i="60"/>
  <c r="W48" i="60"/>
  <c r="V48" i="60"/>
  <c r="U48" i="60"/>
  <c r="T48" i="60"/>
  <c r="AD47" i="60"/>
  <c r="AC47" i="60"/>
  <c r="AB47" i="60"/>
  <c r="AA47" i="60"/>
  <c r="Z47" i="60"/>
  <c r="Y47" i="60"/>
  <c r="X47" i="60"/>
  <c r="W47" i="60"/>
  <c r="V47" i="60"/>
  <c r="U47" i="60"/>
  <c r="T47" i="60"/>
  <c r="AD46" i="60"/>
  <c r="AC46" i="60"/>
  <c r="AB46" i="60"/>
  <c r="AA46" i="60"/>
  <c r="Z46" i="60"/>
  <c r="Y46" i="60"/>
  <c r="X46" i="60"/>
  <c r="W46" i="60"/>
  <c r="V46" i="60"/>
  <c r="U46" i="60"/>
  <c r="T46" i="60"/>
  <c r="AD45" i="60"/>
  <c r="AC45" i="60"/>
  <c r="AB45" i="60"/>
  <c r="AA45" i="60"/>
  <c r="Z45" i="60"/>
  <c r="Y45" i="60"/>
  <c r="X45" i="60"/>
  <c r="W45" i="60"/>
  <c r="V45" i="60"/>
  <c r="U45" i="60"/>
  <c r="T45" i="60"/>
  <c r="AD44" i="60"/>
  <c r="AC44" i="60"/>
  <c r="AB44" i="60"/>
  <c r="AA44" i="60"/>
  <c r="Z44" i="60"/>
  <c r="Y44" i="60"/>
  <c r="X44" i="60"/>
  <c r="W44" i="60"/>
  <c r="V44" i="60"/>
  <c r="U44" i="60"/>
  <c r="T44" i="60"/>
  <c r="AD43" i="60"/>
  <c r="AC43" i="60"/>
  <c r="AB43" i="60"/>
  <c r="AA43" i="60"/>
  <c r="Z43" i="60"/>
  <c r="Y43" i="60"/>
  <c r="X43" i="60"/>
  <c r="W43" i="60"/>
  <c r="V43" i="60"/>
  <c r="U43" i="60"/>
  <c r="T43" i="60"/>
  <c r="AD42" i="60"/>
  <c r="AC42" i="60"/>
  <c r="AB42" i="60"/>
  <c r="AA42" i="60"/>
  <c r="Z42" i="60"/>
  <c r="Y42" i="60"/>
  <c r="X42" i="60"/>
  <c r="W42" i="60"/>
  <c r="V42" i="60"/>
  <c r="U42" i="60"/>
  <c r="T42" i="60"/>
  <c r="AD41" i="60"/>
  <c r="AC41" i="60"/>
  <c r="AB41" i="60"/>
  <c r="AA41" i="60"/>
  <c r="Z41" i="60"/>
  <c r="Y41" i="60"/>
  <c r="X41" i="60"/>
  <c r="W41" i="60"/>
  <c r="V41" i="60"/>
  <c r="U41" i="60"/>
  <c r="T41" i="60"/>
  <c r="AD40" i="60"/>
  <c r="AC40" i="60"/>
  <c r="AB40" i="60"/>
  <c r="AA40" i="60"/>
  <c r="Z40" i="60"/>
  <c r="Y40" i="60"/>
  <c r="X40" i="60"/>
  <c r="W40" i="60"/>
  <c r="V40" i="60"/>
  <c r="U40" i="60"/>
  <c r="T40" i="60"/>
  <c r="AD39" i="60"/>
  <c r="AC39" i="60"/>
  <c r="AB39" i="60"/>
  <c r="AA39" i="60"/>
  <c r="Z39" i="60"/>
  <c r="Y39" i="60"/>
  <c r="X39" i="60"/>
  <c r="W39" i="60"/>
  <c r="V39" i="60"/>
  <c r="U39" i="60"/>
  <c r="T39" i="60"/>
  <c r="T38" i="60"/>
  <c r="U38" i="60"/>
  <c r="V38" i="60"/>
  <c r="W38" i="60"/>
  <c r="W59" i="60"/>
  <c r="X38" i="60"/>
  <c r="X59" i="60"/>
  <c r="Y38" i="60"/>
  <c r="Y59" i="60"/>
  <c r="Z38" i="60"/>
  <c r="Z59" i="60"/>
  <c r="AA38" i="60"/>
  <c r="AA37" i="60"/>
  <c r="AB38" i="60"/>
  <c r="AB59" i="60"/>
  <c r="AC38" i="60"/>
  <c r="AC59" i="60"/>
  <c r="AD38" i="60"/>
  <c r="AD37" i="60"/>
  <c r="AE24" i="60"/>
  <c r="AE56" i="60"/>
  <c r="AE23" i="60"/>
  <c r="AE55" i="60"/>
  <c r="AE22" i="60"/>
  <c r="AE54" i="60"/>
  <c r="AE21" i="60"/>
  <c r="AE53" i="60"/>
  <c r="AE20" i="60"/>
  <c r="AE52" i="60"/>
  <c r="AE19" i="60"/>
  <c r="AE51" i="60"/>
  <c r="AE18" i="60"/>
  <c r="AE50" i="60"/>
  <c r="AE7" i="60"/>
  <c r="AE39" i="60"/>
  <c r="AE8" i="60"/>
  <c r="AE40" i="60"/>
  <c r="AE9" i="60"/>
  <c r="AE41" i="60"/>
  <c r="AE10" i="60"/>
  <c r="AE42" i="60"/>
  <c r="AE11" i="60"/>
  <c r="AE43" i="60"/>
  <c r="AE12" i="60"/>
  <c r="AE44" i="60"/>
  <c r="AE13" i="60"/>
  <c r="AE45" i="60"/>
  <c r="AE14" i="60"/>
  <c r="AE46" i="60"/>
  <c r="AE15" i="60"/>
  <c r="AE47" i="60"/>
  <c r="AE16" i="60"/>
  <c r="AE48" i="60"/>
  <c r="AE6" i="60"/>
  <c r="AE38" i="60"/>
  <c r="R19" i="60"/>
  <c r="R20" i="60"/>
  <c r="R21" i="60"/>
  <c r="R22" i="60"/>
  <c r="R23" i="60"/>
  <c r="R24" i="60"/>
  <c r="R26" i="60"/>
  <c r="R18" i="60"/>
  <c r="R7" i="60"/>
  <c r="R8" i="60"/>
  <c r="R9" i="60"/>
  <c r="R10" i="60"/>
  <c r="R11" i="60"/>
  <c r="R12" i="60"/>
  <c r="R13" i="60"/>
  <c r="R14" i="60"/>
  <c r="R15" i="60"/>
  <c r="R16" i="60"/>
  <c r="R6" i="60"/>
  <c r="S58" i="60"/>
  <c r="S56" i="60"/>
  <c r="S55" i="60"/>
  <c r="S54" i="60"/>
  <c r="S53" i="60"/>
  <c r="S52" i="60"/>
  <c r="S51" i="60"/>
  <c r="S50" i="60"/>
  <c r="S48" i="60"/>
  <c r="S47" i="60"/>
  <c r="S46" i="60"/>
  <c r="S45" i="60"/>
  <c r="S44" i="60"/>
  <c r="S43" i="60"/>
  <c r="S42" i="60"/>
  <c r="S41" i="60"/>
  <c r="S40" i="60"/>
  <c r="S39" i="60"/>
  <c r="S38" i="60"/>
  <c r="S25" i="60"/>
  <c r="S27" i="60"/>
  <c r="AE58" i="60"/>
  <c r="AF44" i="61"/>
  <c r="AF32" i="61"/>
  <c r="Q37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P31" i="56"/>
  <c r="P62" i="56" s="1"/>
  <c r="O31" i="56"/>
  <c r="O62" i="56" s="1"/>
  <c r="N31" i="56"/>
  <c r="N62" i="56" s="1"/>
  <c r="M31" i="56"/>
  <c r="M62" i="56" s="1"/>
  <c r="L31" i="56"/>
  <c r="L62" i="56" s="1"/>
  <c r="K31" i="56"/>
  <c r="K62" i="56" s="1"/>
  <c r="J31" i="56"/>
  <c r="J62" i="56" s="1"/>
  <c r="I31" i="56"/>
  <c r="I62" i="56" s="1"/>
  <c r="H31" i="56"/>
  <c r="H62" i="56" s="1"/>
  <c r="G31" i="56"/>
  <c r="G62" i="56" s="1"/>
  <c r="F31" i="56"/>
  <c r="F62" i="56" s="1"/>
  <c r="E31" i="56"/>
  <c r="E62" i="56" s="1"/>
  <c r="AC24" i="11"/>
  <c r="AR28" i="63" s="1"/>
  <c r="AC23" i="11"/>
  <c r="AR27" i="63" s="1"/>
  <c r="AC22" i="11"/>
  <c r="AR26" i="63" s="1"/>
  <c r="AC21" i="11"/>
  <c r="AR25" i="63" s="1"/>
  <c r="AC20" i="11"/>
  <c r="AC24" i="56" s="1"/>
  <c r="AC19" i="11"/>
  <c r="AC7" i="11"/>
  <c r="AR11" i="63" s="1"/>
  <c r="AC8" i="11"/>
  <c r="AR12" i="63" s="1"/>
  <c r="AR42" i="63" s="1"/>
  <c r="AC9" i="11"/>
  <c r="AR13" i="63" s="1"/>
  <c r="AC10" i="11"/>
  <c r="AC14" i="56" s="1"/>
  <c r="AC11" i="11"/>
  <c r="AC15" i="56" s="1"/>
  <c r="AC12" i="11"/>
  <c r="AR16" i="63" s="1"/>
  <c r="AC13" i="11"/>
  <c r="AC17" i="56" s="1"/>
  <c r="AC14" i="11"/>
  <c r="AR18" i="63" s="1"/>
  <c r="AC15" i="11"/>
  <c r="AR19" i="63" s="1"/>
  <c r="AC16" i="11"/>
  <c r="AR20" i="63" s="1"/>
  <c r="AC6" i="11"/>
  <c r="AC10" i="56" s="1"/>
  <c r="BD34" i="56"/>
  <c r="BC34" i="56"/>
  <c r="BB34" i="56"/>
  <c r="BA34" i="56"/>
  <c r="AZ34" i="56"/>
  <c r="AY34" i="56"/>
  <c r="AX34" i="56"/>
  <c r="AW34" i="56"/>
  <c r="AV34" i="56"/>
  <c r="AU34" i="56"/>
  <c r="AT34" i="56"/>
  <c r="AS34" i="56"/>
  <c r="BO62" i="56"/>
  <c r="BL62" i="56"/>
  <c r="BJ62" i="56"/>
  <c r="AK25" i="66" s="1"/>
  <c r="BF62" i="56"/>
  <c r="AG25" i="66" s="1"/>
  <c r="BD31" i="56"/>
  <c r="BC31" i="56"/>
  <c r="BB31" i="56"/>
  <c r="BA31" i="56"/>
  <c r="AZ31" i="56"/>
  <c r="BS55" i="13" s="1"/>
  <c r="AY31" i="56"/>
  <c r="BR55" i="13" s="1"/>
  <c r="AX31" i="56"/>
  <c r="BQ55" i="13" s="1"/>
  <c r="AW31" i="56"/>
  <c r="AV31" i="56"/>
  <c r="BO55" i="13" s="1"/>
  <c r="AU31" i="56"/>
  <c r="AT62" i="56"/>
  <c r="AC34" i="56"/>
  <c r="AB34" i="56"/>
  <c r="AA34" i="56"/>
  <c r="Z34" i="56"/>
  <c r="Y34" i="56"/>
  <c r="X34" i="56"/>
  <c r="W34" i="56"/>
  <c r="V34" i="56"/>
  <c r="U34" i="56"/>
  <c r="T34" i="56"/>
  <c r="S34" i="56"/>
  <c r="R34" i="56"/>
  <c r="AC31" i="56"/>
  <c r="AC62" i="56" s="1"/>
  <c r="AB31" i="56"/>
  <c r="AB62" i="56" s="1"/>
  <c r="AA31" i="56"/>
  <c r="AA62" i="56" s="1"/>
  <c r="Z31" i="56"/>
  <c r="Z62" i="56" s="1"/>
  <c r="Y31" i="56"/>
  <c r="Y62" i="56" s="1"/>
  <c r="X31" i="56"/>
  <c r="X62" i="56" s="1"/>
  <c r="W31" i="56"/>
  <c r="V31" i="56"/>
  <c r="V62" i="56" s="1"/>
  <c r="U31" i="56"/>
  <c r="U62" i="56" s="1"/>
  <c r="T31" i="56"/>
  <c r="T62" i="56" s="1"/>
  <c r="S31" i="56"/>
  <c r="S62" i="56" s="1"/>
  <c r="R31" i="56"/>
  <c r="R62" i="56" s="1"/>
  <c r="AD37" i="56"/>
  <c r="BD37" i="56"/>
  <c r="BC37" i="56"/>
  <c r="BB37" i="56"/>
  <c r="BA37" i="56"/>
  <c r="AZ37" i="56"/>
  <c r="AY37" i="56"/>
  <c r="AX37" i="56"/>
  <c r="AW37" i="56"/>
  <c r="AV37" i="56"/>
  <c r="AU37" i="56"/>
  <c r="AT37" i="56"/>
  <c r="AS37" i="56"/>
  <c r="BT30" i="11"/>
  <c r="B82" i="63"/>
  <c r="B83" i="63"/>
  <c r="B84" i="63"/>
  <c r="B85" i="63"/>
  <c r="B86" i="63"/>
  <c r="B87" i="63"/>
  <c r="B70" i="63"/>
  <c r="B71" i="63"/>
  <c r="B72" i="63"/>
  <c r="B73" i="63"/>
  <c r="B74" i="63"/>
  <c r="B75" i="63"/>
  <c r="B76" i="63"/>
  <c r="B77" i="63"/>
  <c r="B78" i="63"/>
  <c r="B79" i="63"/>
  <c r="AR60" i="63"/>
  <c r="AQ60" i="63"/>
  <c r="AP60" i="63"/>
  <c r="AO60" i="63"/>
  <c r="AN60" i="63"/>
  <c r="AM60" i="63"/>
  <c r="AL60" i="63"/>
  <c r="AK60" i="63"/>
  <c r="AJ60" i="63"/>
  <c r="AI60" i="63"/>
  <c r="AH60" i="63"/>
  <c r="AG60" i="63"/>
  <c r="AU58" i="63"/>
  <c r="AU57" i="63"/>
  <c r="AU56" i="63"/>
  <c r="AU55" i="63"/>
  <c r="AU54" i="63"/>
  <c r="AU53" i="63"/>
  <c r="B53" i="63"/>
  <c r="B54" i="63"/>
  <c r="B55" i="63"/>
  <c r="B56" i="63"/>
  <c r="B57" i="63"/>
  <c r="B58" i="63"/>
  <c r="AU52" i="63"/>
  <c r="AU50" i="63"/>
  <c r="AY49" i="63"/>
  <c r="AU49" i="63"/>
  <c r="AU48" i="63"/>
  <c r="AU47" i="63"/>
  <c r="AU46" i="63"/>
  <c r="AU45" i="63"/>
  <c r="AU44" i="63"/>
  <c r="AU43" i="63"/>
  <c r="AU42" i="63"/>
  <c r="AY41" i="63"/>
  <c r="AU41" i="63"/>
  <c r="B41" i="63"/>
  <c r="B42" i="63"/>
  <c r="B43" i="63"/>
  <c r="B44" i="63"/>
  <c r="B45" i="63"/>
  <c r="B46" i="63"/>
  <c r="B47" i="63"/>
  <c r="B48" i="63"/>
  <c r="B49" i="63"/>
  <c r="B50" i="63"/>
  <c r="AU40" i="63"/>
  <c r="AX36" i="63"/>
  <c r="AS36" i="63"/>
  <c r="AU33" i="63"/>
  <c r="AU32" i="63" s="1"/>
  <c r="AS33" i="63"/>
  <c r="AR33" i="63"/>
  <c r="AQ33" i="63"/>
  <c r="AP33" i="63"/>
  <c r="AO33" i="63"/>
  <c r="AN33" i="63"/>
  <c r="AM33" i="63"/>
  <c r="AL33" i="63"/>
  <c r="AK33" i="63"/>
  <c r="AJ33" i="63"/>
  <c r="AI33" i="63"/>
  <c r="AH33" i="63"/>
  <c r="AG33" i="63"/>
  <c r="AR30" i="63"/>
  <c r="AQ30" i="63"/>
  <c r="AP30" i="63"/>
  <c r="AO30" i="63"/>
  <c r="AN30" i="63"/>
  <c r="AM30" i="63"/>
  <c r="AL30" i="63"/>
  <c r="AK30" i="63"/>
  <c r="AJ30" i="63"/>
  <c r="AI30" i="63"/>
  <c r="AH30" i="63"/>
  <c r="AG30" i="63"/>
  <c r="B23" i="63"/>
  <c r="B24" i="63"/>
  <c r="B25" i="63"/>
  <c r="B26" i="63"/>
  <c r="B27" i="63"/>
  <c r="B28" i="63"/>
  <c r="AU21" i="63"/>
  <c r="B11" i="63"/>
  <c r="B12" i="63"/>
  <c r="B13" i="63"/>
  <c r="B14" i="63"/>
  <c r="B15" i="63"/>
  <c r="B16" i="63"/>
  <c r="B17" i="63"/>
  <c r="B18" i="63"/>
  <c r="B19" i="63"/>
  <c r="B20" i="63"/>
  <c r="AU9" i="63"/>
  <c r="AY8" i="63"/>
  <c r="AT28" i="56"/>
  <c r="AS28" i="56"/>
  <c r="AT27" i="56"/>
  <c r="AS27" i="56"/>
  <c r="AT26" i="56"/>
  <c r="AS26" i="56"/>
  <c r="AT25" i="56"/>
  <c r="AS25" i="56"/>
  <c r="AT24" i="56"/>
  <c r="AS24" i="56"/>
  <c r="AT23" i="56"/>
  <c r="AS23" i="56"/>
  <c r="AT22" i="56"/>
  <c r="AS11" i="56"/>
  <c r="AT11" i="56"/>
  <c r="AS12" i="56"/>
  <c r="AT12" i="56"/>
  <c r="AU12" i="56"/>
  <c r="AV12" i="56"/>
  <c r="AW12" i="56"/>
  <c r="AX12" i="56"/>
  <c r="AY12" i="56"/>
  <c r="BB12" i="56"/>
  <c r="BC12" i="56"/>
  <c r="BC43" i="56" s="1"/>
  <c r="BD12" i="56"/>
  <c r="AS13" i="56"/>
  <c r="AT13" i="56"/>
  <c r="AS14" i="56"/>
  <c r="AT14" i="56"/>
  <c r="AS15" i="56"/>
  <c r="AT15" i="56"/>
  <c r="AS16" i="56"/>
  <c r="AT16" i="56"/>
  <c r="AS17" i="56"/>
  <c r="AS18" i="56"/>
  <c r="AT18" i="56"/>
  <c r="AS19" i="56"/>
  <c r="AT19" i="56"/>
  <c r="AS20" i="56"/>
  <c r="AT20" i="56"/>
  <c r="AU10" i="56"/>
  <c r="AV10" i="56"/>
  <c r="AW10" i="56"/>
  <c r="AX10" i="56"/>
  <c r="AY10" i="56"/>
  <c r="AZ10" i="56"/>
  <c r="BA10" i="56"/>
  <c r="BB10" i="56"/>
  <c r="BC10" i="56"/>
  <c r="BD10" i="56"/>
  <c r="AT10" i="56"/>
  <c r="AS10" i="56"/>
  <c r="AE29" i="11"/>
  <c r="AF19" i="11"/>
  <c r="AF20" i="11"/>
  <c r="AF21" i="11"/>
  <c r="AF22" i="11"/>
  <c r="AF23" i="11"/>
  <c r="AF24" i="11"/>
  <c r="AF7" i="11"/>
  <c r="AF8" i="11"/>
  <c r="AF9" i="11"/>
  <c r="AF10" i="11"/>
  <c r="AF11" i="11"/>
  <c r="AF12" i="11"/>
  <c r="AF13" i="11"/>
  <c r="AF14" i="11"/>
  <c r="AF15" i="11"/>
  <c r="AF16" i="11"/>
  <c r="AF6" i="11"/>
  <c r="AE26" i="11"/>
  <c r="BW50" i="13"/>
  <c r="BV50" i="13"/>
  <c r="BU50" i="13"/>
  <c r="BT50" i="13"/>
  <c r="BS50" i="13"/>
  <c r="BR50" i="13"/>
  <c r="BQ50" i="13"/>
  <c r="BP50" i="13"/>
  <c r="BO50" i="13"/>
  <c r="BN50" i="13"/>
  <c r="BM50" i="13"/>
  <c r="BL50" i="13"/>
  <c r="BX49" i="13"/>
  <c r="BY49" i="13" s="1"/>
  <c r="E8" i="11"/>
  <c r="E12" i="56" s="1"/>
  <c r="E43" i="56" s="1"/>
  <c r="S30" i="11"/>
  <c r="T30" i="11"/>
  <c r="U30" i="11"/>
  <c r="V30" i="11"/>
  <c r="W30" i="11"/>
  <c r="X30" i="11"/>
  <c r="Y30" i="11"/>
  <c r="Z30" i="11"/>
  <c r="AA30" i="11"/>
  <c r="AB30" i="11"/>
  <c r="R30" i="11"/>
  <c r="AD4" i="11"/>
  <c r="AD35" i="11" s="1"/>
  <c r="AB22" i="56"/>
  <c r="AB19" i="11"/>
  <c r="AB20" i="11"/>
  <c r="AQ24" i="63" s="1"/>
  <c r="AB21" i="11"/>
  <c r="AQ25" i="63" s="1"/>
  <c r="AB22" i="11"/>
  <c r="AQ26" i="63" s="1"/>
  <c r="AB23" i="11"/>
  <c r="AQ27" i="63" s="1"/>
  <c r="AB24" i="11"/>
  <c r="AB6" i="11"/>
  <c r="AB10" i="56" s="1"/>
  <c r="AB7" i="11"/>
  <c r="AB11" i="56" s="1"/>
  <c r="AB8" i="11"/>
  <c r="AQ12" i="63" s="1"/>
  <c r="AQ42" i="63" s="1"/>
  <c r="AB9" i="11"/>
  <c r="AB13" i="56" s="1"/>
  <c r="AB10" i="11"/>
  <c r="AB11" i="11"/>
  <c r="AB12" i="11"/>
  <c r="AB16" i="56" s="1"/>
  <c r="AB13" i="11"/>
  <c r="AB17" i="56" s="1"/>
  <c r="AB14" i="11"/>
  <c r="AQ18" i="63" s="1"/>
  <c r="AB15" i="11"/>
  <c r="AQ19" i="63" s="1"/>
  <c r="AB16" i="11"/>
  <c r="AQ20" i="63" s="1"/>
  <c r="O58" i="60"/>
  <c r="AP22" i="63"/>
  <c r="AA19" i="11"/>
  <c r="AP23" i="63" s="1"/>
  <c r="AA20" i="11"/>
  <c r="AP24" i="63" s="1"/>
  <c r="AA21" i="11"/>
  <c r="AP25" i="63" s="1"/>
  <c r="AA22" i="11"/>
  <c r="AP26" i="63" s="1"/>
  <c r="AA23" i="11"/>
  <c r="AA27" i="56" s="1"/>
  <c r="AA24" i="11"/>
  <c r="AA28" i="56" s="1"/>
  <c r="AA7" i="11"/>
  <c r="AA11" i="56" s="1"/>
  <c r="AA8" i="11"/>
  <c r="AP12" i="63" s="1"/>
  <c r="AP42" i="63" s="1"/>
  <c r="AA9" i="11"/>
  <c r="AP13" i="63" s="1"/>
  <c r="AA10" i="11"/>
  <c r="AA11" i="11"/>
  <c r="AA15" i="56" s="1"/>
  <c r="AA12" i="11"/>
  <c r="AA16" i="56" s="1"/>
  <c r="AA13" i="11"/>
  <c r="AA14" i="11"/>
  <c r="AA15" i="11"/>
  <c r="AA16" i="11"/>
  <c r="AP20" i="63" s="1"/>
  <c r="BT26" i="11"/>
  <c r="AA6" i="11"/>
  <c r="AA10" i="56" s="1"/>
  <c r="BF26" i="11"/>
  <c r="Z19" i="11"/>
  <c r="AO23" i="63" s="1"/>
  <c r="Z20" i="11"/>
  <c r="Z21" i="11"/>
  <c r="Z22" i="11"/>
  <c r="AO26" i="63" s="1"/>
  <c r="Z23" i="11"/>
  <c r="Z24" i="11"/>
  <c r="AO28" i="63" s="1"/>
  <c r="Z7" i="11"/>
  <c r="Z11" i="56" s="1"/>
  <c r="Z9" i="11"/>
  <c r="AO13" i="63" s="1"/>
  <c r="Z11" i="11"/>
  <c r="AO15" i="63" s="1"/>
  <c r="Z12" i="11"/>
  <c r="AO16" i="63" s="1"/>
  <c r="Z13" i="11"/>
  <c r="AO17" i="63" s="1"/>
  <c r="Z15" i="11"/>
  <c r="AO19" i="63" s="1"/>
  <c r="Z14" i="11"/>
  <c r="Z18" i="56" s="1"/>
  <c r="Z16" i="11"/>
  <c r="AO20" i="63" s="1"/>
  <c r="Z10" i="11"/>
  <c r="Z8" i="11"/>
  <c r="Z6" i="11"/>
  <c r="AO10" i="63" s="1"/>
  <c r="BT29" i="11"/>
  <c r="Z7" i="13"/>
  <c r="Y7" i="13"/>
  <c r="Y3" i="13" s="1"/>
  <c r="Y24" i="11"/>
  <c r="Y23" i="11"/>
  <c r="Y27" i="56" s="1"/>
  <c r="Y22" i="11"/>
  <c r="AN26" i="63" s="1"/>
  <c r="Y21" i="11"/>
  <c r="Y20" i="11"/>
  <c r="AN24" i="63" s="1"/>
  <c r="Y19" i="11"/>
  <c r="AN22" i="63"/>
  <c r="Y8" i="11"/>
  <c r="AN12" i="63" s="1"/>
  <c r="AN42" i="63" s="1"/>
  <c r="Y10" i="11"/>
  <c r="Y11" i="11"/>
  <c r="Y12" i="11"/>
  <c r="Y13" i="11"/>
  <c r="Y14" i="11"/>
  <c r="Y15" i="11"/>
  <c r="Y16" i="11"/>
  <c r="Y20" i="56" s="1"/>
  <c r="Y7" i="11"/>
  <c r="AN11" i="63" s="1"/>
  <c r="Y6" i="11"/>
  <c r="AN10" i="63" s="1"/>
  <c r="L1" i="37"/>
  <c r="A65" i="13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F62" i="13"/>
  <c r="M53" i="13"/>
  <c r="AF53" i="13" s="1"/>
  <c r="BX52" i="13"/>
  <c r="AF52" i="13"/>
  <c r="AF51" i="13"/>
  <c r="AC50" i="13"/>
  <c r="AC99" i="13" s="1"/>
  <c r="AB50" i="13"/>
  <c r="AB105" i="13" s="1"/>
  <c r="AA50" i="13"/>
  <c r="AA80" i="13" s="1"/>
  <c r="N50" i="13"/>
  <c r="N110" i="13" s="1"/>
  <c r="M50" i="13"/>
  <c r="M104" i="13" s="1"/>
  <c r="L50" i="13"/>
  <c r="L71" i="13" s="1"/>
  <c r="J50" i="13"/>
  <c r="J105" i="13" s="1"/>
  <c r="I50" i="13"/>
  <c r="I84" i="13" s="1"/>
  <c r="BX48" i="13"/>
  <c r="BY48" i="13" s="1"/>
  <c r="U48" i="13"/>
  <c r="AG48" i="13" s="1"/>
  <c r="R48" i="13"/>
  <c r="BX47" i="13"/>
  <c r="BY47" i="13" s="1"/>
  <c r="R47" i="13"/>
  <c r="BX46" i="13"/>
  <c r="BY46" i="13" s="1"/>
  <c r="R46" i="13"/>
  <c r="BX45" i="13"/>
  <c r="BY45" i="13" s="1"/>
  <c r="R45" i="13"/>
  <c r="BX44" i="13"/>
  <c r="BY44" i="13" s="1"/>
  <c r="R44" i="13"/>
  <c r="BX43" i="13"/>
  <c r="BY43" i="13" s="1"/>
  <c r="R43" i="13"/>
  <c r="BX42" i="13"/>
  <c r="BY42" i="13" s="1"/>
  <c r="T42" i="13"/>
  <c r="R42" i="13"/>
  <c r="BX41" i="13"/>
  <c r="BY41" i="13" s="1"/>
  <c r="U41" i="13"/>
  <c r="U50" i="13" s="1"/>
  <c r="T41" i="13"/>
  <c r="S41" i="13"/>
  <c r="R21" i="11" s="1"/>
  <c r="R66" i="11" s="1"/>
  <c r="R41" i="13"/>
  <c r="BX40" i="13"/>
  <c r="BY40" i="13" s="1"/>
  <c r="R40" i="13"/>
  <c r="BX39" i="13"/>
  <c r="BY39" i="13" s="1"/>
  <c r="R39" i="13"/>
  <c r="BX38" i="13"/>
  <c r="BY38" i="13" s="1"/>
  <c r="R38" i="13"/>
  <c r="BX37" i="13"/>
  <c r="BY37" i="13" s="1"/>
  <c r="R37" i="13"/>
  <c r="BX36" i="13"/>
  <c r="BY36" i="13" s="1"/>
  <c r="R36" i="13"/>
  <c r="BX35" i="13"/>
  <c r="BY35" i="13" s="1"/>
  <c r="R35" i="13"/>
  <c r="BX34" i="13"/>
  <c r="BY34" i="13" s="1"/>
  <c r="R34" i="13"/>
  <c r="BX33" i="13"/>
  <c r="BY33" i="13" s="1"/>
  <c r="R33" i="13"/>
  <c r="BX32" i="13"/>
  <c r="BY32" i="13" s="1"/>
  <c r="R32" i="13"/>
  <c r="BX31" i="13"/>
  <c r="BY31" i="13" s="1"/>
  <c r="R31" i="13"/>
  <c r="BX30" i="13"/>
  <c r="BY30" i="13" s="1"/>
  <c r="R30" i="13"/>
  <c r="BX29" i="13"/>
  <c r="BY29" i="13" s="1"/>
  <c r="R29" i="13"/>
  <c r="BX28" i="13"/>
  <c r="BY28" i="13" s="1"/>
  <c r="R28" i="13"/>
  <c r="BX27" i="13"/>
  <c r="BY27" i="13" s="1"/>
  <c r="R27" i="13"/>
  <c r="BX26" i="13"/>
  <c r="BY26" i="13" s="1"/>
  <c r="Q26" i="13"/>
  <c r="P22" i="11" s="1"/>
  <c r="P26" i="13"/>
  <c r="O22" i="11" s="1"/>
  <c r="O26" i="13"/>
  <c r="N22" i="11" s="1"/>
  <c r="BX25" i="13"/>
  <c r="BY25" i="13" s="1"/>
  <c r="R25" i="13"/>
  <c r="BX24" i="13"/>
  <c r="BY24" i="13" s="1"/>
  <c r="R24" i="13"/>
  <c r="A24" i="13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52" i="13" s="1"/>
  <c r="A53" i="13" s="1"/>
  <c r="BX23" i="13"/>
  <c r="BY23" i="13" s="1"/>
  <c r="H23" i="13"/>
  <c r="H50" i="13" s="1"/>
  <c r="H95" i="13" s="1"/>
  <c r="G23" i="13"/>
  <c r="G50" i="13" s="1"/>
  <c r="F23" i="13"/>
  <c r="F50" i="13" s="1"/>
  <c r="E18" i="11"/>
  <c r="E22" i="56" s="1"/>
  <c r="BX21" i="13"/>
  <c r="BY21" i="13" s="1"/>
  <c r="R21" i="13"/>
  <c r="BX20" i="13"/>
  <c r="BY20" i="13" s="1"/>
  <c r="P20" i="13"/>
  <c r="O10" i="11" s="1"/>
  <c r="O67" i="11" s="1"/>
  <c r="O20" i="13"/>
  <c r="N10" i="11" s="1"/>
  <c r="N67" i="11" s="1"/>
  <c r="BX19" i="13"/>
  <c r="BY19" i="13" s="1"/>
  <c r="R19" i="13"/>
  <c r="BX18" i="13"/>
  <c r="BY18" i="13" s="1"/>
  <c r="R18" i="13"/>
  <c r="BX17" i="13"/>
  <c r="R17" i="13"/>
  <c r="R77" i="13" s="1"/>
  <c r="BX16" i="13"/>
  <c r="BY16" i="13" s="1"/>
  <c r="R16" i="13"/>
  <c r="BX15" i="13"/>
  <c r="BY15" i="13" s="1"/>
  <c r="R15" i="13"/>
  <c r="BX14" i="13"/>
  <c r="BY14" i="13" s="1"/>
  <c r="Q14" i="13"/>
  <c r="R14" i="13" s="1"/>
  <c r="BX13" i="13"/>
  <c r="BY13" i="13" s="1"/>
  <c r="R13" i="13"/>
  <c r="BX12" i="13"/>
  <c r="BY12" i="13" s="1"/>
  <c r="S12" i="13"/>
  <c r="S3" i="13" s="1"/>
  <c r="R12" i="13"/>
  <c r="BX11" i="13"/>
  <c r="BY11" i="13" s="1"/>
  <c r="R11" i="13"/>
  <c r="R9" i="13"/>
  <c r="R69" i="13" s="1"/>
  <c r="BX8" i="13"/>
  <c r="BY8" i="13" s="1"/>
  <c r="R8" i="13"/>
  <c r="BX7" i="13"/>
  <c r="BY7" i="13" s="1"/>
  <c r="R7" i="13"/>
  <c r="BX6" i="13"/>
  <c r="R6" i="13"/>
  <c r="R66" i="13" s="1"/>
  <c r="BX5" i="13"/>
  <c r="BY5" i="13" s="1"/>
  <c r="R5" i="13"/>
  <c r="A5" i="13"/>
  <c r="A6" i="13" s="1"/>
  <c r="K4" i="13"/>
  <c r="K50" i="13" s="1"/>
  <c r="K89" i="13" s="1"/>
  <c r="B75" i="61"/>
  <c r="B76" i="61"/>
  <c r="B77" i="61"/>
  <c r="B78" i="61"/>
  <c r="B79" i="61"/>
  <c r="B80" i="61"/>
  <c r="B63" i="61"/>
  <c r="B64" i="61"/>
  <c r="B65" i="61"/>
  <c r="B66" i="61"/>
  <c r="B67" i="61"/>
  <c r="B68" i="61"/>
  <c r="B69" i="61"/>
  <c r="B70" i="61"/>
  <c r="B71" i="61"/>
  <c r="B72" i="61"/>
  <c r="Q53" i="61"/>
  <c r="P53" i="61"/>
  <c r="O53" i="61"/>
  <c r="N53" i="61"/>
  <c r="M53" i="61"/>
  <c r="L53" i="61"/>
  <c r="K53" i="61"/>
  <c r="J53" i="61"/>
  <c r="I53" i="61"/>
  <c r="H53" i="61"/>
  <c r="G53" i="61"/>
  <c r="F53" i="61"/>
  <c r="E53" i="61"/>
  <c r="Q51" i="61"/>
  <c r="P51" i="61"/>
  <c r="O51" i="61"/>
  <c r="N51" i="61"/>
  <c r="M51" i="61"/>
  <c r="L51" i="61"/>
  <c r="K51" i="61"/>
  <c r="J51" i="61"/>
  <c r="I51" i="61"/>
  <c r="H51" i="61"/>
  <c r="G51" i="61"/>
  <c r="F51" i="61"/>
  <c r="E51" i="61"/>
  <c r="Q50" i="61"/>
  <c r="P50" i="61"/>
  <c r="O50" i="61"/>
  <c r="N50" i="61"/>
  <c r="M50" i="61"/>
  <c r="L50" i="61"/>
  <c r="K50" i="61"/>
  <c r="J50" i="61"/>
  <c r="I50" i="61"/>
  <c r="H50" i="61"/>
  <c r="G50" i="61"/>
  <c r="F50" i="61"/>
  <c r="E50" i="61"/>
  <c r="Q49" i="61"/>
  <c r="P49" i="61"/>
  <c r="O49" i="61"/>
  <c r="N49" i="61"/>
  <c r="M49" i="61"/>
  <c r="L49" i="61"/>
  <c r="K49" i="61"/>
  <c r="J49" i="61"/>
  <c r="I49" i="61"/>
  <c r="H49" i="61"/>
  <c r="G49" i="61"/>
  <c r="F49" i="61"/>
  <c r="E49" i="61"/>
  <c r="Q48" i="61"/>
  <c r="P48" i="61"/>
  <c r="O48" i="61"/>
  <c r="N48" i="61"/>
  <c r="M48" i="61"/>
  <c r="L48" i="61"/>
  <c r="K48" i="61"/>
  <c r="J48" i="61"/>
  <c r="I48" i="61"/>
  <c r="H48" i="61"/>
  <c r="G48" i="61"/>
  <c r="F48" i="61"/>
  <c r="E48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Q46" i="61"/>
  <c r="P46" i="61"/>
  <c r="O46" i="61"/>
  <c r="N46" i="61"/>
  <c r="M46" i="61"/>
  <c r="L46" i="61"/>
  <c r="K46" i="61"/>
  <c r="J46" i="61"/>
  <c r="I46" i="61"/>
  <c r="H46" i="61"/>
  <c r="G46" i="61"/>
  <c r="F46" i="61"/>
  <c r="E46" i="61"/>
  <c r="B46" i="61"/>
  <c r="B47" i="61"/>
  <c r="B48" i="61"/>
  <c r="B49" i="61"/>
  <c r="B50" i="61"/>
  <c r="B51" i="61"/>
  <c r="Q45" i="61"/>
  <c r="P45" i="61"/>
  <c r="O45" i="61"/>
  <c r="N45" i="61"/>
  <c r="M45" i="61"/>
  <c r="L45" i="61"/>
  <c r="K45" i="61"/>
  <c r="J45" i="61"/>
  <c r="I45" i="61"/>
  <c r="H45" i="61"/>
  <c r="G45" i="61"/>
  <c r="F45" i="61"/>
  <c r="E45" i="61"/>
  <c r="Q43" i="61"/>
  <c r="P43" i="61"/>
  <c r="O43" i="61"/>
  <c r="N43" i="61"/>
  <c r="M43" i="61"/>
  <c r="L43" i="61"/>
  <c r="K43" i="61"/>
  <c r="J43" i="61"/>
  <c r="I43" i="61"/>
  <c r="H43" i="61"/>
  <c r="G43" i="61"/>
  <c r="F43" i="61"/>
  <c r="E43" i="61"/>
  <c r="Q42" i="61"/>
  <c r="P42" i="61"/>
  <c r="O42" i="61"/>
  <c r="N42" i="61"/>
  <c r="M42" i="61"/>
  <c r="L42" i="61"/>
  <c r="K42" i="61"/>
  <c r="J42" i="61"/>
  <c r="I42" i="61"/>
  <c r="H42" i="61"/>
  <c r="G42" i="61"/>
  <c r="F42" i="61"/>
  <c r="E42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Q40" i="61"/>
  <c r="P40" i="61"/>
  <c r="O40" i="61"/>
  <c r="N40" i="61"/>
  <c r="M40" i="61"/>
  <c r="L40" i="61"/>
  <c r="K40" i="61"/>
  <c r="J40" i="61"/>
  <c r="I40" i="61"/>
  <c r="H40" i="61"/>
  <c r="G40" i="61"/>
  <c r="F40" i="61"/>
  <c r="E40" i="61"/>
  <c r="Q39" i="61"/>
  <c r="P39" i="61"/>
  <c r="O39" i="61"/>
  <c r="N39" i="61"/>
  <c r="M39" i="61"/>
  <c r="L39" i="61"/>
  <c r="K39" i="61"/>
  <c r="J39" i="61"/>
  <c r="I39" i="61"/>
  <c r="H39" i="61"/>
  <c r="G39" i="61"/>
  <c r="F39" i="61"/>
  <c r="E39" i="61"/>
  <c r="Q38" i="61"/>
  <c r="P38" i="61"/>
  <c r="O38" i="61"/>
  <c r="N38" i="61"/>
  <c r="M38" i="61"/>
  <c r="L38" i="61"/>
  <c r="K38" i="61"/>
  <c r="J38" i="61"/>
  <c r="I38" i="61"/>
  <c r="H38" i="61"/>
  <c r="G38" i="61"/>
  <c r="F38" i="61"/>
  <c r="E38" i="61"/>
  <c r="Q37" i="61"/>
  <c r="P37" i="61"/>
  <c r="O37" i="61"/>
  <c r="N37" i="61"/>
  <c r="M37" i="61"/>
  <c r="L37" i="61"/>
  <c r="K37" i="61"/>
  <c r="J37" i="61"/>
  <c r="I37" i="61"/>
  <c r="H37" i="61"/>
  <c r="G37" i="61"/>
  <c r="F37" i="61"/>
  <c r="E37" i="61"/>
  <c r="Q36" i="61"/>
  <c r="P36" i="61"/>
  <c r="O36" i="61"/>
  <c r="N36" i="61"/>
  <c r="M36" i="61"/>
  <c r="L36" i="61"/>
  <c r="K36" i="61"/>
  <c r="J36" i="61"/>
  <c r="I36" i="61"/>
  <c r="H36" i="61"/>
  <c r="G36" i="61"/>
  <c r="F36" i="61"/>
  <c r="E36" i="61"/>
  <c r="Q35" i="61"/>
  <c r="P35" i="61"/>
  <c r="O35" i="61"/>
  <c r="N35" i="61"/>
  <c r="M35" i="61"/>
  <c r="L35" i="61"/>
  <c r="K35" i="61"/>
  <c r="J35" i="61"/>
  <c r="I35" i="61"/>
  <c r="H35" i="61"/>
  <c r="G35" i="61"/>
  <c r="F35" i="61"/>
  <c r="E35" i="61"/>
  <c r="Q34" i="61"/>
  <c r="P34" i="61"/>
  <c r="O34" i="61"/>
  <c r="N34" i="61"/>
  <c r="M34" i="61"/>
  <c r="L34" i="61"/>
  <c r="K34" i="61"/>
  <c r="J34" i="61"/>
  <c r="I34" i="61"/>
  <c r="H34" i="61"/>
  <c r="G34" i="61"/>
  <c r="F34" i="61"/>
  <c r="E34" i="61"/>
  <c r="B34" i="61"/>
  <c r="B35" i="61"/>
  <c r="B36" i="61"/>
  <c r="B37" i="61"/>
  <c r="B38" i="61"/>
  <c r="B39" i="61"/>
  <c r="B40" i="61"/>
  <c r="B41" i="61"/>
  <c r="B42" i="61"/>
  <c r="B43" i="61"/>
  <c r="Q33" i="61"/>
  <c r="P33" i="61"/>
  <c r="O33" i="61"/>
  <c r="N33" i="61"/>
  <c r="M33" i="61"/>
  <c r="L33" i="61"/>
  <c r="K33" i="61"/>
  <c r="J33" i="61"/>
  <c r="I33" i="61"/>
  <c r="H33" i="61"/>
  <c r="G33" i="61"/>
  <c r="F33" i="61"/>
  <c r="E33" i="61"/>
  <c r="Q24" i="61"/>
  <c r="Q26" i="61"/>
  <c r="P24" i="61"/>
  <c r="P26" i="61"/>
  <c r="O24" i="61"/>
  <c r="O26" i="61"/>
  <c r="N24" i="61"/>
  <c r="N26" i="61"/>
  <c r="M24" i="61"/>
  <c r="M26" i="61"/>
  <c r="L24" i="61"/>
  <c r="L26" i="61"/>
  <c r="K24" i="61"/>
  <c r="K26" i="61"/>
  <c r="J24" i="61"/>
  <c r="J26" i="61"/>
  <c r="I24" i="61"/>
  <c r="I26" i="61"/>
  <c r="H24" i="61"/>
  <c r="H26" i="61"/>
  <c r="G24" i="61"/>
  <c r="G26" i="61"/>
  <c r="F24" i="61"/>
  <c r="F26" i="61"/>
  <c r="E24" i="61"/>
  <c r="E26" i="61"/>
  <c r="B18" i="61"/>
  <c r="B19" i="61"/>
  <c r="B20" i="61"/>
  <c r="B21" i="61"/>
  <c r="B22" i="61"/>
  <c r="B23" i="61"/>
  <c r="B6" i="61"/>
  <c r="B7" i="61"/>
  <c r="B8" i="61"/>
  <c r="B9" i="61"/>
  <c r="B10" i="61"/>
  <c r="B11" i="61"/>
  <c r="B12" i="61"/>
  <c r="B13" i="61"/>
  <c r="B14" i="61"/>
  <c r="B15" i="61"/>
  <c r="B80" i="60"/>
  <c r="B81" i="60"/>
  <c r="B82" i="60"/>
  <c r="B83" i="60"/>
  <c r="B84" i="60"/>
  <c r="B85" i="60"/>
  <c r="B68" i="60"/>
  <c r="B69" i="60"/>
  <c r="B70" i="60"/>
  <c r="B71" i="60"/>
  <c r="B72" i="60"/>
  <c r="B73" i="60"/>
  <c r="B74" i="60"/>
  <c r="B75" i="60"/>
  <c r="B76" i="60"/>
  <c r="B77" i="60"/>
  <c r="Q58" i="60"/>
  <c r="P58" i="60"/>
  <c r="N58" i="60"/>
  <c r="M58" i="60"/>
  <c r="L58" i="60"/>
  <c r="K58" i="60"/>
  <c r="J58" i="60"/>
  <c r="I58" i="60"/>
  <c r="H58" i="60"/>
  <c r="G58" i="60"/>
  <c r="F58" i="60"/>
  <c r="E58" i="60"/>
  <c r="Q56" i="60"/>
  <c r="P56" i="60"/>
  <c r="O56" i="60"/>
  <c r="N56" i="60"/>
  <c r="M56" i="60"/>
  <c r="L56" i="60"/>
  <c r="K56" i="60"/>
  <c r="J56" i="60"/>
  <c r="I56" i="60"/>
  <c r="H56" i="60"/>
  <c r="G56" i="60"/>
  <c r="F56" i="60"/>
  <c r="E56" i="60"/>
  <c r="Q55" i="60"/>
  <c r="P55" i="60"/>
  <c r="O55" i="60"/>
  <c r="N55" i="60"/>
  <c r="M55" i="60"/>
  <c r="L55" i="60"/>
  <c r="K55" i="60"/>
  <c r="J55" i="60"/>
  <c r="I55" i="60"/>
  <c r="H55" i="60"/>
  <c r="G55" i="60"/>
  <c r="F55" i="60"/>
  <c r="E55" i="60"/>
  <c r="Q54" i="60"/>
  <c r="P54" i="60"/>
  <c r="O54" i="60"/>
  <c r="N54" i="60"/>
  <c r="M54" i="60"/>
  <c r="L54" i="60"/>
  <c r="K54" i="60"/>
  <c r="J54" i="60"/>
  <c r="I54" i="60"/>
  <c r="H54" i="60"/>
  <c r="G54" i="60"/>
  <c r="F54" i="60"/>
  <c r="E54" i="60"/>
  <c r="Q53" i="60"/>
  <c r="P53" i="60"/>
  <c r="O53" i="60"/>
  <c r="N53" i="60"/>
  <c r="M53" i="60"/>
  <c r="L53" i="60"/>
  <c r="K53" i="60"/>
  <c r="J53" i="60"/>
  <c r="I53" i="60"/>
  <c r="H53" i="60"/>
  <c r="G53" i="60"/>
  <c r="F53" i="60"/>
  <c r="E53" i="60"/>
  <c r="Q52" i="60"/>
  <c r="P52" i="60"/>
  <c r="O52" i="60"/>
  <c r="N52" i="60"/>
  <c r="M52" i="60"/>
  <c r="L52" i="60"/>
  <c r="K52" i="60"/>
  <c r="J52" i="60"/>
  <c r="I52" i="60"/>
  <c r="H52" i="60"/>
  <c r="G52" i="60"/>
  <c r="F52" i="60"/>
  <c r="E52" i="60"/>
  <c r="Q51" i="60"/>
  <c r="P51" i="60"/>
  <c r="O51" i="60"/>
  <c r="N51" i="60"/>
  <c r="M51" i="60"/>
  <c r="L51" i="60"/>
  <c r="K51" i="60"/>
  <c r="J51" i="60"/>
  <c r="I51" i="60"/>
  <c r="H51" i="60"/>
  <c r="G51" i="60"/>
  <c r="F51" i="60"/>
  <c r="E51" i="60"/>
  <c r="B51" i="60"/>
  <c r="B52" i="60"/>
  <c r="B53" i="60"/>
  <c r="B54" i="60"/>
  <c r="B55" i="60"/>
  <c r="B56" i="60"/>
  <c r="Q50" i="60"/>
  <c r="P50" i="60"/>
  <c r="O50" i="60"/>
  <c r="N50" i="60"/>
  <c r="M50" i="60"/>
  <c r="L50" i="60"/>
  <c r="K50" i="60"/>
  <c r="J50" i="60"/>
  <c r="I50" i="60"/>
  <c r="H50" i="60"/>
  <c r="G50" i="60"/>
  <c r="F50" i="60"/>
  <c r="E50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Q43" i="60"/>
  <c r="P43" i="60"/>
  <c r="O43" i="60"/>
  <c r="N43" i="60"/>
  <c r="M43" i="60"/>
  <c r="L43" i="60"/>
  <c r="K43" i="60"/>
  <c r="J43" i="60"/>
  <c r="I43" i="60"/>
  <c r="H43" i="60"/>
  <c r="G43" i="60"/>
  <c r="F43" i="60"/>
  <c r="E43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Q40" i="60"/>
  <c r="P40" i="60"/>
  <c r="O40" i="60"/>
  <c r="N40" i="60"/>
  <c r="M40" i="60"/>
  <c r="L40" i="60"/>
  <c r="J40" i="60"/>
  <c r="I40" i="60"/>
  <c r="H40" i="60"/>
  <c r="G40" i="60"/>
  <c r="F40" i="60"/>
  <c r="E40" i="60"/>
  <c r="Q39" i="60"/>
  <c r="P39" i="60"/>
  <c r="O39" i="60"/>
  <c r="N39" i="60"/>
  <c r="M39" i="60"/>
  <c r="L39" i="60"/>
  <c r="K39" i="60"/>
  <c r="J39" i="60"/>
  <c r="I39" i="60"/>
  <c r="H39" i="60"/>
  <c r="G39" i="60"/>
  <c r="F39" i="60"/>
  <c r="E39" i="60"/>
  <c r="B39" i="60"/>
  <c r="B40" i="60"/>
  <c r="B41" i="60"/>
  <c r="B42" i="60"/>
  <c r="B43" i="60"/>
  <c r="B44" i="60"/>
  <c r="B45" i="60"/>
  <c r="B46" i="60"/>
  <c r="B47" i="60"/>
  <c r="B4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Q25" i="60"/>
  <c r="Q27" i="60"/>
  <c r="P25" i="60"/>
  <c r="P27" i="60"/>
  <c r="O25" i="60"/>
  <c r="O27" i="60"/>
  <c r="N25" i="60"/>
  <c r="N27" i="60"/>
  <c r="M25" i="60"/>
  <c r="M27" i="60"/>
  <c r="L25" i="60"/>
  <c r="L27" i="60"/>
  <c r="J25" i="60"/>
  <c r="J27" i="60"/>
  <c r="I25" i="60"/>
  <c r="I27" i="60"/>
  <c r="H25" i="60"/>
  <c r="H27" i="60"/>
  <c r="G25" i="60"/>
  <c r="G27" i="60"/>
  <c r="F25" i="60"/>
  <c r="F27" i="60"/>
  <c r="E25" i="60"/>
  <c r="E27" i="60"/>
  <c r="B19" i="60"/>
  <c r="B20" i="60"/>
  <c r="B21" i="60"/>
  <c r="B22" i="60"/>
  <c r="B23" i="60"/>
  <c r="B24" i="60"/>
  <c r="B7" i="60"/>
  <c r="B8" i="60"/>
  <c r="B9" i="60"/>
  <c r="B10" i="60"/>
  <c r="B11" i="60"/>
  <c r="B12" i="60"/>
  <c r="B13" i="60"/>
  <c r="B14" i="60"/>
  <c r="B15" i="60"/>
  <c r="B16" i="60"/>
  <c r="B84" i="56"/>
  <c r="B85" i="56" s="1"/>
  <c r="B86" i="56" s="1"/>
  <c r="B87" i="56" s="1"/>
  <c r="B88" i="56" s="1"/>
  <c r="B89" i="56" s="1"/>
  <c r="B72" i="56"/>
  <c r="B73" i="56" s="1"/>
  <c r="B74" i="56" s="1"/>
  <c r="B75" i="56" s="1"/>
  <c r="B76" i="56" s="1"/>
  <c r="B77" i="56" s="1"/>
  <c r="B78" i="56" s="1"/>
  <c r="B79" i="56" s="1"/>
  <c r="B80" i="56" s="1"/>
  <c r="B81" i="56" s="1"/>
  <c r="B54" i="56"/>
  <c r="B55" i="56"/>
  <c r="B56" i="56" s="1"/>
  <c r="B57" i="56" s="1"/>
  <c r="B58" i="56" s="1"/>
  <c r="B59" i="56" s="1"/>
  <c r="B42" i="56"/>
  <c r="B43" i="56" s="1"/>
  <c r="B44" i="56" s="1"/>
  <c r="B45" i="56" s="1"/>
  <c r="B46" i="56" s="1"/>
  <c r="B47" i="56" s="1"/>
  <c r="B48" i="56" s="1"/>
  <c r="B49" i="56" s="1"/>
  <c r="B50" i="56" s="1"/>
  <c r="B51" i="56" s="1"/>
  <c r="B23" i="56"/>
  <c r="B24" i="56" s="1"/>
  <c r="B25" i="56" s="1"/>
  <c r="B26" i="56" s="1"/>
  <c r="B27" i="56" s="1"/>
  <c r="B28" i="56" s="1"/>
  <c r="B11" i="56"/>
  <c r="B12" i="56" s="1"/>
  <c r="B13" i="56" s="1"/>
  <c r="B14" i="56" s="1"/>
  <c r="B15" i="56" s="1"/>
  <c r="B16" i="56" s="1"/>
  <c r="B17" i="56" s="1"/>
  <c r="B18" i="56" s="1"/>
  <c r="B19" i="56" s="1"/>
  <c r="B20" i="56" s="1"/>
  <c r="AD80" i="11"/>
  <c r="AC78" i="11"/>
  <c r="AB78" i="11"/>
  <c r="AA78" i="11"/>
  <c r="Z78" i="11"/>
  <c r="Y78" i="11"/>
  <c r="X78" i="11"/>
  <c r="W78" i="11"/>
  <c r="V78" i="11"/>
  <c r="B62" i="11"/>
  <c r="B63" i="11"/>
  <c r="B64" i="11"/>
  <c r="B65" i="11"/>
  <c r="B66" i="11"/>
  <c r="B67" i="11"/>
  <c r="B68" i="11"/>
  <c r="B69" i="11"/>
  <c r="B70" i="11"/>
  <c r="B71" i="11"/>
  <c r="B72" i="11" s="1"/>
  <c r="B73" i="11" s="1"/>
  <c r="B74" i="11" s="1"/>
  <c r="B75" i="11" s="1"/>
  <c r="B76" i="11" s="1"/>
  <c r="B77" i="11" s="1"/>
  <c r="B50" i="11"/>
  <c r="B51" i="11" s="1"/>
  <c r="B52" i="11" s="1"/>
  <c r="B53" i="11" s="1"/>
  <c r="B54" i="11" s="1"/>
  <c r="B55" i="11" s="1"/>
  <c r="B38" i="11"/>
  <c r="B39" i="11"/>
  <c r="B40" i="11"/>
  <c r="B41" i="11"/>
  <c r="B42" i="11" s="1"/>
  <c r="B43" i="11" s="1"/>
  <c r="B44" i="11" s="1"/>
  <c r="B45" i="11" s="1"/>
  <c r="B46" i="11" s="1"/>
  <c r="B47" i="11" s="1"/>
  <c r="AD26" i="11"/>
  <c r="Q26" i="11"/>
  <c r="X24" i="11"/>
  <c r="AM28" i="63" s="1"/>
  <c r="W24" i="11"/>
  <c r="W28" i="56" s="1"/>
  <c r="V24" i="11"/>
  <c r="V28" i="56" s="1"/>
  <c r="U24" i="11"/>
  <c r="U73" i="11" s="1"/>
  <c r="T24" i="11"/>
  <c r="T28" i="56" s="1"/>
  <c r="S24" i="11"/>
  <c r="R24" i="11"/>
  <c r="R28" i="56" s="1"/>
  <c r="P24" i="11"/>
  <c r="P73" i="11" s="1"/>
  <c r="O24" i="11"/>
  <c r="O28" i="56" s="1"/>
  <c r="N24" i="11"/>
  <c r="N28" i="56" s="1"/>
  <c r="M24" i="11"/>
  <c r="L24" i="11"/>
  <c r="K24" i="11"/>
  <c r="K73" i="11" s="1"/>
  <c r="J24" i="11"/>
  <c r="J28" i="56" s="1"/>
  <c r="I24" i="11"/>
  <c r="I28" i="56" s="1"/>
  <c r="H24" i="11"/>
  <c r="H28" i="56" s="1"/>
  <c r="G24" i="11"/>
  <c r="G73" i="11" s="1"/>
  <c r="F24" i="11"/>
  <c r="F28" i="56" s="1"/>
  <c r="E24" i="11"/>
  <c r="E73" i="11" s="1"/>
  <c r="X23" i="11"/>
  <c r="W23" i="11"/>
  <c r="W27" i="56" s="1"/>
  <c r="V23" i="11"/>
  <c r="V27" i="56" s="1"/>
  <c r="U23" i="11"/>
  <c r="U27" i="56" s="1"/>
  <c r="T23" i="11"/>
  <c r="S23" i="11"/>
  <c r="R23" i="11"/>
  <c r="AG27" i="63" s="1"/>
  <c r="P23" i="11"/>
  <c r="P27" i="56" s="1"/>
  <c r="O23" i="11"/>
  <c r="O27" i="56" s="1"/>
  <c r="N23" i="11"/>
  <c r="M23" i="11"/>
  <c r="M27" i="56" s="1"/>
  <c r="L23" i="11"/>
  <c r="L69" i="11" s="1"/>
  <c r="K23" i="11"/>
  <c r="K27" i="56" s="1"/>
  <c r="J23" i="11"/>
  <c r="I23" i="11"/>
  <c r="I27" i="56" s="1"/>
  <c r="H23" i="11"/>
  <c r="G23" i="11"/>
  <c r="G69" i="11" s="1"/>
  <c r="F23" i="11"/>
  <c r="F69" i="11" s="1"/>
  <c r="E23" i="11"/>
  <c r="E69" i="11" s="1"/>
  <c r="X22" i="11"/>
  <c r="W22" i="11"/>
  <c r="AL26" i="63" s="1"/>
  <c r="V22" i="11"/>
  <c r="U22" i="11"/>
  <c r="T22" i="11"/>
  <c r="T68" i="11" s="1"/>
  <c r="S22" i="11"/>
  <c r="M22" i="11"/>
  <c r="M26" i="56" s="1"/>
  <c r="L22" i="11"/>
  <c r="L26" i="56" s="1"/>
  <c r="K22" i="11"/>
  <c r="K68" i="11" s="1"/>
  <c r="J22" i="11"/>
  <c r="J68" i="11" s="1"/>
  <c r="I22" i="11"/>
  <c r="I68" i="11" s="1"/>
  <c r="H22" i="11"/>
  <c r="G22" i="11"/>
  <c r="G26" i="56" s="1"/>
  <c r="F22" i="11"/>
  <c r="F68" i="11" s="1"/>
  <c r="E22" i="11"/>
  <c r="X21" i="11"/>
  <c r="AM25" i="63" s="1"/>
  <c r="W21" i="11"/>
  <c r="V21" i="11"/>
  <c r="V25" i="56" s="1"/>
  <c r="U21" i="11"/>
  <c r="P21" i="11"/>
  <c r="O21" i="11"/>
  <c r="N21" i="11"/>
  <c r="N66" i="11" s="1"/>
  <c r="M21" i="11"/>
  <c r="M25" i="56" s="1"/>
  <c r="L21" i="11"/>
  <c r="L25" i="56" s="1"/>
  <c r="K21" i="11"/>
  <c r="J21" i="11"/>
  <c r="J25" i="56" s="1"/>
  <c r="I21" i="11"/>
  <c r="H21" i="11"/>
  <c r="H66" i="11" s="1"/>
  <c r="G21" i="11"/>
  <c r="G25" i="56" s="1"/>
  <c r="F21" i="11"/>
  <c r="E21" i="11"/>
  <c r="X20" i="11"/>
  <c r="W20" i="11"/>
  <c r="AL24" i="63" s="1"/>
  <c r="V20" i="11"/>
  <c r="U20" i="11"/>
  <c r="U24" i="56" s="1"/>
  <c r="T20" i="11"/>
  <c r="S20" i="11"/>
  <c r="S24" i="56" s="1"/>
  <c r="R20" i="11"/>
  <c r="R24" i="56" s="1"/>
  <c r="P20" i="11"/>
  <c r="P64" i="11" s="1"/>
  <c r="O20" i="11"/>
  <c r="O64" i="11" s="1"/>
  <c r="N20" i="11"/>
  <c r="N24" i="56" s="1"/>
  <c r="M20" i="11"/>
  <c r="L20" i="11"/>
  <c r="L24" i="56" s="1"/>
  <c r="K20" i="11"/>
  <c r="K64" i="11" s="1"/>
  <c r="J20" i="11"/>
  <c r="J24" i="56" s="1"/>
  <c r="I20" i="11"/>
  <c r="I24" i="56" s="1"/>
  <c r="H20" i="11"/>
  <c r="H64" i="11" s="1"/>
  <c r="G20" i="11"/>
  <c r="F20" i="11"/>
  <c r="F24" i="56" s="1"/>
  <c r="E20" i="11"/>
  <c r="E64" i="11" s="1"/>
  <c r="X19" i="11"/>
  <c r="AM23" i="63" s="1"/>
  <c r="W19" i="11"/>
  <c r="V19" i="11"/>
  <c r="AK23" i="63" s="1"/>
  <c r="U19" i="11"/>
  <c r="T19" i="11"/>
  <c r="T23" i="56" s="1"/>
  <c r="S19" i="11"/>
  <c r="S62" i="11" s="1"/>
  <c r="R19" i="11"/>
  <c r="AG23" i="63" s="1"/>
  <c r="P19" i="11"/>
  <c r="P62" i="11" s="1"/>
  <c r="O19" i="11"/>
  <c r="O62" i="11" s="1"/>
  <c r="N19" i="11"/>
  <c r="N62" i="11" s="1"/>
  <c r="M19" i="11"/>
  <c r="M62" i="11" s="1"/>
  <c r="L19" i="11"/>
  <c r="L23" i="56" s="1"/>
  <c r="K19" i="11"/>
  <c r="K23" i="56" s="1"/>
  <c r="J19" i="11"/>
  <c r="J62" i="11" s="1"/>
  <c r="I19" i="11"/>
  <c r="I23" i="56" s="1"/>
  <c r="H19" i="11"/>
  <c r="G19" i="11"/>
  <c r="F19" i="11"/>
  <c r="F62" i="11" s="1"/>
  <c r="E19" i="11"/>
  <c r="E62" i="11" s="1"/>
  <c r="B19" i="11"/>
  <c r="B20" i="11"/>
  <c r="B21" i="11"/>
  <c r="B22" i="11"/>
  <c r="B23" i="11"/>
  <c r="B24" i="11"/>
  <c r="X22" i="56"/>
  <c r="AL22" i="63"/>
  <c r="AJ22" i="63"/>
  <c r="AI22" i="63"/>
  <c r="AH22" i="63"/>
  <c r="P18" i="11"/>
  <c r="P22" i="56" s="1"/>
  <c r="O18" i="11"/>
  <c r="N18" i="11"/>
  <c r="M18" i="11"/>
  <c r="M22" i="56" s="1"/>
  <c r="L18" i="11"/>
  <c r="L22" i="56" s="1"/>
  <c r="K18" i="11"/>
  <c r="K22" i="56" s="1"/>
  <c r="J18" i="11"/>
  <c r="J22" i="56" s="1"/>
  <c r="I18" i="11"/>
  <c r="I22" i="56" s="1"/>
  <c r="H18" i="11"/>
  <c r="H22" i="56" s="1"/>
  <c r="X16" i="11"/>
  <c r="AM20" i="63" s="1"/>
  <c r="W16" i="11"/>
  <c r="AL20" i="63" s="1"/>
  <c r="V16" i="11"/>
  <c r="V20" i="56" s="1"/>
  <c r="U16" i="11"/>
  <c r="U20" i="56" s="1"/>
  <c r="T16" i="11"/>
  <c r="AI20" i="63" s="1"/>
  <c r="S16" i="11"/>
  <c r="S77" i="11" s="1"/>
  <c r="R16" i="11"/>
  <c r="R77" i="11" s="1"/>
  <c r="P16" i="11"/>
  <c r="O16" i="11"/>
  <c r="O77" i="11" s="1"/>
  <c r="N16" i="11"/>
  <c r="M16" i="11"/>
  <c r="M77" i="11" s="1"/>
  <c r="L16" i="11"/>
  <c r="L20" i="56" s="1"/>
  <c r="K16" i="11"/>
  <c r="K77" i="11" s="1"/>
  <c r="J16" i="11"/>
  <c r="I16" i="11"/>
  <c r="I77" i="11" s="1"/>
  <c r="H16" i="11"/>
  <c r="H20" i="56" s="1"/>
  <c r="G16" i="11"/>
  <c r="G77" i="11" s="1"/>
  <c r="F16" i="11"/>
  <c r="F77" i="11" s="1"/>
  <c r="E16" i="11"/>
  <c r="E77" i="11" s="1"/>
  <c r="X15" i="11"/>
  <c r="X19" i="56" s="1"/>
  <c r="W15" i="11"/>
  <c r="AL19" i="63" s="1"/>
  <c r="V15" i="11"/>
  <c r="AK19" i="63" s="1"/>
  <c r="U15" i="11"/>
  <c r="U75" i="11" s="1"/>
  <c r="T15" i="11"/>
  <c r="T19" i="56" s="1"/>
  <c r="S15" i="11"/>
  <c r="S75" i="11" s="1"/>
  <c r="R15" i="11"/>
  <c r="R19" i="56" s="1"/>
  <c r="P15" i="11"/>
  <c r="P19" i="56" s="1"/>
  <c r="O15" i="11"/>
  <c r="N15" i="11"/>
  <c r="M15" i="11"/>
  <c r="M19" i="56" s="1"/>
  <c r="L15" i="11"/>
  <c r="L75" i="11" s="1"/>
  <c r="K15" i="11"/>
  <c r="K19" i="56" s="1"/>
  <c r="J15" i="11"/>
  <c r="J75" i="11" s="1"/>
  <c r="I15" i="11"/>
  <c r="I19" i="56" s="1"/>
  <c r="H15" i="11"/>
  <c r="H19" i="56" s="1"/>
  <c r="G15" i="11"/>
  <c r="G19" i="56" s="1"/>
  <c r="F15" i="11"/>
  <c r="F19" i="56" s="1"/>
  <c r="E15" i="11"/>
  <c r="E19" i="56" s="1"/>
  <c r="X14" i="11"/>
  <c r="AM18" i="63" s="1"/>
  <c r="W14" i="11"/>
  <c r="W18" i="56" s="1"/>
  <c r="V14" i="11"/>
  <c r="AK18" i="63" s="1"/>
  <c r="U14" i="11"/>
  <c r="U18" i="56" s="1"/>
  <c r="T14" i="11"/>
  <c r="T18" i="56" s="1"/>
  <c r="S14" i="11"/>
  <c r="AH18" i="63" s="1"/>
  <c r="R14" i="11"/>
  <c r="P14" i="11"/>
  <c r="P76" i="11" s="1"/>
  <c r="O14" i="11"/>
  <c r="O18" i="56" s="1"/>
  <c r="N14" i="11"/>
  <c r="N18" i="56" s="1"/>
  <c r="M14" i="11"/>
  <c r="L14" i="11"/>
  <c r="K14" i="11"/>
  <c r="K18" i="56" s="1"/>
  <c r="J14" i="11"/>
  <c r="J76" i="11" s="1"/>
  <c r="I14" i="11"/>
  <c r="I76" i="11" s="1"/>
  <c r="H14" i="11"/>
  <c r="H18" i="56" s="1"/>
  <c r="G14" i="11"/>
  <c r="F14" i="11"/>
  <c r="F76" i="11" s="1"/>
  <c r="E14" i="11"/>
  <c r="X13" i="11"/>
  <c r="X17" i="56" s="1"/>
  <c r="W13" i="11"/>
  <c r="AL17" i="63" s="1"/>
  <c r="V13" i="11"/>
  <c r="V17" i="56" s="1"/>
  <c r="U13" i="11"/>
  <c r="T13" i="11"/>
  <c r="S13" i="11"/>
  <c r="S17" i="56" s="1"/>
  <c r="R13" i="11"/>
  <c r="P13" i="11"/>
  <c r="P17" i="56" s="1"/>
  <c r="O13" i="11"/>
  <c r="O17" i="56" s="1"/>
  <c r="N13" i="11"/>
  <c r="N17" i="56" s="1"/>
  <c r="M13" i="11"/>
  <c r="M17" i="56" s="1"/>
  <c r="L13" i="11"/>
  <c r="L17" i="56" s="1"/>
  <c r="K13" i="11"/>
  <c r="K74" i="11" s="1"/>
  <c r="J13" i="11"/>
  <c r="J74" i="11" s="1"/>
  <c r="I13" i="11"/>
  <c r="I74" i="11" s="1"/>
  <c r="H13" i="11"/>
  <c r="G13" i="11"/>
  <c r="F13" i="11"/>
  <c r="F74" i="11" s="1"/>
  <c r="E13" i="11"/>
  <c r="X12" i="11"/>
  <c r="X16" i="56" s="1"/>
  <c r="W12" i="11"/>
  <c r="V12" i="11"/>
  <c r="V16" i="56" s="1"/>
  <c r="U12" i="11"/>
  <c r="AJ16" i="63" s="1"/>
  <c r="T12" i="11"/>
  <c r="T72" i="11" s="1"/>
  <c r="S12" i="11"/>
  <c r="S72" i="11" s="1"/>
  <c r="R12" i="11"/>
  <c r="R72" i="11" s="1"/>
  <c r="P12" i="11"/>
  <c r="P72" i="11" s="1"/>
  <c r="O12" i="11"/>
  <c r="N12" i="11"/>
  <c r="N72" i="11" s="1"/>
  <c r="M12" i="11"/>
  <c r="M72" i="11" s="1"/>
  <c r="L12" i="11"/>
  <c r="K12" i="11"/>
  <c r="J12" i="11"/>
  <c r="J16" i="56" s="1"/>
  <c r="I12" i="11"/>
  <c r="H12" i="11"/>
  <c r="H16" i="56" s="1"/>
  <c r="G12" i="11"/>
  <c r="G16" i="56" s="1"/>
  <c r="F12" i="11"/>
  <c r="F16" i="56" s="1"/>
  <c r="E12" i="11"/>
  <c r="E16" i="56" s="1"/>
  <c r="X11" i="11"/>
  <c r="AM15" i="63" s="1"/>
  <c r="W11" i="11"/>
  <c r="V11" i="11"/>
  <c r="U11" i="11"/>
  <c r="U70" i="11" s="1"/>
  <c r="T11" i="11"/>
  <c r="T15" i="56" s="1"/>
  <c r="S11" i="11"/>
  <c r="R11" i="11"/>
  <c r="R15" i="56" s="1"/>
  <c r="P11" i="11"/>
  <c r="P70" i="11" s="1"/>
  <c r="O11" i="11"/>
  <c r="O15" i="56" s="1"/>
  <c r="N11" i="11"/>
  <c r="M11" i="11"/>
  <c r="M15" i="56" s="1"/>
  <c r="L11" i="11"/>
  <c r="L15" i="56" s="1"/>
  <c r="K11" i="11"/>
  <c r="J11" i="11"/>
  <c r="J70" i="11" s="1"/>
  <c r="I11" i="11"/>
  <c r="I15" i="56" s="1"/>
  <c r="H11" i="11"/>
  <c r="H15" i="56" s="1"/>
  <c r="G11" i="11"/>
  <c r="G70" i="11" s="1"/>
  <c r="F11" i="11"/>
  <c r="F70" i="11" s="1"/>
  <c r="E11" i="11"/>
  <c r="E15" i="56" s="1"/>
  <c r="X10" i="11"/>
  <c r="X14" i="56" s="1"/>
  <c r="W10" i="11"/>
  <c r="V10" i="11"/>
  <c r="AK14" i="63" s="1"/>
  <c r="U10" i="11"/>
  <c r="U67" i="11" s="1"/>
  <c r="T10" i="11"/>
  <c r="AI14" i="63" s="1"/>
  <c r="S10" i="11"/>
  <c r="S14" i="56" s="1"/>
  <c r="M10" i="11"/>
  <c r="L10" i="11"/>
  <c r="L14" i="56" s="1"/>
  <c r="K10" i="11"/>
  <c r="K14" i="56" s="1"/>
  <c r="J10" i="11"/>
  <c r="J67" i="11" s="1"/>
  <c r="I10" i="11"/>
  <c r="H10" i="11"/>
  <c r="H67" i="11" s="1"/>
  <c r="G10" i="11"/>
  <c r="G67" i="11" s="1"/>
  <c r="F10" i="11"/>
  <c r="F14" i="56" s="1"/>
  <c r="E10" i="11"/>
  <c r="E67" i="11" s="1"/>
  <c r="W9" i="11"/>
  <c r="AL13" i="63" s="1"/>
  <c r="V9" i="11"/>
  <c r="AK13" i="63" s="1"/>
  <c r="U9" i="11"/>
  <c r="U13" i="56" s="1"/>
  <c r="T9" i="11"/>
  <c r="T13" i="56" s="1"/>
  <c r="S9" i="11"/>
  <c r="S13" i="56" s="1"/>
  <c r="R9" i="11"/>
  <c r="P9" i="11"/>
  <c r="P65" i="11" s="1"/>
  <c r="O9" i="11"/>
  <c r="N9" i="11"/>
  <c r="N13" i="56" s="1"/>
  <c r="M9" i="11"/>
  <c r="M13" i="56" s="1"/>
  <c r="L9" i="11"/>
  <c r="L13" i="56" s="1"/>
  <c r="K9" i="11"/>
  <c r="J9" i="11"/>
  <c r="J65" i="11" s="1"/>
  <c r="I9" i="11"/>
  <c r="H9" i="11"/>
  <c r="H13" i="56" s="1"/>
  <c r="G9" i="11"/>
  <c r="G65" i="11" s="1"/>
  <c r="F9" i="11"/>
  <c r="F13" i="56" s="1"/>
  <c r="E9" i="11"/>
  <c r="E13" i="56" s="1"/>
  <c r="X8" i="11"/>
  <c r="W8" i="11"/>
  <c r="AL12" i="63" s="1"/>
  <c r="AL42" i="63" s="1"/>
  <c r="V8" i="11"/>
  <c r="U8" i="11"/>
  <c r="U12" i="56" s="1"/>
  <c r="U43" i="56" s="1"/>
  <c r="T8" i="11"/>
  <c r="T12" i="56" s="1"/>
  <c r="T43" i="56" s="1"/>
  <c r="S8" i="11"/>
  <c r="AH12" i="63" s="1"/>
  <c r="AH42" i="63" s="1"/>
  <c r="R8" i="11"/>
  <c r="R71" i="11" s="1"/>
  <c r="P8" i="11"/>
  <c r="P12" i="56" s="1"/>
  <c r="P43" i="56" s="1"/>
  <c r="O8" i="11"/>
  <c r="N8" i="11"/>
  <c r="M8" i="11"/>
  <c r="L8" i="11"/>
  <c r="L12" i="56" s="1"/>
  <c r="L43" i="56" s="1"/>
  <c r="K8" i="11"/>
  <c r="K12" i="56" s="1"/>
  <c r="K43" i="56" s="1"/>
  <c r="J8" i="11"/>
  <c r="J12" i="56" s="1"/>
  <c r="J43" i="56" s="1"/>
  <c r="I8" i="11"/>
  <c r="I71" i="11" s="1"/>
  <c r="H8" i="11"/>
  <c r="H12" i="56" s="1"/>
  <c r="H43" i="56" s="1"/>
  <c r="G8" i="11"/>
  <c r="G71" i="11" s="1"/>
  <c r="F8" i="11"/>
  <c r="F12" i="56" s="1"/>
  <c r="F43" i="56" s="1"/>
  <c r="X7" i="11"/>
  <c r="W7" i="11"/>
  <c r="W11" i="56" s="1"/>
  <c r="V7" i="11"/>
  <c r="U7" i="11"/>
  <c r="T7" i="11"/>
  <c r="S7" i="11"/>
  <c r="R7" i="11"/>
  <c r="R11" i="56" s="1"/>
  <c r="P7" i="11"/>
  <c r="P63" i="11" s="1"/>
  <c r="O7" i="11"/>
  <c r="O63" i="11" s="1"/>
  <c r="N7" i="11"/>
  <c r="N63" i="11" s="1"/>
  <c r="M7" i="11"/>
  <c r="M63" i="11" s="1"/>
  <c r="L7" i="11"/>
  <c r="K7" i="11"/>
  <c r="K11" i="56" s="1"/>
  <c r="J7" i="11"/>
  <c r="I7" i="11"/>
  <c r="I63" i="11" s="1"/>
  <c r="H7" i="11"/>
  <c r="G7" i="11"/>
  <c r="G11" i="56" s="1"/>
  <c r="F7" i="11"/>
  <c r="F11" i="56" s="1"/>
  <c r="E7" i="11"/>
  <c r="E11" i="56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P6" i="11"/>
  <c r="P10" i="56" s="1"/>
  <c r="O6" i="11"/>
  <c r="O10" i="56" s="1"/>
  <c r="N6" i="11"/>
  <c r="N61" i="11" s="1"/>
  <c r="M6" i="11"/>
  <c r="M10" i="56" s="1"/>
  <c r="L6" i="11"/>
  <c r="L10" i="56" s="1"/>
  <c r="K6" i="11"/>
  <c r="I6" i="11"/>
  <c r="H6" i="11"/>
  <c r="H10" i="56" s="1"/>
  <c r="G6" i="11"/>
  <c r="G10" i="56" s="1"/>
  <c r="F6" i="11"/>
  <c r="E6" i="11"/>
  <c r="AK22" i="63"/>
  <c r="K40" i="60"/>
  <c r="K25" i="60"/>
  <c r="K27" i="60"/>
  <c r="S53" i="61"/>
  <c r="S6" i="11"/>
  <c r="T6" i="11"/>
  <c r="AI10" i="63" s="1"/>
  <c r="R6" i="11"/>
  <c r="AG10" i="63" s="1"/>
  <c r="AF59" i="60"/>
  <c r="AF49" i="60"/>
  <c r="AF37" i="60"/>
  <c r="X6" i="11"/>
  <c r="X10" i="56" s="1"/>
  <c r="V50" i="13"/>
  <c r="V73" i="13" s="1"/>
  <c r="U6" i="11"/>
  <c r="AJ10" i="63" s="1"/>
  <c r="X50" i="13"/>
  <c r="X84" i="13" s="1"/>
  <c r="W6" i="11"/>
  <c r="W10" i="56" s="1"/>
  <c r="V6" i="11"/>
  <c r="AK10" i="63" s="1"/>
  <c r="W50" i="13"/>
  <c r="W74" i="13" s="1"/>
  <c r="S44" i="61"/>
  <c r="AF57" i="60"/>
  <c r="AF60" i="60"/>
  <c r="F49" i="60"/>
  <c r="Y37" i="60"/>
  <c r="Y57" i="60"/>
  <c r="AE37" i="61"/>
  <c r="G54" i="61"/>
  <c r="R54" i="60"/>
  <c r="R43" i="61"/>
  <c r="R51" i="61"/>
  <c r="L54" i="61"/>
  <c r="AE51" i="61"/>
  <c r="AE50" i="61"/>
  <c r="G59" i="60"/>
  <c r="E54" i="61"/>
  <c r="AE48" i="61"/>
  <c r="AE33" i="61"/>
  <c r="R35" i="61"/>
  <c r="R43" i="60"/>
  <c r="R42" i="60"/>
  <c r="M59" i="60"/>
  <c r="R40" i="60"/>
  <c r="S54" i="61"/>
  <c r="J37" i="60"/>
  <c r="R39" i="60"/>
  <c r="F59" i="60"/>
  <c r="K54" i="61"/>
  <c r="I37" i="60"/>
  <c r="R50" i="60"/>
  <c r="G37" i="60"/>
  <c r="Q54" i="61"/>
  <c r="R41" i="61"/>
  <c r="AU29" i="63"/>
  <c r="AU31" i="63"/>
  <c r="R53" i="60"/>
  <c r="R40" i="61"/>
  <c r="AF52" i="61"/>
  <c r="AF55" i="61"/>
  <c r="R48" i="60"/>
  <c r="R39" i="61"/>
  <c r="R51" i="60"/>
  <c r="R38" i="61"/>
  <c r="R37" i="61"/>
  <c r="R45" i="60"/>
  <c r="R36" i="61"/>
  <c r="AE46" i="61"/>
  <c r="R25" i="60"/>
  <c r="R27" i="60"/>
  <c r="P37" i="60"/>
  <c r="I59" i="60"/>
  <c r="E59" i="60"/>
  <c r="N59" i="60"/>
  <c r="Q49" i="60"/>
  <c r="I49" i="60"/>
  <c r="J59" i="60"/>
  <c r="M49" i="60"/>
  <c r="R58" i="60"/>
  <c r="X37" i="60"/>
  <c r="R44" i="60"/>
  <c r="W37" i="60"/>
  <c r="W57" i="60"/>
  <c r="AE45" i="61"/>
  <c r="T44" i="61"/>
  <c r="Z52" i="61"/>
  <c r="Z77" i="61"/>
  <c r="K32" i="61"/>
  <c r="H59" i="60"/>
  <c r="S32" i="61"/>
  <c r="S52" i="61"/>
  <c r="J49" i="60"/>
  <c r="I44" i="61"/>
  <c r="V49" i="60"/>
  <c r="AE49" i="61"/>
  <c r="H32" i="61"/>
  <c r="M54" i="61"/>
  <c r="J54" i="61"/>
  <c r="P32" i="61"/>
  <c r="M37" i="60"/>
  <c r="O59" i="60"/>
  <c r="K37" i="60"/>
  <c r="L49" i="60"/>
  <c r="O49" i="60"/>
  <c r="E49" i="60"/>
  <c r="N32" i="61"/>
  <c r="G32" i="61"/>
  <c r="L44" i="61"/>
  <c r="AD59" i="60"/>
  <c r="U44" i="61"/>
  <c r="R46" i="60"/>
  <c r="V59" i="60"/>
  <c r="O44" i="61"/>
  <c r="N54" i="61"/>
  <c r="E44" i="61"/>
  <c r="H44" i="61"/>
  <c r="S59" i="60"/>
  <c r="R56" i="60"/>
  <c r="AB37" i="60"/>
  <c r="AB57" i="60"/>
  <c r="AE41" i="61"/>
  <c r="F32" i="61"/>
  <c r="L32" i="61"/>
  <c r="AA59" i="60"/>
  <c r="E32" i="61"/>
  <c r="F37" i="60"/>
  <c r="O32" i="61"/>
  <c r="J32" i="61"/>
  <c r="Q32" i="61"/>
  <c r="P44" i="61"/>
  <c r="P54" i="61"/>
  <c r="E37" i="60"/>
  <c r="K59" i="60"/>
  <c r="Q28" i="61"/>
  <c r="O54" i="61"/>
  <c r="F44" i="61"/>
  <c r="I32" i="61"/>
  <c r="G49" i="60"/>
  <c r="M32" i="61"/>
  <c r="K44" i="61"/>
  <c r="X57" i="60"/>
  <c r="X60" i="60"/>
  <c r="X92" i="60"/>
  <c r="R33" i="61"/>
  <c r="R50" i="61"/>
  <c r="V37" i="60"/>
  <c r="U59" i="60"/>
  <c r="AC52" i="61"/>
  <c r="AC71" i="61"/>
  <c r="K49" i="60"/>
  <c r="N49" i="60"/>
  <c r="V32" i="61"/>
  <c r="R47" i="60"/>
  <c r="R41" i="60"/>
  <c r="T37" i="60"/>
  <c r="AA52" i="61"/>
  <c r="AA70" i="61"/>
  <c r="U32" i="61"/>
  <c r="AE25" i="60"/>
  <c r="AE27" i="60"/>
  <c r="AD52" i="61"/>
  <c r="AD64" i="61"/>
  <c r="T49" i="60"/>
  <c r="V44" i="61"/>
  <c r="X44" i="61"/>
  <c r="X52" i="61"/>
  <c r="R38" i="60"/>
  <c r="R55" i="60"/>
  <c r="T59" i="60"/>
  <c r="R34" i="61"/>
  <c r="AE24" i="61"/>
  <c r="AE26" i="61"/>
  <c r="W44" i="61"/>
  <c r="W52" i="61"/>
  <c r="W74" i="61"/>
  <c r="W73" i="61"/>
  <c r="R52" i="60"/>
  <c r="R45" i="61"/>
  <c r="AE36" i="61"/>
  <c r="AU51" i="63"/>
  <c r="AE40" i="61"/>
  <c r="R46" i="61"/>
  <c r="AU61" i="63"/>
  <c r="AE42" i="61"/>
  <c r="R47" i="61"/>
  <c r="T32" i="61"/>
  <c r="R48" i="61"/>
  <c r="AE38" i="61"/>
  <c r="AC37" i="60"/>
  <c r="U49" i="60"/>
  <c r="R49" i="61"/>
  <c r="N37" i="60"/>
  <c r="N44" i="61"/>
  <c r="J44" i="61"/>
  <c r="M44" i="61"/>
  <c r="H37" i="60"/>
  <c r="L37" i="60"/>
  <c r="L59" i="60"/>
  <c r="Q59" i="60"/>
  <c r="Q37" i="60"/>
  <c r="P59" i="60"/>
  <c r="O37" i="60"/>
  <c r="I54" i="61"/>
  <c r="H49" i="60"/>
  <c r="P49" i="60"/>
  <c r="F54" i="61"/>
  <c r="H54" i="61"/>
  <c r="Q44" i="61"/>
  <c r="G44" i="61"/>
  <c r="R24" i="61"/>
  <c r="R26" i="61"/>
  <c r="Z69" i="61"/>
  <c r="Z76" i="61"/>
  <c r="AE59" i="60"/>
  <c r="AA57" i="60"/>
  <c r="AA81" i="60"/>
  <c r="AD57" i="60"/>
  <c r="AD82" i="60"/>
  <c r="AE37" i="60"/>
  <c r="AE49" i="60"/>
  <c r="U37" i="60"/>
  <c r="AE43" i="61"/>
  <c r="AE47" i="61"/>
  <c r="AB32" i="61"/>
  <c r="AB52" i="61"/>
  <c r="AB75" i="61"/>
  <c r="AU39" i="63"/>
  <c r="S37" i="60"/>
  <c r="S49" i="60"/>
  <c r="AE34" i="61"/>
  <c r="AE35" i="61"/>
  <c r="Z37" i="60"/>
  <c r="Z57" i="60"/>
  <c r="Z82" i="60"/>
  <c r="AC49" i="60"/>
  <c r="Y44" i="61"/>
  <c r="Y52" i="61"/>
  <c r="Y69" i="61"/>
  <c r="K52" i="61"/>
  <c r="K69" i="61"/>
  <c r="P57" i="60"/>
  <c r="P68" i="60"/>
  <c r="Z68" i="61"/>
  <c r="AC57" i="60"/>
  <c r="AC91" i="60"/>
  <c r="AD76" i="61"/>
  <c r="AD80" i="61"/>
  <c r="AD72" i="61"/>
  <c r="AD68" i="61"/>
  <c r="E57" i="60"/>
  <c r="AG40" i="60"/>
  <c r="N57" i="60"/>
  <c r="N76" i="60"/>
  <c r="G52" i="61"/>
  <c r="G68" i="61"/>
  <c r="AD66" i="61"/>
  <c r="X85" i="60"/>
  <c r="Z75" i="61"/>
  <c r="L52" i="61"/>
  <c r="L55" i="61"/>
  <c r="Z72" i="61"/>
  <c r="V57" i="60"/>
  <c r="V75" i="60"/>
  <c r="F57" i="60"/>
  <c r="F82" i="60"/>
  <c r="AD70" i="61"/>
  <c r="Y73" i="60"/>
  <c r="Y80" i="60"/>
  <c r="Y60" i="60"/>
  <c r="Y92" i="60"/>
  <c r="Y77" i="60"/>
  <c r="Y68" i="60"/>
  <c r="Y76" i="60"/>
  <c r="Y83" i="60"/>
  <c r="Y72" i="60"/>
  <c r="Y85" i="60"/>
  <c r="Y91" i="60"/>
  <c r="Y70" i="60"/>
  <c r="Y71" i="60"/>
  <c r="Y69" i="60"/>
  <c r="Y82" i="60"/>
  <c r="Y84" i="60"/>
  <c r="Y75" i="60"/>
  <c r="Y79" i="60"/>
  <c r="Y78" i="60"/>
  <c r="Y67" i="60"/>
  <c r="Y66" i="60"/>
  <c r="Y81" i="60"/>
  <c r="Y74" i="60"/>
  <c r="F74" i="60"/>
  <c r="U52" i="61"/>
  <c r="U80" i="61"/>
  <c r="P52" i="61"/>
  <c r="P64" i="61"/>
  <c r="O52" i="61"/>
  <c r="O70" i="61"/>
  <c r="X71" i="60"/>
  <c r="Z71" i="61"/>
  <c r="Z70" i="61"/>
  <c r="X79" i="60"/>
  <c r="X78" i="60"/>
  <c r="Z65" i="61"/>
  <c r="Z67" i="61"/>
  <c r="W66" i="61"/>
  <c r="X75" i="60"/>
  <c r="T52" i="61"/>
  <c r="T62" i="61"/>
  <c r="F52" i="61"/>
  <c r="F77" i="61"/>
  <c r="W75" i="61"/>
  <c r="Z80" i="61"/>
  <c r="Z74" i="61"/>
  <c r="Z73" i="61"/>
  <c r="X70" i="60"/>
  <c r="Z79" i="61"/>
  <c r="Z78" i="61"/>
  <c r="Z63" i="61"/>
  <c r="X84" i="60"/>
  <c r="K57" i="60"/>
  <c r="K67" i="60"/>
  <c r="X72" i="60"/>
  <c r="X67" i="60"/>
  <c r="X66" i="60"/>
  <c r="X82" i="60"/>
  <c r="X77" i="60"/>
  <c r="AA66" i="61"/>
  <c r="Z66" i="61"/>
  <c r="W77" i="61"/>
  <c r="W72" i="61"/>
  <c r="X73" i="60"/>
  <c r="W71" i="61"/>
  <c r="Z62" i="61"/>
  <c r="Z61" i="61"/>
  <c r="X91" i="60"/>
  <c r="AD79" i="60"/>
  <c r="AD78" i="60"/>
  <c r="W65" i="61"/>
  <c r="W62" i="61"/>
  <c r="W61" i="61"/>
  <c r="W81" i="61"/>
  <c r="X76" i="60"/>
  <c r="G57" i="60"/>
  <c r="G77" i="60"/>
  <c r="I57" i="60"/>
  <c r="I77" i="60"/>
  <c r="X81" i="60"/>
  <c r="K74" i="61"/>
  <c r="J57" i="60"/>
  <c r="J83" i="60"/>
  <c r="Z64" i="61"/>
  <c r="X80" i="60"/>
  <c r="K68" i="61"/>
  <c r="Q52" i="61"/>
  <c r="Q74" i="61"/>
  <c r="W68" i="61"/>
  <c r="W78" i="61"/>
  <c r="W76" i="61"/>
  <c r="AD71" i="61"/>
  <c r="AC67" i="61"/>
  <c r="AC63" i="61"/>
  <c r="K67" i="61"/>
  <c r="AD69" i="61"/>
  <c r="AC69" i="61"/>
  <c r="AD67" i="61"/>
  <c r="AC72" i="61"/>
  <c r="AD65" i="61"/>
  <c r="AD70" i="60"/>
  <c r="AD63" i="61"/>
  <c r="U57" i="60"/>
  <c r="U91" i="60"/>
  <c r="AC80" i="61"/>
  <c r="AD74" i="61"/>
  <c r="AD73" i="61"/>
  <c r="O57" i="60"/>
  <c r="O69" i="60"/>
  <c r="AC76" i="61"/>
  <c r="AC74" i="61"/>
  <c r="AC73" i="61"/>
  <c r="AD77" i="61"/>
  <c r="AC68" i="61"/>
  <c r="X74" i="60"/>
  <c r="N52" i="61"/>
  <c r="N75" i="61"/>
  <c r="AC64" i="61"/>
  <c r="AC66" i="61"/>
  <c r="W67" i="61"/>
  <c r="AC62" i="61"/>
  <c r="AC61" i="61"/>
  <c r="T57" i="60"/>
  <c r="T75" i="60"/>
  <c r="M57" i="60"/>
  <c r="M82" i="60"/>
  <c r="AC77" i="61"/>
  <c r="W63" i="61"/>
  <c r="AC75" i="61"/>
  <c r="L57" i="60"/>
  <c r="L70" i="60"/>
  <c r="K78" i="61"/>
  <c r="AC79" i="61"/>
  <c r="W71" i="60"/>
  <c r="W85" i="60"/>
  <c r="W70" i="60"/>
  <c r="W82" i="60"/>
  <c r="W69" i="60"/>
  <c r="W79" i="60"/>
  <c r="W78" i="60"/>
  <c r="W72" i="60"/>
  <c r="W91" i="60"/>
  <c r="W74" i="60"/>
  <c r="W68" i="60"/>
  <c r="W80" i="60"/>
  <c r="W77" i="60"/>
  <c r="W75" i="60"/>
  <c r="W81" i="60"/>
  <c r="W83" i="60"/>
  <c r="W67" i="60"/>
  <c r="W66" i="60"/>
  <c r="W60" i="60"/>
  <c r="W92" i="60"/>
  <c r="W76" i="60"/>
  <c r="W73" i="60"/>
  <c r="W84" i="60"/>
  <c r="X65" i="61"/>
  <c r="X78" i="61"/>
  <c r="X79" i="61"/>
  <c r="X70" i="61"/>
  <c r="X71" i="61"/>
  <c r="X67" i="61"/>
  <c r="X66" i="61"/>
  <c r="X62" i="61"/>
  <c r="X61" i="61"/>
  <c r="X77" i="61"/>
  <c r="X68" i="61"/>
  <c r="X75" i="61"/>
  <c r="AB80" i="60"/>
  <c r="AB83" i="60"/>
  <c r="AB79" i="60"/>
  <c r="AB78" i="60"/>
  <c r="AB70" i="60"/>
  <c r="AB73" i="60"/>
  <c r="AB81" i="60"/>
  <c r="AB84" i="60"/>
  <c r="AB68" i="60"/>
  <c r="AB60" i="60"/>
  <c r="AB92" i="60"/>
  <c r="AB91" i="60"/>
  <c r="AB71" i="60"/>
  <c r="AB85" i="60"/>
  <c r="AB69" i="60"/>
  <c r="AB77" i="60"/>
  <c r="AB72" i="60"/>
  <c r="AB67" i="60"/>
  <c r="AB66" i="60"/>
  <c r="S80" i="61"/>
  <c r="S62" i="61"/>
  <c r="S74" i="61"/>
  <c r="S55" i="61"/>
  <c r="S65" i="61"/>
  <c r="S76" i="61"/>
  <c r="S79" i="61"/>
  <c r="S69" i="61"/>
  <c r="S72" i="61"/>
  <c r="S70" i="61"/>
  <c r="S68" i="61"/>
  <c r="S64" i="61"/>
  <c r="S63" i="61"/>
  <c r="S75" i="61"/>
  <c r="S77" i="61"/>
  <c r="V54" i="61"/>
  <c r="S71" i="61"/>
  <c r="S66" i="61"/>
  <c r="S67" i="61"/>
  <c r="S78" i="61"/>
  <c r="AA68" i="61"/>
  <c r="AD74" i="60"/>
  <c r="T63" i="61"/>
  <c r="H52" i="61"/>
  <c r="H55" i="61"/>
  <c r="M74" i="60"/>
  <c r="I52" i="61"/>
  <c r="I65" i="61"/>
  <c r="AA74" i="61"/>
  <c r="AA73" i="61"/>
  <c r="AA67" i="61"/>
  <c r="P62" i="61"/>
  <c r="Y64" i="61"/>
  <c r="V77" i="60"/>
  <c r="W80" i="61"/>
  <c r="AC70" i="61"/>
  <c r="V80" i="60"/>
  <c r="AC78" i="61"/>
  <c r="V67" i="60"/>
  <c r="W70" i="61"/>
  <c r="W69" i="61"/>
  <c r="P72" i="61"/>
  <c r="AC65" i="61"/>
  <c r="E52" i="61"/>
  <c r="E63" i="61"/>
  <c r="AA76" i="61"/>
  <c r="Q57" i="60"/>
  <c r="Q77" i="60"/>
  <c r="AA71" i="61"/>
  <c r="AA72" i="61"/>
  <c r="V79" i="60"/>
  <c r="V74" i="60"/>
  <c r="F78" i="61"/>
  <c r="I74" i="60"/>
  <c r="I85" i="60"/>
  <c r="R59" i="60"/>
  <c r="R37" i="60"/>
  <c r="X68" i="60"/>
  <c r="F77" i="60"/>
  <c r="F76" i="60"/>
  <c r="F68" i="60"/>
  <c r="F81" i="60"/>
  <c r="F70" i="60"/>
  <c r="F85" i="60"/>
  <c r="F73" i="60"/>
  <c r="S57" i="60"/>
  <c r="S72" i="60"/>
  <c r="AB62" i="61"/>
  <c r="AB61" i="61"/>
  <c r="AA91" i="60"/>
  <c r="Y74" i="61"/>
  <c r="Y73" i="61"/>
  <c r="AA62" i="61"/>
  <c r="AA61" i="61"/>
  <c r="I79" i="60"/>
  <c r="X64" i="61"/>
  <c r="X74" i="61"/>
  <c r="X73" i="61"/>
  <c r="X76" i="61"/>
  <c r="G79" i="60"/>
  <c r="AA67" i="60"/>
  <c r="AA66" i="60"/>
  <c r="AB79" i="61"/>
  <c r="AB78" i="61"/>
  <c r="Y63" i="61"/>
  <c r="AB76" i="60"/>
  <c r="I68" i="60"/>
  <c r="V52" i="61"/>
  <c r="I69" i="60"/>
  <c r="R44" i="61"/>
  <c r="AA63" i="61"/>
  <c r="AA69" i="61"/>
  <c r="F67" i="60"/>
  <c r="AB76" i="61"/>
  <c r="AB67" i="61"/>
  <c r="H57" i="60"/>
  <c r="H68" i="60"/>
  <c r="I71" i="60"/>
  <c r="AA75" i="61"/>
  <c r="X63" i="61"/>
  <c r="X69" i="61"/>
  <c r="R49" i="60"/>
  <c r="AD79" i="61"/>
  <c r="AD75" i="61"/>
  <c r="AA77" i="61"/>
  <c r="R54" i="61"/>
  <c r="R32" i="61"/>
  <c r="I76" i="60"/>
  <c r="X83" i="60"/>
  <c r="AA65" i="61"/>
  <c r="AB75" i="60"/>
  <c r="AB68" i="61"/>
  <c r="Z67" i="60"/>
  <c r="Z66" i="60"/>
  <c r="AB74" i="61"/>
  <c r="AB73" i="61"/>
  <c r="I60" i="60"/>
  <c r="I92" i="60"/>
  <c r="AA79" i="61"/>
  <c r="AA64" i="61"/>
  <c r="F91" i="60"/>
  <c r="AB72" i="61"/>
  <c r="AB70" i="61"/>
  <c r="AB66" i="61"/>
  <c r="T70" i="61"/>
  <c r="AB82" i="60"/>
  <c r="AD78" i="61"/>
  <c r="X72" i="61"/>
  <c r="K63" i="61"/>
  <c r="K64" i="61"/>
  <c r="K62" i="61"/>
  <c r="K55" i="61"/>
  <c r="K75" i="61"/>
  <c r="K65" i="61"/>
  <c r="K80" i="61"/>
  <c r="K71" i="61"/>
  <c r="K70" i="61"/>
  <c r="K79" i="61"/>
  <c r="AI59" i="60"/>
  <c r="G75" i="60"/>
  <c r="K66" i="61"/>
  <c r="Y79" i="61"/>
  <c r="W64" i="61"/>
  <c r="AB74" i="60"/>
  <c r="AD80" i="60"/>
  <c r="AB64" i="61"/>
  <c r="AD62" i="61"/>
  <c r="AD61" i="61"/>
  <c r="AA80" i="61"/>
  <c r="AB63" i="61"/>
  <c r="V69" i="60"/>
  <c r="W79" i="61"/>
  <c r="X69" i="60"/>
  <c r="P91" i="60"/>
  <c r="P80" i="61"/>
  <c r="M52" i="61"/>
  <c r="M65" i="61"/>
  <c r="F75" i="60"/>
  <c r="I83" i="60"/>
  <c r="X80" i="61"/>
  <c r="Z74" i="60"/>
  <c r="AA78" i="61"/>
  <c r="AG46" i="61"/>
  <c r="J52" i="61"/>
  <c r="J80" i="61"/>
  <c r="I82" i="60"/>
  <c r="T72" i="61"/>
  <c r="T67" i="61"/>
  <c r="T64" i="61"/>
  <c r="Q72" i="61"/>
  <c r="Q64" i="61"/>
  <c r="Q78" i="61"/>
  <c r="Q68" i="61"/>
  <c r="Q63" i="61"/>
  <c r="AE57" i="60"/>
  <c r="AI37" i="60"/>
  <c r="H79" i="60"/>
  <c r="AG48" i="60"/>
  <c r="AG56" i="60"/>
  <c r="E67" i="60"/>
  <c r="E80" i="60"/>
  <c r="E76" i="60"/>
  <c r="E84" i="60"/>
  <c r="AG47" i="60"/>
  <c r="E68" i="60"/>
  <c r="E79" i="60"/>
  <c r="E81" i="60"/>
  <c r="AG50" i="60"/>
  <c r="E71" i="60"/>
  <c r="AG52" i="60"/>
  <c r="E91" i="60"/>
  <c r="E70" i="60"/>
  <c r="E69" i="60"/>
  <c r="E85" i="60"/>
  <c r="E73" i="60"/>
  <c r="E72" i="60"/>
  <c r="E75" i="60"/>
  <c r="AG39" i="60"/>
  <c r="E82" i="60"/>
  <c r="AG45" i="60"/>
  <c r="AG59" i="60"/>
  <c r="AB69" i="61"/>
  <c r="AD84" i="60"/>
  <c r="AD68" i="60"/>
  <c r="AD83" i="60"/>
  <c r="AD85" i="60"/>
  <c r="AD76" i="60"/>
  <c r="AD72" i="60"/>
  <c r="AD75" i="60"/>
  <c r="AD91" i="60"/>
  <c r="AD71" i="60"/>
  <c r="AD67" i="60"/>
  <c r="AD66" i="60"/>
  <c r="AD86" i="60"/>
  <c r="AD60" i="60"/>
  <c r="AD92" i="60"/>
  <c r="AD73" i="60"/>
  <c r="AD77" i="60"/>
  <c r="AD81" i="60"/>
  <c r="AE44" i="61"/>
  <c r="AB77" i="61"/>
  <c r="G65" i="61"/>
  <c r="G69" i="61"/>
  <c r="G75" i="61"/>
  <c r="G80" i="61"/>
  <c r="G71" i="61"/>
  <c r="G79" i="61"/>
  <c r="G74" i="61"/>
  <c r="G77" i="61"/>
  <c r="G55" i="61"/>
  <c r="G63" i="61"/>
  <c r="G67" i="61"/>
  <c r="G64" i="61"/>
  <c r="G70" i="61"/>
  <c r="Z81" i="60"/>
  <c r="AB71" i="61"/>
  <c r="P74" i="60"/>
  <c r="P80" i="60"/>
  <c r="P67" i="60"/>
  <c r="P83" i="60"/>
  <c r="P77" i="60"/>
  <c r="P79" i="60"/>
  <c r="P84" i="60"/>
  <c r="P69" i="60"/>
  <c r="P76" i="60"/>
  <c r="P75" i="60"/>
  <c r="P70" i="60"/>
  <c r="P82" i="60"/>
  <c r="P85" i="60"/>
  <c r="P60" i="60"/>
  <c r="P92" i="60"/>
  <c r="P71" i="60"/>
  <c r="P81" i="60"/>
  <c r="P72" i="60"/>
  <c r="Y62" i="61"/>
  <c r="Y61" i="61"/>
  <c r="Y66" i="61"/>
  <c r="Y70" i="61"/>
  <c r="Y72" i="61"/>
  <c r="Y76" i="61"/>
  <c r="Y78" i="61"/>
  <c r="Y80" i="61"/>
  <c r="Y65" i="61"/>
  <c r="Y67" i="61"/>
  <c r="Y71" i="61"/>
  <c r="Y75" i="61"/>
  <c r="Y68" i="61"/>
  <c r="AD69" i="60"/>
  <c r="AE54" i="61"/>
  <c r="Y77" i="61"/>
  <c r="U82" i="60"/>
  <c r="AE32" i="61"/>
  <c r="AC69" i="60"/>
  <c r="N70" i="60"/>
  <c r="N77" i="60"/>
  <c r="N82" i="60"/>
  <c r="N79" i="60"/>
  <c r="N73" i="60"/>
  <c r="N81" i="60"/>
  <c r="N83" i="60"/>
  <c r="N60" i="60"/>
  <c r="N92" i="60"/>
  <c r="N69" i="60"/>
  <c r="N80" i="60"/>
  <c r="G78" i="61"/>
  <c r="AC79" i="60"/>
  <c r="AC78" i="60"/>
  <c r="Z80" i="60"/>
  <c r="AG53" i="60"/>
  <c r="AC76" i="60"/>
  <c r="AC77" i="60"/>
  <c r="AC72" i="60"/>
  <c r="AC80" i="60"/>
  <c r="AC82" i="60"/>
  <c r="AC67" i="60"/>
  <c r="AC66" i="60"/>
  <c r="AC60" i="60"/>
  <c r="AC92" i="60"/>
  <c r="AC74" i="60"/>
  <c r="AC81" i="60"/>
  <c r="AC85" i="60"/>
  <c r="AA72" i="60"/>
  <c r="AA83" i="60"/>
  <c r="AA60" i="60"/>
  <c r="AA92" i="60"/>
  <c r="AA76" i="60"/>
  <c r="AA79" i="60"/>
  <c r="AA78" i="60"/>
  <c r="AA85" i="60"/>
  <c r="AA82" i="60"/>
  <c r="AA80" i="60"/>
  <c r="AA69" i="60"/>
  <c r="AA75" i="60"/>
  <c r="AA84" i="60"/>
  <c r="AA77" i="60"/>
  <c r="AA73" i="60"/>
  <c r="AA71" i="60"/>
  <c r="AA68" i="60"/>
  <c r="AC73" i="60"/>
  <c r="AU59" i="63"/>
  <c r="BA39" i="63"/>
  <c r="AA74" i="60"/>
  <c r="Z73" i="60"/>
  <c r="AC68" i="60"/>
  <c r="Z72" i="60"/>
  <c r="Z75" i="60"/>
  <c r="Z70" i="60"/>
  <c r="Z77" i="60"/>
  <c r="Z84" i="60"/>
  <c r="Z79" i="60"/>
  <c r="Z78" i="60"/>
  <c r="Z69" i="60"/>
  <c r="Z68" i="60"/>
  <c r="Z83" i="60"/>
  <c r="Z60" i="60"/>
  <c r="Z92" i="60"/>
  <c r="Z76" i="60"/>
  <c r="Z85" i="60"/>
  <c r="Z91" i="60"/>
  <c r="T79" i="60"/>
  <c r="AA70" i="60"/>
  <c r="L79" i="60"/>
  <c r="AB80" i="61"/>
  <c r="AB65" i="61"/>
  <c r="Z71" i="60"/>
  <c r="P73" i="60"/>
  <c r="O67" i="60"/>
  <c r="O83" i="60"/>
  <c r="O85" i="60"/>
  <c r="O72" i="60"/>
  <c r="O81" i="60"/>
  <c r="O76" i="60"/>
  <c r="O68" i="60"/>
  <c r="O91" i="60"/>
  <c r="O75" i="60"/>
  <c r="O73" i="60"/>
  <c r="O77" i="60"/>
  <c r="L78" i="61"/>
  <c r="L72" i="61"/>
  <c r="L68" i="61"/>
  <c r="L80" i="61"/>
  <c r="L64" i="61"/>
  <c r="L71" i="61"/>
  <c r="L69" i="61"/>
  <c r="L74" i="61"/>
  <c r="L79" i="61"/>
  <c r="L70" i="61"/>
  <c r="L77" i="61"/>
  <c r="L63" i="61"/>
  <c r="L66" i="61"/>
  <c r="L65" i="61"/>
  <c r="H69" i="60"/>
  <c r="AG38" i="60"/>
  <c r="E60" i="60"/>
  <c r="E92" i="60"/>
  <c r="Q79" i="61"/>
  <c r="K76" i="61"/>
  <c r="O79" i="60"/>
  <c r="O78" i="60"/>
  <c r="Q80" i="60"/>
  <c r="AG54" i="60"/>
  <c r="AG49" i="60"/>
  <c r="Q71" i="61"/>
  <c r="G83" i="60"/>
  <c r="Q70" i="60"/>
  <c r="F71" i="60"/>
  <c r="N76" i="61"/>
  <c r="Q68" i="60"/>
  <c r="Q55" i="61"/>
  <c r="G71" i="60"/>
  <c r="AC81" i="61"/>
  <c r="K72" i="61"/>
  <c r="K61" i="61"/>
  <c r="N68" i="61"/>
  <c r="N55" i="61"/>
  <c r="Q85" i="60"/>
  <c r="S69" i="60"/>
  <c r="S71" i="60"/>
  <c r="E83" i="60"/>
  <c r="K77" i="61"/>
  <c r="F69" i="60"/>
  <c r="F79" i="60"/>
  <c r="Y86" i="60"/>
  <c r="T70" i="60"/>
  <c r="Q74" i="60"/>
  <c r="I70" i="61"/>
  <c r="I66" i="61"/>
  <c r="L75" i="61"/>
  <c r="O71" i="60"/>
  <c r="O70" i="60"/>
  <c r="AG44" i="60"/>
  <c r="AC71" i="60"/>
  <c r="Q67" i="60"/>
  <c r="N72" i="60"/>
  <c r="G72" i="61"/>
  <c r="G61" i="61"/>
  <c r="AG42" i="60"/>
  <c r="AG41" i="60"/>
  <c r="I74" i="61"/>
  <c r="V82" i="60"/>
  <c r="L62" i="61"/>
  <c r="O82" i="60"/>
  <c r="O84" i="60"/>
  <c r="AC70" i="60"/>
  <c r="Q60" i="60"/>
  <c r="Q92" i="60"/>
  <c r="N68" i="60"/>
  <c r="E77" i="60"/>
  <c r="AG51" i="60"/>
  <c r="I75" i="60"/>
  <c r="I78" i="61"/>
  <c r="T75" i="61"/>
  <c r="J70" i="60"/>
  <c r="L76" i="61"/>
  <c r="O60" i="60"/>
  <c r="O92" i="60"/>
  <c r="AC75" i="60"/>
  <c r="Q73" i="60"/>
  <c r="N71" i="60"/>
  <c r="AC84" i="60"/>
  <c r="AG55" i="60"/>
  <c r="AG43" i="60"/>
  <c r="I72" i="60"/>
  <c r="AG37" i="60"/>
  <c r="AG57" i="60"/>
  <c r="AG60" i="60"/>
  <c r="F84" i="60"/>
  <c r="O80" i="60"/>
  <c r="AC83" i="60"/>
  <c r="Q76" i="60"/>
  <c r="N67" i="60"/>
  <c r="E74" i="60"/>
  <c r="E66" i="60"/>
  <c r="AG46" i="60"/>
  <c r="P55" i="61"/>
  <c r="I91" i="60"/>
  <c r="I67" i="60"/>
  <c r="Q69" i="60"/>
  <c r="G73" i="60"/>
  <c r="K76" i="60"/>
  <c r="V84" i="60"/>
  <c r="G60" i="60"/>
  <c r="G92" i="60"/>
  <c r="N74" i="60"/>
  <c r="G72" i="60"/>
  <c r="P78" i="61"/>
  <c r="P63" i="61"/>
  <c r="L67" i="61"/>
  <c r="O74" i="60"/>
  <c r="O66" i="60"/>
  <c r="Q83" i="60"/>
  <c r="N91" i="60"/>
  <c r="G66" i="61"/>
  <c r="Q67" i="61"/>
  <c r="I80" i="60"/>
  <c r="I81" i="60"/>
  <c r="F68" i="61"/>
  <c r="V83" i="60"/>
  <c r="V85" i="60"/>
  <c r="T69" i="61"/>
  <c r="Q71" i="60"/>
  <c r="N75" i="60"/>
  <c r="G76" i="61"/>
  <c r="G73" i="61"/>
  <c r="V70" i="60"/>
  <c r="F69" i="61"/>
  <c r="F62" i="61"/>
  <c r="N84" i="60"/>
  <c r="G62" i="61"/>
  <c r="T71" i="61"/>
  <c r="F64" i="61"/>
  <c r="F76" i="61"/>
  <c r="F80" i="61"/>
  <c r="S85" i="60"/>
  <c r="G74" i="60"/>
  <c r="I70" i="60"/>
  <c r="I73" i="60"/>
  <c r="I66" i="60"/>
  <c r="G70" i="60"/>
  <c r="N85" i="60"/>
  <c r="F70" i="61"/>
  <c r="P66" i="61"/>
  <c r="M91" i="60"/>
  <c r="P68" i="61"/>
  <c r="O76" i="61"/>
  <c r="O63" i="61"/>
  <c r="G76" i="60"/>
  <c r="G85" i="60"/>
  <c r="F83" i="60"/>
  <c r="M72" i="61"/>
  <c r="O71" i="61"/>
  <c r="O74" i="61"/>
  <c r="T66" i="61"/>
  <c r="O77" i="61"/>
  <c r="H60" i="60"/>
  <c r="H92" i="60"/>
  <c r="O80" i="61"/>
  <c r="O68" i="61"/>
  <c r="O62" i="61"/>
  <c r="O72" i="61"/>
  <c r="G67" i="60"/>
  <c r="G91" i="60"/>
  <c r="U72" i="61"/>
  <c r="O65" i="61"/>
  <c r="T80" i="61"/>
  <c r="I84" i="60"/>
  <c r="G80" i="60"/>
  <c r="G84" i="60"/>
  <c r="O55" i="61"/>
  <c r="G82" i="60"/>
  <c r="W86" i="60"/>
  <c r="F60" i="60"/>
  <c r="F92" i="60"/>
  <c r="U63" i="61"/>
  <c r="T68" i="61"/>
  <c r="U64" i="61"/>
  <c r="P65" i="61"/>
  <c r="T91" i="60"/>
  <c r="T60" i="60"/>
  <c r="T92" i="60"/>
  <c r="H85" i="60"/>
  <c r="M64" i="61"/>
  <c r="K72" i="60"/>
  <c r="M71" i="60"/>
  <c r="P70" i="61"/>
  <c r="P67" i="61"/>
  <c r="P79" i="61"/>
  <c r="P76" i="61"/>
  <c r="J82" i="60"/>
  <c r="T76" i="60"/>
  <c r="M62" i="61"/>
  <c r="K80" i="60"/>
  <c r="M80" i="60"/>
  <c r="J91" i="60"/>
  <c r="V91" i="60"/>
  <c r="K81" i="60"/>
  <c r="J76" i="60"/>
  <c r="T85" i="60"/>
  <c r="F71" i="61"/>
  <c r="K68" i="60"/>
  <c r="V76" i="60"/>
  <c r="V68" i="60"/>
  <c r="M79" i="60"/>
  <c r="J84" i="60"/>
  <c r="T74" i="60"/>
  <c r="K82" i="60"/>
  <c r="V71" i="60"/>
  <c r="M70" i="60"/>
  <c r="M76" i="60"/>
  <c r="V72" i="60"/>
  <c r="J73" i="60"/>
  <c r="J60" i="60"/>
  <c r="J92" i="60"/>
  <c r="T67" i="60"/>
  <c r="K75" i="60"/>
  <c r="T83" i="60"/>
  <c r="K74" i="60"/>
  <c r="J80" i="60"/>
  <c r="Z81" i="61"/>
  <c r="K71" i="60"/>
  <c r="K91" i="60"/>
  <c r="K84" i="60"/>
  <c r="K69" i="60"/>
  <c r="V73" i="60"/>
  <c r="V60" i="60"/>
  <c r="V92" i="60"/>
  <c r="P77" i="61"/>
  <c r="T82" i="60"/>
  <c r="K73" i="60"/>
  <c r="K79" i="60"/>
  <c r="M75" i="60"/>
  <c r="P69" i="61"/>
  <c r="K70" i="60"/>
  <c r="K85" i="60"/>
  <c r="J69" i="60"/>
  <c r="M68" i="60"/>
  <c r="T71" i="60"/>
  <c r="K77" i="60"/>
  <c r="T68" i="60"/>
  <c r="M67" i="60"/>
  <c r="T77" i="60"/>
  <c r="K60" i="60"/>
  <c r="K92" i="60"/>
  <c r="T81" i="60"/>
  <c r="P71" i="61"/>
  <c r="P74" i="61"/>
  <c r="V81" i="60"/>
  <c r="J71" i="60"/>
  <c r="T80" i="60"/>
  <c r="Q80" i="61"/>
  <c r="K83" i="60"/>
  <c r="T69" i="60"/>
  <c r="U62" i="61"/>
  <c r="J85" i="60"/>
  <c r="F72" i="60"/>
  <c r="F66" i="60"/>
  <c r="F80" i="60"/>
  <c r="J77" i="60"/>
  <c r="J72" i="60"/>
  <c r="N79" i="61"/>
  <c r="Q75" i="61"/>
  <c r="E69" i="61"/>
  <c r="E79" i="61"/>
  <c r="U77" i="61"/>
  <c r="U70" i="61"/>
  <c r="P75" i="61"/>
  <c r="O75" i="61"/>
  <c r="O79" i="61"/>
  <c r="O67" i="61"/>
  <c r="O78" i="61"/>
  <c r="O64" i="61"/>
  <c r="U66" i="61"/>
  <c r="N77" i="61"/>
  <c r="Q66" i="61"/>
  <c r="AG51" i="61"/>
  <c r="U76" i="61"/>
  <c r="F66" i="61"/>
  <c r="N71" i="61"/>
  <c r="N62" i="61"/>
  <c r="Q69" i="61"/>
  <c r="F72" i="61"/>
  <c r="N66" i="61"/>
  <c r="U75" i="60"/>
  <c r="N78" i="61"/>
  <c r="U69" i="61"/>
  <c r="U65" i="61"/>
  <c r="U68" i="61"/>
  <c r="U84" i="60"/>
  <c r="N70" i="61"/>
  <c r="N64" i="61"/>
  <c r="U78" i="61"/>
  <c r="U74" i="61"/>
  <c r="N63" i="61"/>
  <c r="E78" i="61"/>
  <c r="U67" i="61"/>
  <c r="AG52" i="61"/>
  <c r="X86" i="60"/>
  <c r="O66" i="61"/>
  <c r="N80" i="61"/>
  <c r="Q65" i="61"/>
  <c r="U75" i="61"/>
  <c r="Q91" i="60"/>
  <c r="N74" i="61"/>
  <c r="E64" i="61"/>
  <c r="U71" i="61"/>
  <c r="N69" i="61"/>
  <c r="N67" i="61"/>
  <c r="J79" i="61"/>
  <c r="M70" i="61"/>
  <c r="E55" i="61"/>
  <c r="U79" i="61"/>
  <c r="T77" i="61"/>
  <c r="AB86" i="60"/>
  <c r="J81" i="60"/>
  <c r="O69" i="61"/>
  <c r="N65" i="61"/>
  <c r="N72" i="61"/>
  <c r="E62" i="61"/>
  <c r="S73" i="61"/>
  <c r="L67" i="60"/>
  <c r="Q75" i="60"/>
  <c r="Q81" i="60"/>
  <c r="U83" i="60"/>
  <c r="Q76" i="61"/>
  <c r="Q70" i="61"/>
  <c r="E76" i="61"/>
  <c r="E77" i="61"/>
  <c r="F55" i="61"/>
  <c r="F74" i="61"/>
  <c r="M81" i="60"/>
  <c r="M84" i="60"/>
  <c r="S61" i="61"/>
  <c r="J79" i="60"/>
  <c r="L60" i="60"/>
  <c r="L92" i="60"/>
  <c r="M60" i="60"/>
  <c r="M92" i="60"/>
  <c r="L76" i="60"/>
  <c r="E71" i="61"/>
  <c r="F65" i="61"/>
  <c r="F67" i="61"/>
  <c r="J75" i="60"/>
  <c r="L73" i="60"/>
  <c r="L85" i="60"/>
  <c r="T84" i="60"/>
  <c r="Q79" i="60"/>
  <c r="Q77" i="61"/>
  <c r="F63" i="61"/>
  <c r="M83" i="60"/>
  <c r="J74" i="60"/>
  <c r="L71" i="60"/>
  <c r="Q84" i="60"/>
  <c r="F75" i="61"/>
  <c r="J67" i="60"/>
  <c r="L77" i="60"/>
  <c r="Q72" i="60"/>
  <c r="S81" i="60"/>
  <c r="Q62" i="61"/>
  <c r="F79" i="61"/>
  <c r="T73" i="60"/>
  <c r="J68" i="60"/>
  <c r="G81" i="60"/>
  <c r="G68" i="60"/>
  <c r="G69" i="60"/>
  <c r="L72" i="60"/>
  <c r="L80" i="60"/>
  <c r="J64" i="61"/>
  <c r="X81" i="61"/>
  <c r="L75" i="60"/>
  <c r="J66" i="61"/>
  <c r="H77" i="60"/>
  <c r="L82" i="60"/>
  <c r="J70" i="61"/>
  <c r="H81" i="60"/>
  <c r="U76" i="60"/>
  <c r="L83" i="60"/>
  <c r="J75" i="61"/>
  <c r="L69" i="60"/>
  <c r="U81" i="60"/>
  <c r="L91" i="60"/>
  <c r="L68" i="60"/>
  <c r="AD81" i="61"/>
  <c r="L81" i="60"/>
  <c r="L84" i="60"/>
  <c r="L74" i="60"/>
  <c r="Q82" i="60"/>
  <c r="AG41" i="61"/>
  <c r="V55" i="61"/>
  <c r="T65" i="61"/>
  <c r="T78" i="61"/>
  <c r="T76" i="61"/>
  <c r="T74" i="61"/>
  <c r="T79" i="61"/>
  <c r="T72" i="60"/>
  <c r="E80" i="61"/>
  <c r="AG36" i="61"/>
  <c r="AG35" i="61"/>
  <c r="I75" i="61"/>
  <c r="E68" i="61"/>
  <c r="U80" i="60"/>
  <c r="AG42" i="61"/>
  <c r="I77" i="61"/>
  <c r="E70" i="61"/>
  <c r="U67" i="60"/>
  <c r="AG32" i="61"/>
  <c r="AG39" i="61"/>
  <c r="I62" i="61"/>
  <c r="U74" i="60"/>
  <c r="AA81" i="61"/>
  <c r="U79" i="60"/>
  <c r="U68" i="60"/>
  <c r="E65" i="61"/>
  <c r="AG33" i="61"/>
  <c r="AG45" i="61"/>
  <c r="U85" i="60"/>
  <c r="H80" i="60"/>
  <c r="AG43" i="61"/>
  <c r="AG37" i="61"/>
  <c r="AB81" i="61"/>
  <c r="U69" i="60"/>
  <c r="AG38" i="61"/>
  <c r="U71" i="60"/>
  <c r="H67" i="60"/>
  <c r="I80" i="61"/>
  <c r="E75" i="61"/>
  <c r="U70" i="60"/>
  <c r="U60" i="60"/>
  <c r="U92" i="60"/>
  <c r="U72" i="60"/>
  <c r="AG50" i="61"/>
  <c r="U73" i="60"/>
  <c r="H73" i="60"/>
  <c r="AG49" i="61"/>
  <c r="AG44" i="61"/>
  <c r="E72" i="61"/>
  <c r="U77" i="60"/>
  <c r="Y81" i="61"/>
  <c r="H71" i="60"/>
  <c r="AG48" i="61"/>
  <c r="AG34" i="61"/>
  <c r="AG47" i="61"/>
  <c r="E74" i="61"/>
  <c r="T54" i="61"/>
  <c r="W54" i="61"/>
  <c r="M72" i="60"/>
  <c r="M73" i="60"/>
  <c r="M69" i="60"/>
  <c r="M85" i="60"/>
  <c r="M77" i="60"/>
  <c r="H82" i="60"/>
  <c r="H72" i="60"/>
  <c r="M55" i="61"/>
  <c r="H74" i="60"/>
  <c r="H75" i="60"/>
  <c r="M67" i="61"/>
  <c r="I67" i="61"/>
  <c r="J68" i="61"/>
  <c r="H84" i="60"/>
  <c r="J72" i="61"/>
  <c r="H70" i="60"/>
  <c r="R52" i="61"/>
  <c r="R69" i="61"/>
  <c r="E67" i="61"/>
  <c r="AG40" i="61"/>
  <c r="H72" i="61"/>
  <c r="H77" i="61"/>
  <c r="H71" i="61"/>
  <c r="H67" i="61"/>
  <c r="H79" i="61"/>
  <c r="H68" i="61"/>
  <c r="H78" i="61"/>
  <c r="H74" i="61"/>
  <c r="H64" i="61"/>
  <c r="H75" i="61"/>
  <c r="H80" i="61"/>
  <c r="H70" i="61"/>
  <c r="H63" i="61"/>
  <c r="H65" i="61"/>
  <c r="H76" i="61"/>
  <c r="H66" i="61"/>
  <c r="H62" i="61"/>
  <c r="H69" i="61"/>
  <c r="J67" i="61"/>
  <c r="H83" i="60"/>
  <c r="H91" i="60"/>
  <c r="M66" i="61"/>
  <c r="K73" i="61"/>
  <c r="J69" i="61"/>
  <c r="AA86" i="60"/>
  <c r="AI49" i="60"/>
  <c r="AI57" i="60"/>
  <c r="AI60" i="60"/>
  <c r="J77" i="61"/>
  <c r="J71" i="61"/>
  <c r="H76" i="60"/>
  <c r="M79" i="61"/>
  <c r="E66" i="61"/>
  <c r="J65" i="61"/>
  <c r="Z86" i="60"/>
  <c r="J63" i="61"/>
  <c r="M77" i="61"/>
  <c r="J74" i="61"/>
  <c r="I79" i="61"/>
  <c r="I64" i="61"/>
  <c r="I71" i="61"/>
  <c r="I63" i="61"/>
  <c r="I72" i="61"/>
  <c r="I55" i="61"/>
  <c r="I68" i="61"/>
  <c r="I76" i="61"/>
  <c r="I69" i="61"/>
  <c r="V67" i="61"/>
  <c r="V65" i="61"/>
  <c r="V72" i="61"/>
  <c r="V69" i="61"/>
  <c r="V74" i="61"/>
  <c r="V76" i="61"/>
  <c r="V80" i="61"/>
  <c r="V78" i="61"/>
  <c r="V64" i="61"/>
  <c r="V77" i="61"/>
  <c r="V66" i="61"/>
  <c r="V79" i="61"/>
  <c r="V68" i="61"/>
  <c r="V63" i="61"/>
  <c r="V75" i="61"/>
  <c r="V70" i="61"/>
  <c r="V62" i="61"/>
  <c r="V71" i="61"/>
  <c r="J55" i="61"/>
  <c r="S77" i="60"/>
  <c r="S79" i="60"/>
  <c r="M80" i="61"/>
  <c r="M71" i="61"/>
  <c r="J62" i="61"/>
  <c r="AC86" i="60"/>
  <c r="S68" i="60"/>
  <c r="S80" i="60"/>
  <c r="M63" i="61"/>
  <c r="M78" i="61"/>
  <c r="R57" i="60"/>
  <c r="AH37" i="60"/>
  <c r="S73" i="60"/>
  <c r="M69" i="61"/>
  <c r="M76" i="61"/>
  <c r="Y54" i="61"/>
  <c r="J78" i="61"/>
  <c r="S76" i="60"/>
  <c r="M68" i="61"/>
  <c r="S60" i="60"/>
  <c r="S92" i="60"/>
  <c r="M74" i="61"/>
  <c r="J76" i="61"/>
  <c r="M75" i="61"/>
  <c r="T55" i="61"/>
  <c r="S75" i="60"/>
  <c r="S70" i="60"/>
  <c r="S82" i="60"/>
  <c r="S67" i="60"/>
  <c r="S83" i="60"/>
  <c r="S91" i="60"/>
  <c r="S74" i="60"/>
  <c r="S84" i="60"/>
  <c r="AE91" i="60"/>
  <c r="P78" i="60"/>
  <c r="L73" i="61"/>
  <c r="N66" i="60"/>
  <c r="P66" i="60"/>
  <c r="AI46" i="60"/>
  <c r="AI51" i="60"/>
  <c r="AI52" i="60"/>
  <c r="AE75" i="60"/>
  <c r="AI53" i="60"/>
  <c r="AE83" i="60"/>
  <c r="AI47" i="60"/>
  <c r="AE60" i="60"/>
  <c r="AE92" i="60"/>
  <c r="AE74" i="60"/>
  <c r="AI38" i="60"/>
  <c r="AI55" i="60"/>
  <c r="AE67" i="60"/>
  <c r="AE82" i="60"/>
  <c r="AE69" i="60"/>
  <c r="AE68" i="60"/>
  <c r="AI39" i="60"/>
  <c r="AE81" i="60"/>
  <c r="AE73" i="60"/>
  <c r="AE70" i="60"/>
  <c r="AI43" i="60"/>
  <c r="AI48" i="60"/>
  <c r="AI41" i="60"/>
  <c r="AI50" i="60"/>
  <c r="AE77" i="60"/>
  <c r="AE85" i="60"/>
  <c r="AI44" i="60"/>
  <c r="AI45" i="60"/>
  <c r="AI56" i="60"/>
  <c r="AE80" i="60"/>
  <c r="AE76" i="60"/>
  <c r="AI54" i="60"/>
  <c r="AE84" i="60"/>
  <c r="AE71" i="60"/>
  <c r="AI42" i="60"/>
  <c r="AE72" i="60"/>
  <c r="AI40" i="60"/>
  <c r="AE79" i="60"/>
  <c r="BA46" i="63"/>
  <c r="AU75" i="63"/>
  <c r="BA53" i="63"/>
  <c r="AU82" i="63"/>
  <c r="AU62" i="63"/>
  <c r="BA62" i="63"/>
  <c r="BA56" i="63"/>
  <c r="AU85" i="63"/>
  <c r="BA40" i="63"/>
  <c r="AU69" i="63"/>
  <c r="BA50" i="63"/>
  <c r="AU79" i="63"/>
  <c r="BA41" i="63"/>
  <c r="AU70" i="63"/>
  <c r="BA47" i="63"/>
  <c r="AU76" i="63"/>
  <c r="BA49" i="63"/>
  <c r="AU78" i="63"/>
  <c r="BA55" i="63"/>
  <c r="AU84" i="63"/>
  <c r="BA45" i="63"/>
  <c r="AU74" i="63"/>
  <c r="BA58" i="63"/>
  <c r="AU87" i="63"/>
  <c r="BA42" i="63"/>
  <c r="AU71" i="63"/>
  <c r="BA43" i="63"/>
  <c r="AU72" i="63"/>
  <c r="BA44" i="63"/>
  <c r="AU73" i="63"/>
  <c r="BA57" i="63"/>
  <c r="AU86" i="63"/>
  <c r="BA54" i="63"/>
  <c r="AU83" i="63"/>
  <c r="BA48" i="63"/>
  <c r="AU77" i="63"/>
  <c r="BA51" i="63"/>
  <c r="BA59" i="63"/>
  <c r="BA52" i="63"/>
  <c r="AU81" i="63"/>
  <c r="BA61" i="63"/>
  <c r="E78" i="60"/>
  <c r="L61" i="61"/>
  <c r="AE52" i="61"/>
  <c r="AI44" i="61"/>
  <c r="I78" i="60"/>
  <c r="V78" i="60"/>
  <c r="V86" i="60"/>
  <c r="P61" i="61"/>
  <c r="F78" i="60"/>
  <c r="F86" i="60"/>
  <c r="N78" i="60"/>
  <c r="V66" i="60"/>
  <c r="L78" i="60"/>
  <c r="K66" i="60"/>
  <c r="T61" i="61"/>
  <c r="N73" i="61"/>
  <c r="O86" i="60"/>
  <c r="U73" i="61"/>
  <c r="G66" i="60"/>
  <c r="T78" i="60"/>
  <c r="K78" i="60"/>
  <c r="K86" i="60"/>
  <c r="G78" i="60"/>
  <c r="O61" i="61"/>
  <c r="Q66" i="60"/>
  <c r="U66" i="60"/>
  <c r="O73" i="61"/>
  <c r="U61" i="61"/>
  <c r="P73" i="61"/>
  <c r="P81" i="61"/>
  <c r="N61" i="61"/>
  <c r="N81" i="61"/>
  <c r="J78" i="60"/>
  <c r="S81" i="61"/>
  <c r="Q73" i="61"/>
  <c r="R62" i="61"/>
  <c r="F61" i="61"/>
  <c r="Q78" i="60"/>
  <c r="L66" i="60"/>
  <c r="F73" i="61"/>
  <c r="J66" i="60"/>
  <c r="Q61" i="61"/>
  <c r="M78" i="60"/>
  <c r="M66" i="60"/>
  <c r="T66" i="60"/>
  <c r="E73" i="61"/>
  <c r="R74" i="61"/>
  <c r="U78" i="60"/>
  <c r="I61" i="61"/>
  <c r="E61" i="61"/>
  <c r="T73" i="61"/>
  <c r="M73" i="61"/>
  <c r="I86" i="60"/>
  <c r="H66" i="60"/>
  <c r="H78" i="60"/>
  <c r="AH49" i="60"/>
  <c r="R75" i="61"/>
  <c r="R65" i="61"/>
  <c r="U54" i="61"/>
  <c r="X54" i="61"/>
  <c r="X55" i="61"/>
  <c r="R55" i="61"/>
  <c r="AH44" i="61"/>
  <c r="R66" i="61"/>
  <c r="R77" i="61"/>
  <c r="J61" i="61"/>
  <c r="K81" i="61"/>
  <c r="AH32" i="61"/>
  <c r="AH38" i="61"/>
  <c r="R72" i="61"/>
  <c r="R63" i="61"/>
  <c r="AH37" i="61"/>
  <c r="R78" i="61"/>
  <c r="Z54" i="61"/>
  <c r="W55" i="61"/>
  <c r="AH59" i="60"/>
  <c r="AH34" i="61"/>
  <c r="I73" i="61"/>
  <c r="R71" i="61"/>
  <c r="AH33" i="61"/>
  <c r="R68" i="61"/>
  <c r="R79" i="61"/>
  <c r="AH43" i="61"/>
  <c r="R76" i="61"/>
  <c r="AH35" i="61"/>
  <c r="AH51" i="61"/>
  <c r="H73" i="61"/>
  <c r="AH39" i="61"/>
  <c r="R64" i="61"/>
  <c r="AH52" i="61"/>
  <c r="AH40" i="61"/>
  <c r="R80" i="61"/>
  <c r="AH42" i="61"/>
  <c r="P86" i="60"/>
  <c r="R70" i="61"/>
  <c r="J73" i="61"/>
  <c r="M61" i="61"/>
  <c r="H61" i="61"/>
  <c r="AH36" i="61"/>
  <c r="AG54" i="61"/>
  <c r="AG55" i="61"/>
  <c r="AH49" i="61"/>
  <c r="AH46" i="61"/>
  <c r="AH47" i="61"/>
  <c r="AH48" i="61"/>
  <c r="AH45" i="61"/>
  <c r="AH50" i="61"/>
  <c r="R67" i="61"/>
  <c r="AH41" i="61"/>
  <c r="R91" i="60"/>
  <c r="AH53" i="60"/>
  <c r="AH45" i="60"/>
  <c r="AH57" i="60"/>
  <c r="AH50" i="60"/>
  <c r="R68" i="60"/>
  <c r="R60" i="60"/>
  <c r="R92" i="60"/>
  <c r="AH38" i="60"/>
  <c r="R83" i="60"/>
  <c r="R81" i="60"/>
  <c r="R80" i="60"/>
  <c r="AH52" i="60"/>
  <c r="R73" i="60"/>
  <c r="R71" i="60"/>
  <c r="AH44" i="60"/>
  <c r="AH55" i="60"/>
  <c r="R79" i="60"/>
  <c r="AH42" i="60"/>
  <c r="R84" i="60"/>
  <c r="R77" i="60"/>
  <c r="R72" i="60"/>
  <c r="AH43" i="60"/>
  <c r="R82" i="60"/>
  <c r="AH48" i="60"/>
  <c r="AH39" i="60"/>
  <c r="AH56" i="60"/>
  <c r="AH54" i="60"/>
  <c r="R75" i="60"/>
  <c r="AH40" i="60"/>
  <c r="R85" i="60"/>
  <c r="R69" i="60"/>
  <c r="R74" i="60"/>
  <c r="AH51" i="60"/>
  <c r="AH46" i="60"/>
  <c r="R70" i="60"/>
  <c r="R76" i="60"/>
  <c r="AH41" i="60"/>
  <c r="R67" i="60"/>
  <c r="AH47" i="60"/>
  <c r="V73" i="61"/>
  <c r="AB54" i="61"/>
  <c r="AB55" i="61"/>
  <c r="Y55" i="61"/>
  <c r="L81" i="61"/>
  <c r="V61" i="61"/>
  <c r="G81" i="61"/>
  <c r="S66" i="60"/>
  <c r="AI32" i="61"/>
  <c r="S78" i="60"/>
  <c r="AU68" i="63"/>
  <c r="AU80" i="63"/>
  <c r="E86" i="60"/>
  <c r="AH54" i="61"/>
  <c r="AI54" i="61"/>
  <c r="AE78" i="60"/>
  <c r="AE69" i="61"/>
  <c r="AE78" i="61"/>
  <c r="AI33" i="61"/>
  <c r="AI45" i="61"/>
  <c r="AE75" i="61"/>
  <c r="AI42" i="61"/>
  <c r="AI52" i="61"/>
  <c r="AI41" i="61"/>
  <c r="AE80" i="61"/>
  <c r="AE74" i="61"/>
  <c r="AI40" i="61"/>
  <c r="AI46" i="61"/>
  <c r="AI39" i="61"/>
  <c r="AE77" i="61"/>
  <c r="AI38" i="61"/>
  <c r="AI36" i="61"/>
  <c r="AE71" i="61"/>
  <c r="AE67" i="61"/>
  <c r="AE65" i="61"/>
  <c r="AE55" i="61"/>
  <c r="AI55" i="61"/>
  <c r="AE66" i="61"/>
  <c r="AI37" i="61"/>
  <c r="AI50" i="61"/>
  <c r="AI49" i="61"/>
  <c r="AI51" i="61"/>
  <c r="AE79" i="61"/>
  <c r="AI48" i="61"/>
  <c r="AE62" i="61"/>
  <c r="AE68" i="61"/>
  <c r="AE70" i="61"/>
  <c r="AI47" i="61"/>
  <c r="AE63" i="61"/>
  <c r="AE76" i="61"/>
  <c r="AI34" i="61"/>
  <c r="AE64" i="61"/>
  <c r="AI35" i="61"/>
  <c r="AI43" i="61"/>
  <c r="AE72" i="61"/>
  <c r="N86" i="60"/>
  <c r="AE66" i="60"/>
  <c r="U86" i="60"/>
  <c r="T86" i="60"/>
  <c r="J86" i="60"/>
  <c r="L86" i="60"/>
  <c r="G86" i="60"/>
  <c r="U81" i="61"/>
  <c r="T81" i="61"/>
  <c r="Q81" i="61"/>
  <c r="Q86" i="60"/>
  <c r="O81" i="61"/>
  <c r="AH55" i="61"/>
  <c r="AA54" i="61"/>
  <c r="AD54" i="61"/>
  <c r="AD55" i="61"/>
  <c r="F81" i="61"/>
  <c r="I81" i="61"/>
  <c r="E81" i="61"/>
  <c r="M86" i="60"/>
  <c r="U55" i="61"/>
  <c r="M81" i="61"/>
  <c r="S86" i="60"/>
  <c r="J81" i="61"/>
  <c r="R73" i="61"/>
  <c r="H86" i="60"/>
  <c r="Z55" i="61"/>
  <c r="AC54" i="61"/>
  <c r="AC55" i="61"/>
  <c r="AH60" i="60"/>
  <c r="H81" i="61"/>
  <c r="R61" i="61"/>
  <c r="V81" i="61"/>
  <c r="R66" i="60"/>
  <c r="R78" i="60"/>
  <c r="AE61" i="61"/>
  <c r="AE86" i="60"/>
  <c r="AE73" i="61"/>
  <c r="AU88" i="63"/>
  <c r="AA55" i="61"/>
  <c r="R81" i="61"/>
  <c r="R86" i="60"/>
  <c r="AE81" i="61"/>
  <c r="BY17" i="13" l="1"/>
  <c r="BX77" i="13"/>
  <c r="BY6" i="13"/>
  <c r="BX66" i="13"/>
  <c r="BF16" i="11"/>
  <c r="BF7" i="11"/>
  <c r="BF18" i="11"/>
  <c r="BF19" i="11"/>
  <c r="BF20" i="11"/>
  <c r="BF12" i="11"/>
  <c r="BF24" i="11"/>
  <c r="BF9" i="11"/>
  <c r="BF13" i="11"/>
  <c r="BF15" i="11"/>
  <c r="BF14" i="11"/>
  <c r="BF11" i="11"/>
  <c r="BF22" i="11"/>
  <c r="BS109" i="13"/>
  <c r="BS105" i="13"/>
  <c r="BS101" i="13"/>
  <c r="BS97" i="13"/>
  <c r="BS93" i="13"/>
  <c r="BS89" i="13"/>
  <c r="BS85" i="13"/>
  <c r="AZ24" i="56" s="1"/>
  <c r="BS80" i="13"/>
  <c r="BS76" i="13"/>
  <c r="BS72" i="13"/>
  <c r="AZ14" i="56" s="1"/>
  <c r="AZ45" i="56" s="1"/>
  <c r="BS68" i="13"/>
  <c r="AZ15" i="56" s="1"/>
  <c r="AZ46" i="56" s="1"/>
  <c r="BS64" i="13"/>
  <c r="BS103" i="13"/>
  <c r="BS83" i="13"/>
  <c r="AZ22" i="56" s="1"/>
  <c r="AZ53" i="56" s="1"/>
  <c r="BS73" i="13"/>
  <c r="AZ17" i="56" s="1"/>
  <c r="AZ48" i="56" s="1"/>
  <c r="BS65" i="13"/>
  <c r="AZ11" i="56" s="1"/>
  <c r="AZ42" i="56" s="1"/>
  <c r="BS95" i="13"/>
  <c r="BS106" i="13"/>
  <c r="BS107" i="13"/>
  <c r="BS78" i="13"/>
  <c r="AZ18" i="56" s="1"/>
  <c r="AZ49" i="56" s="1"/>
  <c r="BS74" i="13"/>
  <c r="BS102" i="13"/>
  <c r="BS98" i="13"/>
  <c r="BS94" i="13"/>
  <c r="BS90" i="13"/>
  <c r="BS86" i="13"/>
  <c r="AZ26" i="56" s="1"/>
  <c r="AZ57" i="56" s="1"/>
  <c r="BS81" i="13"/>
  <c r="AZ20" i="56" s="1"/>
  <c r="AZ51" i="56" s="1"/>
  <c r="BS91" i="13"/>
  <c r="BS87" i="13"/>
  <c r="BS99" i="13"/>
  <c r="BS96" i="13"/>
  <c r="BS67" i="13"/>
  <c r="AZ13" i="56" s="1"/>
  <c r="AZ44" i="56" s="1"/>
  <c r="BS104" i="13"/>
  <c r="BS71" i="13"/>
  <c r="AZ16" i="56" s="1"/>
  <c r="AZ47" i="56" s="1"/>
  <c r="BS92" i="13"/>
  <c r="BS79" i="13"/>
  <c r="BS108" i="13"/>
  <c r="BS100" i="13"/>
  <c r="BS88" i="13"/>
  <c r="AZ28" i="56" s="1"/>
  <c r="AZ59" i="56" s="1"/>
  <c r="BS84" i="13"/>
  <c r="AZ23" i="56" s="1"/>
  <c r="AZ54" i="56" s="1"/>
  <c r="BS75" i="13"/>
  <c r="AZ19" i="56" s="1"/>
  <c r="AZ50" i="56" s="1"/>
  <c r="BO108" i="13"/>
  <c r="BO104" i="13"/>
  <c r="BO100" i="13"/>
  <c r="BO96" i="13"/>
  <c r="BO92" i="13"/>
  <c r="BO88" i="13"/>
  <c r="AV28" i="56" s="1"/>
  <c r="AV59" i="56" s="1"/>
  <c r="BO84" i="13"/>
  <c r="AV23" i="56" s="1"/>
  <c r="AV54" i="56" s="1"/>
  <c r="BO79" i="13"/>
  <c r="BO75" i="13"/>
  <c r="AV19" i="56" s="1"/>
  <c r="AV50" i="56" s="1"/>
  <c r="BO71" i="13"/>
  <c r="AV16" i="56" s="1"/>
  <c r="AV47" i="56" s="1"/>
  <c r="BO67" i="13"/>
  <c r="AV13" i="56" s="1"/>
  <c r="BO106" i="13"/>
  <c r="BO90" i="13"/>
  <c r="BO73" i="13"/>
  <c r="AV17" i="56" s="1"/>
  <c r="BO109" i="13"/>
  <c r="BO89" i="13"/>
  <c r="BO80" i="13"/>
  <c r="BO102" i="13"/>
  <c r="BO81" i="13"/>
  <c r="AV20" i="56" s="1"/>
  <c r="AV51" i="56" s="1"/>
  <c r="BO93" i="13"/>
  <c r="BO85" i="13"/>
  <c r="AV24" i="56" s="1"/>
  <c r="AV55" i="56" s="1"/>
  <c r="BO76" i="13"/>
  <c r="BO68" i="13"/>
  <c r="AV15" i="56" s="1"/>
  <c r="AV46" i="56" s="1"/>
  <c r="BO86" i="13"/>
  <c r="AV26" i="56" s="1"/>
  <c r="AV57" i="56" s="1"/>
  <c r="BO105" i="13"/>
  <c r="BO101" i="13"/>
  <c r="BO97" i="13"/>
  <c r="BO72" i="13"/>
  <c r="BO64" i="13"/>
  <c r="BO98" i="13"/>
  <c r="BO94" i="13"/>
  <c r="BO65" i="13"/>
  <c r="AV11" i="56" s="1"/>
  <c r="BO103" i="13"/>
  <c r="BO107" i="13"/>
  <c r="BO95" i="13"/>
  <c r="BO91" i="13"/>
  <c r="BO87" i="13"/>
  <c r="BO74" i="13"/>
  <c r="BO83" i="13"/>
  <c r="AV22" i="56" s="1"/>
  <c r="BO78" i="13"/>
  <c r="AV18" i="56" s="1"/>
  <c r="AV49" i="56" s="1"/>
  <c r="BO99" i="13"/>
  <c r="BQ65" i="13"/>
  <c r="BQ86" i="13"/>
  <c r="AX26" i="56" s="1"/>
  <c r="AX57" i="56" s="1"/>
  <c r="BQ94" i="13"/>
  <c r="BQ109" i="13"/>
  <c r="BQ105" i="13"/>
  <c r="BQ101" i="13"/>
  <c r="BQ97" i="13"/>
  <c r="BQ93" i="13"/>
  <c r="BQ89" i="13"/>
  <c r="BQ85" i="13"/>
  <c r="AX24" i="56" s="1"/>
  <c r="AX55" i="56" s="1"/>
  <c r="BQ80" i="13"/>
  <c r="BQ76" i="13"/>
  <c r="BQ72" i="13"/>
  <c r="BQ68" i="13"/>
  <c r="AX15" i="56" s="1"/>
  <c r="AX46" i="56" s="1"/>
  <c r="BQ64" i="13"/>
  <c r="BQ90" i="13"/>
  <c r="BQ106" i="13"/>
  <c r="BQ102" i="13"/>
  <c r="BQ98" i="13"/>
  <c r="BQ81" i="13"/>
  <c r="AX20" i="56" s="1"/>
  <c r="AX51" i="56" s="1"/>
  <c r="BQ73" i="13"/>
  <c r="AX17" i="56" s="1"/>
  <c r="AX48" i="56" s="1"/>
  <c r="BQ107" i="13"/>
  <c r="BQ83" i="13"/>
  <c r="AX22" i="56" s="1"/>
  <c r="AX53" i="56" s="1"/>
  <c r="BQ79" i="13"/>
  <c r="BQ108" i="13"/>
  <c r="BQ78" i="13"/>
  <c r="AX18" i="56" s="1"/>
  <c r="AX49" i="56" s="1"/>
  <c r="BQ99" i="13"/>
  <c r="BQ96" i="13"/>
  <c r="BQ88" i="13"/>
  <c r="AX28" i="56" s="1"/>
  <c r="AX59" i="56" s="1"/>
  <c r="BQ100" i="13"/>
  <c r="BQ91" i="13"/>
  <c r="BQ75" i="13"/>
  <c r="AX19" i="56" s="1"/>
  <c r="BQ84" i="13"/>
  <c r="AX23" i="56" s="1"/>
  <c r="AX54" i="56" s="1"/>
  <c r="BQ71" i="13"/>
  <c r="AX16" i="56" s="1"/>
  <c r="AX47" i="56" s="1"/>
  <c r="BQ104" i="13"/>
  <c r="BQ103" i="13"/>
  <c r="BQ95" i="13"/>
  <c r="BQ92" i="13"/>
  <c r="BQ87" i="13"/>
  <c r="BQ74" i="13"/>
  <c r="BQ67" i="13"/>
  <c r="AX13" i="56" s="1"/>
  <c r="AX44" i="56" s="1"/>
  <c r="BR106" i="13"/>
  <c r="BR98" i="13"/>
  <c r="BR109" i="13"/>
  <c r="BR105" i="13"/>
  <c r="BR101" i="13"/>
  <c r="BR97" i="13"/>
  <c r="BR93" i="13"/>
  <c r="BR89" i="13"/>
  <c r="BR85" i="13"/>
  <c r="AY24" i="56" s="1"/>
  <c r="AY55" i="56" s="1"/>
  <c r="BR80" i="13"/>
  <c r="BR76" i="13"/>
  <c r="BR72" i="13"/>
  <c r="BR68" i="13"/>
  <c r="AY15" i="56" s="1"/>
  <c r="AY46" i="56" s="1"/>
  <c r="BR64" i="13"/>
  <c r="BR90" i="13"/>
  <c r="BR94" i="13"/>
  <c r="BR73" i="13"/>
  <c r="AY17" i="56" s="1"/>
  <c r="AY48" i="56" s="1"/>
  <c r="BR102" i="13"/>
  <c r="BR86" i="13"/>
  <c r="AY26" i="56" s="1"/>
  <c r="AY57" i="56" s="1"/>
  <c r="BR81" i="13"/>
  <c r="AY20" i="56" s="1"/>
  <c r="AY51" i="56" s="1"/>
  <c r="BR65" i="13"/>
  <c r="AY11" i="56" s="1"/>
  <c r="BR103" i="13"/>
  <c r="BR99" i="13"/>
  <c r="BR96" i="13"/>
  <c r="BR88" i="13"/>
  <c r="AY28" i="56" s="1"/>
  <c r="AY59" i="56" s="1"/>
  <c r="BR75" i="13"/>
  <c r="AY19" i="56" s="1"/>
  <c r="AY50" i="56" s="1"/>
  <c r="BR104" i="13"/>
  <c r="BR87" i="13"/>
  <c r="BR71" i="13"/>
  <c r="AY16" i="56" s="1"/>
  <c r="AY47" i="56" s="1"/>
  <c r="BR79" i="13"/>
  <c r="BR78" i="13"/>
  <c r="AY18" i="56" s="1"/>
  <c r="AY49" i="56" s="1"/>
  <c r="BR100" i="13"/>
  <c r="BR95" i="13"/>
  <c r="BR92" i="13"/>
  <c r="BR91" i="13"/>
  <c r="BR84" i="13"/>
  <c r="AY23" i="56" s="1"/>
  <c r="BR74" i="13"/>
  <c r="BR83" i="13"/>
  <c r="AY22" i="56" s="1"/>
  <c r="AY53" i="56" s="1"/>
  <c r="BR108" i="13"/>
  <c r="BR67" i="13"/>
  <c r="AY13" i="56" s="1"/>
  <c r="AY44" i="56" s="1"/>
  <c r="BR107" i="13"/>
  <c r="G18" i="11"/>
  <c r="BA62" i="56"/>
  <c r="BT55" i="13"/>
  <c r="BB62" i="56"/>
  <c r="BU55" i="13"/>
  <c r="BC62" i="56"/>
  <c r="BV55" i="13"/>
  <c r="BD62" i="56"/>
  <c r="BW55" i="13"/>
  <c r="AU62" i="56"/>
  <c r="BN55" i="13"/>
  <c r="AW62" i="56"/>
  <c r="BP55" i="13"/>
  <c r="Q34" i="56"/>
  <c r="BE34" i="56"/>
  <c r="AD34" i="56"/>
  <c r="AU43" i="56"/>
  <c r="AU50" i="13"/>
  <c r="AS62" i="56"/>
  <c r="BU62" i="56" s="1" a="1"/>
  <c r="AR6" i="11"/>
  <c r="AS22" i="56"/>
  <c r="AR21" i="11"/>
  <c r="AS43" i="56"/>
  <c r="AR16" i="11"/>
  <c r="AR12" i="11"/>
  <c r="AR20" i="11"/>
  <c r="AR9" i="11"/>
  <c r="AR15" i="11"/>
  <c r="AR11" i="11"/>
  <c r="AR8" i="11"/>
  <c r="AR19" i="11"/>
  <c r="AR14" i="11"/>
  <c r="AR7" i="11"/>
  <c r="AE17" i="56"/>
  <c r="AR13" i="11"/>
  <c r="AR24" i="11"/>
  <c r="AR23" i="11"/>
  <c r="AR18" i="11"/>
  <c r="AV43" i="56"/>
  <c r="AW43" i="56"/>
  <c r="BE37" i="56"/>
  <c r="AE25" i="56"/>
  <c r="BG59" i="56"/>
  <c r="AH22" i="66" s="1"/>
  <c r="AF28" i="56"/>
  <c r="AF59" i="56" s="1"/>
  <c r="BK44" i="56"/>
  <c r="AJ13" i="56"/>
  <c r="AJ44" i="56" s="1"/>
  <c r="BG58" i="56"/>
  <c r="AH21" i="66" s="1"/>
  <c r="AF27" i="56"/>
  <c r="AF58" i="56" s="1"/>
  <c r="AL53" i="56"/>
  <c r="BM50" i="56"/>
  <c r="AL19" i="56"/>
  <c r="AL50" i="56" s="1"/>
  <c r="BF54" i="56"/>
  <c r="AG17" i="66" s="1"/>
  <c r="AE23" i="56"/>
  <c r="BI51" i="56"/>
  <c r="AJ14" i="66" s="1"/>
  <c r="AH20" i="56"/>
  <c r="AH51" i="56" s="1"/>
  <c r="AO23" i="56"/>
  <c r="AO54" i="56" s="1"/>
  <c r="AO13" i="56"/>
  <c r="AO44" i="56" s="1"/>
  <c r="BF51" i="56"/>
  <c r="AG14" i="66" s="1"/>
  <c r="AE20" i="56"/>
  <c r="BI50" i="56"/>
  <c r="AJ13" i="66" s="1"/>
  <c r="AH19" i="56"/>
  <c r="AH50" i="56" s="1"/>
  <c r="BK59" i="56"/>
  <c r="AJ28" i="56"/>
  <c r="AJ59" i="56" s="1"/>
  <c r="BI49" i="56"/>
  <c r="AJ12" i="66" s="1"/>
  <c r="AH18" i="56"/>
  <c r="AH49" i="56" s="1"/>
  <c r="AO28" i="56"/>
  <c r="AO59" i="56" s="1"/>
  <c r="AO18" i="56"/>
  <c r="AO49" i="56" s="1"/>
  <c r="AE18" i="56"/>
  <c r="AG18" i="56"/>
  <c r="AG49" i="56" s="1"/>
  <c r="AI24" i="56"/>
  <c r="AI55" i="56" s="1"/>
  <c r="BP57" i="56"/>
  <c r="AO26" i="56"/>
  <c r="AO57" i="56" s="1"/>
  <c r="BP47" i="56"/>
  <c r="AO16" i="56"/>
  <c r="AO47" i="56" s="1"/>
  <c r="BF55" i="56"/>
  <c r="AG18" i="66" s="1"/>
  <c r="AE24" i="56"/>
  <c r="BK43" i="56"/>
  <c r="AJ12" i="56"/>
  <c r="AJ43" i="56" s="1"/>
  <c r="AP23" i="56"/>
  <c r="AP54" i="56" s="1"/>
  <c r="AG16" i="56"/>
  <c r="AG47" i="56" s="1"/>
  <c r="AK53" i="56"/>
  <c r="BG56" i="56"/>
  <c r="AH19" i="66" s="1"/>
  <c r="AF25" i="56"/>
  <c r="AF56" i="56" s="1"/>
  <c r="BM47" i="56"/>
  <c r="AL16" i="56"/>
  <c r="AL47" i="56" s="1"/>
  <c r="BK58" i="56"/>
  <c r="AJ27" i="56"/>
  <c r="AJ58" i="56" s="1"/>
  <c r="AN9" i="56"/>
  <c r="AN41" i="56"/>
  <c r="BH43" i="56"/>
  <c r="AI6" i="66" s="1"/>
  <c r="AG12" i="56"/>
  <c r="AG43" i="56" s="1"/>
  <c r="AP25" i="56"/>
  <c r="AP56" i="56" s="1"/>
  <c r="AP15" i="56"/>
  <c r="AP46" i="56" s="1"/>
  <c r="BG50" i="56"/>
  <c r="AH13" i="66" s="1"/>
  <c r="AF19" i="56"/>
  <c r="AF50" i="56" s="1"/>
  <c r="AL41" i="56"/>
  <c r="BI46" i="56"/>
  <c r="AJ9" i="66" s="1"/>
  <c r="AH15" i="56"/>
  <c r="AH46" i="56" s="1"/>
  <c r="BJ45" i="56"/>
  <c r="AK8" i="66" s="1"/>
  <c r="AI14" i="56"/>
  <c r="AI45" i="56" s="1"/>
  <c r="BK55" i="56"/>
  <c r="AJ24" i="56"/>
  <c r="AJ55" i="56" s="1"/>
  <c r="BQ51" i="56"/>
  <c r="AP20" i="56"/>
  <c r="AP51" i="56" s="1"/>
  <c r="BF46" i="56"/>
  <c r="AG9" i="66" s="1"/>
  <c r="AE15" i="56"/>
  <c r="AH13" i="56"/>
  <c r="AH44" i="56" s="1"/>
  <c r="BJ43" i="56"/>
  <c r="AK6" i="66" s="1"/>
  <c r="AI12" i="56"/>
  <c r="AI43" i="56" s="1"/>
  <c r="AI22" i="56"/>
  <c r="AE13" i="56"/>
  <c r="BH55" i="56"/>
  <c r="AI18" i="66" s="1"/>
  <c r="AG24" i="56"/>
  <c r="AG55" i="56" s="1"/>
  <c r="BK50" i="56"/>
  <c r="AJ19" i="56"/>
  <c r="AJ50" i="56" s="1"/>
  <c r="BP58" i="56"/>
  <c r="AO27" i="56"/>
  <c r="AO58" i="56" s="1"/>
  <c r="BM43" i="56"/>
  <c r="AL12" i="56"/>
  <c r="AL43" i="56" s="1"/>
  <c r="BF43" i="56"/>
  <c r="AG6" i="66" s="1"/>
  <c r="AE12" i="56"/>
  <c r="BH54" i="56"/>
  <c r="AI17" i="66" s="1"/>
  <c r="AG23" i="56"/>
  <c r="AG54" i="56" s="1"/>
  <c r="AI10" i="56"/>
  <c r="BM51" i="56"/>
  <c r="AL20" i="56"/>
  <c r="AL51" i="56" s="1"/>
  <c r="BG44" i="56"/>
  <c r="AH7" i="66" s="1"/>
  <c r="AF13" i="56"/>
  <c r="AF44" i="56" s="1"/>
  <c r="BI41" i="56"/>
  <c r="AJ4" i="66" s="1"/>
  <c r="AH10" i="56"/>
  <c r="BF59" i="56"/>
  <c r="AG22" i="66" s="1"/>
  <c r="AE28" i="56"/>
  <c r="BG43" i="56"/>
  <c r="AH6" i="66" s="1"/>
  <c r="AF12" i="56"/>
  <c r="AF43" i="56" s="1"/>
  <c r="BH41" i="56"/>
  <c r="AI4" i="66" s="1"/>
  <c r="AG10" i="56"/>
  <c r="BI59" i="56"/>
  <c r="AJ22" i="66" s="1"/>
  <c r="AH28" i="56"/>
  <c r="AH59" i="56" s="1"/>
  <c r="AJ16" i="56"/>
  <c r="AJ47" i="56" s="1"/>
  <c r="AP22" i="56"/>
  <c r="BM58" i="56"/>
  <c r="AL27" i="56"/>
  <c r="AL58" i="56" s="1"/>
  <c r="BQ50" i="56"/>
  <c r="AP19" i="56"/>
  <c r="AP50" i="56" s="1"/>
  <c r="BM48" i="56"/>
  <c r="AL17" i="56"/>
  <c r="AL48" i="56" s="1"/>
  <c r="BP42" i="56"/>
  <c r="AO11" i="56"/>
  <c r="AO42" i="56" s="1"/>
  <c r="AH25" i="56"/>
  <c r="AH56" i="56" s="1"/>
  <c r="AM21" i="56"/>
  <c r="AM53" i="56"/>
  <c r="BL45" i="56"/>
  <c r="AK14" i="56"/>
  <c r="AK45" i="56" s="1"/>
  <c r="BI55" i="56"/>
  <c r="AJ18" i="66" s="1"/>
  <c r="AH24" i="56"/>
  <c r="AH55" i="56" s="1"/>
  <c r="BJ51" i="56"/>
  <c r="AK14" i="66" s="1"/>
  <c r="AI20" i="56"/>
  <c r="AI51" i="56" s="1"/>
  <c r="BQ44" i="56"/>
  <c r="AP13" i="56"/>
  <c r="AP44" i="56" s="1"/>
  <c r="BJ50" i="56"/>
  <c r="AK13" i="66" s="1"/>
  <c r="AI19" i="56"/>
  <c r="AI50" i="56" s="1"/>
  <c r="BK42" i="56"/>
  <c r="AJ11" i="56"/>
  <c r="AJ42" i="56" s="1"/>
  <c r="AH22" i="56"/>
  <c r="BM57" i="56"/>
  <c r="AL26" i="56"/>
  <c r="AL57" i="56" s="1"/>
  <c r="BP41" i="56"/>
  <c r="AO10" i="56"/>
  <c r="BF50" i="56"/>
  <c r="AG13" i="66" s="1"/>
  <c r="AE19" i="56"/>
  <c r="BG55" i="56"/>
  <c r="AH18" i="66" s="1"/>
  <c r="AF24" i="56"/>
  <c r="AF55" i="56" s="1"/>
  <c r="O50" i="13"/>
  <c r="O87" i="13" s="1"/>
  <c r="BG51" i="56"/>
  <c r="AH14" i="66" s="1"/>
  <c r="AF20" i="56"/>
  <c r="AF51" i="56" s="1"/>
  <c r="BI48" i="56"/>
  <c r="AJ11" i="66" s="1"/>
  <c r="AH17" i="56"/>
  <c r="AH48" i="56" s="1"/>
  <c r="BJ47" i="56"/>
  <c r="AK10" i="66" s="1"/>
  <c r="AI16" i="56"/>
  <c r="AI47" i="56" s="1"/>
  <c r="AM41" i="56"/>
  <c r="AM9" i="56"/>
  <c r="BH42" i="56"/>
  <c r="AI5" i="66" s="1"/>
  <c r="AG11" i="56"/>
  <c r="AG42" i="56" s="1"/>
  <c r="BK56" i="56"/>
  <c r="AJ25" i="56"/>
  <c r="AJ56" i="56" s="1"/>
  <c r="BL54" i="56"/>
  <c r="AK23" i="56"/>
  <c r="AK54" i="56" s="1"/>
  <c r="AO15" i="56"/>
  <c r="AO46" i="56" s="1"/>
  <c r="BF47" i="56"/>
  <c r="AG10" i="66" s="1"/>
  <c r="AE16" i="56"/>
  <c r="BM59" i="56"/>
  <c r="AL28" i="56"/>
  <c r="AL59" i="56" s="1"/>
  <c r="BG48" i="56"/>
  <c r="AH11" i="66" s="1"/>
  <c r="AF17" i="56"/>
  <c r="AF48" i="56" s="1"/>
  <c r="BI45" i="56"/>
  <c r="AJ8" i="66" s="1"/>
  <c r="AH14" i="56"/>
  <c r="AH45" i="56" s="1"/>
  <c r="BK41" i="56"/>
  <c r="AJ10" i="56"/>
  <c r="AE14" i="56"/>
  <c r="BH56" i="56"/>
  <c r="AI19" i="66" s="1"/>
  <c r="AG25" i="56"/>
  <c r="AG56" i="56" s="1"/>
  <c r="BM56" i="56"/>
  <c r="AL25" i="56"/>
  <c r="AL56" i="56" s="1"/>
  <c r="BM46" i="56"/>
  <c r="AL15" i="56"/>
  <c r="AL46" i="56" s="1"/>
  <c r="BG46" i="56"/>
  <c r="AH9" i="66" s="1"/>
  <c r="AF15" i="56"/>
  <c r="AF46" i="56" s="1"/>
  <c r="AI11" i="56"/>
  <c r="AI42" i="56" s="1"/>
  <c r="AJ22" i="56"/>
  <c r="AO17" i="56"/>
  <c r="AO48" i="56" s="1"/>
  <c r="Z50" i="13"/>
  <c r="Z3" i="13"/>
  <c r="AF3" i="13" s="1"/>
  <c r="BI42" i="56"/>
  <c r="AJ5" i="66" s="1"/>
  <c r="AH11" i="56"/>
  <c r="AH42" i="56" s="1"/>
  <c r="BK49" i="56"/>
  <c r="AJ18" i="56"/>
  <c r="AJ49" i="56" s="1"/>
  <c r="BQ55" i="56"/>
  <c r="AP24" i="56"/>
  <c r="AP55" i="56" s="1"/>
  <c r="BQ45" i="56"/>
  <c r="AP14" i="56"/>
  <c r="AP45" i="56" s="1"/>
  <c r="BJ59" i="56"/>
  <c r="AK22" i="66" s="1"/>
  <c r="AI28" i="56"/>
  <c r="AI59" i="56" s="1"/>
  <c r="AO24" i="56"/>
  <c r="AO55" i="56" s="1"/>
  <c r="AO14" i="56"/>
  <c r="AO45" i="56" s="1"/>
  <c r="BF58" i="56"/>
  <c r="AG21" i="66" s="1"/>
  <c r="AE27" i="56"/>
  <c r="AF11" i="56"/>
  <c r="AF42" i="56" s="1"/>
  <c r="BH51" i="56"/>
  <c r="AI14" i="66" s="1"/>
  <c r="AG20" i="56"/>
  <c r="AG51" i="56" s="1"/>
  <c r="BI58" i="56"/>
  <c r="AJ21" i="66" s="1"/>
  <c r="AH27" i="56"/>
  <c r="AH58" i="56" s="1"/>
  <c r="BJ57" i="56"/>
  <c r="AK20" i="66" s="1"/>
  <c r="AI26" i="56"/>
  <c r="AI57" i="56" s="1"/>
  <c r="BK46" i="56"/>
  <c r="AJ15" i="56"/>
  <c r="AJ46" i="56" s="1"/>
  <c r="AO22" i="56"/>
  <c r="BL58" i="56"/>
  <c r="AK27" i="56"/>
  <c r="AK58" i="56" s="1"/>
  <c r="BP50" i="56"/>
  <c r="AO19" i="56"/>
  <c r="AO50" i="56" s="1"/>
  <c r="BL48" i="56"/>
  <c r="AK17" i="56"/>
  <c r="AK48" i="56" s="1"/>
  <c r="BM42" i="56"/>
  <c r="AL11" i="56"/>
  <c r="BH48" i="56"/>
  <c r="AI11" i="66" s="1"/>
  <c r="AG17" i="56"/>
  <c r="AG48" i="56" s="1"/>
  <c r="BJ54" i="56"/>
  <c r="AK17" i="66" s="1"/>
  <c r="AI23" i="56"/>
  <c r="AI54" i="56" s="1"/>
  <c r="AE10" i="56"/>
  <c r="AH23" i="56"/>
  <c r="AH54" i="56" s="1"/>
  <c r="BH46" i="56"/>
  <c r="AI9" i="66" s="1"/>
  <c r="AG15" i="56"/>
  <c r="AG46" i="56" s="1"/>
  <c r="AI18" i="56"/>
  <c r="AI49" i="56" s="1"/>
  <c r="AP28" i="56"/>
  <c r="AP59" i="56" s="1"/>
  <c r="AP18" i="56"/>
  <c r="AP49" i="56" s="1"/>
  <c r="BH44" i="56"/>
  <c r="AI7" i="66" s="1"/>
  <c r="AG13" i="56"/>
  <c r="AG44" i="56" s="1"/>
  <c r="BJ48" i="56"/>
  <c r="AK11" i="66" s="1"/>
  <c r="AI17" i="56"/>
  <c r="AI48" i="56" s="1"/>
  <c r="BL47" i="56"/>
  <c r="AK16" i="56"/>
  <c r="AK47" i="56" s="1"/>
  <c r="BG54" i="56"/>
  <c r="AH17" i="66" s="1"/>
  <c r="AF23" i="56"/>
  <c r="AF54" i="56" s="1"/>
  <c r="BK57" i="56"/>
  <c r="AJ26" i="56"/>
  <c r="AJ57" i="56" s="1"/>
  <c r="BM54" i="56"/>
  <c r="AL23" i="56"/>
  <c r="BM44" i="56"/>
  <c r="AL13" i="56"/>
  <c r="AL44" i="56" s="1"/>
  <c r="BG53" i="56"/>
  <c r="AH16" i="66" s="1"/>
  <c r="AF22" i="56"/>
  <c r="BI47" i="56"/>
  <c r="AJ10" i="66" s="1"/>
  <c r="AH16" i="56"/>
  <c r="AH47" i="56" s="1"/>
  <c r="BJ46" i="56"/>
  <c r="AK9" i="66" s="1"/>
  <c r="AI15" i="56"/>
  <c r="AI46" i="56" s="1"/>
  <c r="BP56" i="56"/>
  <c r="AO25" i="56"/>
  <c r="AO56" i="56" s="1"/>
  <c r="BL44" i="56"/>
  <c r="AK13" i="56"/>
  <c r="AK44" i="56" s="1"/>
  <c r="BG49" i="56"/>
  <c r="AH12" i="66" s="1"/>
  <c r="AF18" i="56"/>
  <c r="AF49" i="56" s="1"/>
  <c r="BM49" i="56"/>
  <c r="AL18" i="56"/>
  <c r="AL49" i="56" s="1"/>
  <c r="AK41" i="56"/>
  <c r="BH58" i="56"/>
  <c r="AI21" i="66" s="1"/>
  <c r="AG27" i="56"/>
  <c r="AG58" i="56" s="1"/>
  <c r="BJ44" i="56"/>
  <c r="AK7" i="66" s="1"/>
  <c r="AI13" i="56"/>
  <c r="AI44" i="56" s="1"/>
  <c r="BK54" i="56"/>
  <c r="AJ23" i="56"/>
  <c r="AJ54" i="56" s="1"/>
  <c r="BP51" i="56"/>
  <c r="AO20" i="56"/>
  <c r="AO51" i="56" s="1"/>
  <c r="AF16" i="56"/>
  <c r="AF47" i="56" s="1"/>
  <c r="AP27" i="56"/>
  <c r="AP58" i="56" s="1"/>
  <c r="BQ48" i="56"/>
  <c r="AP17" i="56"/>
  <c r="AP48" i="56" s="1"/>
  <c r="BI43" i="56"/>
  <c r="AJ6" i="66" s="1"/>
  <c r="AH12" i="56"/>
  <c r="AH43" i="56" s="1"/>
  <c r="BL56" i="56"/>
  <c r="AK25" i="56"/>
  <c r="AK56" i="56" s="1"/>
  <c r="BG45" i="56"/>
  <c r="AH8" i="66" s="1"/>
  <c r="AF14" i="56"/>
  <c r="AF45" i="56" s="1"/>
  <c r="P10" i="11"/>
  <c r="BF42" i="56"/>
  <c r="AG5" i="66" s="1"/>
  <c r="AE11" i="56"/>
  <c r="AG22" i="56"/>
  <c r="BK48" i="56"/>
  <c r="AJ17" i="56"/>
  <c r="AJ48" i="56" s="1"/>
  <c r="AP11" i="56"/>
  <c r="AP42" i="56" s="1"/>
  <c r="BF57" i="56"/>
  <c r="AG20" i="66" s="1"/>
  <c r="AE26" i="56"/>
  <c r="AF10" i="56"/>
  <c r="BH50" i="56"/>
  <c r="AI13" i="66" s="1"/>
  <c r="AG19" i="56"/>
  <c r="AG50" i="56" s="1"/>
  <c r="AE22" i="56"/>
  <c r="AH26" i="56"/>
  <c r="AH57" i="56" s="1"/>
  <c r="AI25" i="56"/>
  <c r="AI56" i="56" s="1"/>
  <c r="AJ14" i="56"/>
  <c r="AJ45" i="56" s="1"/>
  <c r="AN21" i="56"/>
  <c r="AN53" i="56"/>
  <c r="AP26" i="56"/>
  <c r="AP57" i="56" s="1"/>
  <c r="BM55" i="56"/>
  <c r="AL24" i="56"/>
  <c r="AL55" i="56" s="1"/>
  <c r="AP16" i="56"/>
  <c r="AP47" i="56" s="1"/>
  <c r="BM45" i="56"/>
  <c r="AL14" i="56"/>
  <c r="AL45" i="56" s="1"/>
  <c r="BD43" i="56"/>
  <c r="AO109" i="13"/>
  <c r="AO55" i="13"/>
  <c r="AN109" i="13"/>
  <c r="AN55" i="13"/>
  <c r="AM109" i="13"/>
  <c r="AM55" i="13"/>
  <c r="AL109" i="13"/>
  <c r="AL55" i="13"/>
  <c r="AK109" i="13"/>
  <c r="AK55" i="13"/>
  <c r="AI109" i="13"/>
  <c r="AI55" i="13"/>
  <c r="AH109" i="13"/>
  <c r="AH55" i="13"/>
  <c r="AP109" i="13"/>
  <c r="AP55" i="13"/>
  <c r="AS75" i="13"/>
  <c r="AS92" i="13"/>
  <c r="AS108" i="13"/>
  <c r="AS64" i="13"/>
  <c r="AS66" i="13"/>
  <c r="AS100" i="13"/>
  <c r="AS101" i="13"/>
  <c r="AS102" i="13"/>
  <c r="AS103" i="13"/>
  <c r="AS72" i="13"/>
  <c r="AS73" i="13"/>
  <c r="AS107" i="13"/>
  <c r="AS76" i="13"/>
  <c r="AS93" i="13"/>
  <c r="AS109" i="13"/>
  <c r="AS96" i="13"/>
  <c r="AS97" i="13"/>
  <c r="AS98" i="13"/>
  <c r="AS67" i="13"/>
  <c r="AS77" i="13"/>
  <c r="AS94" i="13"/>
  <c r="AS110" i="13"/>
  <c r="AS79" i="13"/>
  <c r="AS65" i="13"/>
  <c r="AS83" i="13"/>
  <c r="AS84" i="13"/>
  <c r="AS85" i="13"/>
  <c r="AS69" i="13"/>
  <c r="AS70" i="13"/>
  <c r="AS71" i="13"/>
  <c r="AS104" i="13"/>
  <c r="AS105" i="13"/>
  <c r="AS106" i="13"/>
  <c r="AS91" i="13"/>
  <c r="AS78" i="13"/>
  <c r="AS95" i="13"/>
  <c r="AS80" i="13"/>
  <c r="AS81" i="13"/>
  <c r="AS99" i="13"/>
  <c r="AS68" i="13"/>
  <c r="AS86" i="13"/>
  <c r="AS87" i="13"/>
  <c r="AS88" i="13"/>
  <c r="AS89" i="13"/>
  <c r="AS90" i="13"/>
  <c r="AS74" i="13"/>
  <c r="BQ62" i="56"/>
  <c r="F45" i="56"/>
  <c r="N103" i="13"/>
  <c r="AR65" i="13"/>
  <c r="AR81" i="13"/>
  <c r="AR98" i="13"/>
  <c r="AR66" i="13"/>
  <c r="AR83" i="13"/>
  <c r="AR99" i="13"/>
  <c r="AR67" i="13"/>
  <c r="AR84" i="13"/>
  <c r="AR100" i="13"/>
  <c r="AR86" i="13"/>
  <c r="AR103" i="13"/>
  <c r="AR72" i="13"/>
  <c r="AR89" i="13"/>
  <c r="AR105" i="13"/>
  <c r="AR106" i="13"/>
  <c r="AR74" i="13"/>
  <c r="AR91" i="13"/>
  <c r="AR107" i="13"/>
  <c r="AR75" i="13"/>
  <c r="AR92" i="13"/>
  <c r="AR108" i="13"/>
  <c r="AR76" i="13"/>
  <c r="AR93" i="13"/>
  <c r="AR109" i="13"/>
  <c r="AR77" i="13"/>
  <c r="AR94" i="13"/>
  <c r="AR110" i="13"/>
  <c r="AR78" i="13"/>
  <c r="AR95" i="13"/>
  <c r="AR101" i="13"/>
  <c r="AR69" i="13"/>
  <c r="AR102" i="13"/>
  <c r="AR70" i="13"/>
  <c r="AR71" i="13"/>
  <c r="AR88" i="13"/>
  <c r="AR104" i="13"/>
  <c r="AR73" i="13"/>
  <c r="AR79" i="13"/>
  <c r="AR96" i="13"/>
  <c r="AR64" i="13"/>
  <c r="AR80" i="13"/>
  <c r="AR97" i="13"/>
  <c r="AR68" i="13"/>
  <c r="AR85" i="13"/>
  <c r="AR87" i="13"/>
  <c r="AR90" i="13"/>
  <c r="AF48" i="13"/>
  <c r="P50" i="13"/>
  <c r="P94" i="13" s="1"/>
  <c r="AF7" i="13"/>
  <c r="AM89" i="13"/>
  <c r="AM91" i="13"/>
  <c r="AM84" i="13"/>
  <c r="AM83" i="13"/>
  <c r="AM71" i="13"/>
  <c r="AM78" i="13"/>
  <c r="AM93" i="13"/>
  <c r="AM100" i="13"/>
  <c r="AM98" i="13"/>
  <c r="AM105" i="13"/>
  <c r="AM69" i="13"/>
  <c r="AM76" i="13"/>
  <c r="AM107" i="13"/>
  <c r="AM86" i="13"/>
  <c r="AM94" i="13"/>
  <c r="AM97" i="13"/>
  <c r="AM70" i="13"/>
  <c r="AM73" i="13"/>
  <c r="AM92" i="13"/>
  <c r="AM66" i="13"/>
  <c r="AM90" i="13"/>
  <c r="AM81" i="13"/>
  <c r="AM95" i="13"/>
  <c r="AM65" i="13"/>
  <c r="AM68" i="13"/>
  <c r="AM108" i="13"/>
  <c r="AM87" i="13"/>
  <c r="AM103" i="13"/>
  <c r="AM88" i="13"/>
  <c r="AM79" i="13"/>
  <c r="AM101" i="13"/>
  <c r="AM67" i="13"/>
  <c r="AM74" i="13"/>
  <c r="AM80" i="13"/>
  <c r="AM104" i="13"/>
  <c r="AM77" i="13"/>
  <c r="AM85" i="13"/>
  <c r="AM99" i="13"/>
  <c r="AM96" i="13"/>
  <c r="AM102" i="13"/>
  <c r="AM75" i="13"/>
  <c r="AM106" i="13"/>
  <c r="AM72" i="13"/>
  <c r="AK91" i="13"/>
  <c r="AK93" i="13"/>
  <c r="AK100" i="13"/>
  <c r="AK95" i="13"/>
  <c r="AK80" i="13"/>
  <c r="AK88" i="13"/>
  <c r="AK84" i="13"/>
  <c r="AK107" i="13"/>
  <c r="AK71" i="13"/>
  <c r="AK78" i="13"/>
  <c r="AK86" i="13"/>
  <c r="AK73" i="13"/>
  <c r="AK102" i="13"/>
  <c r="AK66" i="13"/>
  <c r="AK65" i="13"/>
  <c r="AK89" i="13"/>
  <c r="AK92" i="13"/>
  <c r="AK108" i="13"/>
  <c r="AK76" i="13"/>
  <c r="AK98" i="13"/>
  <c r="AK106" i="13"/>
  <c r="AK68" i="13"/>
  <c r="AK105" i="13"/>
  <c r="AK90" i="13"/>
  <c r="AK81" i="13"/>
  <c r="AK87" i="13"/>
  <c r="AK103" i="13"/>
  <c r="AK74" i="13"/>
  <c r="AK79" i="13"/>
  <c r="AK96" i="13"/>
  <c r="AK69" i="13"/>
  <c r="AK83" i="13"/>
  <c r="AK104" i="13"/>
  <c r="AK70" i="13"/>
  <c r="AK77" i="13"/>
  <c r="AK85" i="13"/>
  <c r="AK99" i="13"/>
  <c r="AK72" i="13"/>
  <c r="AK101" i="13"/>
  <c r="AK75" i="13"/>
  <c r="AK97" i="13"/>
  <c r="AK94" i="13"/>
  <c r="AK67" i="13"/>
  <c r="AP94" i="13"/>
  <c r="AP101" i="13"/>
  <c r="AP83" i="13"/>
  <c r="AP79" i="13"/>
  <c r="AP96" i="13"/>
  <c r="AP103" i="13"/>
  <c r="AP67" i="13"/>
  <c r="AP81" i="13"/>
  <c r="AP89" i="13"/>
  <c r="AP98" i="13"/>
  <c r="AP87" i="13"/>
  <c r="AP74" i="13"/>
  <c r="AP105" i="13"/>
  <c r="AP69" i="13"/>
  <c r="AP76" i="13"/>
  <c r="AP99" i="13"/>
  <c r="AP107" i="13"/>
  <c r="AP72" i="13"/>
  <c r="AP80" i="13"/>
  <c r="AP64" i="13"/>
  <c r="AP86" i="13"/>
  <c r="AP102" i="13"/>
  <c r="AP75" i="13"/>
  <c r="AP73" i="13"/>
  <c r="AP100" i="13"/>
  <c r="AP84" i="13"/>
  <c r="AP95" i="13"/>
  <c r="AP71" i="13"/>
  <c r="AP65" i="13"/>
  <c r="AP97" i="13"/>
  <c r="AP70" i="13"/>
  <c r="AP78" i="13"/>
  <c r="AP68" i="13"/>
  <c r="AP92" i="13"/>
  <c r="AP106" i="13"/>
  <c r="AP88" i="13"/>
  <c r="AP108" i="13"/>
  <c r="AP90" i="13"/>
  <c r="AP91" i="13"/>
  <c r="AP93" i="13"/>
  <c r="AP66" i="13"/>
  <c r="AP104" i="13"/>
  <c r="AP77" i="13"/>
  <c r="AP85" i="13"/>
  <c r="AL98" i="13"/>
  <c r="AL105" i="13"/>
  <c r="AL69" i="13"/>
  <c r="AL76" i="13"/>
  <c r="AL84" i="13"/>
  <c r="AL107" i="13"/>
  <c r="AL71" i="13"/>
  <c r="AL78" i="13"/>
  <c r="AL93" i="13"/>
  <c r="AL100" i="13"/>
  <c r="AL86" i="13"/>
  <c r="AL91" i="13"/>
  <c r="AL83" i="13"/>
  <c r="AL73" i="13"/>
  <c r="AL95" i="13"/>
  <c r="AL65" i="13"/>
  <c r="AL68" i="13"/>
  <c r="AL90" i="13"/>
  <c r="AL81" i="13"/>
  <c r="AL103" i="13"/>
  <c r="AL89" i="13"/>
  <c r="AL92" i="13"/>
  <c r="AL108" i="13"/>
  <c r="AL66" i="13"/>
  <c r="AL87" i="13"/>
  <c r="AL106" i="13"/>
  <c r="AL94" i="13"/>
  <c r="AL101" i="13"/>
  <c r="AL67" i="13"/>
  <c r="AL74" i="13"/>
  <c r="AL96" i="13"/>
  <c r="AL80" i="13"/>
  <c r="AL102" i="13"/>
  <c r="AL75" i="13"/>
  <c r="AL97" i="13"/>
  <c r="AL77" i="13"/>
  <c r="AL85" i="13"/>
  <c r="AL99" i="13"/>
  <c r="AL104" i="13"/>
  <c r="AL70" i="13"/>
  <c r="AL72" i="13"/>
  <c r="AL88" i="13"/>
  <c r="AL79" i="13"/>
  <c r="AH86" i="13"/>
  <c r="AH73" i="13"/>
  <c r="AH88" i="13"/>
  <c r="AH97" i="13"/>
  <c r="AH104" i="13"/>
  <c r="AH68" i="13"/>
  <c r="AH75" i="13"/>
  <c r="AH64" i="13"/>
  <c r="AH95" i="13"/>
  <c r="AH102" i="13"/>
  <c r="AH66" i="13"/>
  <c r="AH80" i="13"/>
  <c r="AH90" i="13"/>
  <c r="AH105" i="13"/>
  <c r="AH78" i="13"/>
  <c r="AH100" i="13"/>
  <c r="AH81" i="13"/>
  <c r="AH84" i="13"/>
  <c r="AH98" i="13"/>
  <c r="AH79" i="13"/>
  <c r="AH101" i="13"/>
  <c r="AH85" i="13"/>
  <c r="AH96" i="13"/>
  <c r="AH108" i="13"/>
  <c r="AH87" i="13"/>
  <c r="AH103" i="13"/>
  <c r="AH76" i="13"/>
  <c r="AH106" i="13"/>
  <c r="AH71" i="13"/>
  <c r="AH74" i="13"/>
  <c r="AH69" i="13"/>
  <c r="AH77" i="13"/>
  <c r="AH93" i="13"/>
  <c r="AH99" i="13"/>
  <c r="AH72" i="13"/>
  <c r="AH107" i="13"/>
  <c r="AH89" i="13"/>
  <c r="AH70" i="13"/>
  <c r="AH65" i="13"/>
  <c r="AH92" i="13"/>
  <c r="AH94" i="13"/>
  <c r="AH67" i="13"/>
  <c r="AH91" i="13"/>
  <c r="AH83" i="13"/>
  <c r="AO87" i="13"/>
  <c r="AO65" i="13"/>
  <c r="AO74" i="13"/>
  <c r="AO89" i="13"/>
  <c r="AO91" i="13"/>
  <c r="AO84" i="13"/>
  <c r="AO96" i="13"/>
  <c r="AO103" i="13"/>
  <c r="AO83" i="13"/>
  <c r="AO67" i="13"/>
  <c r="AO81" i="13"/>
  <c r="AO98" i="13"/>
  <c r="AO105" i="13"/>
  <c r="AO69" i="13"/>
  <c r="AO76" i="13"/>
  <c r="AO80" i="13"/>
  <c r="AO86" i="13"/>
  <c r="AO102" i="13"/>
  <c r="AO94" i="13"/>
  <c r="AO73" i="13"/>
  <c r="AO68" i="13"/>
  <c r="AO71" i="13"/>
  <c r="AO108" i="13"/>
  <c r="AO90" i="13"/>
  <c r="AO93" i="13"/>
  <c r="AO75" i="13"/>
  <c r="AO97" i="13"/>
  <c r="AO70" i="13"/>
  <c r="AO78" i="13"/>
  <c r="AO100" i="13"/>
  <c r="AO95" i="13"/>
  <c r="AO92" i="13"/>
  <c r="AO66" i="13"/>
  <c r="AO88" i="13"/>
  <c r="AO79" i="13"/>
  <c r="AO101" i="13"/>
  <c r="AO107" i="13"/>
  <c r="AO104" i="13"/>
  <c r="AO77" i="13"/>
  <c r="AO72" i="13"/>
  <c r="AO85" i="13"/>
  <c r="AO99" i="13"/>
  <c r="AO106" i="13"/>
  <c r="AI93" i="13"/>
  <c r="AI100" i="13"/>
  <c r="AI95" i="13"/>
  <c r="AI102" i="13"/>
  <c r="AI66" i="13"/>
  <c r="AI80" i="13"/>
  <c r="AI88" i="13"/>
  <c r="AI104" i="13"/>
  <c r="AI68" i="13"/>
  <c r="AI75" i="13"/>
  <c r="AI86" i="13"/>
  <c r="AI73" i="13"/>
  <c r="AI97" i="13"/>
  <c r="AI90" i="13"/>
  <c r="AI89" i="13"/>
  <c r="AI92" i="13"/>
  <c r="AI87" i="13"/>
  <c r="AI103" i="13"/>
  <c r="AI85" i="13"/>
  <c r="AI69" i="13"/>
  <c r="AI77" i="13"/>
  <c r="AI105" i="13"/>
  <c r="AI78" i="13"/>
  <c r="AI108" i="13"/>
  <c r="AI81" i="13"/>
  <c r="AI76" i="13"/>
  <c r="AI84" i="13"/>
  <c r="AI98" i="13"/>
  <c r="AI106" i="13"/>
  <c r="AI71" i="13"/>
  <c r="AI74" i="13"/>
  <c r="AI79" i="13"/>
  <c r="AI101" i="13"/>
  <c r="AI96" i="13"/>
  <c r="AI107" i="13"/>
  <c r="AI70" i="13"/>
  <c r="AI91" i="13"/>
  <c r="AI83" i="13"/>
  <c r="AI72" i="13"/>
  <c r="AI65" i="13"/>
  <c r="AI99" i="13"/>
  <c r="AI94" i="13"/>
  <c r="AI67" i="13"/>
  <c r="AN96" i="13"/>
  <c r="AN103" i="13"/>
  <c r="AN67" i="13"/>
  <c r="AN81" i="13"/>
  <c r="AN98" i="13"/>
  <c r="AN105" i="13"/>
  <c r="AN83" i="13"/>
  <c r="AN69" i="13"/>
  <c r="AN76" i="13"/>
  <c r="AN91" i="13"/>
  <c r="AN107" i="13"/>
  <c r="AN71" i="13"/>
  <c r="AN89" i="13"/>
  <c r="AN84" i="13"/>
  <c r="AN78" i="13"/>
  <c r="AN93" i="13"/>
  <c r="AN86" i="13"/>
  <c r="AN102" i="13"/>
  <c r="AN75" i="13"/>
  <c r="AN94" i="13"/>
  <c r="AN73" i="13"/>
  <c r="AN95" i="13"/>
  <c r="AN68" i="13"/>
  <c r="AN66" i="13"/>
  <c r="AN87" i="13"/>
  <c r="AN97" i="13"/>
  <c r="AN70" i="13"/>
  <c r="AN100" i="13"/>
  <c r="AN65" i="13"/>
  <c r="AN92" i="13"/>
  <c r="AN108" i="13"/>
  <c r="AN90" i="13"/>
  <c r="AN88" i="13"/>
  <c r="AN79" i="13"/>
  <c r="AN101" i="13"/>
  <c r="AN74" i="13"/>
  <c r="AN104" i="13"/>
  <c r="AN77" i="13"/>
  <c r="AN85" i="13"/>
  <c r="AN80" i="13"/>
  <c r="AN99" i="13"/>
  <c r="AN106" i="13"/>
  <c r="AN72" i="13"/>
  <c r="AF41" i="13"/>
  <c r="AH10" i="11"/>
  <c r="AR10" i="11" s="1"/>
  <c r="F59" i="56"/>
  <c r="AJ28" i="63"/>
  <c r="AJ58" i="63" s="1"/>
  <c r="F44" i="56"/>
  <c r="R10" i="11"/>
  <c r="R67" i="11" s="1"/>
  <c r="R22" i="11"/>
  <c r="R26" i="56" s="1"/>
  <c r="R57" i="56" s="1"/>
  <c r="AG26" i="13"/>
  <c r="AG41" i="13"/>
  <c r="BO57" i="56"/>
  <c r="BO47" i="56"/>
  <c r="BO54" i="56"/>
  <c r="BO44" i="56"/>
  <c r="BO59" i="56"/>
  <c r="BO49" i="56"/>
  <c r="BO41" i="56"/>
  <c r="AF42" i="13"/>
  <c r="AG42" i="13"/>
  <c r="BO56" i="56"/>
  <c r="R4" i="13"/>
  <c r="BO51" i="56"/>
  <c r="BO43" i="56"/>
  <c r="J6" i="11"/>
  <c r="J61" i="11" s="1"/>
  <c r="BO58" i="56"/>
  <c r="BO48" i="56"/>
  <c r="S50" i="13"/>
  <c r="AG12" i="13"/>
  <c r="AQ110" i="13"/>
  <c r="AQ64" i="13"/>
  <c r="BO55" i="56"/>
  <c r="BO45" i="56"/>
  <c r="X9" i="11"/>
  <c r="AM13" i="63" s="1"/>
  <c r="AM43" i="63" s="1"/>
  <c r="AG7" i="13"/>
  <c r="BO53" i="56"/>
  <c r="BO50" i="56"/>
  <c r="BO42" i="56"/>
  <c r="BI62" i="13"/>
  <c r="H25" i="56"/>
  <c r="H56" i="56" s="1"/>
  <c r="AC20" i="56"/>
  <c r="AC51" i="56" s="1"/>
  <c r="AA88" i="13"/>
  <c r="AA74" i="13"/>
  <c r="K24" i="56"/>
  <c r="K55" i="56" s="1"/>
  <c r="AB18" i="56"/>
  <c r="AB49" i="56" s="1"/>
  <c r="H44" i="56"/>
  <c r="H51" i="56"/>
  <c r="AA79" i="13"/>
  <c r="H59" i="56"/>
  <c r="AA87" i="13"/>
  <c r="H53" i="56"/>
  <c r="AA93" i="13"/>
  <c r="H46" i="56"/>
  <c r="H78" i="13"/>
  <c r="N74" i="11"/>
  <c r="AJ15" i="63"/>
  <c r="AJ45" i="63" s="1"/>
  <c r="N89" i="13"/>
  <c r="AK28" i="63"/>
  <c r="AK58" i="63" s="1"/>
  <c r="BN62" i="56"/>
  <c r="AP110" i="13"/>
  <c r="G27" i="56"/>
  <c r="G58" i="56" s="1"/>
  <c r="U79" i="13"/>
  <c r="U85" i="13"/>
  <c r="T1" i="13"/>
  <c r="Y9" i="11"/>
  <c r="AN13" i="63" s="1"/>
  <c r="AN43" i="63" s="1"/>
  <c r="G12" i="56"/>
  <c r="G43" i="56" s="1"/>
  <c r="R20" i="13"/>
  <c r="P61" i="11"/>
  <c r="AC26" i="56"/>
  <c r="AC57" i="56" s="1"/>
  <c r="G66" i="11"/>
  <c r="AS44" i="56"/>
  <c r="AS55" i="56"/>
  <c r="AS59" i="56"/>
  <c r="U108" i="13"/>
  <c r="U98" i="13"/>
  <c r="N65" i="13"/>
  <c r="U107" i="13"/>
  <c r="U89" i="13"/>
  <c r="U80" i="13"/>
  <c r="H67" i="13"/>
  <c r="U87" i="13"/>
  <c r="U101" i="13"/>
  <c r="AB24" i="56"/>
  <c r="AB55" i="56" s="1"/>
  <c r="X86" i="13"/>
  <c r="U69" i="13"/>
  <c r="U104" i="13"/>
  <c r="H84" i="13"/>
  <c r="H68" i="13"/>
  <c r="U97" i="13"/>
  <c r="H83" i="13"/>
  <c r="AA26" i="56"/>
  <c r="AA57" i="56" s="1"/>
  <c r="H99" i="13"/>
  <c r="AT44" i="56"/>
  <c r="U74" i="13"/>
  <c r="AT46" i="56"/>
  <c r="T70" i="11"/>
  <c r="AT59" i="56"/>
  <c r="AP15" i="63"/>
  <c r="AP45" i="63" s="1"/>
  <c r="AT42" i="56"/>
  <c r="H101" i="13"/>
  <c r="Z17" i="56"/>
  <c r="Z48" i="56" s="1"/>
  <c r="AT45" i="56"/>
  <c r="N77" i="13"/>
  <c r="AA96" i="13"/>
  <c r="J94" i="13"/>
  <c r="K68" i="13"/>
  <c r="N100" i="13"/>
  <c r="K66" i="13"/>
  <c r="N84" i="13"/>
  <c r="N14" i="56"/>
  <c r="N45" i="56" s="1"/>
  <c r="K69" i="13"/>
  <c r="J13" i="56"/>
  <c r="J44" i="56" s="1"/>
  <c r="M106" i="13"/>
  <c r="AA97" i="13"/>
  <c r="AA91" i="13"/>
  <c r="H41" i="56"/>
  <c r="AA104" i="13"/>
  <c r="K74" i="13"/>
  <c r="M99" i="13"/>
  <c r="K94" i="13"/>
  <c r="I93" i="13"/>
  <c r="J78" i="13"/>
  <c r="K84" i="13"/>
  <c r="I78" i="13"/>
  <c r="K75" i="13"/>
  <c r="X83" i="13"/>
  <c r="I87" i="13"/>
  <c r="AA65" i="13"/>
  <c r="J107" i="13"/>
  <c r="AR10" i="63"/>
  <c r="AR40" i="63" s="1"/>
  <c r="F47" i="56"/>
  <c r="W89" i="13"/>
  <c r="W91" i="13"/>
  <c r="I86" i="13"/>
  <c r="I94" i="13"/>
  <c r="W107" i="13"/>
  <c r="AR17" i="63"/>
  <c r="AR47" i="63" s="1"/>
  <c r="U76" i="11"/>
  <c r="I96" i="13"/>
  <c r="I74" i="13"/>
  <c r="AA72" i="13"/>
  <c r="E42" i="56"/>
  <c r="J89" i="13"/>
  <c r="AC19" i="56"/>
  <c r="AC50" i="56" s="1"/>
  <c r="AA85" i="13"/>
  <c r="I110" i="13"/>
  <c r="Z28" i="56"/>
  <c r="Z59" i="56" s="1"/>
  <c r="I88" i="13"/>
  <c r="AC28" i="56"/>
  <c r="AC59" i="56" s="1"/>
  <c r="H47" i="56"/>
  <c r="G41" i="56"/>
  <c r="W72" i="13"/>
  <c r="AA78" i="13"/>
  <c r="U49" i="56"/>
  <c r="W75" i="13"/>
  <c r="X73" i="13"/>
  <c r="I98" i="13"/>
  <c r="F55" i="56"/>
  <c r="K83" i="13"/>
  <c r="W103" i="13"/>
  <c r="AA107" i="13"/>
  <c r="K99" i="13"/>
  <c r="K85" i="13"/>
  <c r="I105" i="13"/>
  <c r="X95" i="13"/>
  <c r="L105" i="13"/>
  <c r="AP11" i="63"/>
  <c r="AP41" i="63" s="1"/>
  <c r="AA94" i="13"/>
  <c r="G42" i="56"/>
  <c r="H49" i="56"/>
  <c r="I83" i="13"/>
  <c r="I106" i="13"/>
  <c r="W106" i="13"/>
  <c r="W77" i="13"/>
  <c r="F50" i="56"/>
  <c r="AG22" i="63"/>
  <c r="AG52" i="63" s="1"/>
  <c r="N87" i="13"/>
  <c r="AA64" i="13"/>
  <c r="AA92" i="13"/>
  <c r="F72" i="11"/>
  <c r="E53" i="56"/>
  <c r="J76" i="13"/>
  <c r="I90" i="13"/>
  <c r="G50" i="56"/>
  <c r="G56" i="56"/>
  <c r="G57" i="56"/>
  <c r="AC18" i="56"/>
  <c r="AC49" i="56" s="1"/>
  <c r="AP16" i="63"/>
  <c r="AP46" i="63" s="1"/>
  <c r="AB12" i="56"/>
  <c r="AB43" i="56" s="1"/>
  <c r="M80" i="13"/>
  <c r="M93" i="13"/>
  <c r="Y22" i="56"/>
  <c r="Y1" i="56" s="1"/>
  <c r="T20" i="56"/>
  <c r="T51" i="56" s="1"/>
  <c r="M71" i="13"/>
  <c r="H50" i="56"/>
  <c r="F73" i="13"/>
  <c r="F74" i="13"/>
  <c r="F108" i="13"/>
  <c r="F104" i="13"/>
  <c r="F102" i="13"/>
  <c r="F64" i="13"/>
  <c r="F89" i="13"/>
  <c r="G83" i="13"/>
  <c r="G69" i="13"/>
  <c r="R23" i="13"/>
  <c r="M16" i="56"/>
  <c r="M47" i="56" s="1"/>
  <c r="AB107" i="13"/>
  <c r="H110" i="13"/>
  <c r="AB92" i="13"/>
  <c r="J18" i="56"/>
  <c r="J49" i="56" s="1"/>
  <c r="AB89" i="13"/>
  <c r="L74" i="11"/>
  <c r="AB98" i="13"/>
  <c r="H74" i="13"/>
  <c r="H103" i="13"/>
  <c r="G68" i="11"/>
  <c r="U78" i="13"/>
  <c r="K98" i="13"/>
  <c r="U99" i="13"/>
  <c r="U77" i="13"/>
  <c r="U71" i="13"/>
  <c r="H90" i="13"/>
  <c r="U91" i="13"/>
  <c r="F18" i="11"/>
  <c r="F22" i="56" s="1"/>
  <c r="F53" i="56" s="1"/>
  <c r="Y50" i="13"/>
  <c r="Y65" i="13" s="1"/>
  <c r="T71" i="11"/>
  <c r="AC108" i="13"/>
  <c r="E63" i="11"/>
  <c r="AB68" i="13"/>
  <c r="AB106" i="13"/>
  <c r="S1" i="13"/>
  <c r="U68" i="13"/>
  <c r="AJ50" i="13"/>
  <c r="AJ55" i="13" s="1"/>
  <c r="J64" i="11"/>
  <c r="AM22" i="63"/>
  <c r="AM52" i="63" s="1"/>
  <c r="K101" i="13"/>
  <c r="M23" i="56"/>
  <c r="M54" i="56" s="1"/>
  <c r="U76" i="13"/>
  <c r="U94" i="13"/>
  <c r="I80" i="13"/>
  <c r="AB99" i="13"/>
  <c r="AB97" i="13"/>
  <c r="Y1" i="13"/>
  <c r="K88" i="13"/>
  <c r="W78" i="13"/>
  <c r="W98" i="13"/>
  <c r="AJ13" i="63"/>
  <c r="AJ43" i="63" s="1"/>
  <c r="W96" i="13"/>
  <c r="U66" i="13"/>
  <c r="I68" i="13"/>
  <c r="I73" i="13"/>
  <c r="T22" i="56"/>
  <c r="T53" i="56" s="1"/>
  <c r="AB75" i="13"/>
  <c r="H107" i="13"/>
  <c r="H100" i="13"/>
  <c r="T73" i="11"/>
  <c r="U81" i="13"/>
  <c r="AF12" i="13"/>
  <c r="AJ52" i="63"/>
  <c r="Q50" i="13"/>
  <c r="Q73" i="13" s="1"/>
  <c r="T21" i="11"/>
  <c r="T25" i="56" s="1"/>
  <c r="T56" i="56" s="1"/>
  <c r="AB71" i="13"/>
  <c r="AA13" i="56"/>
  <c r="AA44" i="56" s="1"/>
  <c r="U65" i="13"/>
  <c r="Z19" i="56"/>
  <c r="Z50" i="56" s="1"/>
  <c r="E71" i="11"/>
  <c r="U73" i="13"/>
  <c r="AB76" i="13"/>
  <c r="U100" i="13"/>
  <c r="Z1" i="13"/>
  <c r="Y24" i="56"/>
  <c r="Y55" i="56" s="1"/>
  <c r="W101" i="13"/>
  <c r="K76" i="11"/>
  <c r="U106" i="13"/>
  <c r="I91" i="13"/>
  <c r="X18" i="56"/>
  <c r="X49" i="56" s="1"/>
  <c r="U88" i="13"/>
  <c r="AG40" i="63"/>
  <c r="K72" i="13"/>
  <c r="Z15" i="56"/>
  <c r="Z46" i="56" s="1"/>
  <c r="W97" i="13"/>
  <c r="W100" i="13"/>
  <c r="AP27" i="63"/>
  <c r="AP57" i="63" s="1"/>
  <c r="U75" i="13"/>
  <c r="P16" i="56"/>
  <c r="P47" i="56" s="1"/>
  <c r="T77" i="11"/>
  <c r="I79" i="13"/>
  <c r="AB104" i="13"/>
  <c r="H86" i="13"/>
  <c r="L68" i="13"/>
  <c r="U103" i="13"/>
  <c r="AF26" i="13"/>
  <c r="H106" i="13"/>
  <c r="H79" i="13"/>
  <c r="K102" i="13"/>
  <c r="M74" i="11"/>
  <c r="U102" i="13"/>
  <c r="H108" i="13"/>
  <c r="AB102" i="13"/>
  <c r="AP28" i="63"/>
  <c r="AB25" i="56"/>
  <c r="AB56" i="56" s="1"/>
  <c r="I69" i="13"/>
  <c r="J108" i="13"/>
  <c r="I67" i="13"/>
  <c r="AB108" i="13"/>
  <c r="I92" i="13"/>
  <c r="T50" i="13"/>
  <c r="T73" i="13" s="1"/>
  <c r="Z10" i="56"/>
  <c r="Z41" i="56" s="1"/>
  <c r="W108" i="13"/>
  <c r="U105" i="13"/>
  <c r="Z20" i="56"/>
  <c r="Z51" i="56" s="1"/>
  <c r="AQ10" i="63"/>
  <c r="AP10" i="63"/>
  <c r="AP40" i="63" s="1"/>
  <c r="I65" i="13"/>
  <c r="AI13" i="63"/>
  <c r="AI43" i="63" s="1"/>
  <c r="I97" i="13"/>
  <c r="AB93" i="13"/>
  <c r="H85" i="13"/>
  <c r="H76" i="13"/>
  <c r="L74" i="13"/>
  <c r="AH22" i="11"/>
  <c r="AR22" i="11" s="1"/>
  <c r="U1" i="13"/>
  <c r="AB100" i="13"/>
  <c r="U90" i="13"/>
  <c r="H89" i="13"/>
  <c r="U28" i="56"/>
  <c r="U59" i="56" s="1"/>
  <c r="Y26" i="56"/>
  <c r="Y57" i="56" s="1"/>
  <c r="K73" i="13"/>
  <c r="AB81" i="13"/>
  <c r="Z23" i="56"/>
  <c r="Z54" i="56" s="1"/>
  <c r="U93" i="13"/>
  <c r="R26" i="13"/>
  <c r="AO18" i="63"/>
  <c r="AO48" i="63" s="1"/>
  <c r="S21" i="11"/>
  <c r="S25" i="56" s="1"/>
  <c r="S56" i="56" s="1"/>
  <c r="W87" i="13"/>
  <c r="K107" i="13"/>
  <c r="F27" i="56"/>
  <c r="F58" i="56" s="1"/>
  <c r="S23" i="56"/>
  <c r="S54" i="56" s="1"/>
  <c r="U83" i="13"/>
  <c r="AM10" i="63"/>
  <c r="AM40" i="63" s="1"/>
  <c r="L62" i="11"/>
  <c r="I66" i="13"/>
  <c r="U86" i="13"/>
  <c r="T65" i="11"/>
  <c r="H102" i="13"/>
  <c r="H98" i="13"/>
  <c r="H65" i="13"/>
  <c r="U92" i="13"/>
  <c r="N23" i="56"/>
  <c r="N54" i="56" s="1"/>
  <c r="V56" i="56"/>
  <c r="AS45" i="56"/>
  <c r="AS50" i="56"/>
  <c r="AS46" i="56"/>
  <c r="AT50" i="56"/>
  <c r="AT47" i="56"/>
  <c r="AS47" i="56"/>
  <c r="AT54" i="56"/>
  <c r="AS51" i="56"/>
  <c r="AA23" i="56"/>
  <c r="AA54" i="56" s="1"/>
  <c r="P18" i="56"/>
  <c r="P49" i="56" s="1"/>
  <c r="M68" i="11"/>
  <c r="AK17" i="63"/>
  <c r="AK47" i="63" s="1"/>
  <c r="Z13" i="56"/>
  <c r="Z44" i="56" s="1"/>
  <c r="AB20" i="56"/>
  <c r="AB51" i="56" s="1"/>
  <c r="S16" i="56"/>
  <c r="S47" i="56" s="1"/>
  <c r="P71" i="11"/>
  <c r="AN20" i="63"/>
  <c r="AN50" i="63" s="1"/>
  <c r="Y11" i="56"/>
  <c r="Y42" i="56" s="1"/>
  <c r="AC25" i="56"/>
  <c r="AC56" i="56" s="1"/>
  <c r="AB19" i="56"/>
  <c r="AB50" i="56" s="1"/>
  <c r="AA25" i="56"/>
  <c r="AA56" i="56" s="1"/>
  <c r="I73" i="11"/>
  <c r="W13" i="56"/>
  <c r="W44" i="56" s="1"/>
  <c r="BJ55" i="56"/>
  <c r="AK18" i="66" s="1"/>
  <c r="G94" i="13"/>
  <c r="G90" i="13"/>
  <c r="G103" i="13"/>
  <c r="F65" i="11"/>
  <c r="U16" i="56"/>
  <c r="U47" i="56" s="1"/>
  <c r="F17" i="56"/>
  <c r="F48" i="56" s="1"/>
  <c r="L108" i="13"/>
  <c r="L64" i="13"/>
  <c r="G98" i="13"/>
  <c r="G86" i="13"/>
  <c r="G65" i="13"/>
  <c r="K104" i="13"/>
  <c r="K77" i="13"/>
  <c r="W69" i="13"/>
  <c r="W79" i="13"/>
  <c r="N75" i="13"/>
  <c r="W93" i="13"/>
  <c r="I95" i="13"/>
  <c r="X103" i="13"/>
  <c r="P23" i="56"/>
  <c r="P54" i="56" s="1"/>
  <c r="K63" i="11"/>
  <c r="J65" i="13"/>
  <c r="L94" i="13"/>
  <c r="I75" i="13"/>
  <c r="I108" i="13"/>
  <c r="AC72" i="13"/>
  <c r="K75" i="11"/>
  <c r="L101" i="13"/>
  <c r="L90" i="13"/>
  <c r="I107" i="13"/>
  <c r="J106" i="13"/>
  <c r="AV41" i="56"/>
  <c r="G102" i="13"/>
  <c r="G97" i="13"/>
  <c r="G71" i="13"/>
  <c r="X15" i="56"/>
  <c r="X46" i="56" s="1"/>
  <c r="K20" i="56"/>
  <c r="K51" i="56" s="1"/>
  <c r="G95" i="13"/>
  <c r="G66" i="13"/>
  <c r="M11" i="56"/>
  <c r="M42" i="56" s="1"/>
  <c r="G74" i="13"/>
  <c r="G110" i="13"/>
  <c r="G100" i="13"/>
  <c r="G84" i="13"/>
  <c r="K79" i="13"/>
  <c r="K91" i="13"/>
  <c r="W71" i="13"/>
  <c r="N104" i="13"/>
  <c r="J15" i="56"/>
  <c r="J46" i="56" s="1"/>
  <c r="I100" i="13"/>
  <c r="I103" i="13"/>
  <c r="I81" i="13"/>
  <c r="I71" i="13"/>
  <c r="I77" i="13"/>
  <c r="K67" i="11"/>
  <c r="W20" i="56"/>
  <c r="W51" i="56" s="1"/>
  <c r="M73" i="13"/>
  <c r="U15" i="56"/>
  <c r="U46" i="56" s="1"/>
  <c r="BH53" i="56"/>
  <c r="AI16" i="66" s="1"/>
  <c r="I12" i="56"/>
  <c r="I43" i="56" s="1"/>
  <c r="G91" i="13"/>
  <c r="G79" i="13"/>
  <c r="F67" i="11"/>
  <c r="G92" i="13"/>
  <c r="W67" i="13"/>
  <c r="U72" i="11"/>
  <c r="M85" i="13"/>
  <c r="G77" i="13"/>
  <c r="W90" i="13"/>
  <c r="N73" i="13"/>
  <c r="M100" i="13"/>
  <c r="M84" i="13"/>
  <c r="G64" i="13"/>
  <c r="G107" i="13"/>
  <c r="G87" i="13"/>
  <c r="W86" i="13"/>
  <c r="N91" i="13"/>
  <c r="P74" i="11"/>
  <c r="K62" i="11"/>
  <c r="L84" i="13"/>
  <c r="M88" i="13"/>
  <c r="L89" i="13"/>
  <c r="AH16" i="63"/>
  <c r="AH46" i="63" s="1"/>
  <c r="G101" i="13"/>
  <c r="G93" i="13"/>
  <c r="G68" i="13"/>
  <c r="J71" i="13"/>
  <c r="G88" i="13"/>
  <c r="L72" i="13"/>
  <c r="G106" i="13"/>
  <c r="W94" i="13"/>
  <c r="N98" i="13"/>
  <c r="L97" i="13"/>
  <c r="I75" i="11"/>
  <c r="G72" i="13"/>
  <c r="G67" i="13"/>
  <c r="F20" i="56"/>
  <c r="F51" i="56" s="1"/>
  <c r="W84" i="13"/>
  <c r="N64" i="13"/>
  <c r="O14" i="56"/>
  <c r="O45" i="56" s="1"/>
  <c r="I99" i="13"/>
  <c r="X99" i="13"/>
  <c r="J103" i="13"/>
  <c r="G96" i="13"/>
  <c r="H77" i="11"/>
  <c r="M86" i="13"/>
  <c r="L83" i="13"/>
  <c r="H65" i="11"/>
  <c r="G80" i="13"/>
  <c r="W73" i="13"/>
  <c r="AK27" i="63"/>
  <c r="AK57" i="63" s="1"/>
  <c r="N81" i="13"/>
  <c r="W92" i="13"/>
  <c r="W83" i="13"/>
  <c r="X106" i="13"/>
  <c r="I64" i="13"/>
  <c r="J96" i="13"/>
  <c r="I72" i="13"/>
  <c r="J26" i="56"/>
  <c r="J57" i="56" s="1"/>
  <c r="AC80" i="13"/>
  <c r="AC105" i="13"/>
  <c r="M91" i="13"/>
  <c r="I104" i="13"/>
  <c r="G105" i="13"/>
  <c r="G99" i="13"/>
  <c r="W64" i="13"/>
  <c r="G81" i="13"/>
  <c r="G73" i="13"/>
  <c r="G15" i="56"/>
  <c r="G46" i="56" s="1"/>
  <c r="W66" i="13"/>
  <c r="X79" i="13"/>
  <c r="M74" i="13"/>
  <c r="G104" i="13"/>
  <c r="W85" i="13"/>
  <c r="N68" i="13"/>
  <c r="W68" i="13"/>
  <c r="W102" i="13"/>
  <c r="J64" i="13"/>
  <c r="N76" i="11"/>
  <c r="L79" i="13"/>
  <c r="AN110" i="13"/>
  <c r="AN64" i="13"/>
  <c r="AM110" i="13"/>
  <c r="AM64" i="13"/>
  <c r="M12" i="56"/>
  <c r="M43" i="56" s="1"/>
  <c r="M71" i="11"/>
  <c r="I46" i="56"/>
  <c r="J53" i="56"/>
  <c r="J59" i="56"/>
  <c r="A51" i="13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L64" i="13"/>
  <c r="AL110" i="13"/>
  <c r="N69" i="11"/>
  <c r="N27" i="56"/>
  <c r="N58" i="56" s="1"/>
  <c r="AO22" i="63"/>
  <c r="Z22" i="56"/>
  <c r="Z1" i="56" s="1"/>
  <c r="O66" i="11"/>
  <c r="O25" i="56"/>
  <c r="O56" i="56" s="1"/>
  <c r="AA18" i="56"/>
  <c r="AA49" i="56" s="1"/>
  <c r="AP18" i="63"/>
  <c r="AP48" i="63" s="1"/>
  <c r="L77" i="13"/>
  <c r="P66" i="11"/>
  <c r="P25" i="56"/>
  <c r="P56" i="56" s="1"/>
  <c r="M28" i="56"/>
  <c r="M59" i="56" s="1"/>
  <c r="M73" i="11"/>
  <c r="L80" i="13"/>
  <c r="M69" i="11"/>
  <c r="X93" i="13"/>
  <c r="X110" i="13"/>
  <c r="X108" i="13"/>
  <c r="X75" i="13"/>
  <c r="X81" i="13"/>
  <c r="X74" i="13"/>
  <c r="X100" i="13"/>
  <c r="X67" i="13"/>
  <c r="X91" i="13"/>
  <c r="X66" i="13"/>
  <c r="X87" i="13"/>
  <c r="X68" i="13"/>
  <c r="X102" i="13"/>
  <c r="X96" i="13"/>
  <c r="T11" i="56"/>
  <c r="T42" i="56" s="1"/>
  <c r="T63" i="11"/>
  <c r="M46" i="56"/>
  <c r="AJ25" i="63"/>
  <c r="AJ55" i="63" s="1"/>
  <c r="U25" i="56"/>
  <c r="U56" i="56" s="1"/>
  <c r="U66" i="11"/>
  <c r="Y14" i="56"/>
  <c r="Y45" i="56" s="1"/>
  <c r="AN14" i="63"/>
  <c r="AN44" i="63" s="1"/>
  <c r="X69" i="13"/>
  <c r="N80" i="13"/>
  <c r="E76" i="11"/>
  <c r="E18" i="56"/>
  <c r="E49" i="56" s="1"/>
  <c r="S69" i="11"/>
  <c r="AH27" i="63"/>
  <c r="AH57" i="63" s="1"/>
  <c r="J55" i="56"/>
  <c r="P11" i="56"/>
  <c r="P42" i="56" s="1"/>
  <c r="AQ13" i="63"/>
  <c r="AQ43" i="63" s="1"/>
  <c r="J101" i="13"/>
  <c r="L65" i="11"/>
  <c r="K10" i="56"/>
  <c r="K41" i="56" s="1"/>
  <c r="K61" i="11"/>
  <c r="AK11" i="63"/>
  <c r="AK41" i="63" s="1"/>
  <c r="V11" i="56"/>
  <c r="V42" i="56" s="1"/>
  <c r="P20" i="56"/>
  <c r="P51" i="56" s="1"/>
  <c r="P77" i="11"/>
  <c r="AA110" i="13"/>
  <c r="AA73" i="13"/>
  <c r="AA81" i="13"/>
  <c r="AA98" i="13"/>
  <c r="AA69" i="13"/>
  <c r="AA76" i="13"/>
  <c r="AA100" i="13"/>
  <c r="AA75" i="13"/>
  <c r="AA103" i="13"/>
  <c r="AA106" i="13"/>
  <c r="AA102" i="13"/>
  <c r="AA86" i="13"/>
  <c r="AA108" i="13"/>
  <c r="AA90" i="13"/>
  <c r="AA77" i="13"/>
  <c r="AA99" i="13"/>
  <c r="AA68" i="13"/>
  <c r="Y12" i="56"/>
  <c r="Y43" i="56" s="1"/>
  <c r="J73" i="11"/>
  <c r="AA89" i="13"/>
  <c r="AA101" i="13"/>
  <c r="L93" i="13"/>
  <c r="AR24" i="63"/>
  <c r="AY24" i="63" s="1"/>
  <c r="G64" i="11"/>
  <c r="G24" i="56"/>
  <c r="G55" i="56" s="1"/>
  <c r="X24" i="56"/>
  <c r="X55" i="56" s="1"/>
  <c r="AM24" i="63"/>
  <c r="AM54" i="63" s="1"/>
  <c r="AO12" i="63"/>
  <c r="AO42" i="63" s="1"/>
  <c r="Z12" i="56"/>
  <c r="Z43" i="56" s="1"/>
  <c r="N97" i="13"/>
  <c r="K28" i="56"/>
  <c r="K59" i="56" s="1"/>
  <c r="AA66" i="13"/>
  <c r="E26" i="56"/>
  <c r="E57" i="56" s="1"/>
  <c r="E68" i="11"/>
  <c r="S28" i="56"/>
  <c r="S59" i="56" s="1"/>
  <c r="AH28" i="63"/>
  <c r="AH58" i="63" s="1"/>
  <c r="S73" i="11"/>
  <c r="AQ28" i="63"/>
  <c r="AY28" i="63" s="1"/>
  <c r="AB28" i="56"/>
  <c r="AB59" i="56" s="1"/>
  <c r="I55" i="56"/>
  <c r="AC16" i="56"/>
  <c r="AC47" i="56" s="1"/>
  <c r="M50" i="56"/>
  <c r="M57" i="56"/>
  <c r="AN18" i="63"/>
  <c r="AN48" i="63" s="1"/>
  <c r="Y18" i="56"/>
  <c r="Y49" i="56" s="1"/>
  <c r="AC13" i="56"/>
  <c r="AC44" i="56" s="1"/>
  <c r="S26" i="56"/>
  <c r="S57" i="56" s="1"/>
  <c r="S68" i="11"/>
  <c r="J79" i="13"/>
  <c r="J91" i="13"/>
  <c r="J100" i="13"/>
  <c r="J66" i="13"/>
  <c r="J84" i="13"/>
  <c r="J77" i="13"/>
  <c r="J86" i="13"/>
  <c r="J72" i="13"/>
  <c r="J75" i="13"/>
  <c r="J104" i="13"/>
  <c r="J87" i="13"/>
  <c r="J90" i="13"/>
  <c r="J81" i="13"/>
  <c r="J110" i="13"/>
  <c r="J95" i="13"/>
  <c r="J88" i="13"/>
  <c r="J85" i="13"/>
  <c r="J73" i="13"/>
  <c r="J74" i="13"/>
  <c r="J92" i="13"/>
  <c r="J93" i="13"/>
  <c r="J83" i="13"/>
  <c r="J69" i="13"/>
  <c r="O12" i="56"/>
  <c r="O43" i="56" s="1"/>
  <c r="O71" i="11"/>
  <c r="K70" i="11"/>
  <c r="K15" i="56"/>
  <c r="K46" i="56" s="1"/>
  <c r="T26" i="56"/>
  <c r="T57" i="56" s="1"/>
  <c r="AI26" i="63"/>
  <c r="AI56" i="63" s="1"/>
  <c r="S11" i="56"/>
  <c r="S42" i="56" s="1"/>
  <c r="AH11" i="63"/>
  <c r="AH41" i="63" s="1"/>
  <c r="M53" i="56"/>
  <c r="AL23" i="63"/>
  <c r="AL53" i="63" s="1"/>
  <c r="W23" i="56"/>
  <c r="W54" i="56" s="1"/>
  <c r="O26" i="56"/>
  <c r="O57" i="56" s="1"/>
  <c r="O68" i="11"/>
  <c r="M72" i="13"/>
  <c r="M78" i="13"/>
  <c r="M103" i="13"/>
  <c r="M94" i="13"/>
  <c r="M83" i="13"/>
  <c r="M77" i="13"/>
  <c r="M66" i="13"/>
  <c r="M102" i="13"/>
  <c r="M105" i="13"/>
  <c r="M68" i="13"/>
  <c r="M69" i="13"/>
  <c r="M90" i="13"/>
  <c r="M107" i="13"/>
  <c r="M75" i="13"/>
  <c r="M95" i="13"/>
  <c r="M81" i="13"/>
  <c r="M96" i="13"/>
  <c r="M64" i="13"/>
  <c r="M89" i="13"/>
  <c r="M79" i="13"/>
  <c r="M98" i="13"/>
  <c r="M108" i="13"/>
  <c r="M92" i="13"/>
  <c r="M67" i="13"/>
  <c r="M76" i="13"/>
  <c r="M101" i="13"/>
  <c r="AP17" i="63"/>
  <c r="AP47" i="63" s="1"/>
  <c r="AA17" i="56"/>
  <c r="AA48" i="56" s="1"/>
  <c r="Y10" i="56"/>
  <c r="Y41" i="56" s="1"/>
  <c r="N74" i="13"/>
  <c r="U61" i="11"/>
  <c r="U10" i="56"/>
  <c r="U41" i="56" s="1"/>
  <c r="AH19" i="63"/>
  <c r="AH49" i="63" s="1"/>
  <c r="S19" i="56"/>
  <c r="S50" i="56" s="1"/>
  <c r="AO25" i="63"/>
  <c r="AO55" i="63" s="1"/>
  <c r="Z25" i="56"/>
  <c r="Z56" i="56" s="1"/>
  <c r="X64" i="13"/>
  <c r="N79" i="13"/>
  <c r="J97" i="13"/>
  <c r="M87" i="13"/>
  <c r="L72" i="11"/>
  <c r="L16" i="56"/>
  <c r="L47" i="56" s="1"/>
  <c r="I54" i="56"/>
  <c r="AI27" i="63"/>
  <c r="AI57" i="63" s="1"/>
  <c r="T27" i="56"/>
  <c r="T58" i="56" s="1"/>
  <c r="T69" i="11"/>
  <c r="AO24" i="63"/>
  <c r="AO54" i="63" s="1"/>
  <c r="Z24" i="56"/>
  <c r="Z55" i="56" s="1"/>
  <c r="N101" i="13"/>
  <c r="AH26" i="63"/>
  <c r="AH56" i="63" s="1"/>
  <c r="AB110" i="13"/>
  <c r="AB77" i="13"/>
  <c r="AB85" i="13"/>
  <c r="AB74" i="13"/>
  <c r="AB87" i="13"/>
  <c r="AB95" i="13"/>
  <c r="AB80" i="13"/>
  <c r="AB84" i="13"/>
  <c r="AB83" i="13"/>
  <c r="AB101" i="13"/>
  <c r="AB86" i="13"/>
  <c r="AB65" i="13"/>
  <c r="AB72" i="13"/>
  <c r="AB94" i="13"/>
  <c r="AB90" i="13"/>
  <c r="AB64" i="13"/>
  <c r="AB103" i="13"/>
  <c r="AB91" i="13"/>
  <c r="X89" i="13"/>
  <c r="P13" i="56"/>
  <c r="P44" i="56" s="1"/>
  <c r="N86" i="13"/>
  <c r="G72" i="11"/>
  <c r="J99" i="13"/>
  <c r="J67" i="13"/>
  <c r="AB88" i="13"/>
  <c r="AC68" i="13"/>
  <c r="AA95" i="13"/>
  <c r="AR15" i="63"/>
  <c r="AR45" i="63" s="1"/>
  <c r="AA71" i="13"/>
  <c r="M97" i="13"/>
  <c r="M65" i="13"/>
  <c r="AJ27" i="63"/>
  <c r="AJ57" i="63" s="1"/>
  <c r="AB69" i="13"/>
  <c r="AC12" i="56"/>
  <c r="AC43" i="56" s="1"/>
  <c r="AO110" i="13"/>
  <c r="AO64" i="13"/>
  <c r="M56" i="56"/>
  <c r="M58" i="56"/>
  <c r="AV62" i="56"/>
  <c r="N12" i="56"/>
  <c r="N43" i="56" s="1"/>
  <c r="N71" i="11"/>
  <c r="AN17" i="63"/>
  <c r="AN47" i="63" s="1"/>
  <c r="Y17" i="56"/>
  <c r="Y48" i="56" s="1"/>
  <c r="AK64" i="13"/>
  <c r="AK110" i="13"/>
  <c r="J98" i="13"/>
  <c r="S76" i="11"/>
  <c r="S18" i="56"/>
  <c r="S49" i="56" s="1"/>
  <c r="O75" i="11"/>
  <c r="O19" i="56"/>
  <c r="O50" i="56" s="1"/>
  <c r="L73" i="11"/>
  <c r="L28" i="56"/>
  <c r="L59" i="56" s="1"/>
  <c r="L86" i="13"/>
  <c r="L76" i="13"/>
  <c r="L78" i="13"/>
  <c r="L99" i="13"/>
  <c r="L91" i="13"/>
  <c r="L100" i="13"/>
  <c r="L102" i="13"/>
  <c r="L75" i="13"/>
  <c r="L66" i="13"/>
  <c r="L98" i="13"/>
  <c r="L65" i="13"/>
  <c r="L92" i="13"/>
  <c r="L67" i="13"/>
  <c r="L107" i="13"/>
  <c r="L85" i="13"/>
  <c r="L104" i="13"/>
  <c r="L88" i="13"/>
  <c r="L106" i="13"/>
  <c r="L87" i="13"/>
  <c r="L81" i="13"/>
  <c r="L103" i="13"/>
  <c r="AN16" i="63"/>
  <c r="AN46" i="63" s="1"/>
  <c r="Y16" i="56"/>
  <c r="Y47" i="56" s="1"/>
  <c r="AQ15" i="63"/>
  <c r="AQ45" i="63" s="1"/>
  <c r="AB15" i="56"/>
  <c r="AB46" i="56" s="1"/>
  <c r="AC55" i="56"/>
  <c r="L69" i="13"/>
  <c r="M44" i="56"/>
  <c r="T64" i="11"/>
  <c r="AI24" i="63"/>
  <c r="AI54" i="63" s="1"/>
  <c r="T24" i="56"/>
  <c r="AO27" i="63"/>
  <c r="AO57" i="63" s="1"/>
  <c r="Z27" i="56"/>
  <c r="Z58" i="56" s="1"/>
  <c r="AB14" i="56"/>
  <c r="AB45" i="56" s="1"/>
  <c r="AQ14" i="63"/>
  <c r="AQ44" i="63" s="1"/>
  <c r="L95" i="13"/>
  <c r="J47" i="56"/>
  <c r="G62" i="11"/>
  <c r="G23" i="56"/>
  <c r="G54" i="56" s="1"/>
  <c r="AJ24" i="63"/>
  <c r="AJ54" i="63" s="1"/>
  <c r="U64" i="11"/>
  <c r="N108" i="13"/>
  <c r="N107" i="13"/>
  <c r="N71" i="13"/>
  <c r="N102" i="13"/>
  <c r="N106" i="13"/>
  <c r="N90" i="13"/>
  <c r="N99" i="13"/>
  <c r="N66" i="13"/>
  <c r="N95" i="13"/>
  <c r="N78" i="13"/>
  <c r="N92" i="13"/>
  <c r="N88" i="13"/>
  <c r="N76" i="13"/>
  <c r="N85" i="13"/>
  <c r="N96" i="13"/>
  <c r="N94" i="13"/>
  <c r="N72" i="13"/>
  <c r="N83" i="13"/>
  <c r="N105" i="13"/>
  <c r="N25" i="56"/>
  <c r="N56" i="56" s="1"/>
  <c r="J102" i="13"/>
  <c r="X23" i="56"/>
  <c r="X54" i="56" s="1"/>
  <c r="M110" i="13"/>
  <c r="I61" i="11"/>
  <c r="I10" i="56"/>
  <c r="I41" i="56" s="1"/>
  <c r="U11" i="56"/>
  <c r="U42" i="56" s="1"/>
  <c r="AJ11" i="63"/>
  <c r="AJ41" i="63" s="1"/>
  <c r="H74" i="11"/>
  <c r="H17" i="56"/>
  <c r="H48" i="56" s="1"/>
  <c r="H23" i="56"/>
  <c r="H54" i="56" s="1"/>
  <c r="H62" i="11"/>
  <c r="V24" i="56"/>
  <c r="V55" i="56" s="1"/>
  <c r="AK24" i="63"/>
  <c r="AK54" i="63" s="1"/>
  <c r="P68" i="11"/>
  <c r="P26" i="56"/>
  <c r="P57" i="56" s="1"/>
  <c r="V86" i="13"/>
  <c r="V110" i="13"/>
  <c r="X26" i="56"/>
  <c r="X57" i="56" s="1"/>
  <c r="AM26" i="63"/>
  <c r="AM56" i="63" s="1"/>
  <c r="AP14" i="63"/>
  <c r="AP44" i="63" s="1"/>
  <c r="AA14" i="56"/>
  <c r="AA45" i="56" s="1"/>
  <c r="X104" i="13"/>
  <c r="Z26" i="56"/>
  <c r="Z57" i="56" s="1"/>
  <c r="Y23" i="56"/>
  <c r="Y54" i="56" s="1"/>
  <c r="AN23" i="63"/>
  <c r="AN53" i="63" s="1"/>
  <c r="AX41" i="56"/>
  <c r="X77" i="13"/>
  <c r="AM16" i="63"/>
  <c r="AM46" i="63" s="1"/>
  <c r="V18" i="56"/>
  <c r="V49" i="56" s="1"/>
  <c r="X97" i="13"/>
  <c r="AB78" i="13"/>
  <c r="H72" i="11"/>
  <c r="AA83" i="13"/>
  <c r="L96" i="13"/>
  <c r="N67" i="13"/>
  <c r="L110" i="13"/>
  <c r="L73" i="13"/>
  <c r="U69" i="11"/>
  <c r="M41" i="56"/>
  <c r="E66" i="11"/>
  <c r="E25" i="56"/>
  <c r="E56" i="56" s="1"/>
  <c r="AC110" i="13"/>
  <c r="AC87" i="13"/>
  <c r="AC90" i="13"/>
  <c r="AC69" i="13"/>
  <c r="AC96" i="13"/>
  <c r="AC77" i="13"/>
  <c r="AC94" i="13"/>
  <c r="AC104" i="13"/>
  <c r="X85" i="13"/>
  <c r="N93" i="13"/>
  <c r="J68" i="13"/>
  <c r="J80" i="13"/>
  <c r="E27" i="56"/>
  <c r="E58" i="56" s="1"/>
  <c r="AM17" i="63"/>
  <c r="AM47" i="63" s="1"/>
  <c r="AB66" i="13"/>
  <c r="AA84" i="13"/>
  <c r="N69" i="13"/>
  <c r="S27" i="56"/>
  <c r="S58" i="56" s="1"/>
  <c r="M48" i="56"/>
  <c r="K76" i="13"/>
  <c r="K87" i="13"/>
  <c r="K110" i="13"/>
  <c r="I18" i="56"/>
  <c r="I49" i="56" s="1"/>
  <c r="K71" i="13"/>
  <c r="X27" i="56"/>
  <c r="X58" i="56" s="1"/>
  <c r="AM27" i="63"/>
  <c r="AM57" i="63" s="1"/>
  <c r="K80" i="13"/>
  <c r="W19" i="56"/>
  <c r="W50" i="56" s="1"/>
  <c r="AJ20" i="63"/>
  <c r="AJ50" i="63" s="1"/>
  <c r="K105" i="13"/>
  <c r="BH49" i="56"/>
  <c r="AI12" i="66" s="1"/>
  <c r="U77" i="11"/>
  <c r="AC27" i="56"/>
  <c r="AC58" i="56" s="1"/>
  <c r="O72" i="11"/>
  <c r="O16" i="56"/>
  <c r="O47" i="56" s="1"/>
  <c r="F66" i="11"/>
  <c r="F25" i="56"/>
  <c r="F56" i="56" s="1"/>
  <c r="AN25" i="63"/>
  <c r="AN55" i="63" s="1"/>
  <c r="Y25" i="56"/>
  <c r="Y56" i="56" s="1"/>
  <c r="V14" i="56"/>
  <c r="V45" i="56" s="1"/>
  <c r="H97" i="13"/>
  <c r="K95" i="13"/>
  <c r="K90" i="13"/>
  <c r="K96" i="13"/>
  <c r="V13" i="56"/>
  <c r="V44" i="56" s="1"/>
  <c r="F75" i="11"/>
  <c r="U22" i="56"/>
  <c r="U53" i="56" s="1"/>
  <c r="H66" i="13"/>
  <c r="H96" i="13"/>
  <c r="K81" i="13"/>
  <c r="K92" i="13"/>
  <c r="H104" i="13"/>
  <c r="AS49" i="56"/>
  <c r="H91" i="13"/>
  <c r="H94" i="13"/>
  <c r="H81" i="13"/>
  <c r="H88" i="13"/>
  <c r="H80" i="13"/>
  <c r="H93" i="13"/>
  <c r="H77" i="13"/>
  <c r="H92" i="13"/>
  <c r="H72" i="13"/>
  <c r="H69" i="13"/>
  <c r="BH62" i="56"/>
  <c r="AI25" i="66" s="1"/>
  <c r="K64" i="13"/>
  <c r="K86" i="13"/>
  <c r="H75" i="13"/>
  <c r="AI64" i="13"/>
  <c r="AI110" i="13"/>
  <c r="AI15" i="63"/>
  <c r="AI45" i="63" s="1"/>
  <c r="H87" i="13"/>
  <c r="H64" i="13"/>
  <c r="AH110" i="13"/>
  <c r="K100" i="13"/>
  <c r="H73" i="13"/>
  <c r="I64" i="11"/>
  <c r="K106" i="13"/>
  <c r="AQ23" i="63"/>
  <c r="AQ53" i="63" s="1"/>
  <c r="AB23" i="56"/>
  <c r="AB54" i="56" s="1"/>
  <c r="K65" i="13"/>
  <c r="Z16" i="56"/>
  <c r="Z47" i="56" s="1"/>
  <c r="AL27" i="63"/>
  <c r="AL57" i="63" s="1"/>
  <c r="K93" i="13"/>
  <c r="K78" i="13"/>
  <c r="K67" i="13"/>
  <c r="K108" i="13"/>
  <c r="AA24" i="56"/>
  <c r="AA55" i="56" s="1"/>
  <c r="AQ22" i="63"/>
  <c r="AQ52" i="63" s="1"/>
  <c r="AB27" i="56"/>
  <c r="AB58" i="56" s="1"/>
  <c r="W12" i="56"/>
  <c r="W43" i="56" s="1"/>
  <c r="AM14" i="63"/>
  <c r="AM44" i="63" s="1"/>
  <c r="F26" i="56"/>
  <c r="F57" i="56" s="1"/>
  <c r="H71" i="13"/>
  <c r="H105" i="13"/>
  <c r="E47" i="56"/>
  <c r="I53" i="56"/>
  <c r="I59" i="56"/>
  <c r="I101" i="13"/>
  <c r="I102" i="13"/>
  <c r="I85" i="13"/>
  <c r="I89" i="13"/>
  <c r="I76" i="13"/>
  <c r="AS54" i="56"/>
  <c r="AS58" i="56"/>
  <c r="E46" i="56"/>
  <c r="U96" i="13"/>
  <c r="U110" i="13"/>
  <c r="G89" i="13"/>
  <c r="G78" i="13"/>
  <c r="G76" i="13"/>
  <c r="W104" i="13"/>
  <c r="U72" i="13"/>
  <c r="U64" i="13"/>
  <c r="J56" i="56"/>
  <c r="I50" i="56"/>
  <c r="I58" i="56"/>
  <c r="G75" i="13"/>
  <c r="G108" i="13"/>
  <c r="U95" i="13"/>
  <c r="W65" i="13"/>
  <c r="W110" i="13"/>
  <c r="N55" i="56"/>
  <c r="O58" i="56"/>
  <c r="AX62" i="56"/>
  <c r="T44" i="56"/>
  <c r="T59" i="56"/>
  <c r="P50" i="56"/>
  <c r="E50" i="56"/>
  <c r="U44" i="56"/>
  <c r="P58" i="56"/>
  <c r="P41" i="56"/>
  <c r="E44" i="56"/>
  <c r="V59" i="56"/>
  <c r="P48" i="56"/>
  <c r="BD41" i="56"/>
  <c r="R1" i="56"/>
  <c r="R50" i="56"/>
  <c r="T50" i="56"/>
  <c r="P53" i="56"/>
  <c r="F42" i="56"/>
  <c r="R59" i="56"/>
  <c r="BM62" i="56"/>
  <c r="BK62" i="56"/>
  <c r="BK45" i="56"/>
  <c r="J71" i="11"/>
  <c r="K69" i="11"/>
  <c r="H73" i="11"/>
  <c r="E65" i="11"/>
  <c r="G61" i="11"/>
  <c r="X20" i="56"/>
  <c r="X51" i="56" s="1"/>
  <c r="N11" i="56"/>
  <c r="N42" i="56" s="1"/>
  <c r="O23" i="56"/>
  <c r="O54" i="56" s="1"/>
  <c r="AA20" i="56"/>
  <c r="AA51" i="56" s="1"/>
  <c r="G20" i="56"/>
  <c r="G51" i="56" s="1"/>
  <c r="Z25" i="11"/>
  <c r="Z40" i="11" s="1"/>
  <c r="H61" i="11"/>
  <c r="H14" i="56"/>
  <c r="H45" i="56" s="1"/>
  <c r="AI11" i="63"/>
  <c r="AI41" i="63" s="1"/>
  <c r="S74" i="11"/>
  <c r="J19" i="56"/>
  <c r="J50" i="56" s="1"/>
  <c r="M65" i="11"/>
  <c r="U63" i="11"/>
  <c r="V10" i="56"/>
  <c r="V41" i="56" s="1"/>
  <c r="I70" i="11"/>
  <c r="H70" i="11"/>
  <c r="AA22" i="56"/>
  <c r="AA53" i="56" s="1"/>
  <c r="AQ17" i="63"/>
  <c r="L64" i="11"/>
  <c r="M75" i="11"/>
  <c r="AO11" i="63"/>
  <c r="AO41" i="63" s="1"/>
  <c r="S63" i="11"/>
  <c r="BJ42" i="56"/>
  <c r="AK5" i="66" s="1"/>
  <c r="AU41" i="56"/>
  <c r="BL59" i="56"/>
  <c r="BL49" i="56"/>
  <c r="AK25" i="63"/>
  <c r="AK55" i="63" s="1"/>
  <c r="F64" i="11"/>
  <c r="S65" i="11"/>
  <c r="V19" i="56"/>
  <c r="V50" i="56" s="1"/>
  <c r="E24" i="56"/>
  <c r="E55" i="56" s="1"/>
  <c r="J66" i="11"/>
  <c r="I62" i="11"/>
  <c r="T67" i="11"/>
  <c r="U19" i="56"/>
  <c r="U50" i="56" s="1"/>
  <c r="AS42" i="56"/>
  <c r="BL43" i="56"/>
  <c r="AH13" i="63"/>
  <c r="AH43" i="63" s="1"/>
  <c r="H76" i="11"/>
  <c r="I26" i="56"/>
  <c r="I57" i="56" s="1"/>
  <c r="AH17" i="63"/>
  <c r="AH47" i="63" s="1"/>
  <c r="AS57" i="56"/>
  <c r="O76" i="11"/>
  <c r="U14" i="56"/>
  <c r="U45" i="56" s="1"/>
  <c r="AJ19" i="63"/>
  <c r="AJ49" i="63" s="1"/>
  <c r="AK16" i="63"/>
  <c r="AK46" i="63" s="1"/>
  <c r="L71" i="11"/>
  <c r="N73" i="11"/>
  <c r="AA59" i="56"/>
  <c r="I20" i="56"/>
  <c r="I51" i="56" s="1"/>
  <c r="U71" i="11"/>
  <c r="S20" i="56"/>
  <c r="S51" i="56" s="1"/>
  <c r="AI23" i="63"/>
  <c r="AI53" i="63" s="1"/>
  <c r="L66" i="11"/>
  <c r="AA41" i="56"/>
  <c r="AA58" i="56"/>
  <c r="M61" i="11"/>
  <c r="P15" i="56"/>
  <c r="P46" i="56" s="1"/>
  <c r="AH20" i="63"/>
  <c r="AH50" i="63" s="1"/>
  <c r="BL42" i="56"/>
  <c r="G14" i="56"/>
  <c r="G45" i="56" s="1"/>
  <c r="P69" i="11"/>
  <c r="L19" i="56"/>
  <c r="L50" i="56" s="1"/>
  <c r="W24" i="56"/>
  <c r="W55" i="56" s="1"/>
  <c r="E72" i="11"/>
  <c r="K17" i="56"/>
  <c r="K48" i="56" s="1"/>
  <c r="AL11" i="63"/>
  <c r="AL41" i="63" s="1"/>
  <c r="AT49" i="56"/>
  <c r="AT55" i="56"/>
  <c r="BI56" i="56"/>
  <c r="AJ19" i="66" s="1"/>
  <c r="BF49" i="56"/>
  <c r="AG12" i="66" s="1"/>
  <c r="BF44" i="56"/>
  <c r="AG7" i="66" s="1"/>
  <c r="BF45" i="56"/>
  <c r="AG8" i="66" s="1"/>
  <c r="AT51" i="56"/>
  <c r="AT53" i="56"/>
  <c r="AT57" i="56"/>
  <c r="AY43" i="56"/>
  <c r="BJ56" i="56"/>
  <c r="AK19" i="66" s="1"/>
  <c r="BK47" i="56"/>
  <c r="BP49" i="56"/>
  <c r="BP44" i="56"/>
  <c r="BP54" i="56"/>
  <c r="BP48" i="56"/>
  <c r="BP62" i="56"/>
  <c r="BP53" i="56"/>
  <c r="BP46" i="56"/>
  <c r="Q16" i="11"/>
  <c r="AR14" i="63"/>
  <c r="AR44" i="63" s="1"/>
  <c r="O11" i="56"/>
  <c r="O42" i="56" s="1"/>
  <c r="V22" i="56"/>
  <c r="V53" i="56" s="1"/>
  <c r="Q8" i="11"/>
  <c r="T16" i="56"/>
  <c r="T47" i="56" s="1"/>
  <c r="AW41" i="56"/>
  <c r="K71" i="11"/>
  <c r="AI12" i="63"/>
  <c r="AI42" i="63" s="1"/>
  <c r="AI16" i="63"/>
  <c r="AI46" i="63" s="1"/>
  <c r="F63" i="11"/>
  <c r="L61" i="11"/>
  <c r="L67" i="11"/>
  <c r="K26" i="56"/>
  <c r="K57" i="56" s="1"/>
  <c r="M70" i="11"/>
  <c r="L68" i="11"/>
  <c r="N65" i="11"/>
  <c r="AN27" i="63"/>
  <c r="AN57" i="63" s="1"/>
  <c r="K25" i="11"/>
  <c r="K41" i="11" s="1"/>
  <c r="E23" i="56"/>
  <c r="E54" i="56" s="1"/>
  <c r="T62" i="11"/>
  <c r="G13" i="56"/>
  <c r="G44" i="56" s="1"/>
  <c r="M20" i="56"/>
  <c r="M51" i="56" s="1"/>
  <c r="AM19" i="63"/>
  <c r="AM49" i="63" s="1"/>
  <c r="AN40" i="63"/>
  <c r="AB26" i="56"/>
  <c r="L77" i="11"/>
  <c r="F73" i="11"/>
  <c r="P75" i="11"/>
  <c r="T76" i="11"/>
  <c r="Q20" i="11"/>
  <c r="X28" i="56"/>
  <c r="X59" i="56" s="1"/>
  <c r="E14" i="56"/>
  <c r="E45" i="56" s="1"/>
  <c r="H24" i="56"/>
  <c r="H55" i="56" s="1"/>
  <c r="X25" i="56"/>
  <c r="W17" i="56"/>
  <c r="W48" i="56" s="1"/>
  <c r="AI18" i="63"/>
  <c r="AI48" i="63" s="1"/>
  <c r="BQ46" i="56"/>
  <c r="W22" i="56"/>
  <c r="W1" i="56" s="1"/>
  <c r="Q22" i="11"/>
  <c r="Q23" i="11"/>
  <c r="O24" i="56"/>
  <c r="O55" i="56" s="1"/>
  <c r="O74" i="11"/>
  <c r="P24" i="56"/>
  <c r="P55" i="56" s="1"/>
  <c r="AE14" i="11"/>
  <c r="E28" i="56"/>
  <c r="E59" i="56" s="1"/>
  <c r="E20" i="56"/>
  <c r="E51" i="56" s="1"/>
  <c r="AK20" i="63"/>
  <c r="AK50" i="63" s="1"/>
  <c r="G63" i="11"/>
  <c r="R12" i="56"/>
  <c r="R43" i="56" s="1"/>
  <c r="K42" i="56"/>
  <c r="AS48" i="56"/>
  <c r="K50" i="56"/>
  <c r="L48" i="56"/>
  <c r="AT21" i="56"/>
  <c r="BS34" i="56"/>
  <c r="AC25" i="11"/>
  <c r="AC42" i="11" s="1"/>
  <c r="K49" i="56"/>
  <c r="BP55" i="56"/>
  <c r="BP45" i="56"/>
  <c r="BQ41" i="56"/>
  <c r="N10" i="56"/>
  <c r="N41" i="56" s="1"/>
  <c r="BJ49" i="56"/>
  <c r="AK12" i="66" s="1"/>
  <c r="AL10" i="63"/>
  <c r="AL40" i="63" s="1"/>
  <c r="L54" i="56"/>
  <c r="AZ62" i="56"/>
  <c r="L56" i="56"/>
  <c r="L46" i="56"/>
  <c r="L53" i="56"/>
  <c r="BQ54" i="56"/>
  <c r="AZ41" i="56"/>
  <c r="BQ42" i="56"/>
  <c r="L45" i="56"/>
  <c r="T61" i="11"/>
  <c r="L44" i="56"/>
  <c r="T10" i="56"/>
  <c r="T41" i="56" s="1"/>
  <c r="K45" i="56"/>
  <c r="K53" i="56"/>
  <c r="L57" i="56"/>
  <c r="L41" i="56"/>
  <c r="L51" i="56"/>
  <c r="K58" i="56"/>
  <c r="BQ56" i="56"/>
  <c r="AS56" i="56"/>
  <c r="BB41" i="56"/>
  <c r="BC41" i="56"/>
  <c r="BH25" i="11"/>
  <c r="BH27" i="11" s="1"/>
  <c r="AT56" i="56"/>
  <c r="BF10" i="11"/>
  <c r="BA41" i="56"/>
  <c r="BI54" i="56"/>
  <c r="AJ17" i="66" s="1"/>
  <c r="X12" i="56"/>
  <c r="X43" i="56" s="1"/>
  <c r="W14" i="56"/>
  <c r="W45" i="56" s="1"/>
  <c r="AL14" i="63"/>
  <c r="AL44" i="63" s="1"/>
  <c r="BB43" i="56"/>
  <c r="BG62" i="56"/>
  <c r="AH25" i="66" s="1"/>
  <c r="BS31" i="56"/>
  <c r="BG47" i="56"/>
  <c r="AH10" i="66" s="1"/>
  <c r="AG25" i="11"/>
  <c r="AG44" i="11" s="1"/>
  <c r="BH59" i="56"/>
  <c r="AI22" i="66" s="1"/>
  <c r="AA19" i="56"/>
  <c r="AA50" i="56" s="1"/>
  <c r="AP19" i="63"/>
  <c r="AP49" i="63" s="1"/>
  <c r="BF48" i="56"/>
  <c r="AG11" i="66" s="1"/>
  <c r="AF25" i="11"/>
  <c r="AN15" i="63"/>
  <c r="AN45" i="63" s="1"/>
  <c r="Y15" i="56"/>
  <c r="Y46" i="56" s="1"/>
  <c r="E61" i="11"/>
  <c r="E10" i="56"/>
  <c r="E41" i="56" s="1"/>
  <c r="I66" i="11"/>
  <c r="I25" i="56"/>
  <c r="F106" i="13"/>
  <c r="F110" i="13"/>
  <c r="F100" i="13"/>
  <c r="F97" i="13"/>
  <c r="F83" i="13"/>
  <c r="F86" i="13"/>
  <c r="F107" i="13"/>
  <c r="F66" i="13"/>
  <c r="F90" i="13"/>
  <c r="F81" i="13"/>
  <c r="F99" i="13"/>
  <c r="F88" i="13"/>
  <c r="F93" i="13"/>
  <c r="F85" i="13"/>
  <c r="F101" i="13"/>
  <c r="F94" i="13"/>
  <c r="F95" i="13"/>
  <c r="F69" i="13"/>
  <c r="F75" i="13"/>
  <c r="F84" i="13"/>
  <c r="F96" i="13"/>
  <c r="F92" i="13"/>
  <c r="F76" i="13"/>
  <c r="F79" i="13"/>
  <c r="F103" i="13"/>
  <c r="F67" i="13"/>
  <c r="F87" i="13"/>
  <c r="M24" i="56"/>
  <c r="M64" i="11"/>
  <c r="J63" i="11"/>
  <c r="J11" i="56"/>
  <c r="J42" i="56" s="1"/>
  <c r="AT17" i="56"/>
  <c r="I16" i="56"/>
  <c r="I47" i="56" s="1"/>
  <c r="I72" i="11"/>
  <c r="I25" i="11"/>
  <c r="F65" i="13"/>
  <c r="N75" i="11"/>
  <c r="N19" i="56"/>
  <c r="N50" i="56" s="1"/>
  <c r="Q15" i="11"/>
  <c r="F68" i="13"/>
  <c r="S71" i="11"/>
  <c r="S12" i="56"/>
  <c r="S43" i="56" s="1"/>
  <c r="O65" i="11"/>
  <c r="O25" i="11"/>
  <c r="O40" i="11" s="1"/>
  <c r="O13" i="56"/>
  <c r="O44" i="56" s="1"/>
  <c r="Q9" i="11"/>
  <c r="U17" i="56"/>
  <c r="U48" i="56" s="1"/>
  <c r="AJ17" i="63"/>
  <c r="AJ47" i="63" s="1"/>
  <c r="U74" i="11"/>
  <c r="X11" i="56"/>
  <c r="X42" i="56" s="1"/>
  <c r="AM11" i="63"/>
  <c r="AM41" i="63" s="1"/>
  <c r="AY62" i="56"/>
  <c r="AY41" i="56"/>
  <c r="BE31" i="56"/>
  <c r="J77" i="11"/>
  <c r="J20" i="56"/>
  <c r="J51" i="56" s="1"/>
  <c r="F77" i="13"/>
  <c r="F105" i="13"/>
  <c r="F72" i="13"/>
  <c r="N26" i="56"/>
  <c r="N57" i="56" s="1"/>
  <c r="N68" i="11"/>
  <c r="BI25" i="11"/>
  <c r="O70" i="11"/>
  <c r="AI19" i="63"/>
  <c r="AI49" i="63" s="1"/>
  <c r="O46" i="56"/>
  <c r="G28" i="56"/>
  <c r="G59" i="56" s="1"/>
  <c r="W81" i="13"/>
  <c r="W95" i="13"/>
  <c r="W99" i="13"/>
  <c r="X107" i="13"/>
  <c r="X105" i="13"/>
  <c r="N16" i="56"/>
  <c r="N47" i="56" s="1"/>
  <c r="AJ14" i="63"/>
  <c r="AJ44" i="63" s="1"/>
  <c r="I69" i="11"/>
  <c r="O69" i="11"/>
  <c r="O20" i="56"/>
  <c r="O51" i="56" s="1"/>
  <c r="F18" i="56"/>
  <c r="F49" i="56" s="1"/>
  <c r="J17" i="56"/>
  <c r="J48" i="56" s="1"/>
  <c r="AL28" i="63"/>
  <c r="AL58" i="63" s="1"/>
  <c r="E70" i="11"/>
  <c r="X101" i="13"/>
  <c r="L27" i="56"/>
  <c r="L58" i="56" s="1"/>
  <c r="N64" i="11"/>
  <c r="AJ12" i="63"/>
  <c r="AJ42" i="63" s="1"/>
  <c r="BH47" i="56"/>
  <c r="AI10" i="66" s="1"/>
  <c r="V25" i="11"/>
  <c r="V53" i="11" s="1"/>
  <c r="G75" i="11"/>
  <c r="V23" i="56"/>
  <c r="V54" i="56" s="1"/>
  <c r="AJ18" i="63"/>
  <c r="AJ48" i="63" s="1"/>
  <c r="AE13" i="11"/>
  <c r="AL18" i="63"/>
  <c r="AL48" i="63" s="1"/>
  <c r="O41" i="56"/>
  <c r="O49" i="56"/>
  <c r="O59" i="56"/>
  <c r="BX50" i="13"/>
  <c r="BY50" i="13" s="1"/>
  <c r="Q13" i="11"/>
  <c r="H71" i="11"/>
  <c r="O48" i="56"/>
  <c r="M66" i="11"/>
  <c r="X94" i="13"/>
  <c r="F15" i="56"/>
  <c r="F46" i="56" s="1"/>
  <c r="AP50" i="63"/>
  <c r="AC45" i="56"/>
  <c r="AR41" i="63"/>
  <c r="AJ46" i="63"/>
  <c r="AI50" i="63"/>
  <c r="Y58" i="56"/>
  <c r="Z49" i="56"/>
  <c r="AA42" i="56"/>
  <c r="R69" i="11"/>
  <c r="AG25" i="63"/>
  <c r="AG55" i="63" s="1"/>
  <c r="Z42" i="56"/>
  <c r="AM50" i="63"/>
  <c r="AK40" i="63"/>
  <c r="R74" i="11"/>
  <c r="AK48" i="63"/>
  <c r="AK53" i="63"/>
  <c r="AK43" i="63"/>
  <c r="R25" i="56"/>
  <c r="R56" i="56" s="1"/>
  <c r="AM45" i="63"/>
  <c r="AA47" i="56"/>
  <c r="AK49" i="63"/>
  <c r="AC46" i="56"/>
  <c r="AM55" i="63"/>
  <c r="AY19" i="63"/>
  <c r="AL49" i="63"/>
  <c r="AP52" i="63"/>
  <c r="AB48" i="56"/>
  <c r="BL60" i="63" a="1"/>
  <c r="AJ40" i="63"/>
  <c r="AG12" i="63"/>
  <c r="AG42" i="63" s="1"/>
  <c r="AC41" i="56"/>
  <c r="AI44" i="63"/>
  <c r="AQ48" i="63"/>
  <c r="X48" i="56"/>
  <c r="AR46" i="63"/>
  <c r="AC1" i="56"/>
  <c r="AN52" i="63"/>
  <c r="AB44" i="56"/>
  <c r="AX33" i="63"/>
  <c r="AY26" i="63"/>
  <c r="X1" i="56"/>
  <c r="AB47" i="56"/>
  <c r="AN41" i="63"/>
  <c r="R17" i="56"/>
  <c r="R48" i="56" s="1"/>
  <c r="AI40" i="63"/>
  <c r="X45" i="56"/>
  <c r="AM48" i="63"/>
  <c r="AM58" i="63"/>
  <c r="AN54" i="63"/>
  <c r="AY20" i="63"/>
  <c r="AG17" i="63"/>
  <c r="AG47" i="63" s="1"/>
  <c r="AM53" i="63"/>
  <c r="AB41" i="56"/>
  <c r="AB53" i="56"/>
  <c r="AE23" i="11"/>
  <c r="AN56" i="63"/>
  <c r="AK52" i="63"/>
  <c r="BJ60" i="63" a="1"/>
  <c r="AC48" i="56"/>
  <c r="S81" i="13"/>
  <c r="AY30" i="63"/>
  <c r="AQ56" i="63"/>
  <c r="AE16" i="11"/>
  <c r="AG15" i="63"/>
  <c r="AG45" i="63" s="1"/>
  <c r="AG20" i="63"/>
  <c r="AG50" i="63" s="1"/>
  <c r="AR48" i="63"/>
  <c r="R20" i="56"/>
  <c r="R51" i="56" s="1"/>
  <c r="AR55" i="63"/>
  <c r="AR56" i="63"/>
  <c r="AO40" i="63"/>
  <c r="AQ57" i="63"/>
  <c r="AG57" i="63"/>
  <c r="AQ55" i="63"/>
  <c r="R63" i="11"/>
  <c r="AP53" i="63"/>
  <c r="AD20" i="11"/>
  <c r="AD64" i="11" s="1"/>
  <c r="AO53" i="63"/>
  <c r="R64" i="11"/>
  <c r="BG60" i="63" a="1"/>
  <c r="AO50" i="63"/>
  <c r="R55" i="56"/>
  <c r="X47" i="56"/>
  <c r="V47" i="56"/>
  <c r="AR57" i="63"/>
  <c r="AG53" i="63"/>
  <c r="AO58" i="63"/>
  <c r="AO56" i="63"/>
  <c r="AP56" i="63"/>
  <c r="S45" i="56"/>
  <c r="AE19" i="11"/>
  <c r="R70" i="11"/>
  <c r="T46" i="56"/>
  <c r="BM60" i="63" a="1"/>
  <c r="AE15" i="11"/>
  <c r="R42" i="56"/>
  <c r="AP43" i="63"/>
  <c r="AD14" i="11"/>
  <c r="AD76" i="11" s="1"/>
  <c r="AR43" i="63"/>
  <c r="BK60" i="63" a="1"/>
  <c r="AO43" i="63"/>
  <c r="X50" i="56"/>
  <c r="AO49" i="63"/>
  <c r="R62" i="11"/>
  <c r="Y51" i="56"/>
  <c r="AH48" i="63"/>
  <c r="R23" i="56"/>
  <c r="R54" i="56" s="1"/>
  <c r="AG16" i="63"/>
  <c r="AG46" i="63" s="1"/>
  <c r="AG19" i="63"/>
  <c r="AG49" i="63" s="1"/>
  <c r="AG18" i="63"/>
  <c r="AG48" i="63" s="1"/>
  <c r="X53" i="56"/>
  <c r="AO47" i="63"/>
  <c r="AQ49" i="63"/>
  <c r="T54" i="56"/>
  <c r="AC53" i="56"/>
  <c r="R53" i="56"/>
  <c r="AQ54" i="63"/>
  <c r="R76" i="11"/>
  <c r="V51" i="56"/>
  <c r="AL52" i="63"/>
  <c r="BH60" i="63" a="1"/>
  <c r="AY25" i="63"/>
  <c r="AQ50" i="63"/>
  <c r="U55" i="56"/>
  <c r="V48" i="56"/>
  <c r="S48" i="56"/>
  <c r="AG28" i="63"/>
  <c r="AG58" i="63" s="1"/>
  <c r="AP55" i="63"/>
  <c r="BI60" i="63" a="1"/>
  <c r="AX30" i="63"/>
  <c r="AO46" i="63"/>
  <c r="AY12" i="63"/>
  <c r="R46" i="56"/>
  <c r="S55" i="56"/>
  <c r="AB42" i="56"/>
  <c r="AD15" i="11"/>
  <c r="AD75" i="11" s="1"/>
  <c r="AR50" i="63"/>
  <c r="R75" i="11"/>
  <c r="AI52" i="63"/>
  <c r="BO60" i="63"/>
  <c r="AY60" i="63" s="1"/>
  <c r="AR49" i="63"/>
  <c r="R18" i="56"/>
  <c r="R49" i="56" s="1"/>
  <c r="U51" i="56"/>
  <c r="R16" i="56"/>
  <c r="R47" i="56" s="1"/>
  <c r="AY27" i="63"/>
  <c r="S44" i="56"/>
  <c r="R27" i="56"/>
  <c r="R58" i="56" s="1"/>
  <c r="U58" i="56"/>
  <c r="AO45" i="63"/>
  <c r="AP54" i="63"/>
  <c r="AE20" i="11"/>
  <c r="AD11" i="11"/>
  <c r="AD70" i="11" s="1"/>
  <c r="R73" i="11"/>
  <c r="T49" i="56"/>
  <c r="AG11" i="63"/>
  <c r="AG41" i="63" s="1"/>
  <c r="AY18" i="63"/>
  <c r="AD16" i="11"/>
  <c r="AD77" i="11" s="1"/>
  <c r="AD23" i="11"/>
  <c r="AD69" i="11" s="1"/>
  <c r="AG24" i="63"/>
  <c r="AG54" i="63" s="1"/>
  <c r="V58" i="56"/>
  <c r="AA25" i="11"/>
  <c r="U23" i="56"/>
  <c r="U54" i="56" s="1"/>
  <c r="AJ23" i="63"/>
  <c r="AJ53" i="63" s="1"/>
  <c r="AD19" i="11"/>
  <c r="AD62" i="11" s="1"/>
  <c r="BI62" i="56"/>
  <c r="AJ25" i="66" s="1"/>
  <c r="BI44" i="56"/>
  <c r="AJ7" i="66" s="1"/>
  <c r="BK53" i="56"/>
  <c r="AN28" i="63"/>
  <c r="W59" i="56"/>
  <c r="O22" i="56"/>
  <c r="O53" i="56" s="1"/>
  <c r="AQ11" i="63"/>
  <c r="AQ41" i="63" s="1"/>
  <c r="AE7" i="11"/>
  <c r="AD7" i="11"/>
  <c r="AD63" i="11" s="1"/>
  <c r="H75" i="11"/>
  <c r="U62" i="11"/>
  <c r="V78" i="13"/>
  <c r="V81" i="13"/>
  <c r="W62" i="56"/>
  <c r="W41" i="56"/>
  <c r="AD31" i="56"/>
  <c r="AG55" i="13" s="1"/>
  <c r="AG108" i="13" s="1"/>
  <c r="AZ12" i="56"/>
  <c r="Y28" i="56"/>
  <c r="Y59" i="56" s="1"/>
  <c r="AD24" i="11"/>
  <c r="AD73" i="11" s="1"/>
  <c r="AE24" i="11"/>
  <c r="M76" i="11"/>
  <c r="M18" i="56"/>
  <c r="M49" i="56" s="1"/>
  <c r="AN19" i="63"/>
  <c r="Y19" i="56"/>
  <c r="V90" i="13"/>
  <c r="AC66" i="13"/>
  <c r="AC91" i="13"/>
  <c r="AC95" i="13"/>
  <c r="AC100" i="13"/>
  <c r="AC71" i="13"/>
  <c r="AC93" i="13"/>
  <c r="AC78" i="13"/>
  <c r="AC79" i="13"/>
  <c r="AC98" i="13"/>
  <c r="AC85" i="13"/>
  <c r="AC97" i="13"/>
  <c r="AC73" i="13"/>
  <c r="AC106" i="13"/>
  <c r="AC81" i="13"/>
  <c r="AC86" i="13"/>
  <c r="AC67" i="13"/>
  <c r="AC75" i="13"/>
  <c r="AC103" i="13"/>
  <c r="AC83" i="13"/>
  <c r="AC74" i="13"/>
  <c r="AC84" i="13"/>
  <c r="AC92" i="13"/>
  <c r="AC101" i="13"/>
  <c r="AC65" i="13"/>
  <c r="AC64" i="13"/>
  <c r="AC88" i="13"/>
  <c r="AC107" i="13"/>
  <c r="AC76" i="13"/>
  <c r="AC102" i="13"/>
  <c r="E74" i="11"/>
  <c r="E17" i="56"/>
  <c r="E48" i="56" s="1"/>
  <c r="P28" i="56"/>
  <c r="P59" i="56" s="1"/>
  <c r="Q24" i="11"/>
  <c r="AA12" i="56"/>
  <c r="AA43" i="56" s="1"/>
  <c r="H26" i="56"/>
  <c r="H57" i="56" s="1"/>
  <c r="H68" i="11"/>
  <c r="H69" i="11"/>
  <c r="H27" i="56"/>
  <c r="H58" i="56" s="1"/>
  <c r="W58" i="56"/>
  <c r="J72" i="11"/>
  <c r="AG13" i="63"/>
  <c r="AG43" i="63" s="1"/>
  <c r="R65" i="11"/>
  <c r="K25" i="56"/>
  <c r="Q21" i="11"/>
  <c r="K66" i="11"/>
  <c r="AK12" i="63"/>
  <c r="AK42" i="63" s="1"/>
  <c r="AE8" i="11"/>
  <c r="V12" i="56"/>
  <c r="V43" i="56" s="1"/>
  <c r="BI53" i="56"/>
  <c r="AJ16" i="66" s="1"/>
  <c r="N49" i="56"/>
  <c r="AL47" i="63"/>
  <c r="AR22" i="63"/>
  <c r="AR52" i="63" s="1"/>
  <c r="AL43" i="63"/>
  <c r="BF8" i="11"/>
  <c r="AL54" i="63"/>
  <c r="AC11" i="56"/>
  <c r="X71" i="13"/>
  <c r="AM12" i="63"/>
  <c r="W42" i="56"/>
  <c r="N48" i="56"/>
  <c r="W49" i="56"/>
  <c r="Q31" i="56"/>
  <c r="R55" i="13" s="1"/>
  <c r="R91" i="13" s="1"/>
  <c r="AI25" i="11"/>
  <c r="AI47" i="11" s="1"/>
  <c r="X98" i="13"/>
  <c r="X76" i="13"/>
  <c r="AL50" i="63"/>
  <c r="T75" i="11"/>
  <c r="AT58" i="56"/>
  <c r="N44" i="56"/>
  <c r="Q12" i="11"/>
  <c r="X88" i="13"/>
  <c r="N59" i="56"/>
  <c r="BF21" i="11"/>
  <c r="L76" i="11"/>
  <c r="L18" i="56"/>
  <c r="L49" i="56" s="1"/>
  <c r="Q14" i="11"/>
  <c r="L25" i="11"/>
  <c r="L45" i="11" s="1"/>
  <c r="BI50" i="13"/>
  <c r="BF23" i="11"/>
  <c r="BK51" i="56"/>
  <c r="AM25" i="11"/>
  <c r="AQ25" i="11"/>
  <c r="W16" i="56"/>
  <c r="W47" i="56" s="1"/>
  <c r="AE12" i="11"/>
  <c r="AL16" i="63"/>
  <c r="AL46" i="63" s="1"/>
  <c r="AD12" i="11"/>
  <c r="AD72" i="11" s="1"/>
  <c r="W25" i="11"/>
  <c r="BJ58" i="56"/>
  <c r="AK21" i="66" s="1"/>
  <c r="AO25" i="11"/>
  <c r="AO37" i="11" s="1"/>
  <c r="AA46" i="56"/>
  <c r="V104" i="13"/>
  <c r="V98" i="13"/>
  <c r="V92" i="13"/>
  <c r="V99" i="13"/>
  <c r="V103" i="13"/>
  <c r="V108" i="13"/>
  <c r="V68" i="13"/>
  <c r="V97" i="13"/>
  <c r="V84" i="13"/>
  <c r="V80" i="13"/>
  <c r="V91" i="13"/>
  <c r="V71" i="13"/>
  <c r="V69" i="13"/>
  <c r="V77" i="13"/>
  <c r="V89" i="13"/>
  <c r="V76" i="13"/>
  <c r="V100" i="13"/>
  <c r="V93" i="13"/>
  <c r="V105" i="13"/>
  <c r="V65" i="13"/>
  <c r="V102" i="13"/>
  <c r="V66" i="13"/>
  <c r="V67" i="13"/>
  <c r="V95" i="13"/>
  <c r="V106" i="13"/>
  <c r="V79" i="13"/>
  <c r="V85" i="13"/>
  <c r="V88" i="13"/>
  <c r="V75" i="13"/>
  <c r="V101" i="13"/>
  <c r="V96" i="13"/>
  <c r="V87" i="13"/>
  <c r="V94" i="13"/>
  <c r="V64" i="13"/>
  <c r="V83" i="13"/>
  <c r="AH14" i="63"/>
  <c r="AH44" i="63" s="1"/>
  <c r="S67" i="11"/>
  <c r="AI17" i="63"/>
  <c r="AD13" i="11"/>
  <c r="AD74" i="11" s="1"/>
  <c r="T17" i="56"/>
  <c r="T74" i="11"/>
  <c r="AH10" i="63"/>
  <c r="S61" i="11"/>
  <c r="AE6" i="11"/>
  <c r="AD6" i="11"/>
  <c r="AD61" i="11" s="1"/>
  <c r="S10" i="56"/>
  <c r="X41" i="56"/>
  <c r="N15" i="56"/>
  <c r="N70" i="11"/>
  <c r="N25" i="11"/>
  <c r="F23" i="56"/>
  <c r="Q19" i="11"/>
  <c r="AX11" i="56"/>
  <c r="AS9" i="56"/>
  <c r="M67" i="11"/>
  <c r="M14" i="56"/>
  <c r="M25" i="11"/>
  <c r="N22" i="56"/>
  <c r="BA12" i="56"/>
  <c r="BT8" i="11"/>
  <c r="BJ53" i="56"/>
  <c r="AK16" i="66" s="1"/>
  <c r="V74" i="13"/>
  <c r="Q11" i="11"/>
  <c r="K16" i="56"/>
  <c r="K47" i="56" s="1"/>
  <c r="K72" i="11"/>
  <c r="AC23" i="56"/>
  <c r="AR23" i="63"/>
  <c r="AT43" i="56"/>
  <c r="S70" i="11"/>
  <c r="AH15" i="63"/>
  <c r="AE11" i="11"/>
  <c r="S15" i="56"/>
  <c r="F71" i="13"/>
  <c r="L70" i="11"/>
  <c r="AH24" i="63"/>
  <c r="S64" i="11"/>
  <c r="AI28" i="63"/>
  <c r="I65" i="11"/>
  <c r="I13" i="56"/>
  <c r="I44" i="56" s="1"/>
  <c r="O61" i="11"/>
  <c r="AX43" i="56"/>
  <c r="U65" i="11"/>
  <c r="AL15" i="63"/>
  <c r="AL45" i="63" s="1"/>
  <c r="W15" i="56"/>
  <c r="G76" i="11"/>
  <c r="G18" i="56"/>
  <c r="F91" i="13"/>
  <c r="F98" i="13"/>
  <c r="F78" i="13"/>
  <c r="F80" i="13"/>
  <c r="L11" i="56"/>
  <c r="L42" i="56" s="1"/>
  <c r="L63" i="11"/>
  <c r="W25" i="56"/>
  <c r="AL25" i="63"/>
  <c r="AL55" i="63" s="1"/>
  <c r="AK26" i="63"/>
  <c r="AK56" i="63" s="1"/>
  <c r="V26" i="56"/>
  <c r="V57" i="56" s="1"/>
  <c r="BF56" i="56"/>
  <c r="AG19" i="66" s="1"/>
  <c r="I67" i="11"/>
  <c r="I14" i="56"/>
  <c r="AQ16" i="63"/>
  <c r="AY16" i="63" s="1"/>
  <c r="AB25" i="11"/>
  <c r="F10" i="56"/>
  <c r="F61" i="11"/>
  <c r="E75" i="11"/>
  <c r="E25" i="11"/>
  <c r="L55" i="56"/>
  <c r="N20" i="56"/>
  <c r="N77" i="11"/>
  <c r="AP25" i="11"/>
  <c r="AL25" i="11"/>
  <c r="AL28" i="11" s="1"/>
  <c r="T14" i="56"/>
  <c r="T45" i="56" s="1"/>
  <c r="W26" i="56"/>
  <c r="W57" i="56" s="1"/>
  <c r="AD8" i="11"/>
  <c r="AD71" i="11" s="1"/>
  <c r="AA105" i="13"/>
  <c r="AA67" i="13"/>
  <c r="J14" i="56"/>
  <c r="W105" i="13"/>
  <c r="W80" i="13"/>
  <c r="AB96" i="13"/>
  <c r="AB79" i="13"/>
  <c r="AB67" i="13"/>
  <c r="AB73" i="13"/>
  <c r="AN25" i="11"/>
  <c r="AN47" i="11" s="1"/>
  <c r="AK25" i="11"/>
  <c r="AK47" i="11" s="1"/>
  <c r="U67" i="13"/>
  <c r="U84" i="13"/>
  <c r="I17" i="56"/>
  <c r="I48" i="56" s="1"/>
  <c r="K97" i="13"/>
  <c r="K103" i="13"/>
  <c r="BE10" i="56"/>
  <c r="R10" i="56"/>
  <c r="R61" i="11"/>
  <c r="V15" i="56"/>
  <c r="V46" i="56" s="1"/>
  <c r="AK15" i="63"/>
  <c r="AK45" i="63" s="1"/>
  <c r="AJ25" i="11"/>
  <c r="AJ54" i="11" s="1"/>
  <c r="U25" i="11"/>
  <c r="U39" i="11" s="1"/>
  <c r="AC89" i="13"/>
  <c r="AH23" i="63"/>
  <c r="J23" i="56"/>
  <c r="J54" i="56" s="1"/>
  <c r="O73" i="11"/>
  <c r="K54" i="56"/>
  <c r="AR58" i="63"/>
  <c r="AB1" i="56"/>
  <c r="AH52" i="63"/>
  <c r="G47" i="56"/>
  <c r="AL56" i="63"/>
  <c r="H11" i="56"/>
  <c r="H63" i="11"/>
  <c r="BG42" i="56"/>
  <c r="AH5" i="66" s="1"/>
  <c r="U26" i="56"/>
  <c r="AT41" i="56"/>
  <c r="H25" i="11"/>
  <c r="F71" i="11"/>
  <c r="X72" i="13"/>
  <c r="X92" i="13"/>
  <c r="X80" i="13"/>
  <c r="X90" i="13"/>
  <c r="X65" i="13"/>
  <c r="X78" i="13"/>
  <c r="AK44" i="63"/>
  <c r="U68" i="11"/>
  <c r="AS41" i="56"/>
  <c r="AJ26" i="63"/>
  <c r="Q7" i="11"/>
  <c r="Z14" i="56"/>
  <c r="Z45" i="56" s="1"/>
  <c r="AO14" i="63"/>
  <c r="W76" i="13"/>
  <c r="AD18" i="11"/>
  <c r="W88" i="13"/>
  <c r="J69" i="11"/>
  <c r="J27" i="56"/>
  <c r="AE18" i="11"/>
  <c r="G74" i="11"/>
  <c r="G17" i="56"/>
  <c r="BT6" i="11"/>
  <c r="K13" i="56"/>
  <c r="K65" i="11"/>
  <c r="I11" i="56"/>
  <c r="G85" i="13"/>
  <c r="R13" i="56"/>
  <c r="V107" i="13"/>
  <c r="V72" i="13"/>
  <c r="S96" i="13" l="1"/>
  <c r="BI55" i="13" a="1"/>
  <c r="AV44" i="56"/>
  <c r="AV48" i="56"/>
  <c r="AX50" i="56"/>
  <c r="AZ55" i="56"/>
  <c r="BU41" i="56" a="1"/>
  <c r="G22" i="56"/>
  <c r="G53" i="56" s="1"/>
  <c r="G52" i="56" s="1"/>
  <c r="G25" i="11"/>
  <c r="BI103" i="13"/>
  <c r="BI106" i="13"/>
  <c r="BI107" i="13"/>
  <c r="BI87" i="13"/>
  <c r="BI90" i="13"/>
  <c r="BI96" i="13"/>
  <c r="BI98" i="13"/>
  <c r="BI102" i="13"/>
  <c r="BI105" i="13"/>
  <c r="BI108" i="13"/>
  <c r="BI64" i="13"/>
  <c r="Z108" i="13"/>
  <c r="Z100" i="13"/>
  <c r="Z107" i="13"/>
  <c r="Z91" i="13"/>
  <c r="Z92" i="13"/>
  <c r="Z72" i="13"/>
  <c r="Z68" i="13"/>
  <c r="Z79" i="13"/>
  <c r="Z83" i="13"/>
  <c r="Z80" i="13"/>
  <c r="Z65" i="13"/>
  <c r="AV27" i="56"/>
  <c r="AV58" i="56" s="1"/>
  <c r="R80" i="13"/>
  <c r="AX14" i="56"/>
  <c r="BN93" i="13"/>
  <c r="BN80" i="13"/>
  <c r="BN72" i="13"/>
  <c r="BN108" i="13"/>
  <c r="BN104" i="13"/>
  <c r="BN100" i="13"/>
  <c r="BN96" i="13"/>
  <c r="BN92" i="13"/>
  <c r="BN88" i="13"/>
  <c r="BN84" i="13"/>
  <c r="BN79" i="13"/>
  <c r="BN75" i="13"/>
  <c r="BN71" i="13"/>
  <c r="BN67" i="13"/>
  <c r="BN109" i="13"/>
  <c r="BN101" i="13"/>
  <c r="BN85" i="13"/>
  <c r="BN105" i="13"/>
  <c r="BN89" i="13"/>
  <c r="BN68" i="13"/>
  <c r="BN64" i="13"/>
  <c r="BN97" i="13"/>
  <c r="BN76" i="13"/>
  <c r="BN107" i="13"/>
  <c r="BN94" i="13"/>
  <c r="BN78" i="13"/>
  <c r="BN86" i="13"/>
  <c r="BN106" i="13"/>
  <c r="BN103" i="13"/>
  <c r="BN98" i="13"/>
  <c r="BN90" i="13"/>
  <c r="BN73" i="13"/>
  <c r="BN81" i="13"/>
  <c r="BN65" i="13"/>
  <c r="BN87" i="13"/>
  <c r="BN74" i="13"/>
  <c r="BN83" i="13"/>
  <c r="BN102" i="13"/>
  <c r="BN99" i="13"/>
  <c r="BN95" i="13"/>
  <c r="BN91" i="13"/>
  <c r="AV53" i="56"/>
  <c r="BW106" i="13"/>
  <c r="BW102" i="13"/>
  <c r="BW98" i="13"/>
  <c r="BW94" i="13"/>
  <c r="BW90" i="13"/>
  <c r="BW86" i="13"/>
  <c r="BD26" i="56" s="1"/>
  <c r="BD57" i="56" s="1"/>
  <c r="BW81" i="13"/>
  <c r="BD20" i="56" s="1"/>
  <c r="BD51" i="56" s="1"/>
  <c r="BW73" i="13"/>
  <c r="BD17" i="56" s="1"/>
  <c r="BD48" i="56" s="1"/>
  <c r="BW65" i="13"/>
  <c r="BW107" i="13"/>
  <c r="BW91" i="13"/>
  <c r="BW78" i="13"/>
  <c r="BD18" i="56" s="1"/>
  <c r="BD49" i="56" s="1"/>
  <c r="BW96" i="13"/>
  <c r="BW108" i="13"/>
  <c r="BW88" i="13"/>
  <c r="BD28" i="56" s="1"/>
  <c r="BD59" i="56" s="1"/>
  <c r="BW100" i="13"/>
  <c r="BW92" i="13"/>
  <c r="BW103" i="13"/>
  <c r="BW99" i="13"/>
  <c r="BW95" i="13"/>
  <c r="BW87" i="13"/>
  <c r="BW83" i="13"/>
  <c r="BD22" i="56" s="1"/>
  <c r="BD53" i="56" s="1"/>
  <c r="BW74" i="13"/>
  <c r="BW104" i="13"/>
  <c r="BW84" i="13"/>
  <c r="BD23" i="56" s="1"/>
  <c r="BD54" i="56" s="1"/>
  <c r="BW79" i="13"/>
  <c r="BW75" i="13"/>
  <c r="BD19" i="56" s="1"/>
  <c r="BD50" i="56" s="1"/>
  <c r="BW71" i="13"/>
  <c r="BD16" i="56" s="1"/>
  <c r="BD47" i="56" s="1"/>
  <c r="BW67" i="13"/>
  <c r="BD13" i="56" s="1"/>
  <c r="BD44" i="56" s="1"/>
  <c r="BW85" i="13"/>
  <c r="BD24" i="56" s="1"/>
  <c r="BD55" i="56" s="1"/>
  <c r="BW72" i="13"/>
  <c r="BW93" i="13"/>
  <c r="BW89" i="13"/>
  <c r="BW101" i="13"/>
  <c r="BW80" i="13"/>
  <c r="BW68" i="13"/>
  <c r="BD15" i="56" s="1"/>
  <c r="BD46" i="56" s="1"/>
  <c r="BW105" i="13"/>
  <c r="BW64" i="13"/>
  <c r="BW76" i="13"/>
  <c r="BW109" i="13"/>
  <c r="BW97" i="13"/>
  <c r="AV42" i="56"/>
  <c r="AY14" i="56"/>
  <c r="AY45" i="56" s="1"/>
  <c r="AV25" i="56"/>
  <c r="AV56" i="56" s="1"/>
  <c r="AY27" i="56"/>
  <c r="AY58" i="56" s="1"/>
  <c r="BO110" i="13"/>
  <c r="AZ25" i="56"/>
  <c r="AZ56" i="56" s="1"/>
  <c r="BV103" i="13"/>
  <c r="BV87" i="13"/>
  <c r="BV106" i="13"/>
  <c r="BV102" i="13"/>
  <c r="BV98" i="13"/>
  <c r="BV94" i="13"/>
  <c r="BV90" i="13"/>
  <c r="BV86" i="13"/>
  <c r="BC26" i="56" s="1"/>
  <c r="BC57" i="56" s="1"/>
  <c r="BV81" i="13"/>
  <c r="BC20" i="56" s="1"/>
  <c r="BC51" i="56" s="1"/>
  <c r="BV73" i="13"/>
  <c r="BC17" i="56" s="1"/>
  <c r="BC48" i="56" s="1"/>
  <c r="BV65" i="13"/>
  <c r="BV95" i="13"/>
  <c r="BV78" i="13"/>
  <c r="BC18" i="56" s="1"/>
  <c r="BC49" i="56" s="1"/>
  <c r="BV74" i="13"/>
  <c r="BV107" i="13"/>
  <c r="BV99" i="13"/>
  <c r="BV83" i="13"/>
  <c r="BC22" i="56" s="1"/>
  <c r="BC53" i="56" s="1"/>
  <c r="BV91" i="13"/>
  <c r="BV100" i="13"/>
  <c r="BV88" i="13"/>
  <c r="BC28" i="56" s="1"/>
  <c r="BC59" i="56" s="1"/>
  <c r="BV85" i="13"/>
  <c r="BC24" i="56" s="1"/>
  <c r="BC55" i="56" s="1"/>
  <c r="BV75" i="13"/>
  <c r="BC19" i="56" s="1"/>
  <c r="BC50" i="56" s="1"/>
  <c r="BV72" i="13"/>
  <c r="BV67" i="13"/>
  <c r="BC13" i="56" s="1"/>
  <c r="BC44" i="56" s="1"/>
  <c r="BV108" i="13"/>
  <c r="BV96" i="13"/>
  <c r="BV101" i="13"/>
  <c r="BV97" i="13"/>
  <c r="BV64" i="13"/>
  <c r="BV84" i="13"/>
  <c r="BC23" i="56" s="1"/>
  <c r="BC54" i="56" s="1"/>
  <c r="BV80" i="13"/>
  <c r="BV71" i="13"/>
  <c r="BC16" i="56" s="1"/>
  <c r="BC47" i="56" s="1"/>
  <c r="BV68" i="13"/>
  <c r="BC15" i="56" s="1"/>
  <c r="BC46" i="56" s="1"/>
  <c r="BV79" i="13"/>
  <c r="BV105" i="13"/>
  <c r="BV104" i="13"/>
  <c r="BV76" i="13"/>
  <c r="BV109" i="13"/>
  <c r="BV93" i="13"/>
  <c r="BV92" i="13"/>
  <c r="BV89" i="13"/>
  <c r="BU107" i="13"/>
  <c r="BU103" i="13"/>
  <c r="BU99" i="13"/>
  <c r="BU95" i="13"/>
  <c r="BU91" i="13"/>
  <c r="BU78" i="13"/>
  <c r="BB18" i="56" s="1"/>
  <c r="BB49" i="56" s="1"/>
  <c r="BU87" i="13"/>
  <c r="BU74" i="13"/>
  <c r="BU106" i="13"/>
  <c r="BU102" i="13"/>
  <c r="BU98" i="13"/>
  <c r="BU94" i="13"/>
  <c r="BU90" i="13"/>
  <c r="BU86" i="13"/>
  <c r="BB26" i="56" s="1"/>
  <c r="BB57" i="56" s="1"/>
  <c r="BU81" i="13"/>
  <c r="BB20" i="56" s="1"/>
  <c r="BB51" i="56" s="1"/>
  <c r="BU73" i="13"/>
  <c r="BB17" i="56" s="1"/>
  <c r="BB48" i="56" s="1"/>
  <c r="BU65" i="13"/>
  <c r="BU83" i="13"/>
  <c r="BB22" i="56" s="1"/>
  <c r="BU92" i="13"/>
  <c r="BU89" i="13"/>
  <c r="BU76" i="13"/>
  <c r="BU84" i="13"/>
  <c r="BB23" i="56" s="1"/>
  <c r="BB54" i="56" s="1"/>
  <c r="BU93" i="13"/>
  <c r="BU88" i="13"/>
  <c r="BB28" i="56" s="1"/>
  <c r="BB59" i="56" s="1"/>
  <c r="BU85" i="13"/>
  <c r="BB24" i="56" s="1"/>
  <c r="BB55" i="56" s="1"/>
  <c r="BU75" i="13"/>
  <c r="BB19" i="56" s="1"/>
  <c r="BB50" i="56" s="1"/>
  <c r="BU72" i="13"/>
  <c r="BU80" i="13"/>
  <c r="BU79" i="13"/>
  <c r="BU105" i="13"/>
  <c r="BU97" i="13"/>
  <c r="BU68" i="13"/>
  <c r="BB15" i="56" s="1"/>
  <c r="BB46" i="56" s="1"/>
  <c r="BU109" i="13"/>
  <c r="BU67" i="13"/>
  <c r="BB13" i="56" s="1"/>
  <c r="BB44" i="56" s="1"/>
  <c r="BU108" i="13"/>
  <c r="BU104" i="13"/>
  <c r="BU100" i="13"/>
  <c r="BU64" i="13"/>
  <c r="BU96" i="13"/>
  <c r="BU71" i="13"/>
  <c r="BB16" i="56" s="1"/>
  <c r="BB47" i="56" s="1"/>
  <c r="BU101" i="13"/>
  <c r="BT109" i="13"/>
  <c r="BT105" i="13"/>
  <c r="BT101" i="13"/>
  <c r="BT97" i="13"/>
  <c r="BT93" i="13"/>
  <c r="BT89" i="13"/>
  <c r="BT85" i="13"/>
  <c r="BA24" i="56" s="1"/>
  <c r="BA55" i="56" s="1"/>
  <c r="BT80" i="13"/>
  <c r="BT76" i="13"/>
  <c r="BT72" i="13"/>
  <c r="BT68" i="13"/>
  <c r="BA15" i="56" s="1"/>
  <c r="BA46" i="56" s="1"/>
  <c r="BT64" i="13"/>
  <c r="BT83" i="13"/>
  <c r="BA22" i="56" s="1"/>
  <c r="BT103" i="13"/>
  <c r="BT91" i="13"/>
  <c r="BT87" i="13"/>
  <c r="BT78" i="13"/>
  <c r="BA18" i="56" s="1"/>
  <c r="BA49" i="56" s="1"/>
  <c r="BT74" i="13"/>
  <c r="BT107" i="13"/>
  <c r="BT99" i="13"/>
  <c r="BT106" i="13"/>
  <c r="BT102" i="13"/>
  <c r="BT98" i="13"/>
  <c r="BT94" i="13"/>
  <c r="BT90" i="13"/>
  <c r="BT86" i="13"/>
  <c r="BA26" i="56" s="1"/>
  <c r="BA57" i="56" s="1"/>
  <c r="BT81" i="13"/>
  <c r="BA20" i="56" s="1"/>
  <c r="BA51" i="56" s="1"/>
  <c r="BT73" i="13"/>
  <c r="BA17" i="56" s="1"/>
  <c r="BA48" i="56" s="1"/>
  <c r="BT65" i="13"/>
  <c r="BT95" i="13"/>
  <c r="BT108" i="13"/>
  <c r="BT96" i="13"/>
  <c r="BT92" i="13"/>
  <c r="BT84" i="13"/>
  <c r="BA23" i="56" s="1"/>
  <c r="BA54" i="56" s="1"/>
  <c r="BT71" i="13"/>
  <c r="BA16" i="56" s="1"/>
  <c r="BA47" i="56" s="1"/>
  <c r="BT79" i="13"/>
  <c r="BT67" i="13"/>
  <c r="BA13" i="56" s="1"/>
  <c r="BA44" i="56" s="1"/>
  <c r="BT104" i="13"/>
  <c r="BT88" i="13"/>
  <c r="BA28" i="56" s="1"/>
  <c r="BA59" i="56" s="1"/>
  <c r="BT75" i="13"/>
  <c r="BA19" i="56" s="1"/>
  <c r="BA50" i="56" s="1"/>
  <c r="BT100" i="13"/>
  <c r="AV14" i="56"/>
  <c r="AV45" i="56" s="1"/>
  <c r="AZ27" i="56"/>
  <c r="AZ58" i="56" s="1"/>
  <c r="AX25" i="56"/>
  <c r="AX56" i="56" s="1"/>
  <c r="BK25" i="11"/>
  <c r="BK28" i="11" s="1"/>
  <c r="AX27" i="56"/>
  <c r="AX58" i="56" s="1"/>
  <c r="AY25" i="56"/>
  <c r="AY56" i="56" s="1"/>
  <c r="BS110" i="13"/>
  <c r="BR110" i="13"/>
  <c r="BP108" i="13"/>
  <c r="BP104" i="13"/>
  <c r="BP100" i="13"/>
  <c r="BP96" i="13"/>
  <c r="BP92" i="13"/>
  <c r="BP88" i="13"/>
  <c r="AW28" i="56" s="1"/>
  <c r="BP84" i="13"/>
  <c r="AW23" i="56" s="1"/>
  <c r="BP79" i="13"/>
  <c r="BP75" i="13"/>
  <c r="AW19" i="56" s="1"/>
  <c r="BP71" i="13"/>
  <c r="AW16" i="56" s="1"/>
  <c r="BP67" i="13"/>
  <c r="AW13" i="56" s="1"/>
  <c r="BP106" i="13"/>
  <c r="BP98" i="13"/>
  <c r="BP94" i="13"/>
  <c r="BP65" i="13"/>
  <c r="BP102" i="13"/>
  <c r="BP73" i="13"/>
  <c r="AW17" i="56" s="1"/>
  <c r="BP109" i="13"/>
  <c r="BP105" i="13"/>
  <c r="BP101" i="13"/>
  <c r="BP97" i="13"/>
  <c r="BP93" i="13"/>
  <c r="BP89" i="13"/>
  <c r="BP85" i="13"/>
  <c r="AW24" i="56" s="1"/>
  <c r="BP80" i="13"/>
  <c r="BP76" i="13"/>
  <c r="BP72" i="13"/>
  <c r="BP68" i="13"/>
  <c r="AW15" i="56" s="1"/>
  <c r="BP64" i="13"/>
  <c r="BP90" i="13"/>
  <c r="BP86" i="13"/>
  <c r="AW26" i="56" s="1"/>
  <c r="BP81" i="13"/>
  <c r="AW20" i="56" s="1"/>
  <c r="BP103" i="13"/>
  <c r="BP74" i="13"/>
  <c r="BP83" i="13"/>
  <c r="AW22" i="56" s="1"/>
  <c r="BP95" i="13"/>
  <c r="BP99" i="13"/>
  <c r="BP91" i="13"/>
  <c r="BP87" i="13"/>
  <c r="BP78" i="13"/>
  <c r="AW18" i="56" s="1"/>
  <c r="BP107" i="13"/>
  <c r="BQ110" i="13"/>
  <c r="AG67" i="13"/>
  <c r="R85" i="13"/>
  <c r="R95" i="13"/>
  <c r="R71" i="13"/>
  <c r="R102" i="13"/>
  <c r="R103" i="13"/>
  <c r="R74" i="13"/>
  <c r="R88" i="13"/>
  <c r="R65" i="13"/>
  <c r="R78" i="13"/>
  <c r="R75" i="13"/>
  <c r="R83" i="13"/>
  <c r="AG72" i="13"/>
  <c r="R107" i="13"/>
  <c r="R105" i="13"/>
  <c r="R87" i="13"/>
  <c r="R86" i="13"/>
  <c r="R101" i="13"/>
  <c r="R99" i="13"/>
  <c r="R81" i="13"/>
  <c r="R93" i="13"/>
  <c r="AG101" i="13"/>
  <c r="R109" i="13"/>
  <c r="AG86" i="13"/>
  <c r="R72" i="13"/>
  <c r="R84" i="13"/>
  <c r="R73" i="13"/>
  <c r="R79" i="13"/>
  <c r="R104" i="13"/>
  <c r="R97" i="13"/>
  <c r="R90" i="13"/>
  <c r="BX55" i="13"/>
  <c r="R89" i="13"/>
  <c r="R68" i="13"/>
  <c r="AG74" i="13"/>
  <c r="AG88" i="13"/>
  <c r="AG92" i="13"/>
  <c r="AG107" i="13"/>
  <c r="AG91" i="13"/>
  <c r="AG93" i="13"/>
  <c r="AG89" i="13"/>
  <c r="AG78" i="13"/>
  <c r="AG65" i="13"/>
  <c r="AG68" i="13"/>
  <c r="AG109" i="13"/>
  <c r="AG73" i="13"/>
  <c r="AG94" i="13"/>
  <c r="AG76" i="13"/>
  <c r="AG75" i="13"/>
  <c r="AG99" i="13"/>
  <c r="AG98" i="13"/>
  <c r="AG105" i="13"/>
  <c r="AG100" i="13"/>
  <c r="AG79" i="13"/>
  <c r="AG80" i="13"/>
  <c r="AG104" i="13"/>
  <c r="AG96" i="13"/>
  <c r="AG81" i="13"/>
  <c r="AG103" i="13"/>
  <c r="AG83" i="13"/>
  <c r="AG85" i="13"/>
  <c r="AG71" i="13"/>
  <c r="AG106" i="13"/>
  <c r="AG64" i="13"/>
  <c r="AG97" i="13"/>
  <c r="AG90" i="13"/>
  <c r="AG95" i="13"/>
  <c r="AG87" i="13"/>
  <c r="AG84" i="13"/>
  <c r="R64" i="13"/>
  <c r="R106" i="13"/>
  <c r="R76" i="13"/>
  <c r="R108" i="13"/>
  <c r="R100" i="13"/>
  <c r="R67" i="13"/>
  <c r="R94" i="13"/>
  <c r="AG102" i="13"/>
  <c r="R92" i="13"/>
  <c r="R96" i="13"/>
  <c r="R98" i="13"/>
  <c r="AR28" i="56"/>
  <c r="AT48" i="56"/>
  <c r="Z86" i="13"/>
  <c r="Z69" i="13"/>
  <c r="Z89" i="13"/>
  <c r="Z110" i="13"/>
  <c r="Z101" i="13"/>
  <c r="Z104" i="13"/>
  <c r="Z64" i="13"/>
  <c r="Z74" i="13"/>
  <c r="Z75" i="13"/>
  <c r="Z66" i="13"/>
  <c r="S89" i="13"/>
  <c r="AP4" i="56"/>
  <c r="AE48" i="56"/>
  <c r="S100" i="13"/>
  <c r="Z87" i="13"/>
  <c r="Z77" i="13"/>
  <c r="AS53" i="56"/>
  <c r="AS52" i="56" s="1"/>
  <c r="Z99" i="13"/>
  <c r="Z95" i="13"/>
  <c r="Z98" i="13"/>
  <c r="Z67" i="13"/>
  <c r="Z73" i="13"/>
  <c r="Z88" i="13"/>
  <c r="Z90" i="13"/>
  <c r="Z71" i="13"/>
  <c r="Z97" i="13"/>
  <c r="P72" i="13"/>
  <c r="P87" i="13"/>
  <c r="Z94" i="13"/>
  <c r="Z81" i="13"/>
  <c r="Z105" i="13"/>
  <c r="P75" i="13"/>
  <c r="P69" i="13"/>
  <c r="P110" i="13"/>
  <c r="P89" i="13"/>
  <c r="AM29" i="56"/>
  <c r="AM30" i="56" s="1"/>
  <c r="AS21" i="56"/>
  <c r="AS29" i="56" s="1"/>
  <c r="BE41" i="56"/>
  <c r="BT41" i="56" s="1"/>
  <c r="BI28" i="11"/>
  <c r="BI27" i="11"/>
  <c r="BH28" i="11"/>
  <c r="O95" i="13"/>
  <c r="P106" i="13"/>
  <c r="P97" i="13"/>
  <c r="P65" i="13"/>
  <c r="P83" i="13"/>
  <c r="O90" i="13"/>
  <c r="P100" i="13"/>
  <c r="P64" i="13"/>
  <c r="P91" i="13"/>
  <c r="P85" i="13"/>
  <c r="P92" i="13"/>
  <c r="P81" i="13"/>
  <c r="O107" i="13"/>
  <c r="P103" i="13"/>
  <c r="P105" i="13"/>
  <c r="P68" i="13"/>
  <c r="P79" i="13"/>
  <c r="P107" i="13"/>
  <c r="O106" i="13"/>
  <c r="P90" i="13"/>
  <c r="P104" i="13"/>
  <c r="O102" i="13"/>
  <c r="P86" i="13"/>
  <c r="P71" i="13"/>
  <c r="P95" i="13"/>
  <c r="P98" i="13"/>
  <c r="P93" i="13"/>
  <c r="BQ57" i="56"/>
  <c r="AF39" i="11"/>
  <c r="BQ53" i="56"/>
  <c r="BG9" i="56"/>
  <c r="BQ47" i="56"/>
  <c r="BQ49" i="56"/>
  <c r="AE10" i="11"/>
  <c r="AD22" i="11"/>
  <c r="AD68" i="11" s="1"/>
  <c r="AG26" i="63"/>
  <c r="AG56" i="63" s="1"/>
  <c r="AG51" i="63" s="1"/>
  <c r="O74" i="13"/>
  <c r="O65" i="13"/>
  <c r="O97" i="13"/>
  <c r="O81" i="13"/>
  <c r="O105" i="13"/>
  <c r="O94" i="13"/>
  <c r="O100" i="13"/>
  <c r="O99" i="13"/>
  <c r="O79" i="13"/>
  <c r="O91" i="13"/>
  <c r="O110" i="13"/>
  <c r="O76" i="13"/>
  <c r="O89" i="13"/>
  <c r="O96" i="13"/>
  <c r="O98" i="13"/>
  <c r="O68" i="13"/>
  <c r="O71" i="13"/>
  <c r="O108" i="13"/>
  <c r="O67" i="13"/>
  <c r="O86" i="13"/>
  <c r="O84" i="13"/>
  <c r="O103" i="13"/>
  <c r="O73" i="13"/>
  <c r="O83" i="13"/>
  <c r="O92" i="13"/>
  <c r="O64" i="13"/>
  <c r="O80" i="13"/>
  <c r="O78" i="13"/>
  <c r="O69" i="13"/>
  <c r="O93" i="13"/>
  <c r="O66" i="13"/>
  <c r="O75" i="13"/>
  <c r="AE55" i="56"/>
  <c r="AR24" i="56"/>
  <c r="AE54" i="56"/>
  <c r="AR23" i="56"/>
  <c r="AJ41" i="56"/>
  <c r="AJ9" i="56"/>
  <c r="BI21" i="56"/>
  <c r="BI57" i="56"/>
  <c r="AJ20" i="66" s="1"/>
  <c r="AE53" i="56"/>
  <c r="AR22" i="56"/>
  <c r="AE21" i="56"/>
  <c r="BF21" i="56"/>
  <c r="BF53" i="56"/>
  <c r="AG16" i="66" s="1"/>
  <c r="AI41" i="56"/>
  <c r="AI9" i="56"/>
  <c r="AL54" i="56"/>
  <c r="AL52" i="56" s="1"/>
  <c r="AL21" i="56"/>
  <c r="O88" i="13"/>
  <c r="O101" i="13"/>
  <c r="BJ41" i="56"/>
  <c r="AK4" i="66" s="1"/>
  <c r="BJ9" i="56"/>
  <c r="AI53" i="56"/>
  <c r="AI21" i="56"/>
  <c r="AL63" i="56"/>
  <c r="AL42" i="56"/>
  <c r="AL9" i="56"/>
  <c r="BQ59" i="56"/>
  <c r="O77" i="13"/>
  <c r="BP21" i="56"/>
  <c r="BP59" i="56"/>
  <c r="BP52" i="56" s="1"/>
  <c r="P67" i="11"/>
  <c r="P78" i="11" s="1"/>
  <c r="P25" i="11"/>
  <c r="P40" i="11" s="1"/>
  <c r="P14" i="56"/>
  <c r="P45" i="56" s="1"/>
  <c r="P40" i="56" s="1"/>
  <c r="Q10" i="11"/>
  <c r="O85" i="13"/>
  <c r="O104" i="13"/>
  <c r="BQ58" i="56"/>
  <c r="AR11" i="56"/>
  <c r="AE42" i="56"/>
  <c r="BK21" i="56"/>
  <c r="O72" i="13"/>
  <c r="AG41" i="56"/>
  <c r="AE43" i="56"/>
  <c r="AR12" i="56"/>
  <c r="AF9" i="56"/>
  <c r="AF41" i="56"/>
  <c r="AE59" i="56"/>
  <c r="AP41" i="56"/>
  <c r="AP63" i="56" s="1"/>
  <c r="AP9" i="56"/>
  <c r="AO41" i="56"/>
  <c r="AO9" i="56"/>
  <c r="AR15" i="56"/>
  <c r="AE46" i="56"/>
  <c r="AM40" i="56"/>
  <c r="AM63" i="56"/>
  <c r="S77" i="13"/>
  <c r="S72" i="13"/>
  <c r="AH41" i="56"/>
  <c r="AH9" i="56"/>
  <c r="AK21" i="56"/>
  <c r="AE58" i="56"/>
  <c r="AR27" i="56"/>
  <c r="AE47" i="56"/>
  <c r="AR16" i="56"/>
  <c r="AP21" i="56"/>
  <c r="AP53" i="56"/>
  <c r="AP52" i="56" s="1"/>
  <c r="AH53" i="56"/>
  <c r="AH21" i="56"/>
  <c r="P74" i="13"/>
  <c r="Z106" i="13"/>
  <c r="P77" i="13"/>
  <c r="Z78" i="13"/>
  <c r="P96" i="13"/>
  <c r="P88" i="13"/>
  <c r="Z85" i="13"/>
  <c r="AM52" i="56"/>
  <c r="AE49" i="56"/>
  <c r="AR18" i="56"/>
  <c r="AR17" i="56"/>
  <c r="AK52" i="56"/>
  <c r="BG41" i="56"/>
  <c r="S64" i="13"/>
  <c r="AE45" i="56"/>
  <c r="P67" i="13"/>
  <c r="Z84" i="13"/>
  <c r="Z103" i="13"/>
  <c r="P101" i="13"/>
  <c r="Z96" i="13"/>
  <c r="AF21" i="56"/>
  <c r="AF53" i="56"/>
  <c r="AN40" i="56"/>
  <c r="AN63" i="56"/>
  <c r="AE50" i="56"/>
  <c r="AR19" i="56"/>
  <c r="AE57" i="56"/>
  <c r="BQ21" i="56"/>
  <c r="BH57" i="56"/>
  <c r="AI20" i="66" s="1"/>
  <c r="AG26" i="56"/>
  <c r="AG57" i="56" s="1"/>
  <c r="AE9" i="56"/>
  <c r="AE41" i="56"/>
  <c r="AR10" i="56"/>
  <c r="AQ62" i="56"/>
  <c r="R14" i="56"/>
  <c r="R45" i="56" s="1"/>
  <c r="P99" i="13"/>
  <c r="Z102" i="13"/>
  <c r="Z76" i="13"/>
  <c r="BS14" i="56"/>
  <c r="AG14" i="56"/>
  <c r="AG45" i="56" s="1"/>
  <c r="AG53" i="56"/>
  <c r="AK9" i="56"/>
  <c r="AO21" i="56"/>
  <c r="AO53" i="56"/>
  <c r="AR13" i="56"/>
  <c r="AE44" i="56"/>
  <c r="AN29" i="56"/>
  <c r="AE56" i="56"/>
  <c r="AR25" i="56"/>
  <c r="BI9" i="56"/>
  <c r="S79" i="13"/>
  <c r="AN52" i="56"/>
  <c r="AE51" i="56"/>
  <c r="AR20" i="56"/>
  <c r="AD10" i="11"/>
  <c r="AD67" i="11" s="1"/>
  <c r="Z93" i="13"/>
  <c r="AK63" i="56"/>
  <c r="AK40" i="56"/>
  <c r="AJ53" i="56"/>
  <c r="AJ21" i="56"/>
  <c r="P66" i="13"/>
  <c r="J10" i="56"/>
  <c r="J41" i="56" s="1"/>
  <c r="J63" i="56" s="1"/>
  <c r="AQ27" i="11"/>
  <c r="AQ28" i="11"/>
  <c r="J25" i="11"/>
  <c r="J28" i="11" s="1"/>
  <c r="Q6" i="11"/>
  <c r="Y25" i="11"/>
  <c r="Y40" i="11" s="1"/>
  <c r="AG14" i="63"/>
  <c r="AG44" i="63" s="1"/>
  <c r="AG39" i="63" s="1"/>
  <c r="R68" i="11"/>
  <c r="R78" i="11" s="1"/>
  <c r="R25" i="11"/>
  <c r="R53" i="11" s="1"/>
  <c r="S106" i="13"/>
  <c r="S83" i="13"/>
  <c r="S107" i="13"/>
  <c r="S95" i="13"/>
  <c r="S104" i="13"/>
  <c r="S94" i="13"/>
  <c r="S93" i="13"/>
  <c r="S80" i="13"/>
  <c r="S74" i="13"/>
  <c r="S92" i="13"/>
  <c r="S76" i="13"/>
  <c r="S75" i="13"/>
  <c r="S99" i="13"/>
  <c r="S110" i="13"/>
  <c r="S97" i="13"/>
  <c r="S98" i="13"/>
  <c r="S101" i="13"/>
  <c r="S103" i="13"/>
  <c r="S66" i="13"/>
  <c r="S91" i="13"/>
  <c r="S78" i="13"/>
  <c r="S87" i="13"/>
  <c r="S69" i="13"/>
  <c r="S90" i="13"/>
  <c r="S102" i="13"/>
  <c r="S84" i="13"/>
  <c r="S73" i="13"/>
  <c r="P78" i="13"/>
  <c r="P73" i="13"/>
  <c r="P102" i="13"/>
  <c r="P108" i="13"/>
  <c r="P80" i="13"/>
  <c r="P84" i="13"/>
  <c r="P76" i="13"/>
  <c r="AP40" i="11"/>
  <c r="AP28" i="11"/>
  <c r="AP41" i="11"/>
  <c r="AP42" i="11"/>
  <c r="AP43" i="11"/>
  <c r="AP49" i="11"/>
  <c r="AP38" i="11"/>
  <c r="AP50" i="11"/>
  <c r="AP51" i="11"/>
  <c r="AP52" i="11"/>
  <c r="AP53" i="11"/>
  <c r="AP54" i="11"/>
  <c r="AP45" i="11"/>
  <c r="AP47" i="11"/>
  <c r="AP37" i="11"/>
  <c r="AP55" i="11"/>
  <c r="AP44" i="11"/>
  <c r="AP46" i="11"/>
  <c r="AP39" i="11"/>
  <c r="AP27" i="11"/>
  <c r="AJ110" i="13"/>
  <c r="AJ109" i="13"/>
  <c r="S67" i="13"/>
  <c r="S108" i="13"/>
  <c r="S71" i="13"/>
  <c r="S85" i="13"/>
  <c r="S65" i="13"/>
  <c r="S86" i="13"/>
  <c r="S105" i="13"/>
  <c r="X13" i="56"/>
  <c r="X44" i="56" s="1"/>
  <c r="X40" i="56" s="1"/>
  <c r="BO21" i="56"/>
  <c r="Y92" i="13"/>
  <c r="S68" i="13"/>
  <c r="AJ84" i="13"/>
  <c r="AJ107" i="13"/>
  <c r="AJ71" i="13"/>
  <c r="AJ78" i="13"/>
  <c r="AJ86" i="13"/>
  <c r="AJ73" i="13"/>
  <c r="AJ88" i="13"/>
  <c r="AJ93" i="13"/>
  <c r="AJ100" i="13"/>
  <c r="AJ95" i="13"/>
  <c r="AJ102" i="13"/>
  <c r="AJ66" i="13"/>
  <c r="AJ80" i="13"/>
  <c r="AJ65" i="13"/>
  <c r="AJ68" i="13"/>
  <c r="AJ105" i="13"/>
  <c r="AJ106" i="13"/>
  <c r="AJ74" i="13"/>
  <c r="AJ101" i="13"/>
  <c r="AJ89" i="13"/>
  <c r="AJ92" i="13"/>
  <c r="AJ108" i="13"/>
  <c r="AJ90" i="13"/>
  <c r="AJ81" i="13"/>
  <c r="AJ87" i="13"/>
  <c r="AJ103" i="13"/>
  <c r="AJ76" i="13"/>
  <c r="AJ98" i="13"/>
  <c r="AJ79" i="13"/>
  <c r="AJ85" i="13"/>
  <c r="AJ96" i="13"/>
  <c r="AJ69" i="13"/>
  <c r="AJ75" i="13"/>
  <c r="AJ97" i="13"/>
  <c r="AJ83" i="13"/>
  <c r="AJ99" i="13"/>
  <c r="AJ72" i="13"/>
  <c r="AJ67" i="13"/>
  <c r="AJ104" i="13"/>
  <c r="AJ70" i="13"/>
  <c r="AJ77" i="13"/>
  <c r="AJ91" i="13"/>
  <c r="AJ94" i="13"/>
  <c r="AE9" i="11"/>
  <c r="AD9" i="11"/>
  <c r="AD65" i="11" s="1"/>
  <c r="X25" i="11"/>
  <c r="X38" i="11" s="1"/>
  <c r="AE22" i="11"/>
  <c r="S88" i="13"/>
  <c r="BS16" i="56"/>
  <c r="Y89" i="13"/>
  <c r="BN48" i="56"/>
  <c r="Y13" i="56"/>
  <c r="Y44" i="56" s="1"/>
  <c r="Y63" i="56" s="1"/>
  <c r="X5" i="57" s="1"/>
  <c r="AO45" i="11"/>
  <c r="AO54" i="11"/>
  <c r="AO55" i="11"/>
  <c r="AO39" i="11"/>
  <c r="AO40" i="11"/>
  <c r="AO38" i="11"/>
  <c r="AO47" i="11"/>
  <c r="AO50" i="11"/>
  <c r="AO46" i="11"/>
  <c r="AO43" i="11"/>
  <c r="AO49" i="11"/>
  <c r="AO42" i="11"/>
  <c r="AO52" i="11"/>
  <c r="AO53" i="11"/>
  <c r="AO41" i="11"/>
  <c r="AO27" i="11"/>
  <c r="AO28" i="11"/>
  <c r="AO51" i="11"/>
  <c r="AO44" i="11"/>
  <c r="BN54" i="56"/>
  <c r="BN45" i="56"/>
  <c r="BN47" i="56"/>
  <c r="BS13" i="56"/>
  <c r="BN42" i="56"/>
  <c r="AF1" i="13"/>
  <c r="BN55" i="56"/>
  <c r="BN44" i="56"/>
  <c r="BN53" i="56"/>
  <c r="BS23" i="56"/>
  <c r="AH25" i="63"/>
  <c r="AH55" i="63" s="1"/>
  <c r="BN56" i="56"/>
  <c r="S66" i="11"/>
  <c r="S78" i="11" s="1"/>
  <c r="BN46" i="56"/>
  <c r="S25" i="11"/>
  <c r="S28" i="11" s="1"/>
  <c r="BN57" i="56"/>
  <c r="AY10" i="63"/>
  <c r="BN59" i="56"/>
  <c r="AN49" i="11"/>
  <c r="BN21" i="56"/>
  <c r="BS25" i="56"/>
  <c r="BN58" i="56"/>
  <c r="BN41" i="56"/>
  <c r="BS10" i="56"/>
  <c r="BN49" i="56"/>
  <c r="AN42" i="11"/>
  <c r="AN41" i="11"/>
  <c r="AN52" i="11"/>
  <c r="AN37" i="11"/>
  <c r="AN51" i="11"/>
  <c r="BN9" i="56"/>
  <c r="BN51" i="56"/>
  <c r="AN45" i="11"/>
  <c r="BS19" i="56"/>
  <c r="AN53" i="11"/>
  <c r="BN50" i="56"/>
  <c r="AN55" i="11"/>
  <c r="AN44" i="11"/>
  <c r="AN43" i="11"/>
  <c r="AN54" i="11"/>
  <c r="AN40" i="11"/>
  <c r="AN38" i="11"/>
  <c r="AN39" i="11"/>
  <c r="BN43" i="56"/>
  <c r="AN50" i="11"/>
  <c r="AN46" i="11"/>
  <c r="AN28" i="11"/>
  <c r="AN27" i="11"/>
  <c r="T98" i="13"/>
  <c r="T88" i="13"/>
  <c r="T74" i="13"/>
  <c r="T92" i="13"/>
  <c r="K52" i="11"/>
  <c r="T101" i="13"/>
  <c r="H63" i="56"/>
  <c r="AJ64" i="13"/>
  <c r="T93" i="13"/>
  <c r="Y81" i="13"/>
  <c r="T75" i="13"/>
  <c r="Y108" i="13"/>
  <c r="Y99" i="13"/>
  <c r="Y73" i="13"/>
  <c r="T106" i="13"/>
  <c r="T110" i="13"/>
  <c r="AG50" i="13"/>
  <c r="Y91" i="13"/>
  <c r="AF50" i="13"/>
  <c r="AF79" i="13" s="1"/>
  <c r="Y103" i="13"/>
  <c r="Y87" i="13"/>
  <c r="AP21" i="63"/>
  <c r="R50" i="13"/>
  <c r="Y84" i="13"/>
  <c r="Q77" i="13"/>
  <c r="T66" i="13"/>
  <c r="AH25" i="11"/>
  <c r="AH55" i="11" s="1"/>
  <c r="Q75" i="13"/>
  <c r="Y75" i="13"/>
  <c r="Y72" i="13"/>
  <c r="Q65" i="13"/>
  <c r="T72" i="13"/>
  <c r="Y53" i="56"/>
  <c r="Y52" i="56" s="1"/>
  <c r="Y68" i="13"/>
  <c r="Q74" i="13"/>
  <c r="T80" i="13"/>
  <c r="Q79" i="13"/>
  <c r="AY17" i="63"/>
  <c r="T104" i="13"/>
  <c r="U1" i="56"/>
  <c r="AC28" i="11"/>
  <c r="Y64" i="13"/>
  <c r="Q110" i="13"/>
  <c r="T71" i="13"/>
  <c r="Y76" i="13"/>
  <c r="Z27" i="11"/>
  <c r="T83" i="13"/>
  <c r="Y105" i="13"/>
  <c r="Q18" i="11"/>
  <c r="Q91" i="13"/>
  <c r="T77" i="13"/>
  <c r="Y85" i="13"/>
  <c r="Y100" i="13"/>
  <c r="Q96" i="13"/>
  <c r="T69" i="13"/>
  <c r="T90" i="13"/>
  <c r="Y86" i="13"/>
  <c r="Q78" i="13"/>
  <c r="T68" i="13"/>
  <c r="Y71" i="13"/>
  <c r="Y102" i="13"/>
  <c r="T107" i="13"/>
  <c r="Q69" i="13"/>
  <c r="F25" i="11"/>
  <c r="F50" i="11" s="1"/>
  <c r="Y80" i="13"/>
  <c r="Y104" i="13"/>
  <c r="T81" i="13"/>
  <c r="Y93" i="13"/>
  <c r="T85" i="13"/>
  <c r="T97" i="13"/>
  <c r="T105" i="13"/>
  <c r="T89" i="13"/>
  <c r="Q86" i="13"/>
  <c r="AY15" i="63"/>
  <c r="T1" i="56"/>
  <c r="Q106" i="13"/>
  <c r="T84" i="13"/>
  <c r="Y66" i="13"/>
  <c r="Y74" i="13"/>
  <c r="Y106" i="13"/>
  <c r="AC21" i="56"/>
  <c r="Q88" i="13"/>
  <c r="Y78" i="13"/>
  <c r="T99" i="13"/>
  <c r="Y79" i="13"/>
  <c r="Y97" i="13"/>
  <c r="Q105" i="13"/>
  <c r="Q107" i="13"/>
  <c r="Q93" i="13"/>
  <c r="Q98" i="13"/>
  <c r="Q71" i="13"/>
  <c r="Q76" i="13"/>
  <c r="Q103" i="13"/>
  <c r="Q104" i="13"/>
  <c r="Q92" i="13"/>
  <c r="Q97" i="13"/>
  <c r="Q68" i="13"/>
  <c r="Q94" i="13"/>
  <c r="Q95" i="13"/>
  <c r="Q72" i="13"/>
  <c r="Q81" i="13"/>
  <c r="Q84" i="13"/>
  <c r="Q66" i="13"/>
  <c r="Q80" i="13"/>
  <c r="Q85" i="13"/>
  <c r="Q90" i="13"/>
  <c r="Q83" i="13"/>
  <c r="Q101" i="13"/>
  <c r="Q102" i="13"/>
  <c r="Q89" i="13"/>
  <c r="Q67" i="13"/>
  <c r="Q64" i="13"/>
  <c r="AE21" i="11"/>
  <c r="Q99" i="13"/>
  <c r="Y107" i="13"/>
  <c r="Y94" i="13"/>
  <c r="T76" i="13"/>
  <c r="T103" i="13"/>
  <c r="T21" i="56"/>
  <c r="Y101" i="13"/>
  <c r="T100" i="13"/>
  <c r="AP58" i="63"/>
  <c r="AP51" i="63" s="1"/>
  <c r="AD21" i="11"/>
  <c r="AD66" i="11" s="1"/>
  <c r="Q100" i="13"/>
  <c r="T64" i="13"/>
  <c r="T25" i="11"/>
  <c r="T44" i="11" s="1"/>
  <c r="T66" i="11"/>
  <c r="T78" i="11" s="1"/>
  <c r="T78" i="13"/>
  <c r="T91" i="13"/>
  <c r="Y69" i="13"/>
  <c r="Y98" i="13"/>
  <c r="Y96" i="13"/>
  <c r="Y77" i="13"/>
  <c r="Y67" i="13"/>
  <c r="BV62" i="56" a="1"/>
  <c r="AI25" i="63"/>
  <c r="AI55" i="63" s="1"/>
  <c r="T102" i="13"/>
  <c r="T86" i="13"/>
  <c r="T79" i="13"/>
  <c r="Y90" i="13"/>
  <c r="Y110" i="13"/>
  <c r="Y95" i="13"/>
  <c r="Y88" i="13"/>
  <c r="AQ40" i="63"/>
  <c r="Q108" i="13"/>
  <c r="T95" i="13"/>
  <c r="T87" i="13"/>
  <c r="T67" i="13"/>
  <c r="Y83" i="13"/>
  <c r="T96" i="13"/>
  <c r="Q87" i="13"/>
  <c r="T94" i="13"/>
  <c r="T108" i="13"/>
  <c r="T65" i="13"/>
  <c r="V45" i="11"/>
  <c r="AC9" i="56"/>
  <c r="AC40" i="11"/>
  <c r="AR54" i="63"/>
  <c r="AC54" i="11"/>
  <c r="Z54" i="11"/>
  <c r="V38" i="11"/>
  <c r="O27" i="11"/>
  <c r="Z42" i="11"/>
  <c r="O53" i="11"/>
  <c r="Z47" i="11"/>
  <c r="M63" i="56"/>
  <c r="AX27" i="63"/>
  <c r="AS27" i="63" s="1"/>
  <c r="V40" i="11"/>
  <c r="K55" i="11"/>
  <c r="Z51" i="11"/>
  <c r="K54" i="11"/>
  <c r="AQ21" i="63"/>
  <c r="AD24" i="56"/>
  <c r="AD55" i="56" s="1"/>
  <c r="AD18" i="66" s="1"/>
  <c r="K51" i="11"/>
  <c r="AQ58" i="63"/>
  <c r="AQ51" i="63" s="1"/>
  <c r="K50" i="11"/>
  <c r="O49" i="11"/>
  <c r="AQ47" i="63"/>
  <c r="K53" i="11"/>
  <c r="K43" i="11"/>
  <c r="AM21" i="63"/>
  <c r="V37" i="11"/>
  <c r="Z45" i="11"/>
  <c r="O39" i="11"/>
  <c r="AO21" i="63"/>
  <c r="Z53" i="11"/>
  <c r="BS22" i="56"/>
  <c r="Z43" i="11"/>
  <c r="V46" i="11"/>
  <c r="O38" i="11"/>
  <c r="F21" i="56"/>
  <c r="AR9" i="63"/>
  <c r="AY14" i="63"/>
  <c r="AB21" i="56"/>
  <c r="AJ9" i="63"/>
  <c r="AY13" i="63"/>
  <c r="AB9" i="56"/>
  <c r="Z53" i="56"/>
  <c r="Z52" i="56" s="1"/>
  <c r="X21" i="56"/>
  <c r="T55" i="56"/>
  <c r="T52" i="56" s="1"/>
  <c r="P63" i="56"/>
  <c r="AF53" i="11"/>
  <c r="AC44" i="11"/>
  <c r="AC27" i="11"/>
  <c r="AS60" i="63"/>
  <c r="AZ60" i="63" s="1"/>
  <c r="Z37" i="11"/>
  <c r="Q12" i="56"/>
  <c r="Q43" i="56" s="1"/>
  <c r="AC6" i="66" s="1"/>
  <c r="AC47" i="11"/>
  <c r="AC46" i="11"/>
  <c r="AO52" i="63"/>
  <c r="AO51" i="63" s="1"/>
  <c r="Z52" i="11"/>
  <c r="AC41" i="11"/>
  <c r="Z50" i="11"/>
  <c r="Z28" i="11"/>
  <c r="BM21" i="56"/>
  <c r="Z21" i="56"/>
  <c r="Z38" i="11"/>
  <c r="Z41" i="11"/>
  <c r="BM53" i="56"/>
  <c r="BM52" i="56" s="1"/>
  <c r="AC43" i="11"/>
  <c r="AC50" i="11"/>
  <c r="AC51" i="11"/>
  <c r="AC45" i="11"/>
  <c r="V1" i="56"/>
  <c r="Z39" i="11"/>
  <c r="Z46" i="11"/>
  <c r="AC55" i="11"/>
  <c r="AC49" i="11"/>
  <c r="AZ63" i="56"/>
  <c r="V41" i="11"/>
  <c r="Z49" i="11"/>
  <c r="X56" i="56"/>
  <c r="X52" i="56" s="1"/>
  <c r="Z55" i="11"/>
  <c r="Z44" i="11"/>
  <c r="AA21" i="56"/>
  <c r="AA1" i="56"/>
  <c r="K21" i="56"/>
  <c r="W53" i="56"/>
  <c r="BS11" i="56"/>
  <c r="AM37" i="11"/>
  <c r="AM38" i="11"/>
  <c r="AM45" i="11"/>
  <c r="AM46" i="11"/>
  <c r="AM47" i="11"/>
  <c r="AM40" i="11"/>
  <c r="AM44" i="11"/>
  <c r="AM55" i="11"/>
  <c r="AM39" i="11"/>
  <c r="AM41" i="11"/>
  <c r="AM43" i="11"/>
  <c r="AM50" i="11"/>
  <c r="AM51" i="11"/>
  <c r="AM52" i="11"/>
  <c r="AM53" i="11"/>
  <c r="AM54" i="11"/>
  <c r="AM28" i="11"/>
  <c r="AM27" i="11"/>
  <c r="AM42" i="11"/>
  <c r="AM49" i="11"/>
  <c r="BS26" i="56"/>
  <c r="BL57" i="56"/>
  <c r="BS18" i="56"/>
  <c r="BS15" i="56"/>
  <c r="V50" i="11"/>
  <c r="Q24" i="56"/>
  <c r="Q55" i="56" s="1"/>
  <c r="AC18" i="66" s="1"/>
  <c r="P52" i="56"/>
  <c r="E52" i="56"/>
  <c r="L21" i="56"/>
  <c r="N21" i="56"/>
  <c r="V39" i="11"/>
  <c r="V44" i="11"/>
  <c r="BL51" i="56"/>
  <c r="V54" i="11"/>
  <c r="V27" i="11"/>
  <c r="O21" i="56"/>
  <c r="O9" i="56"/>
  <c r="V42" i="11"/>
  <c r="I63" i="56"/>
  <c r="BE62" i="56"/>
  <c r="AB57" i="56"/>
  <c r="AB52" i="56" s="1"/>
  <c r="BL55" i="56"/>
  <c r="BS24" i="56"/>
  <c r="BL21" i="56"/>
  <c r="BL50" i="56"/>
  <c r="O63" i="56"/>
  <c r="BL46" i="56"/>
  <c r="AL38" i="11"/>
  <c r="AL47" i="11"/>
  <c r="AL52" i="11"/>
  <c r="AL43" i="11"/>
  <c r="AL46" i="11"/>
  <c r="AL53" i="11"/>
  <c r="AL41" i="11"/>
  <c r="Q19" i="56"/>
  <c r="Q50" i="56" s="1"/>
  <c r="AC13" i="66" s="1"/>
  <c r="AL49" i="11"/>
  <c r="AL51" i="11"/>
  <c r="AL40" i="11"/>
  <c r="AL50" i="11"/>
  <c r="AL37" i="11"/>
  <c r="E21" i="56"/>
  <c r="AL45" i="11"/>
  <c r="H78" i="11"/>
  <c r="H21" i="56"/>
  <c r="BL53" i="56"/>
  <c r="AL55" i="11"/>
  <c r="AL44" i="11"/>
  <c r="AL54" i="11"/>
  <c r="AL39" i="11"/>
  <c r="AL42" i="11"/>
  <c r="AT52" i="56"/>
  <c r="BF25" i="11"/>
  <c r="BF27" i="11" s="1"/>
  <c r="AY42" i="56"/>
  <c r="AL27" i="11"/>
  <c r="BS20" i="56"/>
  <c r="BH63" i="56"/>
  <c r="AF5" i="57" s="1"/>
  <c r="BK9" i="56"/>
  <c r="BP63" i="56"/>
  <c r="AN5" i="57" s="1"/>
  <c r="BO52" i="56"/>
  <c r="BS28" i="56"/>
  <c r="BQ63" i="56"/>
  <c r="AO5" i="57" s="1"/>
  <c r="BK52" i="56"/>
  <c r="K27" i="11"/>
  <c r="K38" i="11"/>
  <c r="K45" i="11"/>
  <c r="K37" i="11"/>
  <c r="K47" i="11"/>
  <c r="K44" i="11"/>
  <c r="K28" i="11"/>
  <c r="K42" i="11"/>
  <c r="K40" i="11"/>
  <c r="L78" i="11"/>
  <c r="O54" i="11"/>
  <c r="N78" i="11"/>
  <c r="F9" i="56"/>
  <c r="AF52" i="11"/>
  <c r="AC38" i="11"/>
  <c r="O47" i="11"/>
  <c r="AF46" i="11"/>
  <c r="E40" i="56"/>
  <c r="O37" i="11"/>
  <c r="K39" i="11"/>
  <c r="O46" i="11"/>
  <c r="E78" i="11"/>
  <c r="K46" i="11"/>
  <c r="J78" i="11"/>
  <c r="AF47" i="11"/>
  <c r="K49" i="11"/>
  <c r="BI40" i="56"/>
  <c r="AJ3" i="66" s="1"/>
  <c r="AC37" i="11"/>
  <c r="BS27" i="56"/>
  <c r="O41" i="11"/>
  <c r="Q25" i="56"/>
  <c r="Q56" i="56" s="1"/>
  <c r="AC19" i="66" s="1"/>
  <c r="U27" i="11"/>
  <c r="AC53" i="11"/>
  <c r="AC52" i="11"/>
  <c r="O52" i="56"/>
  <c r="AF28" i="11"/>
  <c r="AC39" i="11"/>
  <c r="K56" i="56"/>
  <c r="K52" i="56" s="1"/>
  <c r="L63" i="56"/>
  <c r="Q26" i="56"/>
  <c r="Q57" i="56" s="1"/>
  <c r="AC20" i="66" s="1"/>
  <c r="BE12" i="56"/>
  <c r="BE43" i="56" s="1"/>
  <c r="AX63" i="56"/>
  <c r="AT9" i="56"/>
  <c r="P21" i="56"/>
  <c r="AP9" i="63"/>
  <c r="U78" i="11"/>
  <c r="AY54" i="56"/>
  <c r="O40" i="56"/>
  <c r="BS17" i="56"/>
  <c r="I41" i="11"/>
  <c r="I27" i="11"/>
  <c r="I50" i="11"/>
  <c r="I46" i="11"/>
  <c r="I38" i="11"/>
  <c r="I44" i="11"/>
  <c r="I51" i="11"/>
  <c r="I47" i="11"/>
  <c r="I28" i="11"/>
  <c r="I39" i="11"/>
  <c r="I37" i="11"/>
  <c r="I49" i="11"/>
  <c r="I54" i="11"/>
  <c r="I53" i="11"/>
  <c r="I55" i="11"/>
  <c r="I42" i="11"/>
  <c r="I45" i="11"/>
  <c r="I40" i="11"/>
  <c r="I52" i="11"/>
  <c r="O78" i="11"/>
  <c r="BK40" i="56"/>
  <c r="I43" i="11"/>
  <c r="AG39" i="11"/>
  <c r="AG42" i="11"/>
  <c r="AG43" i="11"/>
  <c r="AG49" i="11"/>
  <c r="AG55" i="11"/>
  <c r="AG40" i="11"/>
  <c r="AG37" i="11"/>
  <c r="AG46" i="11"/>
  <c r="AG45" i="11"/>
  <c r="AG27" i="11"/>
  <c r="AG52" i="11"/>
  <c r="AG51" i="11"/>
  <c r="AG54" i="11"/>
  <c r="AG41" i="11"/>
  <c r="AG47" i="11"/>
  <c r="AG38" i="11"/>
  <c r="AG53" i="11"/>
  <c r="AG50" i="11"/>
  <c r="AG28" i="11"/>
  <c r="BG57" i="56"/>
  <c r="AH20" i="66" s="1"/>
  <c r="BG21" i="56"/>
  <c r="BF40" i="56"/>
  <c r="AG3" i="66" s="1"/>
  <c r="AY63" i="56"/>
  <c r="Q16" i="56"/>
  <c r="Q47" i="56" s="1"/>
  <c r="AC10" i="66" s="1"/>
  <c r="M55" i="56"/>
  <c r="M52" i="56" s="1"/>
  <c r="M21" i="56"/>
  <c r="U9" i="56"/>
  <c r="O55" i="11"/>
  <c r="O50" i="11"/>
  <c r="O43" i="11"/>
  <c r="O42" i="11"/>
  <c r="O28" i="11"/>
  <c r="O45" i="11"/>
  <c r="O51" i="11"/>
  <c r="O44" i="11"/>
  <c r="O52" i="11"/>
  <c r="BF9" i="56"/>
  <c r="I56" i="56"/>
  <c r="I52" i="56" s="1"/>
  <c r="I21" i="56"/>
  <c r="G78" i="11"/>
  <c r="BI63" i="56"/>
  <c r="AG5" i="57" s="1"/>
  <c r="V43" i="11"/>
  <c r="V55" i="11"/>
  <c r="V49" i="11"/>
  <c r="V52" i="11"/>
  <c r="V47" i="11"/>
  <c r="V51" i="11"/>
  <c r="V28" i="11"/>
  <c r="AF27" i="11"/>
  <c r="AF43" i="11"/>
  <c r="AF38" i="11"/>
  <c r="AF49" i="11"/>
  <c r="AF40" i="11"/>
  <c r="AF41" i="11"/>
  <c r="AF55" i="11"/>
  <c r="AF54" i="11"/>
  <c r="AF42" i="11"/>
  <c r="AF45" i="11"/>
  <c r="AF44" i="11"/>
  <c r="AF50" i="11"/>
  <c r="AF51" i="11"/>
  <c r="AF37" i="11"/>
  <c r="AA52" i="56"/>
  <c r="AA63" i="56"/>
  <c r="Z5" i="57" s="1"/>
  <c r="AD18" i="56"/>
  <c r="AD49" i="56" s="1"/>
  <c r="AD12" i="66" s="1"/>
  <c r="AK51" i="63"/>
  <c r="AM61" i="63"/>
  <c r="AJ61" i="63"/>
  <c r="BJ50" i="63" a="1"/>
  <c r="AB63" i="56"/>
  <c r="AA5" i="57" s="1"/>
  <c r="AN61" i="63"/>
  <c r="AC63" i="56"/>
  <c r="AB5" i="57" s="1"/>
  <c r="Z63" i="56"/>
  <c r="Y5" i="57" s="1"/>
  <c r="AK61" i="63"/>
  <c r="AB40" i="56"/>
  <c r="AX12" i="63"/>
  <c r="AS12" i="63" s="1"/>
  <c r="AS42" i="63" s="1"/>
  <c r="AX42" i="63" s="1"/>
  <c r="AA40" i="56"/>
  <c r="BG50" i="63" a="1"/>
  <c r="AM51" i="63"/>
  <c r="U63" i="56"/>
  <c r="T5" i="57" s="1"/>
  <c r="AD20" i="56"/>
  <c r="AD51" i="56" s="1"/>
  <c r="AD14" i="66" s="1"/>
  <c r="BJ46" i="63" a="1"/>
  <c r="AX18" i="63"/>
  <c r="AS18" i="63" s="1"/>
  <c r="BM50" i="63" a="1"/>
  <c r="AY11" i="63"/>
  <c r="AX20" i="63"/>
  <c r="AS20" i="63" s="1"/>
  <c r="AQ9" i="63"/>
  <c r="W21" i="56"/>
  <c r="AD28" i="56"/>
  <c r="AD59" i="56" s="1"/>
  <c r="AD22" i="66" s="1"/>
  <c r="BL50" i="63" a="1"/>
  <c r="AR39" i="63"/>
  <c r="U40" i="56"/>
  <c r="BG57" i="63" a="1"/>
  <c r="BO48" i="63"/>
  <c r="AP61" i="63"/>
  <c r="AD12" i="56"/>
  <c r="AD43" i="56" s="1"/>
  <c r="AD6" i="66" s="1"/>
  <c r="BG46" i="63" a="1"/>
  <c r="AQ46" i="63"/>
  <c r="BM46" i="63" s="1" a="1"/>
  <c r="AO61" i="63"/>
  <c r="BK50" i="63" a="1"/>
  <c r="AX22" i="63"/>
  <c r="AS22" i="63" s="1"/>
  <c r="BI50" i="63" a="1"/>
  <c r="AR61" i="63"/>
  <c r="AP39" i="63"/>
  <c r="R21" i="56"/>
  <c r="AG61" i="63"/>
  <c r="BO50" i="63"/>
  <c r="AY50" i="63" s="1"/>
  <c r="BH50" i="63" a="1"/>
  <c r="AD16" i="56"/>
  <c r="AD47" i="56" s="1"/>
  <c r="AD10" i="66" s="1"/>
  <c r="AD27" i="56"/>
  <c r="AD58" i="56" s="1"/>
  <c r="AD21" i="66" s="1"/>
  <c r="R52" i="56"/>
  <c r="AL21" i="63"/>
  <c r="AX13" i="63"/>
  <c r="AS13" i="63" s="1"/>
  <c r="BI46" i="63" a="1"/>
  <c r="Y21" i="56"/>
  <c r="AY22" i="63"/>
  <c r="AX16" i="63"/>
  <c r="AS16" i="63" s="1"/>
  <c r="BL46" i="63" a="1"/>
  <c r="BK46" i="63" a="1"/>
  <c r="AI41" i="11"/>
  <c r="AN49" i="63"/>
  <c r="AN9" i="63"/>
  <c r="AI46" i="11"/>
  <c r="AH9" i="63"/>
  <c r="E63" i="56"/>
  <c r="BH46" i="63" a="1"/>
  <c r="AI44" i="11"/>
  <c r="AI52" i="11"/>
  <c r="AI37" i="11"/>
  <c r="AL51" i="63"/>
  <c r="E9" i="56"/>
  <c r="AI39" i="11"/>
  <c r="AI27" i="11"/>
  <c r="AA9" i="56"/>
  <c r="AI40" i="11"/>
  <c r="I78" i="11"/>
  <c r="AI42" i="11"/>
  <c r="AI45" i="11"/>
  <c r="AI54" i="11"/>
  <c r="Y50" i="56"/>
  <c r="AD19" i="56"/>
  <c r="AD50" i="56" s="1"/>
  <c r="AD13" i="66" s="1"/>
  <c r="U40" i="11"/>
  <c r="AM42" i="63"/>
  <c r="BL42" i="63" s="1" a="1"/>
  <c r="AM9" i="63"/>
  <c r="AA47" i="11"/>
  <c r="AA27" i="11"/>
  <c r="AA44" i="11"/>
  <c r="AA40" i="11"/>
  <c r="AA43" i="11"/>
  <c r="AA42" i="11"/>
  <c r="AA41" i="11"/>
  <c r="AA38" i="11"/>
  <c r="AA49" i="11"/>
  <c r="AA46" i="11"/>
  <c r="AA28" i="11"/>
  <c r="AA53" i="11"/>
  <c r="AA54" i="11"/>
  <c r="AA52" i="11"/>
  <c r="AA55" i="11"/>
  <c r="AA51" i="11"/>
  <c r="AA37" i="11"/>
  <c r="AA50" i="11"/>
  <c r="AA45" i="11"/>
  <c r="AA39" i="11"/>
  <c r="AN58" i="63"/>
  <c r="AN51" i="63" s="1"/>
  <c r="AN21" i="63"/>
  <c r="U38" i="11"/>
  <c r="AI55" i="11"/>
  <c r="AX11" i="63"/>
  <c r="AS11" i="63" s="1"/>
  <c r="AC42" i="56"/>
  <c r="AC40" i="56" s="1"/>
  <c r="AD11" i="56"/>
  <c r="AD42" i="56" s="1"/>
  <c r="AD5" i="66" s="1"/>
  <c r="U54" i="11"/>
  <c r="F78" i="11"/>
  <c r="U50" i="11"/>
  <c r="M78" i="11"/>
  <c r="BO41" i="63"/>
  <c r="AI50" i="11"/>
  <c r="U42" i="11"/>
  <c r="U43" i="11"/>
  <c r="AX19" i="63"/>
  <c r="AS19" i="63" s="1"/>
  <c r="AI51" i="11"/>
  <c r="AK21" i="63"/>
  <c r="BF63" i="56"/>
  <c r="AD5" i="57" s="1"/>
  <c r="U37" i="11"/>
  <c r="AI38" i="11"/>
  <c r="Q28" i="56"/>
  <c r="Q59" i="56" s="1"/>
  <c r="AC22" i="66" s="1"/>
  <c r="AI43" i="11"/>
  <c r="U51" i="11"/>
  <c r="AI49" i="11"/>
  <c r="AI28" i="11"/>
  <c r="AI53" i="11"/>
  <c r="AZ43" i="56"/>
  <c r="AZ9" i="56"/>
  <c r="J45" i="56"/>
  <c r="M45" i="11"/>
  <c r="M50" i="11"/>
  <c r="M54" i="11"/>
  <c r="M53" i="11"/>
  <c r="M49" i="11"/>
  <c r="M47" i="11"/>
  <c r="M39" i="11"/>
  <c r="M55" i="11"/>
  <c r="M44" i="11"/>
  <c r="M40" i="11"/>
  <c r="M38" i="11"/>
  <c r="M52" i="11"/>
  <c r="M46" i="11"/>
  <c r="M43" i="11"/>
  <c r="M51" i="11"/>
  <c r="M42" i="11"/>
  <c r="M27" i="11"/>
  <c r="M37" i="11"/>
  <c r="M28" i="11"/>
  <c r="N39" i="11"/>
  <c r="N55" i="11"/>
  <c r="N37" i="11"/>
  <c r="N47" i="11"/>
  <c r="N41" i="11"/>
  <c r="N45" i="11"/>
  <c r="N40" i="11"/>
  <c r="N43" i="11"/>
  <c r="N27" i="11"/>
  <c r="N51" i="11"/>
  <c r="N46" i="11"/>
  <c r="N54" i="11"/>
  <c r="N44" i="11"/>
  <c r="N50" i="11"/>
  <c r="N52" i="11"/>
  <c r="N53" i="11"/>
  <c r="N38" i="11"/>
  <c r="N28" i="11"/>
  <c r="AH40" i="63"/>
  <c r="BL40" i="63" s="1" a="1"/>
  <c r="AS30" i="63"/>
  <c r="M45" i="56"/>
  <c r="M40" i="56" s="1"/>
  <c r="M9" i="56"/>
  <c r="G49" i="56"/>
  <c r="Q18" i="56"/>
  <c r="Q49" i="56" s="1"/>
  <c r="AC12" i="66" s="1"/>
  <c r="U44" i="11"/>
  <c r="N42" i="11"/>
  <c r="BQ43" i="56"/>
  <c r="BQ9" i="56"/>
  <c r="W46" i="56"/>
  <c r="W9" i="56"/>
  <c r="M41" i="11"/>
  <c r="N46" i="56"/>
  <c r="Q15" i="56"/>
  <c r="Q46" i="56" s="1"/>
  <c r="AC9" i="66" s="1"/>
  <c r="N9" i="56"/>
  <c r="T48" i="56"/>
  <c r="T63" i="56" s="1"/>
  <c r="S5" i="57" s="1"/>
  <c r="AD17" i="56"/>
  <c r="AD48" i="56" s="1"/>
  <c r="AD11" i="66" s="1"/>
  <c r="V21" i="56"/>
  <c r="AH53" i="63"/>
  <c r="AX23" i="63"/>
  <c r="AS23" i="63" s="1"/>
  <c r="BP43" i="56"/>
  <c r="BS12" i="56"/>
  <c r="BP9" i="56"/>
  <c r="S46" i="56"/>
  <c r="AD15" i="56"/>
  <c r="AD46" i="56" s="1"/>
  <c r="AD9" i="66" s="1"/>
  <c r="AI47" i="63"/>
  <c r="AI9" i="63"/>
  <c r="W56" i="56"/>
  <c r="AD25" i="56"/>
  <c r="AD56" i="56" s="1"/>
  <c r="AD19" i="66" s="1"/>
  <c r="E28" i="11"/>
  <c r="E37" i="11"/>
  <c r="E46" i="11"/>
  <c r="E45" i="11"/>
  <c r="E50" i="11"/>
  <c r="E39" i="11"/>
  <c r="E42" i="11"/>
  <c r="E52" i="11"/>
  <c r="E54" i="11"/>
  <c r="E41" i="11"/>
  <c r="E47" i="11"/>
  <c r="E44" i="11"/>
  <c r="E43" i="11"/>
  <c r="E55" i="11"/>
  <c r="E27" i="11"/>
  <c r="E40" i="11"/>
  <c r="E38" i="11"/>
  <c r="E49" i="11"/>
  <c r="E53" i="11"/>
  <c r="E51" i="11"/>
  <c r="U53" i="11"/>
  <c r="BJ52" i="56"/>
  <c r="AK15" i="66" s="1"/>
  <c r="AX42" i="56"/>
  <c r="L52" i="56"/>
  <c r="BO46" i="56"/>
  <c r="BO9" i="56"/>
  <c r="AJ46" i="11"/>
  <c r="AJ28" i="11"/>
  <c r="AJ38" i="11"/>
  <c r="AJ51" i="11"/>
  <c r="AJ40" i="11"/>
  <c r="AJ55" i="11"/>
  <c r="AJ45" i="11"/>
  <c r="AJ41" i="11"/>
  <c r="AJ37" i="11"/>
  <c r="AJ42" i="11"/>
  <c r="AJ39" i="11"/>
  <c r="AJ52" i="11"/>
  <c r="AJ44" i="11"/>
  <c r="AJ43" i="11"/>
  <c r="AJ27" i="11"/>
  <c r="AJ50" i="11"/>
  <c r="AJ47" i="11"/>
  <c r="AJ49" i="11"/>
  <c r="AJ53" i="11"/>
  <c r="AI58" i="63"/>
  <c r="AX28" i="63"/>
  <c r="AS28" i="63" s="1"/>
  <c r="U55" i="11"/>
  <c r="AL9" i="63"/>
  <c r="U49" i="11"/>
  <c r="AH54" i="63"/>
  <c r="AX24" i="63"/>
  <c r="AS24" i="63" s="1"/>
  <c r="K78" i="11"/>
  <c r="V63" i="56"/>
  <c r="U5" i="57" s="1"/>
  <c r="V40" i="56"/>
  <c r="U47" i="11"/>
  <c r="BK63" i="56"/>
  <c r="U45" i="11"/>
  <c r="R41" i="56"/>
  <c r="AD10" i="56"/>
  <c r="AD41" i="56" s="1"/>
  <c r="AD4" i="66" s="1"/>
  <c r="AD62" i="56"/>
  <c r="AD25" i="66" s="1"/>
  <c r="AB49" i="11"/>
  <c r="AB27" i="11"/>
  <c r="AB40" i="11"/>
  <c r="AB37" i="11"/>
  <c r="AB39" i="11"/>
  <c r="AB51" i="11"/>
  <c r="AB28" i="11"/>
  <c r="AB42" i="11"/>
  <c r="AB54" i="11"/>
  <c r="AB47" i="11"/>
  <c r="AB52" i="11"/>
  <c r="AB44" i="11"/>
  <c r="AB43" i="11"/>
  <c r="AB38" i="11"/>
  <c r="AB45" i="11"/>
  <c r="AB46" i="11"/>
  <c r="AB53" i="11"/>
  <c r="AB50" i="11"/>
  <c r="AB41" i="11"/>
  <c r="AB55" i="11"/>
  <c r="S41" i="56"/>
  <c r="S9" i="56"/>
  <c r="T9" i="56"/>
  <c r="U46" i="11"/>
  <c r="BA43" i="56"/>
  <c r="W43" i="11"/>
  <c r="W49" i="11"/>
  <c r="W39" i="11"/>
  <c r="W38" i="11"/>
  <c r="W44" i="11"/>
  <c r="W40" i="11"/>
  <c r="W52" i="11"/>
  <c r="W37" i="11"/>
  <c r="W45" i="11"/>
  <c r="W27" i="11"/>
  <c r="W42" i="11"/>
  <c r="W51" i="11"/>
  <c r="W46" i="11"/>
  <c r="W28" i="11"/>
  <c r="W54" i="11"/>
  <c r="W41" i="11"/>
  <c r="W47" i="11"/>
  <c r="W53" i="11"/>
  <c r="W50" i="11"/>
  <c r="W55" i="11"/>
  <c r="BM41" i="56"/>
  <c r="BM9" i="56"/>
  <c r="L40" i="56"/>
  <c r="BL41" i="56"/>
  <c r="BL9" i="56"/>
  <c r="BR62" i="56"/>
  <c r="AL25" i="66" s="1"/>
  <c r="U52" i="11"/>
  <c r="U28" i="11"/>
  <c r="AK27" i="11"/>
  <c r="AK53" i="11"/>
  <c r="AK55" i="11"/>
  <c r="AK38" i="11"/>
  <c r="AK42" i="11"/>
  <c r="AK28" i="11"/>
  <c r="AK52" i="11"/>
  <c r="AK44" i="11"/>
  <c r="AK37" i="11"/>
  <c r="AK45" i="11"/>
  <c r="AK43" i="11"/>
  <c r="AK41" i="11"/>
  <c r="AK39" i="11"/>
  <c r="AK46" i="11"/>
  <c r="AK54" i="11"/>
  <c r="AK49" i="11"/>
  <c r="AK40" i="11"/>
  <c r="AK50" i="11"/>
  <c r="AK51" i="11"/>
  <c r="AH45" i="63"/>
  <c r="AX15" i="63"/>
  <c r="AS15" i="63" s="1"/>
  <c r="F41" i="56"/>
  <c r="F63" i="56" s="1"/>
  <c r="N51" i="56"/>
  <c r="Q20" i="56"/>
  <c r="Q51" i="56" s="1"/>
  <c r="AC14" i="66" s="1"/>
  <c r="V52" i="56"/>
  <c r="N49" i="11"/>
  <c r="L54" i="11"/>
  <c r="L40" i="11"/>
  <c r="L41" i="11"/>
  <c r="L38" i="11"/>
  <c r="L51" i="11"/>
  <c r="L52" i="11"/>
  <c r="L39" i="11"/>
  <c r="L53" i="11"/>
  <c r="L44" i="11"/>
  <c r="L27" i="11"/>
  <c r="L46" i="11"/>
  <c r="L49" i="11"/>
  <c r="L43" i="11"/>
  <c r="L42" i="11"/>
  <c r="L50" i="11"/>
  <c r="L28" i="11"/>
  <c r="L37" i="11"/>
  <c r="L55" i="11"/>
  <c r="L47" i="11"/>
  <c r="L9" i="56"/>
  <c r="V9" i="56"/>
  <c r="U41" i="11"/>
  <c r="AK9" i="63"/>
  <c r="I45" i="56"/>
  <c r="AX10" i="63"/>
  <c r="AS10" i="63" s="1"/>
  <c r="AR53" i="63"/>
  <c r="AY23" i="63"/>
  <c r="AR21" i="63"/>
  <c r="BG42" i="63" a="1"/>
  <c r="BH42" i="63" a="1"/>
  <c r="AX17" i="63"/>
  <c r="AS17" i="63" s="1"/>
  <c r="AC54" i="56"/>
  <c r="AC52" i="56" s="1"/>
  <c r="AD23" i="56"/>
  <c r="AD54" i="56" s="1"/>
  <c r="AD17" i="66" s="1"/>
  <c r="BJ21" i="56"/>
  <c r="N53" i="56"/>
  <c r="N52" i="56" s="1"/>
  <c r="Q23" i="56"/>
  <c r="Q54" i="56" s="1"/>
  <c r="AC17" i="66" s="1"/>
  <c r="F54" i="56"/>
  <c r="F52" i="56" s="1"/>
  <c r="AL39" i="63"/>
  <c r="AL61" i="63"/>
  <c r="AK39" i="63"/>
  <c r="H42" i="56"/>
  <c r="H9" i="56"/>
  <c r="Q11" i="56"/>
  <c r="K44" i="56"/>
  <c r="K40" i="56" s="1"/>
  <c r="Q13" i="56"/>
  <c r="Q44" i="56" s="1"/>
  <c r="AC7" i="66" s="1"/>
  <c r="Z40" i="56"/>
  <c r="G48" i="56"/>
  <c r="G9" i="56"/>
  <c r="Q17" i="56"/>
  <c r="Q48" i="56" s="1"/>
  <c r="AC11" i="66" s="1"/>
  <c r="Z9" i="56"/>
  <c r="H52" i="56"/>
  <c r="BJ52" i="63" a="1"/>
  <c r="BH52" i="63" a="1"/>
  <c r="BI52" i="63" a="1"/>
  <c r="BG52" i="63" a="1"/>
  <c r="S53" i="56"/>
  <c r="S21" i="56"/>
  <c r="S1" i="56"/>
  <c r="AD22" i="56"/>
  <c r="K9" i="56"/>
  <c r="R44" i="56"/>
  <c r="U57" i="56"/>
  <c r="AD26" i="56"/>
  <c r="AD57" i="56" s="1"/>
  <c r="AD20" i="66" s="1"/>
  <c r="U21" i="56"/>
  <c r="AS40" i="56"/>
  <c r="AS63" i="56"/>
  <c r="J58" i="56"/>
  <c r="Q27" i="56"/>
  <c r="Q58" i="56" s="1"/>
  <c r="AC21" i="66" s="1"/>
  <c r="J21" i="56"/>
  <c r="BO57" i="63"/>
  <c r="AY57" i="63" s="1"/>
  <c r="BH57" i="63" a="1"/>
  <c r="BM57" i="63" a="1"/>
  <c r="BL57" i="63" a="1"/>
  <c r="BK57" i="63" a="1"/>
  <c r="BJ57" i="63" a="1"/>
  <c r="BI57" i="63" a="1"/>
  <c r="AO44" i="63"/>
  <c r="AO9" i="63"/>
  <c r="I9" i="56"/>
  <c r="I42" i="56"/>
  <c r="AJ56" i="63"/>
  <c r="AJ21" i="63"/>
  <c r="H46" i="11"/>
  <c r="H43" i="11"/>
  <c r="H52" i="11"/>
  <c r="H45" i="11"/>
  <c r="H42" i="11"/>
  <c r="H40" i="11"/>
  <c r="H44" i="11"/>
  <c r="H50" i="11"/>
  <c r="H41" i="11"/>
  <c r="H54" i="11"/>
  <c r="H47" i="11"/>
  <c r="H49" i="11"/>
  <c r="H51" i="11"/>
  <c r="H38" i="11"/>
  <c r="H28" i="11"/>
  <c r="H55" i="11"/>
  <c r="H53" i="11"/>
  <c r="H37" i="11"/>
  <c r="H39" i="11"/>
  <c r="H27" i="11"/>
  <c r="AJ39" i="63"/>
  <c r="BG43" i="63" a="1"/>
  <c r="BL43" i="63" a="1"/>
  <c r="BH43" i="63" a="1"/>
  <c r="BJ43" i="63" a="1"/>
  <c r="BK43" i="63" a="1"/>
  <c r="BO43" i="63"/>
  <c r="AY43" i="63" s="1"/>
  <c r="BM43" i="63" a="1"/>
  <c r="BI43" i="63" a="1"/>
  <c r="BI93" i="13" l="1"/>
  <c r="BI100" i="13"/>
  <c r="BI97" i="13"/>
  <c r="BI101" i="13"/>
  <c r="BI91" i="13"/>
  <c r="BI99" i="13"/>
  <c r="BI72" i="13"/>
  <c r="BI94" i="13"/>
  <c r="BI95" i="13"/>
  <c r="BI104" i="13"/>
  <c r="BI109" i="13"/>
  <c r="BI79" i="13"/>
  <c r="BI92" i="13"/>
  <c r="BI89" i="13"/>
  <c r="BI80" i="13"/>
  <c r="BI84" i="13"/>
  <c r="BI83" i="13"/>
  <c r="BI85" i="13"/>
  <c r="BI81" i="13"/>
  <c r="BI76" i="13"/>
  <c r="BI71" i="13"/>
  <c r="BI65" i="13"/>
  <c r="BI110" i="13" s="1"/>
  <c r="BI74" i="13"/>
  <c r="BI88" i="13"/>
  <c r="BI75" i="13"/>
  <c r="BI67" i="13"/>
  <c r="BI86" i="13"/>
  <c r="BI78" i="13"/>
  <c r="BI73" i="13"/>
  <c r="BI68" i="13"/>
  <c r="AV63" i="56"/>
  <c r="G21" i="56"/>
  <c r="Q22" i="56"/>
  <c r="Q53" i="56" s="1"/>
  <c r="AC16" i="66" s="1"/>
  <c r="AW59" i="56"/>
  <c r="AW54" i="56"/>
  <c r="AW50" i="56"/>
  <c r="AW47" i="56"/>
  <c r="AW44" i="56"/>
  <c r="AW48" i="56"/>
  <c r="AW55" i="56"/>
  <c r="AW46" i="56"/>
  <c r="AW57" i="56"/>
  <c r="AW51" i="56"/>
  <c r="AW53" i="56"/>
  <c r="AW49" i="56"/>
  <c r="AT29" i="56"/>
  <c r="G43" i="11"/>
  <c r="G40" i="11"/>
  <c r="G47" i="11"/>
  <c r="G53" i="11"/>
  <c r="G46" i="11"/>
  <c r="G28" i="11"/>
  <c r="G52" i="11"/>
  <c r="G38" i="11"/>
  <c r="G45" i="11"/>
  <c r="G37" i="11"/>
  <c r="G54" i="11"/>
  <c r="G27" i="11"/>
  <c r="G55" i="11"/>
  <c r="G39" i="11"/>
  <c r="G51" i="11"/>
  <c r="G41" i="11"/>
  <c r="G50" i="11"/>
  <c r="G49" i="11"/>
  <c r="G42" i="11"/>
  <c r="G44" i="11"/>
  <c r="AX45" i="56"/>
  <c r="AX9" i="56"/>
  <c r="BV41" i="56" a="1"/>
  <c r="AH4" i="66"/>
  <c r="BH52" i="56"/>
  <c r="AI15" i="66" s="1"/>
  <c r="AV40" i="56"/>
  <c r="BB63" i="56"/>
  <c r="AZ52" i="56"/>
  <c r="BC63" i="56"/>
  <c r="AV52" i="56"/>
  <c r="BK27" i="11"/>
  <c r="AX52" i="56"/>
  <c r="BC27" i="56"/>
  <c r="BC58" i="56" s="1"/>
  <c r="AW14" i="56"/>
  <c r="BA14" i="56"/>
  <c r="BA45" i="56" s="1"/>
  <c r="BB27" i="56"/>
  <c r="BB58" i="56" s="1"/>
  <c r="AW27" i="56"/>
  <c r="BA27" i="56"/>
  <c r="BA58" i="56" s="1"/>
  <c r="BA63" i="56"/>
  <c r="BX106" i="13"/>
  <c r="BX102" i="13"/>
  <c r="BX98" i="13"/>
  <c r="BX94" i="13"/>
  <c r="BX90" i="13"/>
  <c r="BX86" i="13"/>
  <c r="BX81" i="13"/>
  <c r="BX73" i="13"/>
  <c r="BX65" i="13"/>
  <c r="BX88" i="13"/>
  <c r="BX79" i="13"/>
  <c r="BX71" i="13"/>
  <c r="BX108" i="13"/>
  <c r="BX96" i="13"/>
  <c r="BX104" i="13"/>
  <c r="BX92" i="13"/>
  <c r="BX84" i="13"/>
  <c r="BX67" i="13"/>
  <c r="BX107" i="13"/>
  <c r="BX103" i="13"/>
  <c r="BX99" i="13"/>
  <c r="BX95" i="13"/>
  <c r="BX91" i="13"/>
  <c r="BX87" i="13"/>
  <c r="BX83" i="13"/>
  <c r="BX78" i="13"/>
  <c r="BX74" i="13"/>
  <c r="BX100" i="13"/>
  <c r="BX75" i="13"/>
  <c r="BX76" i="13"/>
  <c r="BX80" i="13"/>
  <c r="BX68" i="13"/>
  <c r="BX97" i="13"/>
  <c r="BX64" i="13"/>
  <c r="BX72" i="13"/>
  <c r="BX109" i="13"/>
  <c r="BX101" i="13"/>
  <c r="BX89" i="13"/>
  <c r="BX105" i="13"/>
  <c r="BX93" i="13"/>
  <c r="BX85" i="13"/>
  <c r="AU18" i="56"/>
  <c r="BT14" i="11"/>
  <c r="AW25" i="56"/>
  <c r="BB53" i="56"/>
  <c r="AY21" i="56"/>
  <c r="BC11" i="56"/>
  <c r="BC25" i="56"/>
  <c r="BC56" i="56" s="1"/>
  <c r="BN25" i="11"/>
  <c r="AU22" i="56"/>
  <c r="BT18" i="11"/>
  <c r="BN110" i="13"/>
  <c r="AU19" i="56"/>
  <c r="BT15" i="11"/>
  <c r="BT22" i="11"/>
  <c r="AU26" i="56"/>
  <c r="BB11" i="56"/>
  <c r="BA25" i="56"/>
  <c r="BA56" i="56" s="1"/>
  <c r="BD11" i="56"/>
  <c r="AU15" i="56"/>
  <c r="BT11" i="11"/>
  <c r="BD25" i="56"/>
  <c r="BA11" i="56"/>
  <c r="BU110" i="13"/>
  <c r="BT110" i="13"/>
  <c r="AU28" i="56"/>
  <c r="BT24" i="11"/>
  <c r="BC14" i="56"/>
  <c r="BC45" i="56" s="1"/>
  <c r="AX21" i="56"/>
  <c r="AU23" i="56"/>
  <c r="BT19" i="11"/>
  <c r="AY52" i="56"/>
  <c r="AY40" i="56"/>
  <c r="AU11" i="56"/>
  <c r="BT7" i="11"/>
  <c r="BA53" i="56"/>
  <c r="BD14" i="56"/>
  <c r="BD45" i="56" s="1"/>
  <c r="BW110" i="13"/>
  <c r="AU20" i="56"/>
  <c r="BT16" i="11"/>
  <c r="AU24" i="56"/>
  <c r="BT20" i="11"/>
  <c r="AU13" i="56"/>
  <c r="BT9" i="11"/>
  <c r="AU16" i="56"/>
  <c r="BT12" i="11"/>
  <c r="AZ21" i="56"/>
  <c r="AZ29" i="56" s="1"/>
  <c r="AY9" i="56"/>
  <c r="AW11" i="56"/>
  <c r="BB14" i="56"/>
  <c r="BB45" i="56" s="1"/>
  <c r="BD27" i="56"/>
  <c r="BD58" i="56" s="1"/>
  <c r="AU17" i="56"/>
  <c r="BT13" i="11"/>
  <c r="AV9" i="56"/>
  <c r="BP110" i="13"/>
  <c r="BB25" i="56"/>
  <c r="BB56" i="56" s="1"/>
  <c r="BV110" i="13"/>
  <c r="BM25" i="11"/>
  <c r="BO25" i="11"/>
  <c r="AV21" i="56"/>
  <c r="AT40" i="56"/>
  <c r="AT60" i="56" s="1"/>
  <c r="AT71" i="56" s="1"/>
  <c r="R110" i="13"/>
  <c r="AG110" i="13"/>
  <c r="AT63" i="56"/>
  <c r="BG40" i="56"/>
  <c r="AH3" i="66" s="1"/>
  <c r="BT43" i="56"/>
  <c r="AF6" i="66"/>
  <c r="BT62" i="56"/>
  <c r="AF25" i="66"/>
  <c r="AF4" i="66"/>
  <c r="AE25" i="66"/>
  <c r="AR62" i="56"/>
  <c r="BG63" i="56"/>
  <c r="AE5" i="57" s="1"/>
  <c r="X55" i="11"/>
  <c r="BI29" i="56"/>
  <c r="AH29" i="56"/>
  <c r="AH30" i="56" s="1"/>
  <c r="BS62" i="56"/>
  <c r="BJ40" i="56"/>
  <c r="AE29" i="56"/>
  <c r="BI52" i="56"/>
  <c r="AJ15" i="66" s="1"/>
  <c r="AX26" i="63"/>
  <c r="AS26" i="63" s="1"/>
  <c r="AS56" i="63" s="1"/>
  <c r="R40" i="11"/>
  <c r="BG52" i="56"/>
  <c r="AH15" i="66" s="1"/>
  <c r="Q10" i="56"/>
  <c r="Q41" i="56" s="1"/>
  <c r="BF52" i="56"/>
  <c r="Q62" i="56"/>
  <c r="AC25" i="66" s="1"/>
  <c r="BG29" i="56"/>
  <c r="BQ40" i="56"/>
  <c r="P44" i="11"/>
  <c r="P52" i="11"/>
  <c r="J43" i="11"/>
  <c r="J39" i="11"/>
  <c r="BF29" i="56"/>
  <c r="J52" i="11"/>
  <c r="Q14" i="56"/>
  <c r="Q45" i="56" s="1"/>
  <c r="AC8" i="66" s="1"/>
  <c r="P38" i="11"/>
  <c r="P53" i="11"/>
  <c r="P27" i="11"/>
  <c r="AG21" i="56"/>
  <c r="BQ52" i="56"/>
  <c r="AR25" i="11"/>
  <c r="BF54" i="11"/>
  <c r="BF28" i="11"/>
  <c r="P43" i="11"/>
  <c r="P49" i="11"/>
  <c r="R9" i="56"/>
  <c r="R29" i="56" s="1"/>
  <c r="J44" i="11"/>
  <c r="J55" i="11"/>
  <c r="P39" i="11"/>
  <c r="Y49" i="11"/>
  <c r="AD14" i="56"/>
  <c r="AD45" i="56" s="1"/>
  <c r="AD8" i="66" s="1"/>
  <c r="P54" i="11"/>
  <c r="Y46" i="11"/>
  <c r="R39" i="11"/>
  <c r="AP29" i="56"/>
  <c r="P50" i="11"/>
  <c r="R45" i="11"/>
  <c r="P42" i="11"/>
  <c r="P45" i="11"/>
  <c r="S50" i="11"/>
  <c r="P28" i="11"/>
  <c r="S40" i="11"/>
  <c r="R37" i="11"/>
  <c r="AR14" i="56"/>
  <c r="AR9" i="56" s="1"/>
  <c r="Y45" i="11"/>
  <c r="P47" i="11"/>
  <c r="S55" i="11"/>
  <c r="R41" i="11"/>
  <c r="P51" i="11"/>
  <c r="P55" i="11"/>
  <c r="BM56" i="63" a="1"/>
  <c r="P37" i="11"/>
  <c r="S53" i="11"/>
  <c r="AG21" i="63"/>
  <c r="AL29" i="56"/>
  <c r="S52" i="11"/>
  <c r="P9" i="56"/>
  <c r="P29" i="56" s="1"/>
  <c r="P41" i="11"/>
  <c r="P46" i="11"/>
  <c r="AK29" i="56"/>
  <c r="AK60" i="56"/>
  <c r="BJ63" i="56"/>
  <c r="AH5" i="57" s="1"/>
  <c r="Y44" i="11"/>
  <c r="AG9" i="63"/>
  <c r="J51" i="11"/>
  <c r="X51" i="11"/>
  <c r="J9" i="56"/>
  <c r="J29" i="56" s="1"/>
  <c r="J50" i="11"/>
  <c r="Y38" i="11"/>
  <c r="AJ52" i="56"/>
  <c r="AI52" i="56"/>
  <c r="AF40" i="56"/>
  <c r="AF63" i="56"/>
  <c r="BK29" i="56"/>
  <c r="BK30" i="56" s="1"/>
  <c r="Y39" i="11"/>
  <c r="AH63" i="56"/>
  <c r="AH40" i="56"/>
  <c r="J47" i="11"/>
  <c r="Y50" i="11"/>
  <c r="Y28" i="11"/>
  <c r="J27" i="11"/>
  <c r="J37" i="11"/>
  <c r="Y37" i="11"/>
  <c r="J40" i="56"/>
  <c r="J42" i="11"/>
  <c r="Y41" i="11"/>
  <c r="BH9" i="56"/>
  <c r="AN60" i="56"/>
  <c r="AG9" i="56"/>
  <c r="AI29" i="56"/>
  <c r="AN30" i="56"/>
  <c r="AJ29" i="56"/>
  <c r="J54" i="11"/>
  <c r="J40" i="11"/>
  <c r="Y55" i="11"/>
  <c r="Y43" i="11"/>
  <c r="BH21" i="56"/>
  <c r="BH45" i="56"/>
  <c r="AI8" i="66" s="1"/>
  <c r="AF52" i="56"/>
  <c r="AG40" i="56"/>
  <c r="AG63" i="56"/>
  <c r="AL40" i="56"/>
  <c r="AL60" i="56" s="1"/>
  <c r="AL72" i="56" s="1"/>
  <c r="AI63" i="56"/>
  <c r="AI40" i="56"/>
  <c r="AE52" i="56"/>
  <c r="J49" i="11"/>
  <c r="AG52" i="56"/>
  <c r="AO63" i="56"/>
  <c r="AO40" i="56"/>
  <c r="J45" i="11"/>
  <c r="J53" i="11"/>
  <c r="Y51" i="11"/>
  <c r="J41" i="11"/>
  <c r="Y54" i="11"/>
  <c r="AH52" i="56"/>
  <c r="AP40" i="56"/>
  <c r="AP60" i="56" s="1"/>
  <c r="AP71" i="56" s="1"/>
  <c r="J46" i="11"/>
  <c r="AR26" i="56"/>
  <c r="AR21" i="56" s="1"/>
  <c r="AF29" i="56"/>
  <c r="AM60" i="56"/>
  <c r="AO29" i="56"/>
  <c r="AJ63" i="56"/>
  <c r="AJ40" i="56"/>
  <c r="J38" i="11"/>
  <c r="Y52" i="11"/>
  <c r="BJ29" i="56"/>
  <c r="Y27" i="11"/>
  <c r="AO52" i="56"/>
  <c r="AE63" i="56"/>
  <c r="AE40" i="56"/>
  <c r="BH44" i="63" a="1"/>
  <c r="BI44" i="63" a="1"/>
  <c r="BJ44" i="63" a="1"/>
  <c r="BG44" i="63" a="1"/>
  <c r="BO44" i="63"/>
  <c r="AY44" i="63" s="1"/>
  <c r="Y53" i="11"/>
  <c r="X44" i="11"/>
  <c r="X52" i="11"/>
  <c r="BQ29" i="56"/>
  <c r="Y42" i="11"/>
  <c r="Y47" i="11"/>
  <c r="S39" i="11"/>
  <c r="S49" i="11"/>
  <c r="X39" i="11"/>
  <c r="X54" i="11"/>
  <c r="S41" i="11"/>
  <c r="AX14" i="63"/>
  <c r="AS14" i="63" s="1"/>
  <c r="AS9" i="63" s="1"/>
  <c r="X27" i="11"/>
  <c r="S44" i="11"/>
  <c r="S43" i="11"/>
  <c r="S51" i="11"/>
  <c r="X42" i="11"/>
  <c r="X40" i="11"/>
  <c r="S27" i="11"/>
  <c r="S54" i="11"/>
  <c r="X28" i="11"/>
  <c r="X47" i="11"/>
  <c r="X53" i="11"/>
  <c r="X46" i="11"/>
  <c r="X50" i="11"/>
  <c r="R46" i="11"/>
  <c r="R47" i="11"/>
  <c r="R51" i="11"/>
  <c r="R42" i="11"/>
  <c r="R27" i="11"/>
  <c r="R52" i="11"/>
  <c r="R49" i="11"/>
  <c r="R28" i="11"/>
  <c r="R43" i="11"/>
  <c r="R54" i="11"/>
  <c r="R50" i="11"/>
  <c r="R55" i="11"/>
  <c r="R44" i="11"/>
  <c r="R38" i="11"/>
  <c r="X41" i="11"/>
  <c r="X63" i="56"/>
  <c r="W5" i="57" s="1"/>
  <c r="BP29" i="56"/>
  <c r="BP30" i="56" s="1"/>
  <c r="BO29" i="56"/>
  <c r="S45" i="11"/>
  <c r="X9" i="56"/>
  <c r="X29" i="56" s="1"/>
  <c r="X30" i="56" s="1"/>
  <c r="S38" i="11"/>
  <c r="S47" i="11"/>
  <c r="X37" i="11"/>
  <c r="AF100" i="13"/>
  <c r="AF66" i="13"/>
  <c r="AF88" i="13"/>
  <c r="AF72" i="13"/>
  <c r="Y9" i="56"/>
  <c r="Y29" i="56" s="1"/>
  <c r="AF77" i="13"/>
  <c r="AH21" i="63"/>
  <c r="AH29" i="63" s="1"/>
  <c r="AH32" i="63" s="1"/>
  <c r="AF83" i="13"/>
  <c r="AF105" i="13"/>
  <c r="AF81" i="13"/>
  <c r="AE25" i="11"/>
  <c r="AE27" i="11" s="1"/>
  <c r="AF92" i="13"/>
  <c r="AF65" i="13"/>
  <c r="X45" i="11"/>
  <c r="AD13" i="56"/>
  <c r="AD44" i="56" s="1"/>
  <c r="T49" i="11"/>
  <c r="X43" i="11"/>
  <c r="T55" i="11"/>
  <c r="X49" i="11"/>
  <c r="S46" i="11"/>
  <c r="S42" i="11"/>
  <c r="BM55" i="63" a="1"/>
  <c r="AF110" i="13"/>
  <c r="AF95" i="13"/>
  <c r="AF86" i="13"/>
  <c r="S37" i="11"/>
  <c r="AH42" i="11"/>
  <c r="BN29" i="56"/>
  <c r="BN63" i="56"/>
  <c r="AL5" i="57" s="1"/>
  <c r="BN52" i="56"/>
  <c r="BU43" i="56" a="1"/>
  <c r="BV43" i="56" s="1" a="1"/>
  <c r="BN40" i="56"/>
  <c r="AA29" i="56"/>
  <c r="F40" i="11"/>
  <c r="AP29" i="63"/>
  <c r="AP31" i="63" s="1"/>
  <c r="F53" i="11"/>
  <c r="F38" i="11"/>
  <c r="F55" i="11"/>
  <c r="AQ61" i="63"/>
  <c r="AH51" i="11"/>
  <c r="AH45" i="11"/>
  <c r="AH41" i="11"/>
  <c r="AH46" i="11"/>
  <c r="AH53" i="11"/>
  <c r="AH43" i="11"/>
  <c r="AH44" i="11"/>
  <c r="AH38" i="11"/>
  <c r="AH37" i="11"/>
  <c r="AH52" i="11"/>
  <c r="AH54" i="11"/>
  <c r="AH28" i="11"/>
  <c r="AR28" i="11" s="1"/>
  <c r="AH39" i="11"/>
  <c r="AH40" i="11"/>
  <c r="AF85" i="13"/>
  <c r="AF68" i="13"/>
  <c r="AF78" i="13"/>
  <c r="F52" i="11"/>
  <c r="AF99" i="13"/>
  <c r="AF75" i="13"/>
  <c r="AH50" i="11"/>
  <c r="F43" i="11"/>
  <c r="BG55" i="63" a="1"/>
  <c r="AF73" i="13"/>
  <c r="AF101" i="13"/>
  <c r="AF97" i="13"/>
  <c r="AF102" i="13"/>
  <c r="AF76" i="13"/>
  <c r="AF106" i="13"/>
  <c r="AF67" i="13"/>
  <c r="AF71" i="13"/>
  <c r="AF74" i="13"/>
  <c r="AF108" i="13"/>
  <c r="F51" i="11"/>
  <c r="AF91" i="13"/>
  <c r="BI55" i="63" a="1"/>
  <c r="AF69" i="13"/>
  <c r="AF64" i="13"/>
  <c r="AH49" i="11"/>
  <c r="F46" i="11"/>
  <c r="AF80" i="13"/>
  <c r="AF84" i="13"/>
  <c r="AF107" i="13"/>
  <c r="AF98" i="13"/>
  <c r="BL55" i="63" a="1"/>
  <c r="AF104" i="13"/>
  <c r="AF93" i="13"/>
  <c r="AF90" i="13"/>
  <c r="AF96" i="13"/>
  <c r="AF103" i="13"/>
  <c r="AF94" i="13"/>
  <c r="AH27" i="11"/>
  <c r="AR27" i="11" s="1"/>
  <c r="AC29" i="56"/>
  <c r="AC30" i="56" s="1"/>
  <c r="F41" i="11"/>
  <c r="AF87" i="13"/>
  <c r="Q25" i="11"/>
  <c r="Q44" i="11" s="1"/>
  <c r="AF89" i="13"/>
  <c r="AH47" i="11"/>
  <c r="AI21" i="63"/>
  <c r="AI29" i="63" s="1"/>
  <c r="AD25" i="11"/>
  <c r="AD53" i="11" s="1"/>
  <c r="F42" i="11"/>
  <c r="F37" i="11"/>
  <c r="T29" i="56"/>
  <c r="T30" i="56" s="1"/>
  <c r="BH55" i="63" a="1"/>
  <c r="F47" i="11"/>
  <c r="BJ55" i="63" a="1"/>
  <c r="F27" i="11"/>
  <c r="F54" i="11"/>
  <c r="BO55" i="63"/>
  <c r="AY55" i="63" s="1"/>
  <c r="F44" i="11"/>
  <c r="F28" i="11"/>
  <c r="F45" i="11"/>
  <c r="F49" i="11"/>
  <c r="F39" i="11"/>
  <c r="T45" i="11"/>
  <c r="T53" i="11"/>
  <c r="O29" i="56"/>
  <c r="AB29" i="56"/>
  <c r="T50" i="11"/>
  <c r="T40" i="11"/>
  <c r="T51" i="11"/>
  <c r="Z29" i="56"/>
  <c r="AX60" i="63"/>
  <c r="T28" i="11"/>
  <c r="T38" i="11"/>
  <c r="T41" i="11"/>
  <c r="AD78" i="11"/>
  <c r="T43" i="11"/>
  <c r="T42" i="11"/>
  <c r="T46" i="11"/>
  <c r="T27" i="11"/>
  <c r="AS60" i="56"/>
  <c r="AS86" i="56" s="1"/>
  <c r="T47" i="11"/>
  <c r="T54" i="11"/>
  <c r="T39" i="11"/>
  <c r="AX25" i="63"/>
  <c r="AS25" i="63" s="1"/>
  <c r="AS55" i="63" s="1"/>
  <c r="AX55" i="63" s="1"/>
  <c r="T37" i="11"/>
  <c r="BK55" i="63" a="1"/>
  <c r="T52" i="11"/>
  <c r="AJ29" i="63"/>
  <c r="AJ31" i="63" s="1"/>
  <c r="BL52" i="63" a="1"/>
  <c r="BO52" i="63"/>
  <c r="AY52" i="63" s="1"/>
  <c r="AM29" i="63"/>
  <c r="AM32" i="63" s="1"/>
  <c r="BK52" i="63" a="1"/>
  <c r="BF51" i="11"/>
  <c r="AQ29" i="63"/>
  <c r="AQ31" i="63" s="1"/>
  <c r="AO29" i="63"/>
  <c r="AO31" i="63" s="1"/>
  <c r="W52" i="56"/>
  <c r="AK59" i="63"/>
  <c r="AK73" i="63" s="1"/>
  <c r="Z56" i="11"/>
  <c r="E29" i="56"/>
  <c r="F29" i="56"/>
  <c r="BM52" i="63" a="1"/>
  <c r="BF55" i="11"/>
  <c r="BF44" i="11"/>
  <c r="BF52" i="11"/>
  <c r="BF37" i="11"/>
  <c r="BF38" i="11"/>
  <c r="BF50" i="11"/>
  <c r="BF43" i="11"/>
  <c r="E60" i="56"/>
  <c r="E85" i="56" s="1"/>
  <c r="BF47" i="11"/>
  <c r="BF40" i="11"/>
  <c r="K60" i="56"/>
  <c r="K71" i="56" s="1"/>
  <c r="AS30" i="56"/>
  <c r="P60" i="56"/>
  <c r="P75" i="56" s="1"/>
  <c r="BM29" i="56"/>
  <c r="H29" i="56"/>
  <c r="K29" i="56"/>
  <c r="K30" i="56" s="1"/>
  <c r="N29" i="56"/>
  <c r="U29" i="56"/>
  <c r="L29" i="56"/>
  <c r="M60" i="56"/>
  <c r="M84" i="56" s="1"/>
  <c r="BL29" i="56"/>
  <c r="BL52" i="56"/>
  <c r="G29" i="56"/>
  <c r="K56" i="11"/>
  <c r="AC56" i="11"/>
  <c r="O56" i="11"/>
  <c r="BF42" i="11"/>
  <c r="BF49" i="11"/>
  <c r="BF45" i="11"/>
  <c r="BF41" i="11"/>
  <c r="BF46" i="11"/>
  <c r="BF53" i="11"/>
  <c r="BF39" i="11"/>
  <c r="BK60" i="56"/>
  <c r="BS21" i="56"/>
  <c r="I29" i="56"/>
  <c r="V56" i="11"/>
  <c r="AG59" i="63"/>
  <c r="AG69" i="63" s="1"/>
  <c r="O60" i="56"/>
  <c r="O73" i="56" s="1"/>
  <c r="BD63" i="56"/>
  <c r="F40" i="56"/>
  <c r="F60" i="56" s="1"/>
  <c r="F78" i="56" s="1"/>
  <c r="M29" i="56"/>
  <c r="I56" i="11"/>
  <c r="AA60" i="56"/>
  <c r="AA76" i="56" s="1"/>
  <c r="BS9" i="56"/>
  <c r="AB60" i="56"/>
  <c r="AB89" i="56" s="1"/>
  <c r="AY9" i="63"/>
  <c r="Z60" i="56"/>
  <c r="Z73" i="56" s="1"/>
  <c r="BO58" i="63"/>
  <c r="AY58" i="63" s="1"/>
  <c r="BM58" i="63" a="1"/>
  <c r="AS41" i="63"/>
  <c r="AZ41" i="63" s="1"/>
  <c r="AP59" i="63"/>
  <c r="AP86" i="63" s="1"/>
  <c r="S29" i="56"/>
  <c r="S30" i="56" s="1"/>
  <c r="BJ40" i="63" a="1"/>
  <c r="AS40" i="63"/>
  <c r="AX40" i="63" s="1"/>
  <c r="AS58" i="63"/>
  <c r="AX58" i="63" s="1"/>
  <c r="BK40" i="63" a="1"/>
  <c r="BI40" i="63" a="1"/>
  <c r="W29" i="56"/>
  <c r="W30" i="56" s="1"/>
  <c r="AS45" i="63"/>
  <c r="AX45" i="63" s="1"/>
  <c r="BO46" i="63"/>
  <c r="AY46" i="63" s="1"/>
  <c r="AQ39" i="63"/>
  <c r="AQ59" i="63" s="1"/>
  <c r="AQ85" i="63" s="1"/>
  <c r="AS50" i="63"/>
  <c r="AX50" i="63" s="1"/>
  <c r="AS43" i="63"/>
  <c r="AZ43" i="63" s="1"/>
  <c r="X60" i="56"/>
  <c r="X87" i="56" s="1"/>
  <c r="AS47" i="63"/>
  <c r="AX47" i="63" s="1"/>
  <c r="AS48" i="63"/>
  <c r="AX48" i="63" s="1"/>
  <c r="V29" i="56"/>
  <c r="BK42" i="63" a="1"/>
  <c r="T40" i="56"/>
  <c r="T60" i="56" s="1"/>
  <c r="T75" i="56" s="1"/>
  <c r="AH51" i="63"/>
  <c r="AL29" i="63"/>
  <c r="BJ42" i="63" a="1"/>
  <c r="BI42" i="63" a="1"/>
  <c r="AC60" i="56"/>
  <c r="AC88" i="56" s="1"/>
  <c r="AS57" i="63"/>
  <c r="AX57" i="63" s="1"/>
  <c r="AA56" i="11"/>
  <c r="V60" i="56"/>
  <c r="V76" i="56" s="1"/>
  <c r="AZ40" i="56"/>
  <c r="AM39" i="63"/>
  <c r="AM59" i="63" s="1"/>
  <c r="BM42" i="63" a="1"/>
  <c r="BO42" i="63"/>
  <c r="AY42" i="63" s="1"/>
  <c r="AZ42" i="63" s="1"/>
  <c r="Y40" i="56"/>
  <c r="Y60" i="56" s="1"/>
  <c r="Y80" i="56" s="1"/>
  <c r="AN29" i="63"/>
  <c r="AS49" i="63"/>
  <c r="AZ49" i="63" s="1"/>
  <c r="AN39" i="63"/>
  <c r="AN59" i="63" s="1"/>
  <c r="BO49" i="63"/>
  <c r="U56" i="11"/>
  <c r="Q21" i="56"/>
  <c r="K63" i="56"/>
  <c r="AL59" i="63"/>
  <c r="AL74" i="63" s="1"/>
  <c r="AK29" i="63"/>
  <c r="AK31" i="63" s="1"/>
  <c r="BL44" i="63" a="1"/>
  <c r="BL63" i="56"/>
  <c r="AJ5" i="57" s="1"/>
  <c r="BL40" i="56"/>
  <c r="AS53" i="63"/>
  <c r="AX53" i="63" s="1"/>
  <c r="AI39" i="63"/>
  <c r="BJ47" i="63" a="1"/>
  <c r="BK47" i="63" a="1"/>
  <c r="BH47" i="63" a="1"/>
  <c r="BL47" i="63" a="1"/>
  <c r="BI47" i="63" a="1"/>
  <c r="BO47" i="63"/>
  <c r="AY47" i="63" s="1"/>
  <c r="BM47" i="63" a="1"/>
  <c r="AI61" i="63"/>
  <c r="BG47" i="63" a="1"/>
  <c r="AR51" i="63"/>
  <c r="AR59" i="63" s="1"/>
  <c r="AR82" i="63" s="1"/>
  <c r="AH61" i="63"/>
  <c r="BO40" i="63"/>
  <c r="AY40" i="63" s="1"/>
  <c r="BG56" i="63" a="1"/>
  <c r="W56" i="11"/>
  <c r="AS54" i="63"/>
  <c r="AX54" i="63" s="1"/>
  <c r="BO40" i="56"/>
  <c r="BO60" i="56" s="1"/>
  <c r="BO76" i="56" s="1"/>
  <c r="BO63" i="56"/>
  <c r="AM5" i="57" s="1"/>
  <c r="BG53" i="63" a="1"/>
  <c r="BJ53" i="63" a="1"/>
  <c r="BH53" i="63" a="1"/>
  <c r="BK53" i="63" a="1"/>
  <c r="BI53" i="63" a="1"/>
  <c r="BM53" i="63" a="1"/>
  <c r="BO53" i="63"/>
  <c r="AY53" i="63" s="1"/>
  <c r="BL53" i="63" a="1"/>
  <c r="W63" i="56"/>
  <c r="V5" i="57" s="1"/>
  <c r="W40" i="56"/>
  <c r="BH40" i="63" a="1"/>
  <c r="AS46" i="63"/>
  <c r="BM40" i="63" a="1"/>
  <c r="BL56" i="63" a="1"/>
  <c r="AB56" i="11"/>
  <c r="BO54" i="63"/>
  <c r="AY54" i="63" s="1"/>
  <c r="BK54" i="63" a="1"/>
  <c r="BL54" i="63" a="1"/>
  <c r="BG54" i="63" a="1"/>
  <c r="BJ54" i="63" a="1"/>
  <c r="BI54" i="63" a="1"/>
  <c r="BM54" i="63" a="1"/>
  <c r="BH54" i="63" a="1"/>
  <c r="N56" i="11"/>
  <c r="L60" i="56"/>
  <c r="BM63" i="56"/>
  <c r="AK5" i="57" s="1"/>
  <c r="BM40" i="56"/>
  <c r="BM60" i="56" s="1"/>
  <c r="BP40" i="56"/>
  <c r="BP60" i="56" s="1"/>
  <c r="BP73" i="56" s="1"/>
  <c r="BG40" i="63" a="1"/>
  <c r="AH39" i="63"/>
  <c r="BL45" i="63" a="1"/>
  <c r="BK45" i="63" a="1"/>
  <c r="BM45" i="63" a="1"/>
  <c r="BO45" i="63"/>
  <c r="AY45" i="63" s="1"/>
  <c r="BJ45" i="63" a="1"/>
  <c r="BG45" i="63" a="1"/>
  <c r="BI45" i="63" a="1"/>
  <c r="BH45" i="63" a="1"/>
  <c r="S40" i="56"/>
  <c r="S63" i="56"/>
  <c r="R5" i="57" s="1"/>
  <c r="AI5" i="57"/>
  <c r="M56" i="11"/>
  <c r="N63" i="56"/>
  <c r="N40" i="56"/>
  <c r="N60" i="56" s="1"/>
  <c r="BH58" i="63" a="1"/>
  <c r="AI51" i="63"/>
  <c r="BG58" i="63" a="1"/>
  <c r="BK58" i="63" a="1"/>
  <c r="BI58" i="63" a="1"/>
  <c r="BJ58" i="63" a="1"/>
  <c r="BL58" i="63" a="1"/>
  <c r="AR29" i="63"/>
  <c r="AY21" i="63"/>
  <c r="L56" i="11"/>
  <c r="E56" i="11"/>
  <c r="BK56" i="63" a="1"/>
  <c r="BI56" i="63" a="1"/>
  <c r="BM44" i="63" a="1"/>
  <c r="AJ51" i="63"/>
  <c r="AJ59" i="63" s="1"/>
  <c r="G63" i="56"/>
  <c r="BH56" i="63" a="1"/>
  <c r="H40" i="56"/>
  <c r="H60" i="56" s="1"/>
  <c r="H72" i="56" s="1"/>
  <c r="BJ56" i="63" a="1"/>
  <c r="BO56" i="63"/>
  <c r="AY56" i="63" s="1"/>
  <c r="U52" i="56"/>
  <c r="U60" i="56" s="1"/>
  <c r="U87" i="56" s="1"/>
  <c r="AD53" i="56"/>
  <c r="AD16" i="66" s="1"/>
  <c r="AD21" i="56"/>
  <c r="J52" i="56"/>
  <c r="I40" i="56"/>
  <c r="I60" i="56" s="1"/>
  <c r="I72" i="56" s="1"/>
  <c r="R63" i="56"/>
  <c r="Q5" i="57" s="1"/>
  <c r="R40" i="56"/>
  <c r="R60" i="56" s="1"/>
  <c r="AO39" i="63"/>
  <c r="AO59" i="63" s="1"/>
  <c r="AO73" i="63" s="1"/>
  <c r="S52" i="56"/>
  <c r="H56" i="11"/>
  <c r="AS52" i="63"/>
  <c r="G40" i="56"/>
  <c r="G60" i="56" s="1"/>
  <c r="G78" i="56" s="1"/>
  <c r="Q42" i="56"/>
  <c r="AC5" i="66" s="1"/>
  <c r="Q52" i="56"/>
  <c r="AC15" i="66" s="1"/>
  <c r="BK44" i="63" a="1"/>
  <c r="BK80" i="56" l="1"/>
  <c r="BK73" i="56"/>
  <c r="BJ60" i="56"/>
  <c r="AK3" i="66"/>
  <c r="AX40" i="56"/>
  <c r="AW63" i="56"/>
  <c r="AX29" i="56"/>
  <c r="AT30" i="56"/>
  <c r="BC52" i="56"/>
  <c r="AV60" i="56"/>
  <c r="AW45" i="56"/>
  <c r="AW58" i="56"/>
  <c r="BI60" i="56"/>
  <c r="AJ23" i="66" s="1"/>
  <c r="G56" i="11"/>
  <c r="AZ60" i="56"/>
  <c r="AZ73" i="56" s="1"/>
  <c r="AU51" i="56"/>
  <c r="BU51" i="56" s="1" a="1"/>
  <c r="BV51" i="56" s="1" a="1"/>
  <c r="AX60" i="56"/>
  <c r="AX61" i="56" s="1"/>
  <c r="AZ30" i="56"/>
  <c r="AY60" i="56"/>
  <c r="AY79" i="56" s="1"/>
  <c r="AX30" i="56"/>
  <c r="AY29" i="56"/>
  <c r="AV29" i="56"/>
  <c r="BJ25" i="11"/>
  <c r="BJ27" i="11" s="1"/>
  <c r="BL25" i="11"/>
  <c r="BL28" i="11" s="1"/>
  <c r="BA21" i="56"/>
  <c r="BA52" i="56"/>
  <c r="AU48" i="56"/>
  <c r="BU48" i="56" s="1" a="1"/>
  <c r="BV48" i="56" s="1" a="1"/>
  <c r="BE17" i="56"/>
  <c r="BE48" i="56" s="1"/>
  <c r="BE16" i="56"/>
  <c r="BE47" i="56" s="1"/>
  <c r="AU47" i="56"/>
  <c r="BU47" i="56" s="1" a="1"/>
  <c r="BV47" i="56" s="1" a="1"/>
  <c r="BC21" i="56"/>
  <c r="BR25" i="11"/>
  <c r="BX110" i="13"/>
  <c r="AU27" i="56"/>
  <c r="BT23" i="11"/>
  <c r="AU49" i="56"/>
  <c r="BU49" i="56" s="1" a="1"/>
  <c r="BV49" i="56" s="1" a="1"/>
  <c r="BE18" i="56"/>
  <c r="BE49" i="56" s="1"/>
  <c r="BE28" i="56"/>
  <c r="BE59" i="56" s="1"/>
  <c r="AU59" i="56"/>
  <c r="BU59" i="56" s="1" a="1"/>
  <c r="BV59" i="56" s="1" a="1"/>
  <c r="BD56" i="56"/>
  <c r="BD52" i="56" s="1"/>
  <c r="BD21" i="56"/>
  <c r="BO27" i="11"/>
  <c r="BO28" i="11"/>
  <c r="AU46" i="56"/>
  <c r="BU46" i="56" s="1" a="1"/>
  <c r="BV46" i="56" s="1" a="1"/>
  <c r="BE15" i="56"/>
  <c r="BE46" i="56" s="1"/>
  <c r="BC9" i="56"/>
  <c r="BC42" i="56"/>
  <c r="BC40" i="56" s="1"/>
  <c r="AU42" i="56"/>
  <c r="BE11" i="56"/>
  <c r="BP25" i="11"/>
  <c r="BA42" i="56"/>
  <c r="BA40" i="56" s="1"/>
  <c r="BA9" i="56"/>
  <c r="BM27" i="11"/>
  <c r="BM28" i="11"/>
  <c r="BE19" i="56"/>
  <c r="BE50" i="56" s="1"/>
  <c r="AU50" i="56"/>
  <c r="BU50" i="56" s="1" a="1"/>
  <c r="BV50" i="56" s="1" a="1"/>
  <c r="AW42" i="56"/>
  <c r="AW9" i="56"/>
  <c r="AU53" i="56"/>
  <c r="BU53" i="56" s="1" a="1"/>
  <c r="BE22" i="56"/>
  <c r="BE20" i="56"/>
  <c r="BE51" i="56" s="1"/>
  <c r="BN28" i="11"/>
  <c r="BN27" i="11"/>
  <c r="BE13" i="56"/>
  <c r="BE44" i="56" s="1"/>
  <c r="AU44" i="56"/>
  <c r="BU44" i="56" s="1" a="1"/>
  <c r="BS25" i="11"/>
  <c r="AU54" i="56"/>
  <c r="BU54" i="56" s="1" a="1"/>
  <c r="BV54" i="56" s="1" a="1"/>
  <c r="BE23" i="56"/>
  <c r="BE54" i="56" s="1"/>
  <c r="BD42" i="56"/>
  <c r="BD40" i="56" s="1"/>
  <c r="BD9" i="56"/>
  <c r="AU57" i="56"/>
  <c r="BU57" i="56" s="1" a="1"/>
  <c r="BV57" i="56" s="1" a="1"/>
  <c r="BE26" i="56"/>
  <c r="BE57" i="56" s="1"/>
  <c r="BB52" i="56"/>
  <c r="AU55" i="56"/>
  <c r="BU55" i="56" s="1" a="1"/>
  <c r="BV55" i="56" s="1" a="1"/>
  <c r="BE24" i="56"/>
  <c r="BE55" i="56" s="1"/>
  <c r="AU14" i="56"/>
  <c r="BT10" i="11"/>
  <c r="BQ25" i="11"/>
  <c r="BB21" i="56"/>
  <c r="AU25" i="56"/>
  <c r="BT21" i="11"/>
  <c r="BB42" i="56"/>
  <c r="BB40" i="56" s="1"/>
  <c r="BB9" i="56"/>
  <c r="AW56" i="56"/>
  <c r="AW21" i="56"/>
  <c r="BF60" i="56"/>
  <c r="BF72" i="56" s="1"/>
  <c r="Y5" i="67" s="1"/>
  <c r="AG15" i="66"/>
  <c r="BG60" i="56"/>
  <c r="AH23" i="66" s="1"/>
  <c r="Q63" i="56"/>
  <c r="P5" i="57" s="1"/>
  <c r="AC4" i="66"/>
  <c r="BM71" i="56"/>
  <c r="BM74" i="56"/>
  <c r="AD63" i="56"/>
  <c r="AC5" i="57" s="1"/>
  <c r="AD7" i="66"/>
  <c r="BF30" i="56"/>
  <c r="BI30" i="56"/>
  <c r="BG30" i="56"/>
  <c r="AG29" i="56"/>
  <c r="AQ31" i="56" s="1"/>
  <c r="AU55" i="13" s="1"/>
  <c r="BJ80" i="56"/>
  <c r="AC13" i="67" s="1"/>
  <c r="BJ78" i="56"/>
  <c r="AC11" i="67" s="1"/>
  <c r="BJ75" i="56"/>
  <c r="AC8" i="67" s="1"/>
  <c r="BJ74" i="56"/>
  <c r="AC7" i="67" s="1"/>
  <c r="BJ84" i="56"/>
  <c r="AC17" i="67" s="1"/>
  <c r="BJ89" i="56"/>
  <c r="AC22" i="67" s="1"/>
  <c r="BJ88" i="56"/>
  <c r="AC21" i="67" s="1"/>
  <c r="BJ81" i="56"/>
  <c r="AC14" i="67" s="1"/>
  <c r="BJ79" i="56"/>
  <c r="AC12" i="67" s="1"/>
  <c r="BJ87" i="56"/>
  <c r="AC20" i="67" s="1"/>
  <c r="BJ76" i="56"/>
  <c r="AC9" i="67" s="1"/>
  <c r="BJ86" i="56"/>
  <c r="AC19" i="67" s="1"/>
  <c r="BJ73" i="56"/>
  <c r="AC6" i="67" s="1"/>
  <c r="BJ71" i="56"/>
  <c r="AC4" i="67" s="1"/>
  <c r="AE30" i="56"/>
  <c r="BH40" i="56"/>
  <c r="AI3" i="66" s="1"/>
  <c r="Q9" i="56"/>
  <c r="Q29" i="56" s="1"/>
  <c r="Q30" i="56" s="1"/>
  <c r="AR42" i="11"/>
  <c r="AR52" i="11"/>
  <c r="AR45" i="11"/>
  <c r="AR46" i="11"/>
  <c r="AR47" i="11"/>
  <c r="AR50" i="11"/>
  <c r="AR55" i="11"/>
  <c r="AR43" i="11"/>
  <c r="AR44" i="11"/>
  <c r="AR38" i="11"/>
  <c r="AR37" i="11"/>
  <c r="AR40" i="11"/>
  <c r="AR41" i="11"/>
  <c r="AR51" i="11"/>
  <c r="AR53" i="11"/>
  <c r="AR54" i="11"/>
  <c r="AR49" i="11"/>
  <c r="AR39" i="11"/>
  <c r="BQ60" i="56"/>
  <c r="BQ88" i="56" s="1"/>
  <c r="BJ30" i="56"/>
  <c r="AL30" i="56"/>
  <c r="AG29" i="63"/>
  <c r="AG31" i="63" s="1"/>
  <c r="AF60" i="56"/>
  <c r="AF80" i="56" s="1"/>
  <c r="AP30" i="56"/>
  <c r="P56" i="11"/>
  <c r="BH29" i="56"/>
  <c r="AI60" i="56"/>
  <c r="AI71" i="56" s="1"/>
  <c r="AK30" i="56"/>
  <c r="AX9" i="63"/>
  <c r="AJ60" i="56"/>
  <c r="AJ71" i="56" s="1"/>
  <c r="J56" i="11"/>
  <c r="AG60" i="56"/>
  <c r="AG76" i="56" s="1"/>
  <c r="AO60" i="56"/>
  <c r="AO64" i="56" s="1"/>
  <c r="J60" i="56"/>
  <c r="J88" i="56" s="1"/>
  <c r="AE60" i="56"/>
  <c r="AK64" i="56"/>
  <c r="AK61" i="56"/>
  <c r="AK81" i="56"/>
  <c r="AK76" i="56"/>
  <c r="AK73" i="56"/>
  <c r="AK79" i="56"/>
  <c r="AK89" i="56"/>
  <c r="AK80" i="56"/>
  <c r="AK72" i="56"/>
  <c r="AK85" i="56"/>
  <c r="AK87" i="56"/>
  <c r="AK83" i="56"/>
  <c r="AK77" i="56"/>
  <c r="AK75" i="56"/>
  <c r="AK86" i="56"/>
  <c r="AK71" i="56"/>
  <c r="AK78" i="56"/>
  <c r="AK84" i="56"/>
  <c r="AK88" i="56"/>
  <c r="AK74" i="56"/>
  <c r="AR29" i="56"/>
  <c r="AR30" i="56" s="1"/>
  <c r="Y56" i="11"/>
  <c r="AP83" i="56"/>
  <c r="AP61" i="56"/>
  <c r="AP64" i="56"/>
  <c r="AP73" i="56"/>
  <c r="AP72" i="56"/>
  <c r="AP86" i="56"/>
  <c r="AP79" i="56"/>
  <c r="AP78" i="56"/>
  <c r="AP80" i="56"/>
  <c r="AP88" i="56"/>
  <c r="AP77" i="56"/>
  <c r="AP87" i="56"/>
  <c r="AP76" i="56"/>
  <c r="AP89" i="56"/>
  <c r="AP75" i="56"/>
  <c r="AP81" i="56"/>
  <c r="AP74" i="56"/>
  <c r="AP84" i="56"/>
  <c r="AP85" i="56"/>
  <c r="AI30" i="56"/>
  <c r="AM61" i="56"/>
  <c r="AM64" i="56"/>
  <c r="AM86" i="56"/>
  <c r="AM72" i="56"/>
  <c r="AM84" i="56"/>
  <c r="AM77" i="56"/>
  <c r="AM79" i="56"/>
  <c r="AM81" i="56"/>
  <c r="AM80" i="56"/>
  <c r="AM76" i="56"/>
  <c r="AM85" i="56"/>
  <c r="AM75" i="56"/>
  <c r="AM88" i="56"/>
  <c r="AM87" i="56"/>
  <c r="AM78" i="56"/>
  <c r="AM89" i="56"/>
  <c r="AM73" i="56"/>
  <c r="AM74" i="56"/>
  <c r="AM83" i="56"/>
  <c r="AM71" i="56"/>
  <c r="AF30" i="56"/>
  <c r="AL64" i="56"/>
  <c r="AL61" i="56"/>
  <c r="AL75" i="56"/>
  <c r="AL81" i="56"/>
  <c r="AL79" i="56"/>
  <c r="AL73" i="56"/>
  <c r="AL80" i="56"/>
  <c r="AL74" i="56"/>
  <c r="AL77" i="56"/>
  <c r="AL71" i="56"/>
  <c r="AL89" i="56"/>
  <c r="AL85" i="56"/>
  <c r="AL86" i="56"/>
  <c r="AL87" i="56"/>
  <c r="AL83" i="56"/>
  <c r="AL88" i="56"/>
  <c r="AL78" i="56"/>
  <c r="AL76" i="56"/>
  <c r="AH60" i="56"/>
  <c r="AN64" i="56"/>
  <c r="AN61" i="56"/>
  <c r="AN79" i="56"/>
  <c r="AN76" i="56"/>
  <c r="AN89" i="56"/>
  <c r="AN73" i="56"/>
  <c r="AN81" i="56"/>
  <c r="AN72" i="56"/>
  <c r="AN80" i="56"/>
  <c r="AN78" i="56"/>
  <c r="AN77" i="56"/>
  <c r="AN85" i="56"/>
  <c r="AN74" i="56"/>
  <c r="AN87" i="56"/>
  <c r="AN84" i="56"/>
  <c r="AN88" i="56"/>
  <c r="AN86" i="56"/>
  <c r="AN75" i="56"/>
  <c r="AN83" i="56"/>
  <c r="AN71" i="56"/>
  <c r="AO30" i="56"/>
  <c r="AJ30" i="56"/>
  <c r="AL84" i="56"/>
  <c r="BQ30" i="56"/>
  <c r="AS44" i="63"/>
  <c r="AZ44" i="63" s="1"/>
  <c r="BO30" i="56"/>
  <c r="R56" i="11"/>
  <c r="AE37" i="11"/>
  <c r="AE42" i="11"/>
  <c r="AE43" i="11"/>
  <c r="AE40" i="11"/>
  <c r="AE41" i="11"/>
  <c r="AE51" i="11"/>
  <c r="X56" i="11"/>
  <c r="AE53" i="11"/>
  <c r="AE49" i="11"/>
  <c r="AE46" i="11"/>
  <c r="AE28" i="11"/>
  <c r="AE50" i="11"/>
  <c r="AE52" i="11"/>
  <c r="AD40" i="56"/>
  <c r="AD3" i="66" s="1"/>
  <c r="AE39" i="11"/>
  <c r="Q42" i="11"/>
  <c r="AE55" i="11"/>
  <c r="Q55" i="11"/>
  <c r="AE45" i="11"/>
  <c r="Q28" i="11"/>
  <c r="AE47" i="11"/>
  <c r="Q49" i="11"/>
  <c r="AD9" i="56"/>
  <c r="AD29" i="56" s="1"/>
  <c r="AE44" i="11"/>
  <c r="AE38" i="11"/>
  <c r="AE54" i="11"/>
  <c r="S56" i="11"/>
  <c r="Q40" i="11"/>
  <c r="AD38" i="11"/>
  <c r="AD51" i="11"/>
  <c r="Q27" i="11"/>
  <c r="BN30" i="56"/>
  <c r="Q52" i="11"/>
  <c r="Q50" i="11"/>
  <c r="Q41" i="11"/>
  <c r="Q38" i="11"/>
  <c r="Q37" i="11"/>
  <c r="Q54" i="11"/>
  <c r="Q46" i="11"/>
  <c r="Q39" i="11"/>
  <c r="Q43" i="11"/>
  <c r="AK74" i="63"/>
  <c r="Q51" i="11"/>
  <c r="AK71" i="63"/>
  <c r="Q47" i="11"/>
  <c r="Q45" i="11"/>
  <c r="Q53" i="11"/>
  <c r="AD52" i="11"/>
  <c r="AD43" i="11"/>
  <c r="AP32" i="63"/>
  <c r="BN60" i="56"/>
  <c r="BN64" i="56" s="1"/>
  <c r="AL6" i="57" s="1"/>
  <c r="AL7" i="57" s="1"/>
  <c r="AS87" i="56"/>
  <c r="AD46" i="11"/>
  <c r="AS74" i="56"/>
  <c r="AK70" i="63"/>
  <c r="AA30" i="56"/>
  <c r="AK76" i="63"/>
  <c r="AM31" i="63"/>
  <c r="AS85" i="56"/>
  <c r="AS61" i="56"/>
  <c r="AS81" i="56"/>
  <c r="AT87" i="56"/>
  <c r="Z30" i="56"/>
  <c r="AT75" i="56"/>
  <c r="AS79" i="56"/>
  <c r="AD41" i="11"/>
  <c r="AD40" i="11"/>
  <c r="AD47" i="11"/>
  <c r="AS72" i="56"/>
  <c r="AO32" i="63"/>
  <c r="AS64" i="56"/>
  <c r="AD37" i="11"/>
  <c r="AS84" i="56"/>
  <c r="AD45" i="11"/>
  <c r="AY29" i="63"/>
  <c r="AT73" i="56"/>
  <c r="AS80" i="56"/>
  <c r="AT81" i="56"/>
  <c r="AB30" i="56"/>
  <c r="AK69" i="63"/>
  <c r="AD28" i="11"/>
  <c r="AS76" i="56"/>
  <c r="AD42" i="11"/>
  <c r="AS88" i="56"/>
  <c r="AD49" i="11"/>
  <c r="AS78" i="56"/>
  <c r="O30" i="56"/>
  <c r="AD27" i="11"/>
  <c r="AS75" i="56"/>
  <c r="AD54" i="11"/>
  <c r="F56" i="11"/>
  <c r="AS77" i="56"/>
  <c r="AX21" i="63"/>
  <c r="AD39" i="11"/>
  <c r="AS83" i="56"/>
  <c r="AD50" i="11"/>
  <c r="AD44" i="11"/>
  <c r="AS73" i="56"/>
  <c r="AS71" i="56"/>
  <c r="AS89" i="56"/>
  <c r="AD55" i="11"/>
  <c r="W60" i="56"/>
  <c r="W83" i="56" s="1"/>
  <c r="P79" i="56"/>
  <c r="P80" i="56"/>
  <c r="T56" i="11"/>
  <c r="AJ32" i="63"/>
  <c r="BM30" i="56"/>
  <c r="P84" i="56"/>
  <c r="P86" i="56"/>
  <c r="P72" i="56"/>
  <c r="P71" i="56"/>
  <c r="AK84" i="63"/>
  <c r="O77" i="56"/>
  <c r="AK81" i="63"/>
  <c r="F83" i="56"/>
  <c r="AT64" i="56"/>
  <c r="AT74" i="56"/>
  <c r="AT77" i="56"/>
  <c r="F30" i="56"/>
  <c r="AK72" i="63"/>
  <c r="AT80" i="56"/>
  <c r="E72" i="56"/>
  <c r="AK87" i="63"/>
  <c r="AT61" i="56"/>
  <c r="AQ32" i="63"/>
  <c r="AT85" i="56"/>
  <c r="AK78" i="63"/>
  <c r="AQ69" i="63"/>
  <c r="H30" i="56"/>
  <c r="AT79" i="56"/>
  <c r="P76" i="56"/>
  <c r="P73" i="56"/>
  <c r="E81" i="56"/>
  <c r="P64" i="56"/>
  <c r="AK75" i="63"/>
  <c r="AK79" i="63"/>
  <c r="K83" i="56"/>
  <c r="P81" i="56"/>
  <c r="P77" i="56"/>
  <c r="P83" i="56"/>
  <c r="AK77" i="63"/>
  <c r="AK82" i="63"/>
  <c r="P61" i="56"/>
  <c r="P85" i="56"/>
  <c r="AK85" i="63"/>
  <c r="P74" i="56"/>
  <c r="P78" i="56"/>
  <c r="AK86" i="63"/>
  <c r="P87" i="56"/>
  <c r="E75" i="56"/>
  <c r="AG62" i="63"/>
  <c r="P89" i="56"/>
  <c r="AK62" i="63"/>
  <c r="AK83" i="63"/>
  <c r="P88" i="56"/>
  <c r="E30" i="56"/>
  <c r="E89" i="56"/>
  <c r="K76" i="56"/>
  <c r="E80" i="56"/>
  <c r="E73" i="56"/>
  <c r="K89" i="56"/>
  <c r="M72" i="56"/>
  <c r="M64" i="56"/>
  <c r="M85" i="56"/>
  <c r="K86" i="56"/>
  <c r="E79" i="56"/>
  <c r="AP69" i="63"/>
  <c r="K73" i="56"/>
  <c r="F85" i="56"/>
  <c r="AT78" i="56"/>
  <c r="K75" i="56"/>
  <c r="M30" i="56"/>
  <c r="N30" i="56"/>
  <c r="E61" i="56"/>
  <c r="K78" i="56"/>
  <c r="E78" i="56"/>
  <c r="K64" i="56"/>
  <c r="E74" i="56"/>
  <c r="E77" i="56"/>
  <c r="E83" i="56"/>
  <c r="Z75" i="56"/>
  <c r="AT76" i="56"/>
  <c r="K85" i="56"/>
  <c r="E64" i="56"/>
  <c r="E88" i="56"/>
  <c r="K88" i="56"/>
  <c r="K87" i="56"/>
  <c r="E87" i="56"/>
  <c r="AT84" i="56"/>
  <c r="K79" i="56"/>
  <c r="AT72" i="56"/>
  <c r="Z78" i="56"/>
  <c r="U30" i="56"/>
  <c r="F80" i="56"/>
  <c r="F64" i="56"/>
  <c r="AT83" i="56"/>
  <c r="K61" i="56"/>
  <c r="E76" i="56"/>
  <c r="K77" i="56"/>
  <c r="K84" i="56"/>
  <c r="J30" i="56"/>
  <c r="K72" i="56"/>
  <c r="K74" i="56"/>
  <c r="E86" i="56"/>
  <c r="F87" i="56"/>
  <c r="AT89" i="56"/>
  <c r="K80" i="56"/>
  <c r="E71" i="56"/>
  <c r="F71" i="56"/>
  <c r="AT86" i="56"/>
  <c r="AT88" i="56"/>
  <c r="K81" i="56"/>
  <c r="E84" i="56"/>
  <c r="Z61" i="56"/>
  <c r="Z79" i="56"/>
  <c r="Z90" i="56"/>
  <c r="M73" i="56"/>
  <c r="M61" i="56"/>
  <c r="M78" i="56"/>
  <c r="AA78" i="56"/>
  <c r="M80" i="56"/>
  <c r="Z84" i="56"/>
  <c r="M81" i="56"/>
  <c r="Z81" i="56"/>
  <c r="M87" i="56"/>
  <c r="I30" i="56"/>
  <c r="F73" i="56"/>
  <c r="F84" i="56"/>
  <c r="G30" i="56"/>
  <c r="M75" i="56"/>
  <c r="M71" i="56"/>
  <c r="M88" i="56"/>
  <c r="M86" i="56"/>
  <c r="M89" i="56"/>
  <c r="M76" i="56"/>
  <c r="M74" i="56"/>
  <c r="F75" i="56"/>
  <c r="M79" i="56"/>
  <c r="M83" i="56"/>
  <c r="L30" i="56"/>
  <c r="AA88" i="56"/>
  <c r="AA74" i="56"/>
  <c r="M77" i="56"/>
  <c r="P30" i="56"/>
  <c r="Z88" i="56"/>
  <c r="F89" i="56"/>
  <c r="BL30" i="56"/>
  <c r="BL60" i="56"/>
  <c r="BL71" i="56" s="1"/>
  <c r="BJ64" i="56"/>
  <c r="AH6" i="57" s="1"/>
  <c r="AH7" i="57" s="1"/>
  <c r="AA86" i="56"/>
  <c r="O61" i="56"/>
  <c r="AA77" i="56"/>
  <c r="AA89" i="56"/>
  <c r="AA83" i="56"/>
  <c r="AA90" i="56"/>
  <c r="AG70" i="63"/>
  <c r="O86" i="56"/>
  <c r="AG72" i="63"/>
  <c r="AG77" i="63"/>
  <c r="AG78" i="63"/>
  <c r="O83" i="56"/>
  <c r="AG86" i="63"/>
  <c r="O64" i="56"/>
  <c r="AG83" i="63"/>
  <c r="AG74" i="63"/>
  <c r="AG84" i="63"/>
  <c r="AB73" i="56"/>
  <c r="AG85" i="63"/>
  <c r="AB79" i="56"/>
  <c r="AG82" i="63"/>
  <c r="AG79" i="63"/>
  <c r="AB64" i="56"/>
  <c r="AA6" i="57" s="1"/>
  <c r="AA7" i="57" s="1"/>
  <c r="AG81" i="63"/>
  <c r="AG71" i="63"/>
  <c r="AB61" i="56"/>
  <c r="BF56" i="11"/>
  <c r="AB87" i="56"/>
  <c r="AB83" i="56"/>
  <c r="AG76" i="63"/>
  <c r="AG75" i="63"/>
  <c r="AG87" i="63"/>
  <c r="AG73" i="63"/>
  <c r="BK64" i="56"/>
  <c r="AI6" i="57" s="1"/>
  <c r="AI7" i="57" s="1"/>
  <c r="BK76" i="56"/>
  <c r="BK74" i="56"/>
  <c r="BK61" i="56"/>
  <c r="BK71" i="56"/>
  <c r="BK88" i="56"/>
  <c r="BK78" i="56"/>
  <c r="BK83" i="56"/>
  <c r="BK75" i="56"/>
  <c r="BK79" i="56"/>
  <c r="BK86" i="56"/>
  <c r="BK85" i="56"/>
  <c r="BK89" i="56"/>
  <c r="BK84" i="56"/>
  <c r="BK77" i="56"/>
  <c r="BK81" i="56"/>
  <c r="BK87" i="56"/>
  <c r="BK72" i="56"/>
  <c r="AQ82" i="63"/>
  <c r="O87" i="56"/>
  <c r="O72" i="56"/>
  <c r="O88" i="56"/>
  <c r="O76" i="56"/>
  <c r="O89" i="56"/>
  <c r="F76" i="56"/>
  <c r="AA85" i="56"/>
  <c r="O79" i="56"/>
  <c r="O75" i="56"/>
  <c r="O81" i="56"/>
  <c r="F81" i="56"/>
  <c r="AB74" i="56"/>
  <c r="O71" i="56"/>
  <c r="Z87" i="56"/>
  <c r="AB71" i="56"/>
  <c r="AB86" i="56"/>
  <c r="AB85" i="56"/>
  <c r="F86" i="56"/>
  <c r="F74" i="56"/>
  <c r="Z71" i="56"/>
  <c r="AB78" i="56"/>
  <c r="AB81" i="56"/>
  <c r="F72" i="56"/>
  <c r="Z74" i="56"/>
  <c r="X84" i="56"/>
  <c r="AB84" i="56"/>
  <c r="O84" i="56"/>
  <c r="Z76" i="56"/>
  <c r="AB88" i="56"/>
  <c r="F79" i="56"/>
  <c r="F77" i="56"/>
  <c r="Z72" i="56"/>
  <c r="AB76" i="56"/>
  <c r="O74" i="56"/>
  <c r="O85" i="56"/>
  <c r="F88" i="56"/>
  <c r="Z64" i="56"/>
  <c r="Y6" i="57" s="1"/>
  <c r="Y7" i="57" s="1"/>
  <c r="AB75" i="56"/>
  <c r="O78" i="56"/>
  <c r="O80" i="56"/>
  <c r="AB90" i="56"/>
  <c r="BS29" i="56"/>
  <c r="AB77" i="56"/>
  <c r="AB80" i="56"/>
  <c r="Z80" i="56"/>
  <c r="AA75" i="56"/>
  <c r="AA61" i="56"/>
  <c r="Z89" i="56"/>
  <c r="AA79" i="56"/>
  <c r="AA80" i="56"/>
  <c r="AA64" i="56"/>
  <c r="Z6" i="57" s="1"/>
  <c r="Z7" i="57" s="1"/>
  <c r="AA84" i="56"/>
  <c r="AA71" i="56"/>
  <c r="AA72" i="56"/>
  <c r="AA73" i="56"/>
  <c r="Z86" i="56"/>
  <c r="X88" i="56"/>
  <c r="AA81" i="56"/>
  <c r="AA87" i="56"/>
  <c r="F61" i="56"/>
  <c r="Z77" i="56"/>
  <c r="Z83" i="56"/>
  <c r="X72" i="56"/>
  <c r="Z85" i="56"/>
  <c r="AB72" i="56"/>
  <c r="AP76" i="63"/>
  <c r="AP82" i="63"/>
  <c r="AP77" i="63"/>
  <c r="AP85" i="63"/>
  <c r="AP70" i="63"/>
  <c r="AZ45" i="63"/>
  <c r="AP79" i="63"/>
  <c r="T84" i="56"/>
  <c r="AX41" i="63"/>
  <c r="AP83" i="63"/>
  <c r="T83" i="56"/>
  <c r="AP71" i="63"/>
  <c r="T72" i="56"/>
  <c r="AZ50" i="63"/>
  <c r="AP81" i="63"/>
  <c r="AP78" i="63"/>
  <c r="T78" i="56"/>
  <c r="AP75" i="63"/>
  <c r="AP62" i="63"/>
  <c r="AP88" i="63"/>
  <c r="T71" i="56"/>
  <c r="AP73" i="63"/>
  <c r="AL84" i="63"/>
  <c r="T86" i="56"/>
  <c r="AP72" i="63"/>
  <c r="T76" i="56"/>
  <c r="AZ58" i="63"/>
  <c r="AP87" i="63"/>
  <c r="AP74" i="63"/>
  <c r="T88" i="56"/>
  <c r="AZ55" i="63"/>
  <c r="AX43" i="63"/>
  <c r="T74" i="56"/>
  <c r="T79" i="56"/>
  <c r="T73" i="56"/>
  <c r="T61" i="56"/>
  <c r="AP84" i="63"/>
  <c r="T80" i="56"/>
  <c r="BK61" i="63"/>
  <c r="V83" i="56"/>
  <c r="AK32" i="63"/>
  <c r="T85" i="56"/>
  <c r="BL61" i="63"/>
  <c r="AH31" i="63"/>
  <c r="AQ74" i="63"/>
  <c r="AQ78" i="63"/>
  <c r="AQ81" i="63"/>
  <c r="AQ75" i="63"/>
  <c r="AQ73" i="63"/>
  <c r="AZ46" i="63"/>
  <c r="AQ76" i="63"/>
  <c r="AQ70" i="63"/>
  <c r="BM61" i="63"/>
  <c r="AQ84" i="63"/>
  <c r="AL81" i="63"/>
  <c r="AQ86" i="63"/>
  <c r="AS61" i="63"/>
  <c r="AX61" i="63" s="1"/>
  <c r="AQ83" i="63"/>
  <c r="AQ71" i="63"/>
  <c r="AQ77" i="63"/>
  <c r="AQ62" i="63"/>
  <c r="AQ72" i="63"/>
  <c r="AQ79" i="63"/>
  <c r="AL72" i="63"/>
  <c r="AQ88" i="63"/>
  <c r="X73" i="56"/>
  <c r="AQ87" i="63"/>
  <c r="X71" i="56"/>
  <c r="AY39" i="63"/>
  <c r="AL82" i="63"/>
  <c r="V73" i="56"/>
  <c r="BH61" i="63"/>
  <c r="V84" i="56"/>
  <c r="X74" i="56"/>
  <c r="AL62" i="63"/>
  <c r="AZ47" i="63"/>
  <c r="X80" i="56"/>
  <c r="AC81" i="56"/>
  <c r="T77" i="56"/>
  <c r="X85" i="56"/>
  <c r="AL70" i="63"/>
  <c r="T81" i="56"/>
  <c r="AH59" i="63"/>
  <c r="AH81" i="63" s="1"/>
  <c r="AC77" i="56"/>
  <c r="BK39" i="63"/>
  <c r="V61" i="56"/>
  <c r="AL69" i="63"/>
  <c r="AL83" i="63"/>
  <c r="AX46" i="63"/>
  <c r="X78" i="56"/>
  <c r="AL75" i="63"/>
  <c r="V81" i="56"/>
  <c r="AL76" i="63"/>
  <c r="X77" i="56"/>
  <c r="AL79" i="63"/>
  <c r="AZ48" i="63"/>
  <c r="T87" i="56"/>
  <c r="BJ39" i="63"/>
  <c r="AC80" i="56"/>
  <c r="AL87" i="63"/>
  <c r="AL71" i="63"/>
  <c r="AC84" i="56"/>
  <c r="AL73" i="63"/>
  <c r="AC74" i="56"/>
  <c r="AL77" i="63"/>
  <c r="V80" i="56"/>
  <c r="V71" i="56"/>
  <c r="V86" i="56"/>
  <c r="X83" i="56"/>
  <c r="AL78" i="63"/>
  <c r="T89" i="56"/>
  <c r="BL51" i="63"/>
  <c r="AC61" i="56"/>
  <c r="X89" i="56"/>
  <c r="X86" i="56"/>
  <c r="BM51" i="63"/>
  <c r="AC83" i="56"/>
  <c r="V85" i="56"/>
  <c r="X61" i="56"/>
  <c r="X79" i="56"/>
  <c r="X76" i="56"/>
  <c r="X81" i="56"/>
  <c r="AC89" i="56"/>
  <c r="X75" i="56"/>
  <c r="BI39" i="63"/>
  <c r="AC73" i="56"/>
  <c r="X64" i="56"/>
  <c r="W6" i="57" s="1"/>
  <c r="W7" i="57" s="1"/>
  <c r="T64" i="56"/>
  <c r="S6" i="57" s="1"/>
  <c r="S7" i="57" s="1"/>
  <c r="AC78" i="56"/>
  <c r="BO39" i="63"/>
  <c r="AC76" i="56"/>
  <c r="AZ57" i="63"/>
  <c r="AC64" i="56"/>
  <c r="AB6" i="57" s="1"/>
  <c r="AB7" i="57" s="1"/>
  <c r="AC79" i="56"/>
  <c r="BG61" i="63"/>
  <c r="AC90" i="56"/>
  <c r="Y30" i="56"/>
  <c r="AL31" i="63"/>
  <c r="AL32" i="63"/>
  <c r="BJ61" i="63"/>
  <c r="AC72" i="56"/>
  <c r="AC75" i="56"/>
  <c r="AC85" i="56"/>
  <c r="BO61" i="63"/>
  <c r="AY61" i="63" s="1"/>
  <c r="AZ53" i="63"/>
  <c r="AC87" i="56"/>
  <c r="AC71" i="56"/>
  <c r="AC86" i="56"/>
  <c r="BI61" i="63"/>
  <c r="V30" i="56"/>
  <c r="BG39" i="63"/>
  <c r="BH51" i="63"/>
  <c r="V88" i="56"/>
  <c r="BI51" i="63"/>
  <c r="S60" i="56"/>
  <c r="S83" i="56" s="1"/>
  <c r="BM39" i="63"/>
  <c r="V75" i="56"/>
  <c r="BG51" i="63"/>
  <c r="V77" i="56"/>
  <c r="AN75" i="63"/>
  <c r="AN69" i="63"/>
  <c r="AN72" i="63"/>
  <c r="AN86" i="63"/>
  <c r="AN85" i="63"/>
  <c r="AN79" i="63"/>
  <c r="AN73" i="63"/>
  <c r="AN77" i="63"/>
  <c r="AN84" i="63"/>
  <c r="AN87" i="63"/>
  <c r="AN62" i="63"/>
  <c r="AN83" i="63"/>
  <c r="AN81" i="63"/>
  <c r="AN70" i="63"/>
  <c r="AN74" i="63"/>
  <c r="AN76" i="63"/>
  <c r="AN78" i="63"/>
  <c r="AN82" i="63"/>
  <c r="AN71" i="63"/>
  <c r="AM70" i="63"/>
  <c r="AM83" i="63"/>
  <c r="AM87" i="63"/>
  <c r="AM84" i="63"/>
  <c r="AM72" i="63"/>
  <c r="AM73" i="63"/>
  <c r="AM76" i="63"/>
  <c r="AM82" i="63"/>
  <c r="AM71" i="63"/>
  <c r="AM79" i="63"/>
  <c r="AM85" i="63"/>
  <c r="AM69" i="63"/>
  <c r="AM81" i="63"/>
  <c r="AM78" i="63"/>
  <c r="AM62" i="63"/>
  <c r="AM74" i="63"/>
  <c r="AM75" i="63"/>
  <c r="AM77" i="63"/>
  <c r="AM86" i="63"/>
  <c r="V78" i="56"/>
  <c r="AX49" i="63"/>
  <c r="V87" i="56"/>
  <c r="V74" i="56"/>
  <c r="AN31" i="63"/>
  <c r="AN32" i="63"/>
  <c r="V72" i="56"/>
  <c r="V64" i="56"/>
  <c r="U6" i="57" s="1"/>
  <c r="U7" i="57" s="1"/>
  <c r="AL85" i="63"/>
  <c r="AL86" i="63"/>
  <c r="V79" i="56"/>
  <c r="BL39" i="63"/>
  <c r="BK51" i="63"/>
  <c r="Y87" i="56"/>
  <c r="Y72" i="56"/>
  <c r="Y79" i="56"/>
  <c r="Y75" i="56"/>
  <c r="Y71" i="56"/>
  <c r="Y74" i="56"/>
  <c r="Y88" i="56"/>
  <c r="Y81" i="56"/>
  <c r="Y73" i="56"/>
  <c r="Y61" i="56"/>
  <c r="Y85" i="56"/>
  <c r="Y84" i="56"/>
  <c r="Y89" i="56"/>
  <c r="Y86" i="56"/>
  <c r="Y76" i="56"/>
  <c r="Y83" i="56"/>
  <c r="Y78" i="56"/>
  <c r="Y77" i="56"/>
  <c r="Y64" i="56"/>
  <c r="X6" i="57" s="1"/>
  <c r="X7" i="57" s="1"/>
  <c r="V89" i="56"/>
  <c r="N86" i="56"/>
  <c r="N81" i="56"/>
  <c r="N83" i="56"/>
  <c r="N80" i="56"/>
  <c r="N75" i="56"/>
  <c r="N64" i="56"/>
  <c r="N79" i="56"/>
  <c r="N89" i="56"/>
  <c r="N71" i="56"/>
  <c r="N88" i="56"/>
  <c r="N61" i="56"/>
  <c r="N78" i="56"/>
  <c r="N87" i="56"/>
  <c r="N77" i="56"/>
  <c r="N84" i="56"/>
  <c r="N74" i="56"/>
  <c r="N72" i="56"/>
  <c r="N76" i="56"/>
  <c r="N73" i="56"/>
  <c r="N85" i="56"/>
  <c r="BJ51" i="63"/>
  <c r="AR76" i="63"/>
  <c r="AR85" i="63"/>
  <c r="AR71" i="63"/>
  <c r="AR75" i="63"/>
  <c r="AR79" i="63"/>
  <c r="AR70" i="63"/>
  <c r="AR84" i="63"/>
  <c r="AR86" i="63"/>
  <c r="AR72" i="63"/>
  <c r="AR77" i="63"/>
  <c r="AR78" i="63"/>
  <c r="AR73" i="63"/>
  <c r="AR69" i="63"/>
  <c r="AR62" i="63"/>
  <c r="AR88" i="63"/>
  <c r="AR83" i="63"/>
  <c r="AR81" i="63"/>
  <c r="AR74" i="63"/>
  <c r="AR87" i="63"/>
  <c r="AI32" i="63"/>
  <c r="AI31" i="63"/>
  <c r="AR31" i="63"/>
  <c r="AR32" i="63"/>
  <c r="BP71" i="56"/>
  <c r="BP80" i="56"/>
  <c r="BP89" i="56"/>
  <c r="BP78" i="56"/>
  <c r="BP81" i="56"/>
  <c r="BP75" i="56"/>
  <c r="BP72" i="56"/>
  <c r="BP86" i="56"/>
  <c r="BP83" i="56"/>
  <c r="BP74" i="56"/>
  <c r="BP61" i="56"/>
  <c r="BP87" i="56"/>
  <c r="BP64" i="56"/>
  <c r="AN6" i="57" s="1"/>
  <c r="AN7" i="57" s="1"/>
  <c r="BP85" i="56"/>
  <c r="BP77" i="56"/>
  <c r="BP88" i="56"/>
  <c r="BP79" i="56"/>
  <c r="BP76" i="56"/>
  <c r="BP84" i="56"/>
  <c r="AZ54" i="63"/>
  <c r="BH39" i="63"/>
  <c r="L89" i="56"/>
  <c r="L86" i="56"/>
  <c r="L76" i="56"/>
  <c r="L61" i="56"/>
  <c r="L71" i="56"/>
  <c r="L73" i="56"/>
  <c r="L83" i="56"/>
  <c r="L88" i="56"/>
  <c r="L77" i="56"/>
  <c r="L84" i="56"/>
  <c r="L80" i="56"/>
  <c r="L87" i="56"/>
  <c r="L75" i="56"/>
  <c r="L74" i="56"/>
  <c r="L78" i="56"/>
  <c r="L81" i="56"/>
  <c r="L72" i="56"/>
  <c r="L64" i="56"/>
  <c r="L79" i="56"/>
  <c r="L85" i="56"/>
  <c r="BO51" i="63"/>
  <c r="BM80" i="56"/>
  <c r="BM75" i="56"/>
  <c r="BM79" i="56"/>
  <c r="BM64" i="56"/>
  <c r="AK6" i="57" s="1"/>
  <c r="AK7" i="57" s="1"/>
  <c r="BM73" i="56"/>
  <c r="BM76" i="56"/>
  <c r="BM87" i="56"/>
  <c r="BM78" i="56"/>
  <c r="BM86" i="56"/>
  <c r="BM83" i="56"/>
  <c r="BM77" i="56"/>
  <c r="BM88" i="56"/>
  <c r="BM72" i="56"/>
  <c r="BM89" i="56"/>
  <c r="BM61" i="56"/>
  <c r="BM84" i="56"/>
  <c r="BM81" i="56"/>
  <c r="BM85" i="56"/>
  <c r="AI59" i="63"/>
  <c r="BO74" i="56"/>
  <c r="BO81" i="56"/>
  <c r="BO80" i="56"/>
  <c r="BO89" i="56"/>
  <c r="BO79" i="56"/>
  <c r="BO77" i="56"/>
  <c r="BO73" i="56"/>
  <c r="BO64" i="56"/>
  <c r="AM6" i="57" s="1"/>
  <c r="AM7" i="57" s="1"/>
  <c r="BO61" i="56"/>
  <c r="BO88" i="56"/>
  <c r="BO71" i="56"/>
  <c r="BO75" i="56"/>
  <c r="BO78" i="56"/>
  <c r="BO83" i="56"/>
  <c r="BO85" i="56"/>
  <c r="BO87" i="56"/>
  <c r="BO72" i="56"/>
  <c r="BO84" i="56"/>
  <c r="BO86" i="56"/>
  <c r="AS21" i="63"/>
  <c r="AS29" i="63" s="1"/>
  <c r="AX56" i="63"/>
  <c r="AZ56" i="63"/>
  <c r="AJ82" i="63"/>
  <c r="AJ75" i="63"/>
  <c r="AJ71" i="63"/>
  <c r="AJ87" i="63"/>
  <c r="AJ69" i="63"/>
  <c r="AJ73" i="63"/>
  <c r="AJ81" i="63"/>
  <c r="AJ83" i="63"/>
  <c r="AJ84" i="63"/>
  <c r="AJ72" i="63"/>
  <c r="AJ62" i="63"/>
  <c r="AJ76" i="63"/>
  <c r="AJ74" i="63"/>
  <c r="AJ86" i="63"/>
  <c r="AJ78" i="63"/>
  <c r="AJ77" i="63"/>
  <c r="AJ79" i="63"/>
  <c r="AJ70" i="63"/>
  <c r="AO79" i="63"/>
  <c r="AO87" i="63"/>
  <c r="AO69" i="63"/>
  <c r="AO71" i="63"/>
  <c r="AO83" i="63"/>
  <c r="AO72" i="63"/>
  <c r="AO75" i="63"/>
  <c r="AO70" i="63"/>
  <c r="AO86" i="63"/>
  <c r="AO77" i="63"/>
  <c r="AO88" i="63"/>
  <c r="AO62" i="63"/>
  <c r="AO82" i="63"/>
  <c r="AO85" i="63"/>
  <c r="AO81" i="63"/>
  <c r="AO84" i="63"/>
  <c r="AO74" i="63"/>
  <c r="AO78" i="63"/>
  <c r="AO76" i="63"/>
  <c r="G64" i="56"/>
  <c r="G83" i="56"/>
  <c r="G73" i="56"/>
  <c r="G74" i="56"/>
  <c r="G72" i="56"/>
  <c r="G79" i="56"/>
  <c r="G84" i="56"/>
  <c r="G76" i="56"/>
  <c r="G86" i="56"/>
  <c r="G81" i="56"/>
  <c r="G85" i="56"/>
  <c r="G75" i="56"/>
  <c r="G89" i="56"/>
  <c r="G61" i="56"/>
  <c r="G80" i="56"/>
  <c r="G88" i="56"/>
  <c r="G71" i="56"/>
  <c r="G87" i="56"/>
  <c r="G77" i="56"/>
  <c r="AD52" i="56"/>
  <c r="AD15" i="66" s="1"/>
  <c r="H71" i="56"/>
  <c r="H78" i="56"/>
  <c r="H83" i="56"/>
  <c r="H74" i="56"/>
  <c r="H81" i="56"/>
  <c r="H61" i="56"/>
  <c r="H79" i="56"/>
  <c r="H64" i="56"/>
  <c r="H80" i="56"/>
  <c r="H76" i="56"/>
  <c r="H84" i="56"/>
  <c r="H75" i="56"/>
  <c r="H89" i="56"/>
  <c r="H73" i="56"/>
  <c r="H77" i="56"/>
  <c r="H86" i="56"/>
  <c r="H87" i="56"/>
  <c r="H88" i="56"/>
  <c r="H85" i="56"/>
  <c r="U71" i="56"/>
  <c r="U84" i="56"/>
  <c r="U79" i="56"/>
  <c r="U80" i="56"/>
  <c r="U64" i="56"/>
  <c r="T6" i="57" s="1"/>
  <c r="T7" i="57" s="1"/>
  <c r="U77" i="56"/>
  <c r="U73" i="56"/>
  <c r="U74" i="56"/>
  <c r="U78" i="56"/>
  <c r="U86" i="56"/>
  <c r="U85" i="56"/>
  <c r="U72" i="56"/>
  <c r="U81" i="56"/>
  <c r="U61" i="56"/>
  <c r="U83" i="56"/>
  <c r="U89" i="56"/>
  <c r="U76" i="56"/>
  <c r="U88" i="56"/>
  <c r="U75" i="56"/>
  <c r="I61" i="56"/>
  <c r="I89" i="56"/>
  <c r="I64" i="56"/>
  <c r="I78" i="56"/>
  <c r="I88" i="56"/>
  <c r="I87" i="56"/>
  <c r="I84" i="56"/>
  <c r="I79" i="56"/>
  <c r="I71" i="56"/>
  <c r="I80" i="56"/>
  <c r="I76" i="56"/>
  <c r="I75" i="56"/>
  <c r="I73" i="56"/>
  <c r="I77" i="56"/>
  <c r="I74" i="56"/>
  <c r="I83" i="56"/>
  <c r="I81" i="56"/>
  <c r="I86" i="56"/>
  <c r="I85" i="56"/>
  <c r="AY51" i="63"/>
  <c r="AX52" i="63"/>
  <c r="AZ52" i="63"/>
  <c r="AS51" i="63"/>
  <c r="R80" i="56"/>
  <c r="R75" i="56"/>
  <c r="R87" i="56"/>
  <c r="R71" i="56"/>
  <c r="R79" i="56"/>
  <c r="R89" i="56"/>
  <c r="R81" i="56"/>
  <c r="R83" i="56"/>
  <c r="R64" i="56"/>
  <c r="Q6" i="57" s="1"/>
  <c r="Q7" i="57" s="1"/>
  <c r="R72" i="56"/>
  <c r="R85" i="56"/>
  <c r="R88" i="56"/>
  <c r="R86" i="56"/>
  <c r="R76" i="56"/>
  <c r="R73" i="56"/>
  <c r="R84" i="56"/>
  <c r="R77" i="56"/>
  <c r="R61" i="56"/>
  <c r="R78" i="56"/>
  <c r="R30" i="56"/>
  <c r="AJ85" i="63"/>
  <c r="Q40" i="56"/>
  <c r="AC3" i="66" s="1"/>
  <c r="R74" i="56"/>
  <c r="AZ40" i="63"/>
  <c r="BJ85" i="56" l="1"/>
  <c r="AC18" i="67" s="1"/>
  <c r="BJ72" i="56"/>
  <c r="AC5" i="67" s="1"/>
  <c r="BJ77" i="56"/>
  <c r="AC10" i="67" s="1"/>
  <c r="AK23" i="66"/>
  <c r="BJ83" i="56"/>
  <c r="AC16" i="67" s="1"/>
  <c r="BJ61" i="56"/>
  <c r="AK24" i="66" s="1"/>
  <c r="AW52" i="56"/>
  <c r="AY85" i="56"/>
  <c r="AY87" i="56"/>
  <c r="AV81" i="56"/>
  <c r="AV89" i="56"/>
  <c r="AY80" i="56"/>
  <c r="BC60" i="56"/>
  <c r="BC85" i="56" s="1"/>
  <c r="AW40" i="56"/>
  <c r="BI74" i="56"/>
  <c r="AB7" i="67" s="1"/>
  <c r="BI77" i="56"/>
  <c r="AB10" i="67" s="1"/>
  <c r="BI84" i="56"/>
  <c r="AB17" i="67" s="1"/>
  <c r="BI88" i="56"/>
  <c r="AB21" i="67" s="1"/>
  <c r="BI73" i="56"/>
  <c r="AB6" i="67" s="1"/>
  <c r="BI71" i="56"/>
  <c r="AB4" i="67" s="1"/>
  <c r="BI83" i="56"/>
  <c r="AB16" i="67" s="1"/>
  <c r="BI80" i="56"/>
  <c r="AB13" i="67" s="1"/>
  <c r="BI76" i="56"/>
  <c r="AB9" i="67" s="1"/>
  <c r="BI81" i="56"/>
  <c r="AB14" i="67" s="1"/>
  <c r="BI87" i="56"/>
  <c r="AB20" i="67" s="1"/>
  <c r="AV71" i="56"/>
  <c r="AV74" i="56"/>
  <c r="AV86" i="56"/>
  <c r="AV87" i="56"/>
  <c r="AV80" i="56"/>
  <c r="AV83" i="56"/>
  <c r="AV79" i="56"/>
  <c r="AV75" i="56"/>
  <c r="AV72" i="56"/>
  <c r="AZ86" i="56"/>
  <c r="AZ71" i="56"/>
  <c r="AZ72" i="56"/>
  <c r="AZ85" i="56"/>
  <c r="AZ76" i="56"/>
  <c r="AZ84" i="56"/>
  <c r="AZ75" i="56"/>
  <c r="AZ64" i="56"/>
  <c r="AZ79" i="56"/>
  <c r="AZ61" i="56"/>
  <c r="AZ89" i="56"/>
  <c r="AZ80" i="56"/>
  <c r="AZ77" i="56"/>
  <c r="AZ88" i="56"/>
  <c r="AZ81" i="56"/>
  <c r="AZ83" i="56"/>
  <c r="AZ87" i="56"/>
  <c r="AZ78" i="56"/>
  <c r="AZ74" i="56"/>
  <c r="AX73" i="56"/>
  <c r="AX81" i="56"/>
  <c r="AX89" i="56"/>
  <c r="AV88" i="56"/>
  <c r="AV61" i="56"/>
  <c r="AV84" i="56"/>
  <c r="AV73" i="56"/>
  <c r="AV85" i="56"/>
  <c r="AV77" i="56"/>
  <c r="AV78" i="56"/>
  <c r="AV76" i="56"/>
  <c r="AX87" i="56"/>
  <c r="AX84" i="56"/>
  <c r="BI75" i="56"/>
  <c r="AB8" i="67" s="1"/>
  <c r="AV64" i="56"/>
  <c r="BU42" i="56" a="1"/>
  <c r="BG75" i="56"/>
  <c r="Z8" i="67" s="1"/>
  <c r="AY78" i="56"/>
  <c r="AY64" i="56"/>
  <c r="AY88" i="56"/>
  <c r="AY86" i="56"/>
  <c r="AY61" i="56"/>
  <c r="AY76" i="56"/>
  <c r="AY74" i="56"/>
  <c r="AY83" i="56"/>
  <c r="AY75" i="56"/>
  <c r="AY84" i="56"/>
  <c r="AY71" i="56"/>
  <c r="AY81" i="56"/>
  <c r="AY77" i="56"/>
  <c r="AY72" i="56"/>
  <c r="AY73" i="56"/>
  <c r="AY89" i="56"/>
  <c r="AX72" i="56"/>
  <c r="AX74" i="56"/>
  <c r="AX86" i="56"/>
  <c r="AX88" i="56"/>
  <c r="AX79" i="56"/>
  <c r="AX83" i="56"/>
  <c r="AX76" i="56"/>
  <c r="AX71" i="56"/>
  <c r="AX80" i="56"/>
  <c r="AX75" i="56"/>
  <c r="AX64" i="56"/>
  <c r="AX78" i="56"/>
  <c r="AX77" i="56"/>
  <c r="AX85" i="56"/>
  <c r="BU24" i="56"/>
  <c r="BU9" i="56"/>
  <c r="BJ82" i="56"/>
  <c r="AC15" i="67" s="1"/>
  <c r="BJ70" i="56"/>
  <c r="AC3" i="67" s="1"/>
  <c r="BI89" i="56"/>
  <c r="AB22" i="67" s="1"/>
  <c r="BI72" i="56"/>
  <c r="AB5" i="67" s="1"/>
  <c r="BI79" i="56"/>
  <c r="AB12" i="67" s="1"/>
  <c r="BI86" i="56"/>
  <c r="AB19" i="67" s="1"/>
  <c r="BI85" i="56"/>
  <c r="AB18" i="67" s="1"/>
  <c r="BI78" i="56"/>
  <c r="AB11" i="67" s="1"/>
  <c r="BI64" i="56"/>
  <c r="AG6" i="57" s="1"/>
  <c r="AG7" i="57" s="1"/>
  <c r="BI61" i="56"/>
  <c r="AJ24" i="66" s="1"/>
  <c r="BG85" i="56"/>
  <c r="Z18" i="67" s="1"/>
  <c r="BG88" i="56"/>
  <c r="Z21" i="67" s="1"/>
  <c r="BF87" i="56"/>
  <c r="Y20" i="67" s="1"/>
  <c r="BF73" i="56"/>
  <c r="Y6" i="67" s="1"/>
  <c r="BF81" i="56"/>
  <c r="Y14" i="67" s="1"/>
  <c r="BF84" i="56"/>
  <c r="Y17" i="67" s="1"/>
  <c r="BF75" i="56"/>
  <c r="Y8" i="67" s="1"/>
  <c r="BF88" i="56"/>
  <c r="Y21" i="67" s="1"/>
  <c r="BF74" i="56"/>
  <c r="Y7" i="67" s="1"/>
  <c r="BG74" i="56"/>
  <c r="Z7" i="67" s="1"/>
  <c r="BG61" i="56"/>
  <c r="AH24" i="66" s="1"/>
  <c r="BG87" i="56"/>
  <c r="Z20" i="67" s="1"/>
  <c r="BG84" i="56"/>
  <c r="Z17" i="67" s="1"/>
  <c r="BG73" i="56"/>
  <c r="Z6" i="67" s="1"/>
  <c r="BG86" i="56"/>
  <c r="Z19" i="67" s="1"/>
  <c r="BV53" i="56" a="1"/>
  <c r="BU63" i="56"/>
  <c r="BV63" i="56" s="1" a="1"/>
  <c r="BV44" i="56" a="1"/>
  <c r="AU9" i="56"/>
  <c r="BH60" i="56"/>
  <c r="BF89" i="56"/>
  <c r="Y22" i="67" s="1"/>
  <c r="BF71" i="56"/>
  <c r="Y4" i="67" s="1"/>
  <c r="BG64" i="56"/>
  <c r="AE6" i="57" s="1"/>
  <c r="AE7" i="57" s="1"/>
  <c r="BG71" i="56"/>
  <c r="Z4" i="67" s="1"/>
  <c r="BG80" i="56"/>
  <c r="Z13" i="67" s="1"/>
  <c r="BG78" i="56"/>
  <c r="Z11" i="67" s="1"/>
  <c r="BG77" i="56"/>
  <c r="Z10" i="67" s="1"/>
  <c r="AY30" i="56"/>
  <c r="BJ28" i="11"/>
  <c r="AV30" i="56"/>
  <c r="BB60" i="56"/>
  <c r="BB77" i="56" s="1"/>
  <c r="BF77" i="56"/>
  <c r="Y10" i="67" s="1"/>
  <c r="BF78" i="56"/>
  <c r="Y11" i="67" s="1"/>
  <c r="BF76" i="56"/>
  <c r="Y9" i="67" s="1"/>
  <c r="BF64" i="56"/>
  <c r="AD6" i="57" s="1"/>
  <c r="AD7" i="57" s="1"/>
  <c r="BF80" i="56"/>
  <c r="Y13" i="67" s="1"/>
  <c r="BF61" i="56"/>
  <c r="AG24" i="66" s="1"/>
  <c r="BF79" i="56"/>
  <c r="Y12" i="67" s="1"/>
  <c r="BF85" i="56"/>
  <c r="Y18" i="67" s="1"/>
  <c r="BG89" i="56"/>
  <c r="Z22" i="67" s="1"/>
  <c r="BF86" i="56"/>
  <c r="Y19" i="67" s="1"/>
  <c r="BG81" i="56"/>
  <c r="Z14" i="67" s="1"/>
  <c r="BG79" i="56"/>
  <c r="Z12" i="67" s="1"/>
  <c r="BA60" i="56"/>
  <c r="BA81" i="56" s="1"/>
  <c r="BA29" i="56"/>
  <c r="AU63" i="56"/>
  <c r="AW29" i="56"/>
  <c r="BL27" i="11"/>
  <c r="BT25" i="11"/>
  <c r="BT27" i="11" s="1"/>
  <c r="BC86" i="56"/>
  <c r="BC78" i="56"/>
  <c r="BC83" i="56"/>
  <c r="BC81" i="56"/>
  <c r="BC77" i="56"/>
  <c r="BC61" i="56"/>
  <c r="BC64" i="56"/>
  <c r="BE63" i="56"/>
  <c r="AQ5" i="57" s="1"/>
  <c r="BT44" i="56"/>
  <c r="AF7" i="66"/>
  <c r="BT59" i="56"/>
  <c r="AF22" i="66"/>
  <c r="BT51" i="56"/>
  <c r="AF14" i="66"/>
  <c r="BR27" i="11"/>
  <c r="BR28" i="11"/>
  <c r="AF20" i="66"/>
  <c r="BT57" i="56"/>
  <c r="BV8" i="11"/>
  <c r="BC29" i="56"/>
  <c r="BE25" i="56"/>
  <c r="BE56" i="56" s="1"/>
  <c r="AU56" i="56"/>
  <c r="BU56" i="56" s="1" a="1"/>
  <c r="AU45" i="56"/>
  <c r="BU45" i="56" s="1" a="1"/>
  <c r="BE14" i="56"/>
  <c r="BE45" i="56" s="1"/>
  <c r="BE42" i="56"/>
  <c r="BD29" i="56"/>
  <c r="BT46" i="56"/>
  <c r="AF9" i="66"/>
  <c r="BT47" i="56"/>
  <c r="AF10" i="66"/>
  <c r="BT50" i="56"/>
  <c r="AF13" i="66"/>
  <c r="BT49" i="56"/>
  <c r="AF12" i="66"/>
  <c r="BP28" i="11"/>
  <c r="BP27" i="11"/>
  <c r="BE53" i="56"/>
  <c r="BD60" i="56"/>
  <c r="BD86" i="56" s="1"/>
  <c r="AF11" i="66"/>
  <c r="BT48" i="56"/>
  <c r="AU21" i="56"/>
  <c r="BT55" i="56"/>
  <c r="AF18" i="66"/>
  <c r="AF17" i="66"/>
  <c r="BT54" i="56"/>
  <c r="BQ28" i="11"/>
  <c r="BQ27" i="11"/>
  <c r="AU58" i="56"/>
  <c r="BU58" i="56" s="1" a="1"/>
  <c r="BV58" i="56" s="1" a="1"/>
  <c r="BE27" i="56"/>
  <c r="BE58" i="56" s="1"/>
  <c r="BB29" i="56"/>
  <c r="BS27" i="11"/>
  <c r="BS28" i="11"/>
  <c r="BG83" i="56"/>
  <c r="Z16" i="67" s="1"/>
  <c r="AU83" i="13"/>
  <c r="AU84" i="13"/>
  <c r="AU78" i="13"/>
  <c r="AU79" i="13"/>
  <c r="AU102" i="13"/>
  <c r="AU72" i="13"/>
  <c r="AU97" i="13"/>
  <c r="AU98" i="13"/>
  <c r="AU91" i="13"/>
  <c r="AU104" i="13"/>
  <c r="AU88" i="13"/>
  <c r="AU107" i="13"/>
  <c r="AU68" i="13"/>
  <c r="AU67" i="13"/>
  <c r="AU87" i="13"/>
  <c r="AU73" i="13"/>
  <c r="AU103" i="13"/>
  <c r="AU89" i="13"/>
  <c r="AU92" i="13"/>
  <c r="AU93" i="13"/>
  <c r="AU75" i="13"/>
  <c r="AU105" i="13"/>
  <c r="AU108" i="13"/>
  <c r="AU94" i="13"/>
  <c r="AU96" i="13"/>
  <c r="AU99" i="13"/>
  <c r="AU101" i="13"/>
  <c r="AU65" i="13"/>
  <c r="AU71" i="13"/>
  <c r="AU80" i="13"/>
  <c r="AU85" i="13"/>
  <c r="AU81" i="13"/>
  <c r="AU90" i="13"/>
  <c r="AU64" i="13"/>
  <c r="AU109" i="13"/>
  <c r="AU100" i="13"/>
  <c r="AU106" i="13"/>
  <c r="AU86" i="13"/>
  <c r="AU76" i="13"/>
  <c r="AU95" i="13"/>
  <c r="AU74" i="13"/>
  <c r="BG72" i="56"/>
  <c r="Z5" i="67" s="1"/>
  <c r="BG76" i="56"/>
  <c r="Z9" i="67" s="1"/>
  <c r="BF83" i="56"/>
  <c r="Y16" i="67" s="1"/>
  <c r="AG23" i="66"/>
  <c r="Q60" i="56"/>
  <c r="AC23" i="66" s="1"/>
  <c r="AQ14" i="56"/>
  <c r="AQ23" i="56"/>
  <c r="AQ12" i="56"/>
  <c r="AQ43" i="56" s="1"/>
  <c r="AQ18" i="56"/>
  <c r="AQ10" i="56"/>
  <c r="AQ25" i="56"/>
  <c r="AQ15" i="56"/>
  <c r="AQ19" i="56"/>
  <c r="AQ20" i="56"/>
  <c r="AQ16" i="56"/>
  <c r="AQ13" i="56"/>
  <c r="AQ17" i="56"/>
  <c r="AQ24" i="56"/>
  <c r="AQ26" i="56"/>
  <c r="AQ28" i="56"/>
  <c r="AQ11" i="56"/>
  <c r="AQ22" i="56"/>
  <c r="AQ27" i="56"/>
  <c r="BR10" i="56"/>
  <c r="AI84" i="56"/>
  <c r="AI74" i="56"/>
  <c r="AI81" i="56"/>
  <c r="AI79" i="56"/>
  <c r="AI73" i="56"/>
  <c r="BR13" i="56"/>
  <c r="BR14" i="56"/>
  <c r="AI86" i="56"/>
  <c r="AI87" i="56"/>
  <c r="AI61" i="56"/>
  <c r="AJ79" i="56"/>
  <c r="AI88" i="56"/>
  <c r="AI64" i="56"/>
  <c r="AF79" i="56"/>
  <c r="BQ80" i="56"/>
  <c r="BQ79" i="56"/>
  <c r="BQ71" i="56"/>
  <c r="BQ64" i="56"/>
  <c r="AO6" i="57" s="1"/>
  <c r="AO7" i="57" s="1"/>
  <c r="AI83" i="56"/>
  <c r="AJ87" i="56"/>
  <c r="BQ73" i="56"/>
  <c r="AJ88" i="56"/>
  <c r="AG32" i="63"/>
  <c r="BQ77" i="56"/>
  <c r="BQ84" i="56"/>
  <c r="BQ87" i="56"/>
  <c r="BQ74" i="56"/>
  <c r="AG30" i="56"/>
  <c r="Q11" i="65" s="1" a="1"/>
  <c r="BQ76" i="56"/>
  <c r="BQ83" i="56"/>
  <c r="BQ75" i="56"/>
  <c r="BQ85" i="56"/>
  <c r="BQ81" i="56"/>
  <c r="AJ73" i="56"/>
  <c r="J61" i="56"/>
  <c r="BQ89" i="56"/>
  <c r="AF77" i="56"/>
  <c r="AF72" i="56"/>
  <c r="AF78" i="56"/>
  <c r="AF75" i="56"/>
  <c r="AF88" i="56"/>
  <c r="BQ72" i="56"/>
  <c r="AF81" i="56"/>
  <c r="AF76" i="56"/>
  <c r="AF87" i="56"/>
  <c r="J85" i="56"/>
  <c r="AF84" i="56"/>
  <c r="AF89" i="56"/>
  <c r="AF64" i="56"/>
  <c r="AF85" i="56"/>
  <c r="AF86" i="56"/>
  <c r="AF74" i="56"/>
  <c r="AF73" i="56"/>
  <c r="AF61" i="56"/>
  <c r="BQ61" i="56"/>
  <c r="BQ78" i="56"/>
  <c r="BQ86" i="56"/>
  <c r="BR27" i="56"/>
  <c r="BR22" i="56"/>
  <c r="BR15" i="56"/>
  <c r="BR19" i="56"/>
  <c r="BR25" i="56"/>
  <c r="BR23" i="56"/>
  <c r="BR11" i="56"/>
  <c r="BR18" i="56"/>
  <c r="BR16" i="56"/>
  <c r="BH30" i="56"/>
  <c r="BR28" i="56"/>
  <c r="BR24" i="56"/>
  <c r="BR20" i="56"/>
  <c r="BR26" i="56"/>
  <c r="BR34" i="56"/>
  <c r="BR31" i="56"/>
  <c r="BR12" i="56"/>
  <c r="BR43" i="56" s="1"/>
  <c r="AL6" i="66" s="1"/>
  <c r="BR17" i="56"/>
  <c r="AO73" i="56"/>
  <c r="AJ75" i="56"/>
  <c r="AO81" i="56"/>
  <c r="AO89" i="56"/>
  <c r="AI72" i="56"/>
  <c r="AG85" i="56"/>
  <c r="AJ76" i="56"/>
  <c r="AG80" i="56"/>
  <c r="AG78" i="56"/>
  <c r="AJ85" i="56"/>
  <c r="AO77" i="56"/>
  <c r="AI89" i="56"/>
  <c r="AG77" i="56"/>
  <c r="AJ81" i="56"/>
  <c r="AJ77" i="56"/>
  <c r="AO78" i="56"/>
  <c r="AI80" i="56"/>
  <c r="AG89" i="56"/>
  <c r="AJ89" i="56"/>
  <c r="AJ61" i="56"/>
  <c r="AJ83" i="56"/>
  <c r="AJ78" i="56"/>
  <c r="AX29" i="63"/>
  <c r="AZ26" i="63" s="1"/>
  <c r="AO74" i="56"/>
  <c r="AI85" i="56"/>
  <c r="AG61" i="56"/>
  <c r="AJ72" i="56"/>
  <c r="AJ64" i="56"/>
  <c r="AF83" i="56"/>
  <c r="AF71" i="56"/>
  <c r="AO86" i="56"/>
  <c r="AI75" i="56"/>
  <c r="AG64" i="56"/>
  <c r="AJ80" i="56"/>
  <c r="AG79" i="56"/>
  <c r="AG74" i="56"/>
  <c r="AG81" i="56"/>
  <c r="AG86" i="56"/>
  <c r="AO84" i="56"/>
  <c r="AI77" i="56"/>
  <c r="AJ84" i="56"/>
  <c r="AO61" i="56"/>
  <c r="AO76" i="56"/>
  <c r="AI78" i="56"/>
  <c r="AJ74" i="56"/>
  <c r="AI76" i="56"/>
  <c r="AJ86" i="56"/>
  <c r="J89" i="56"/>
  <c r="AO83" i="56"/>
  <c r="AO71" i="56"/>
  <c r="J81" i="56"/>
  <c r="AO80" i="56"/>
  <c r="AG83" i="56"/>
  <c r="AG75" i="56"/>
  <c r="AG71" i="56"/>
  <c r="AG87" i="56"/>
  <c r="AO72" i="56"/>
  <c r="J74" i="56"/>
  <c r="AO79" i="56"/>
  <c r="AG88" i="56"/>
  <c r="J71" i="56"/>
  <c r="AO75" i="56"/>
  <c r="AG84" i="56"/>
  <c r="J79" i="56"/>
  <c r="J64" i="56"/>
  <c r="AO85" i="56"/>
  <c r="AG73" i="56"/>
  <c r="AP70" i="56"/>
  <c r="J84" i="56"/>
  <c r="AO87" i="56"/>
  <c r="AL70" i="56"/>
  <c r="J77" i="56"/>
  <c r="J80" i="56"/>
  <c r="AN70" i="56"/>
  <c r="AO88" i="56"/>
  <c r="AG72" i="56"/>
  <c r="J75" i="56"/>
  <c r="AN82" i="56"/>
  <c r="AP82" i="56"/>
  <c r="J86" i="56"/>
  <c r="AS39" i="63"/>
  <c r="AX39" i="63" s="1"/>
  <c r="AL82" i="56"/>
  <c r="AH61" i="56"/>
  <c r="AH64" i="56"/>
  <c r="AH89" i="56"/>
  <c r="AH78" i="56"/>
  <c r="AH88" i="56"/>
  <c r="AH86" i="56"/>
  <c r="AH84" i="56"/>
  <c r="AH79" i="56"/>
  <c r="AH74" i="56"/>
  <c r="AH80" i="56"/>
  <c r="AH85" i="56"/>
  <c r="AH81" i="56"/>
  <c r="AH87" i="56"/>
  <c r="AH72" i="56"/>
  <c r="AH77" i="56"/>
  <c r="AH73" i="56"/>
  <c r="AH76" i="56"/>
  <c r="AH75" i="56"/>
  <c r="AH83" i="56"/>
  <c r="AH71" i="56"/>
  <c r="AM82" i="56"/>
  <c r="AK70" i="56"/>
  <c r="AK82" i="56"/>
  <c r="J87" i="56"/>
  <c r="J83" i="56"/>
  <c r="J76" i="56"/>
  <c r="AE64" i="56"/>
  <c r="AE61" i="56"/>
  <c r="AE78" i="56"/>
  <c r="AE81" i="56"/>
  <c r="AE83" i="56"/>
  <c r="AE73" i="56"/>
  <c r="AE79" i="56"/>
  <c r="AE84" i="56"/>
  <c r="AE88" i="56"/>
  <c r="AE87" i="56"/>
  <c r="AE86" i="56"/>
  <c r="AE74" i="56"/>
  <c r="AE76" i="56"/>
  <c r="AE75" i="56"/>
  <c r="AE85" i="56"/>
  <c r="AE72" i="56"/>
  <c r="AE77" i="56"/>
  <c r="AE80" i="56"/>
  <c r="AE71" i="56"/>
  <c r="AE89" i="56"/>
  <c r="J73" i="56"/>
  <c r="J78" i="56"/>
  <c r="J72" i="56"/>
  <c r="AM70" i="56"/>
  <c r="AX44" i="63"/>
  <c r="BN73" i="56"/>
  <c r="BN88" i="56"/>
  <c r="Q56" i="11"/>
  <c r="W86" i="56"/>
  <c r="BN72" i="56"/>
  <c r="BN84" i="56"/>
  <c r="BN78" i="56"/>
  <c r="BN77" i="56"/>
  <c r="BN86" i="56"/>
  <c r="BN83" i="56"/>
  <c r="BN87" i="56"/>
  <c r="BN71" i="56"/>
  <c r="BN80" i="56"/>
  <c r="BN61" i="56"/>
  <c r="BN74" i="56"/>
  <c r="BN75" i="56"/>
  <c r="BN85" i="56"/>
  <c r="BN76" i="56"/>
  <c r="BN89" i="56"/>
  <c r="BN81" i="56"/>
  <c r="BN79" i="56"/>
  <c r="W88" i="56"/>
  <c r="W81" i="56"/>
  <c r="AS82" i="56"/>
  <c r="W89" i="56"/>
  <c r="W64" i="56"/>
  <c r="V6" i="57" s="1"/>
  <c r="V7" i="57" s="1"/>
  <c r="AD56" i="11"/>
  <c r="AS70" i="56"/>
  <c r="W79" i="56"/>
  <c r="W74" i="56"/>
  <c r="W78" i="56"/>
  <c r="W80" i="56"/>
  <c r="W72" i="56"/>
  <c r="W77" i="56"/>
  <c r="W73" i="56"/>
  <c r="W84" i="56"/>
  <c r="W75" i="56"/>
  <c r="W61" i="56"/>
  <c r="W76" i="56"/>
  <c r="W71" i="56"/>
  <c r="W85" i="56"/>
  <c r="W87" i="56"/>
  <c r="P82" i="56"/>
  <c r="K70" i="56"/>
  <c r="AT82" i="56"/>
  <c r="E82" i="56"/>
  <c r="P70" i="56"/>
  <c r="AK80" i="63"/>
  <c r="AK68" i="63"/>
  <c r="AG68" i="63"/>
  <c r="BL89" i="56"/>
  <c r="BL86" i="56"/>
  <c r="AT70" i="56"/>
  <c r="BL75" i="56"/>
  <c r="BL64" i="56"/>
  <c r="AJ6" i="57" s="1"/>
  <c r="AJ7" i="57" s="1"/>
  <c r="BL81" i="56"/>
  <c r="M70" i="56"/>
  <c r="E70" i="56"/>
  <c r="K82" i="56"/>
  <c r="BL80" i="56"/>
  <c r="BL84" i="56"/>
  <c r="M82" i="56"/>
  <c r="BL61" i="56"/>
  <c r="F82" i="56"/>
  <c r="BL74" i="56"/>
  <c r="BL76" i="56"/>
  <c r="Z70" i="56"/>
  <c r="BL78" i="56"/>
  <c r="BU26" i="56"/>
  <c r="BU20" i="56"/>
  <c r="BL88" i="56"/>
  <c r="BL79" i="56"/>
  <c r="BL73" i="56"/>
  <c r="BL85" i="56"/>
  <c r="BL87" i="56"/>
  <c r="BL72" i="56"/>
  <c r="BL83" i="56"/>
  <c r="BL77" i="56"/>
  <c r="F70" i="56"/>
  <c r="AG80" i="63"/>
  <c r="BU17" i="56"/>
  <c r="BU27" i="56"/>
  <c r="BU14" i="56"/>
  <c r="BU21" i="56"/>
  <c r="BK82" i="56"/>
  <c r="BK70" i="56"/>
  <c r="BU16" i="56"/>
  <c r="BU13" i="56"/>
  <c r="BU18" i="56"/>
  <c r="AB70" i="56"/>
  <c r="O82" i="56"/>
  <c r="AA82" i="56"/>
  <c r="O70" i="56"/>
  <c r="Z82" i="56"/>
  <c r="AB82" i="56"/>
  <c r="AA70" i="56"/>
  <c r="N82" i="56"/>
  <c r="BU28" i="56"/>
  <c r="BU19" i="56"/>
  <c r="BU15" i="56"/>
  <c r="BU12" i="56"/>
  <c r="BU10" i="56"/>
  <c r="BS30" i="56"/>
  <c r="BU22" i="56"/>
  <c r="BU11" i="56"/>
  <c r="BU23" i="56"/>
  <c r="BU25" i="56"/>
  <c r="N70" i="56"/>
  <c r="S64" i="56"/>
  <c r="R6" i="57" s="1"/>
  <c r="R7" i="57" s="1"/>
  <c r="AP68" i="63"/>
  <c r="AP80" i="63"/>
  <c r="BM59" i="63"/>
  <c r="BM62" i="63" s="1"/>
  <c r="AH86" i="63"/>
  <c r="AL68" i="63"/>
  <c r="AZ61" i="63"/>
  <c r="AQ68" i="63"/>
  <c r="AQ80" i="63"/>
  <c r="T82" i="56"/>
  <c r="X82" i="56"/>
  <c r="X70" i="56"/>
  <c r="AH79" i="63"/>
  <c r="T70" i="56"/>
  <c r="BI59" i="63"/>
  <c r="BI62" i="63" s="1"/>
  <c r="AH83" i="63"/>
  <c r="BG59" i="63"/>
  <c r="BG62" i="63" s="1"/>
  <c r="AY59" i="63"/>
  <c r="AL80" i="63"/>
  <c r="S85" i="56"/>
  <c r="S71" i="56"/>
  <c r="AH75" i="63"/>
  <c r="AC82" i="56"/>
  <c r="AH73" i="63"/>
  <c r="AH82" i="63"/>
  <c r="AH72" i="63"/>
  <c r="AH62" i="63"/>
  <c r="S72" i="56"/>
  <c r="BO59" i="63"/>
  <c r="BO62" i="63" s="1"/>
  <c r="AY62" i="63" s="1"/>
  <c r="S75" i="56"/>
  <c r="AH78" i="63"/>
  <c r="AH85" i="63"/>
  <c r="V70" i="56"/>
  <c r="AH87" i="63"/>
  <c r="S73" i="56"/>
  <c r="S88" i="56"/>
  <c r="S79" i="56"/>
  <c r="AH74" i="63"/>
  <c r="AH70" i="63"/>
  <c r="S89" i="56"/>
  <c r="S81" i="56"/>
  <c r="BJ59" i="63"/>
  <c r="BJ62" i="63" s="1"/>
  <c r="AC70" i="56"/>
  <c r="S76" i="56"/>
  <c r="BK59" i="63"/>
  <c r="BK62" i="63" s="1"/>
  <c r="S80" i="56"/>
  <c r="AH76" i="63"/>
  <c r="AH69" i="63"/>
  <c r="S87" i="56"/>
  <c r="S77" i="56"/>
  <c r="AH84" i="63"/>
  <c r="AH77" i="63"/>
  <c r="S86" i="56"/>
  <c r="BL59" i="63"/>
  <c r="BL62" i="63" s="1"/>
  <c r="S61" i="56"/>
  <c r="AH71" i="63"/>
  <c r="V82" i="56"/>
  <c r="BH59" i="63"/>
  <c r="BH62" i="63" s="1"/>
  <c r="S74" i="56"/>
  <c r="S78" i="56"/>
  <c r="S84" i="56"/>
  <c r="Y82" i="56"/>
  <c r="AD30" i="56"/>
  <c r="AR68" i="63"/>
  <c r="AN68" i="63"/>
  <c r="AJ68" i="63"/>
  <c r="Y70" i="56"/>
  <c r="AM80" i="63"/>
  <c r="AM68" i="63"/>
  <c r="AR80" i="63"/>
  <c r="AN80" i="63"/>
  <c r="BM70" i="56"/>
  <c r="BP82" i="56"/>
  <c r="BO82" i="56"/>
  <c r="R70" i="56"/>
  <c r="BM82" i="56"/>
  <c r="BO70" i="56"/>
  <c r="AI83" i="63"/>
  <c r="AI72" i="63"/>
  <c r="AI70" i="63"/>
  <c r="AI73" i="63"/>
  <c r="AI78" i="63"/>
  <c r="AI86" i="63"/>
  <c r="AI69" i="63"/>
  <c r="AI82" i="63"/>
  <c r="AI87" i="63"/>
  <c r="AI84" i="63"/>
  <c r="AI85" i="63"/>
  <c r="AI74" i="63"/>
  <c r="AI75" i="63"/>
  <c r="AI81" i="63"/>
  <c r="AI62" i="63"/>
  <c r="AI77" i="63"/>
  <c r="AI76" i="63"/>
  <c r="AI71" i="63"/>
  <c r="AI79" i="63"/>
  <c r="L82" i="56"/>
  <c r="L70" i="56"/>
  <c r="BP70" i="56"/>
  <c r="I82" i="56"/>
  <c r="AZ51" i="63"/>
  <c r="AX51" i="63"/>
  <c r="R82" i="56"/>
  <c r="H82" i="56"/>
  <c r="AD60" i="56"/>
  <c r="AO68" i="63"/>
  <c r="I70" i="56"/>
  <c r="H70" i="56"/>
  <c r="G82" i="56"/>
  <c r="G70" i="56"/>
  <c r="U70" i="56"/>
  <c r="AO80" i="63"/>
  <c r="AS32" i="63"/>
  <c r="AS31" i="63"/>
  <c r="AJ80" i="63"/>
  <c r="U82" i="56"/>
  <c r="BC89" i="56" l="1"/>
  <c r="AW60" i="56"/>
  <c r="BC71" i="56"/>
  <c r="BC80" i="56"/>
  <c r="BC76" i="56"/>
  <c r="BC88" i="56"/>
  <c r="BC79" i="56"/>
  <c r="BC72" i="56"/>
  <c r="BC75" i="56"/>
  <c r="BC84" i="56"/>
  <c r="BC73" i="56"/>
  <c r="BC74" i="56"/>
  <c r="BC87" i="56"/>
  <c r="AV82" i="56"/>
  <c r="AV70" i="56"/>
  <c r="AZ70" i="56"/>
  <c r="AZ82" i="56"/>
  <c r="BI82" i="56"/>
  <c r="AB15" i="67" s="1"/>
  <c r="BI70" i="56"/>
  <c r="AB3" i="67" s="1"/>
  <c r="BV42" i="56" a="1"/>
  <c r="AY70" i="56"/>
  <c r="AX82" i="56"/>
  <c r="AX70" i="56"/>
  <c r="AY82" i="56"/>
  <c r="BJ90" i="56"/>
  <c r="AC23" i="67" s="1"/>
  <c r="BI90" i="56"/>
  <c r="AB23" i="67" s="1"/>
  <c r="BH74" i="56"/>
  <c r="AA7" i="67" s="1"/>
  <c r="BH84" i="56"/>
  <c r="AA17" i="67" s="1"/>
  <c r="BH79" i="56"/>
  <c r="AA12" i="67" s="1"/>
  <c r="BH89" i="56"/>
  <c r="AA22" i="67" s="1"/>
  <c r="BH76" i="56"/>
  <c r="AA9" i="67" s="1"/>
  <c r="BH72" i="56"/>
  <c r="AA5" i="67" s="1"/>
  <c r="AI23" i="66"/>
  <c r="BH83" i="56"/>
  <c r="AA16" i="67" s="1"/>
  <c r="BH86" i="56"/>
  <c r="AA19" i="67" s="1"/>
  <c r="BH88" i="56"/>
  <c r="AA21" i="67" s="1"/>
  <c r="BH85" i="56"/>
  <c r="AA18" i="67" s="1"/>
  <c r="BH61" i="56"/>
  <c r="AI24" i="66" s="1"/>
  <c r="BH73" i="56"/>
  <c r="AA6" i="67" s="1"/>
  <c r="BH81" i="56"/>
  <c r="AA14" i="67" s="1"/>
  <c r="BH80" i="56"/>
  <c r="AA13" i="67" s="1"/>
  <c r="BH77" i="56"/>
  <c r="AA10" i="67" s="1"/>
  <c r="BH87" i="56"/>
  <c r="AA20" i="67" s="1"/>
  <c r="BH71" i="56"/>
  <c r="AA4" i="67" s="1"/>
  <c r="BH64" i="56"/>
  <c r="AF6" i="57" s="1"/>
  <c r="AF7" i="57" s="1"/>
  <c r="BH78" i="56"/>
  <c r="AA11" i="67" s="1"/>
  <c r="BB85" i="56"/>
  <c r="BB89" i="56"/>
  <c r="BH75" i="56"/>
  <c r="AA8" i="67" s="1"/>
  <c r="BU52" i="56"/>
  <c r="BV52" i="56" s="1" a="1"/>
  <c r="BV56" i="56" a="1"/>
  <c r="BU40" i="56"/>
  <c r="BV45" i="56" a="1"/>
  <c r="AU29" i="56"/>
  <c r="AU30" i="56" s="1"/>
  <c r="L10" i="65" a="1"/>
  <c r="BB61" i="56"/>
  <c r="BB86" i="56"/>
  <c r="BB84" i="56"/>
  <c r="BB81" i="56"/>
  <c r="BB72" i="56"/>
  <c r="BB79" i="56"/>
  <c r="BB76" i="56"/>
  <c r="BB74" i="56"/>
  <c r="BB83" i="56"/>
  <c r="BB75" i="56"/>
  <c r="BB73" i="56"/>
  <c r="BB80" i="56"/>
  <c r="BD30" i="56"/>
  <c r="BB30" i="56"/>
  <c r="BB88" i="56"/>
  <c r="BB71" i="56"/>
  <c r="AW30" i="56"/>
  <c r="BB78" i="56"/>
  <c r="BC30" i="56"/>
  <c r="BB87" i="56"/>
  <c r="BA30" i="56"/>
  <c r="BB64" i="56"/>
  <c r="BA75" i="56"/>
  <c r="BA88" i="56"/>
  <c r="BF70" i="56"/>
  <c r="Y3" i="67" s="1"/>
  <c r="BA64" i="56"/>
  <c r="BA80" i="56"/>
  <c r="BA71" i="56"/>
  <c r="BF82" i="56"/>
  <c r="Y15" i="67" s="1"/>
  <c r="BA87" i="56"/>
  <c r="BA89" i="56"/>
  <c r="BA74" i="56"/>
  <c r="BA61" i="56"/>
  <c r="BA78" i="56"/>
  <c r="BA84" i="56"/>
  <c r="BA83" i="56"/>
  <c r="BA77" i="56"/>
  <c r="BA76" i="56"/>
  <c r="BA85" i="56"/>
  <c r="BA86" i="56"/>
  <c r="BA73" i="56"/>
  <c r="BA79" i="56"/>
  <c r="BA72" i="56"/>
  <c r="BE9" i="56"/>
  <c r="BG82" i="56"/>
  <c r="Z15" i="67" s="1"/>
  <c r="Q71" i="56"/>
  <c r="T4" i="67" s="1"/>
  <c r="BE21" i="56"/>
  <c r="BT28" i="11"/>
  <c r="AF5" i="66"/>
  <c r="BT42" i="56"/>
  <c r="BE40" i="56"/>
  <c r="AF21" i="66"/>
  <c r="BT58" i="56"/>
  <c r="BT63" i="56"/>
  <c r="AU52" i="56"/>
  <c r="AW75" i="56"/>
  <c r="AW84" i="56"/>
  <c r="AW73" i="56"/>
  <c r="AW61" i="56"/>
  <c r="AW88" i="56"/>
  <c r="AW78" i="56"/>
  <c r="AW83" i="56"/>
  <c r="AW89" i="56"/>
  <c r="AW85" i="56"/>
  <c r="AW74" i="56"/>
  <c r="AW72" i="56"/>
  <c r="AW81" i="56"/>
  <c r="AW80" i="56"/>
  <c r="AW79" i="56"/>
  <c r="AW86" i="56"/>
  <c r="AW87" i="56"/>
  <c r="AW77" i="56"/>
  <c r="AW64" i="56"/>
  <c r="AW76" i="56"/>
  <c r="AW71" i="56"/>
  <c r="BD88" i="56"/>
  <c r="BD85" i="56"/>
  <c r="BD77" i="56"/>
  <c r="BD81" i="56"/>
  <c r="BD79" i="56"/>
  <c r="BD84" i="56"/>
  <c r="BD64" i="56"/>
  <c r="BD89" i="56"/>
  <c r="BD71" i="56"/>
  <c r="BD61" i="56"/>
  <c r="BD80" i="56"/>
  <c r="BD73" i="56"/>
  <c r="BD76" i="56"/>
  <c r="BD87" i="56"/>
  <c r="BD72" i="56"/>
  <c r="BD74" i="56"/>
  <c r="BD75" i="56"/>
  <c r="BD83" i="56"/>
  <c r="BD78" i="56"/>
  <c r="AF16" i="66"/>
  <c r="BE52" i="56"/>
  <c r="BT53" i="56"/>
  <c r="BT56" i="56"/>
  <c r="AF19" i="66"/>
  <c r="AF8" i="66"/>
  <c r="BT45" i="56"/>
  <c r="AU40" i="56"/>
  <c r="AU110" i="13"/>
  <c r="BG70" i="56"/>
  <c r="Z3" i="67" s="1"/>
  <c r="Q77" i="56"/>
  <c r="T10" i="67" s="1"/>
  <c r="Q86" i="56"/>
  <c r="T19" i="67" s="1"/>
  <c r="Q64" i="56"/>
  <c r="P6" i="57" s="1"/>
  <c r="P7" i="57" s="1"/>
  <c r="Q75" i="56"/>
  <c r="T8" i="67" s="1"/>
  <c r="Q74" i="56"/>
  <c r="T7" i="67" s="1"/>
  <c r="Q78" i="56"/>
  <c r="T11" i="67" s="1"/>
  <c r="Q85" i="56"/>
  <c r="T18" i="67" s="1"/>
  <c r="Q88" i="56"/>
  <c r="T21" i="67" s="1"/>
  <c r="Q80" i="56"/>
  <c r="T13" i="67" s="1"/>
  <c r="Q89" i="56"/>
  <c r="T22" i="67" s="1"/>
  <c r="L8" i="65" a="1"/>
  <c r="Q87" i="56"/>
  <c r="T20" i="67" s="1"/>
  <c r="Q73" i="56"/>
  <c r="T6" i="67" s="1"/>
  <c r="Q79" i="56"/>
  <c r="T12" i="67" s="1"/>
  <c r="Q61" i="56"/>
  <c r="AC24" i="66" s="1"/>
  <c r="Q83" i="56"/>
  <c r="T16" i="67" s="1"/>
  <c r="Q76" i="56"/>
  <c r="T9" i="67" s="1"/>
  <c r="Q84" i="56"/>
  <c r="T17" i="67" s="1"/>
  <c r="Q81" i="56"/>
  <c r="T14" i="67" s="1"/>
  <c r="F12" i="65" a="1"/>
  <c r="F10" i="65" a="1"/>
  <c r="F27" i="65" a="1"/>
  <c r="L20" i="65" a="1"/>
  <c r="F20" i="65" a="1"/>
  <c r="F7" i="65" a="1"/>
  <c r="F11" i="65" a="1"/>
  <c r="F23" i="65" a="1"/>
  <c r="F8" i="65" a="1"/>
  <c r="L9" i="65" a="1"/>
  <c r="L33" i="65" a="1"/>
  <c r="L14" i="65" a="1"/>
  <c r="L27" i="65" a="1"/>
  <c r="F22" i="65" a="1"/>
  <c r="F33" i="65" a="1"/>
  <c r="F14" i="65" a="1"/>
  <c r="L6" i="65" a="1"/>
  <c r="F13" i="65" a="1"/>
  <c r="F15" i="65" a="1"/>
  <c r="F16" i="65" a="1"/>
  <c r="L12" i="65" a="1"/>
  <c r="L18" i="65" a="1"/>
  <c r="F19" i="65" a="1"/>
  <c r="F24" i="65" a="1"/>
  <c r="L22" i="65" a="1"/>
  <c r="F9" i="65" a="1"/>
  <c r="L19" i="65" a="1"/>
  <c r="L21" i="65" a="1"/>
  <c r="L11" i="65" a="1"/>
  <c r="F6" i="65" a="1"/>
  <c r="L7" i="65" a="1"/>
  <c r="F18" i="65" a="1"/>
  <c r="L13" i="65" a="1"/>
  <c r="L16" i="65" a="1"/>
  <c r="L15" i="65" a="1"/>
  <c r="L24" i="65" a="1"/>
  <c r="F21" i="65" a="1"/>
  <c r="L23" i="65" a="1"/>
  <c r="BW52" i="56"/>
  <c r="AD23" i="66"/>
  <c r="Q72" i="56"/>
  <c r="T5" i="67" s="1"/>
  <c r="Q8" i="65" a="1"/>
  <c r="Q7" i="65" a="1"/>
  <c r="Q18" i="65" a="1"/>
  <c r="Q33" i="65" a="1"/>
  <c r="Q13" i="65" a="1"/>
  <c r="Q12" i="65" a="1"/>
  <c r="Q20" i="65" a="1"/>
  <c r="Q15" i="65" a="1"/>
  <c r="Q21" i="65" a="1"/>
  <c r="AE6" i="66"/>
  <c r="AR43" i="56"/>
  <c r="Q9" i="65" a="1"/>
  <c r="Q27" i="65" a="1"/>
  <c r="Q38" i="65" s="1" a="1"/>
  <c r="Q22" i="65" a="1"/>
  <c r="Q14" i="65" a="1"/>
  <c r="Q19" i="65" a="1"/>
  <c r="Q23" i="65" a="1"/>
  <c r="Q6" i="65" a="1"/>
  <c r="Q24" i="65" a="1"/>
  <c r="Q16" i="65" a="1"/>
  <c r="Q10" i="65" a="1"/>
  <c r="AQ51" i="56"/>
  <c r="BS43" i="56"/>
  <c r="AQ58" i="56"/>
  <c r="AQ48" i="56"/>
  <c r="AQ57" i="56"/>
  <c r="AQ42" i="56"/>
  <c r="AQ49" i="56"/>
  <c r="AI82" i="56"/>
  <c r="AQ46" i="56"/>
  <c r="AQ50" i="56"/>
  <c r="AQ56" i="56"/>
  <c r="AQ54" i="56"/>
  <c r="AQ44" i="56"/>
  <c r="AQ47" i="56"/>
  <c r="AQ59" i="56"/>
  <c r="AQ53" i="56"/>
  <c r="AQ9" i="56"/>
  <c r="AQ45" i="56"/>
  <c r="AZ16" i="63"/>
  <c r="AZ15" i="63"/>
  <c r="AZ9" i="63"/>
  <c r="AZ10" i="63"/>
  <c r="AZ23" i="63"/>
  <c r="AX31" i="63"/>
  <c r="BQ82" i="56"/>
  <c r="AF70" i="56"/>
  <c r="AJ82" i="56"/>
  <c r="BR54" i="56"/>
  <c r="AL17" i="66" s="1"/>
  <c r="BQ70" i="56"/>
  <c r="AZ39" i="63"/>
  <c r="AS59" i="63"/>
  <c r="BB51" i="63" s="1"/>
  <c r="BC51" i="63" s="1"/>
  <c r="AO82" i="56"/>
  <c r="AJ70" i="56"/>
  <c r="AZ11" i="63"/>
  <c r="AZ20" i="63"/>
  <c r="AZ14" i="63"/>
  <c r="AF82" i="56"/>
  <c r="AZ13" i="63"/>
  <c r="AZ22" i="63"/>
  <c r="AZ19" i="63"/>
  <c r="AZ28" i="63"/>
  <c r="AZ27" i="63"/>
  <c r="AZ24" i="63"/>
  <c r="BR41" i="56"/>
  <c r="AL4" i="66" s="1"/>
  <c r="J70" i="56"/>
  <c r="AZ25" i="63"/>
  <c r="AZ17" i="63"/>
  <c r="AZ21" i="63"/>
  <c r="AX32" i="63"/>
  <c r="AZ12" i="63"/>
  <c r="AZ18" i="63"/>
  <c r="AI70" i="56"/>
  <c r="BR58" i="56"/>
  <c r="AL21" i="66" s="1"/>
  <c r="BR45" i="56"/>
  <c r="AL8" i="66" s="1"/>
  <c r="BR56" i="56"/>
  <c r="AL19" i="66" s="1"/>
  <c r="BR50" i="56"/>
  <c r="AL13" i="66" s="1"/>
  <c r="BR59" i="56"/>
  <c r="AL22" i="66" s="1"/>
  <c r="BR48" i="56"/>
  <c r="AL11" i="66" s="1"/>
  <c r="AQ21" i="56"/>
  <c r="BR42" i="56"/>
  <c r="AL5" i="66" s="1"/>
  <c r="AQ41" i="56"/>
  <c r="BR44" i="56"/>
  <c r="AL7" i="66" s="1"/>
  <c r="BR57" i="56"/>
  <c r="AL20" i="66" s="1"/>
  <c r="AQ55" i="56"/>
  <c r="BR9" i="56"/>
  <c r="BR49" i="56"/>
  <c r="AL12" i="66" s="1"/>
  <c r="BR47" i="56"/>
  <c r="AL10" i="66" s="1"/>
  <c r="BR46" i="56"/>
  <c r="AL9" i="66" s="1"/>
  <c r="BR53" i="56"/>
  <c r="AL16" i="66" s="1"/>
  <c r="BR55" i="56"/>
  <c r="AL18" i="66" s="1"/>
  <c r="BR21" i="56"/>
  <c r="BR51" i="56"/>
  <c r="AL14" i="66" s="1"/>
  <c r="AG82" i="56"/>
  <c r="AK90" i="56"/>
  <c r="AP90" i="56"/>
  <c r="J82" i="56"/>
  <c r="AN90" i="56"/>
  <c r="AO70" i="56"/>
  <c r="AG70" i="56"/>
  <c r="AL90" i="56"/>
  <c r="AH82" i="56"/>
  <c r="AE70" i="56"/>
  <c r="AH70" i="56"/>
  <c r="AM90" i="56"/>
  <c r="AE82" i="56"/>
  <c r="AK88" i="63"/>
  <c r="BN82" i="56"/>
  <c r="BN70" i="56"/>
  <c r="M90" i="56"/>
  <c r="W82" i="56"/>
  <c r="AS90" i="56"/>
  <c r="W70" i="56"/>
  <c r="AT90" i="56"/>
  <c r="P90" i="56"/>
  <c r="K90" i="56"/>
  <c r="E90" i="56"/>
  <c r="AG88" i="63"/>
  <c r="BL82" i="56"/>
  <c r="N90" i="56"/>
  <c r="F90" i="56"/>
  <c r="BL70" i="56"/>
  <c r="BU29" i="56"/>
  <c r="BK90" i="56"/>
  <c r="O90" i="56"/>
  <c r="L90" i="56"/>
  <c r="AM88" i="63"/>
  <c r="H90" i="56"/>
  <c r="BP90" i="56"/>
  <c r="T90" i="56"/>
  <c r="AL88" i="63"/>
  <c r="V90" i="56"/>
  <c r="AH68" i="63"/>
  <c r="AH80" i="63"/>
  <c r="X90" i="56"/>
  <c r="R90" i="56"/>
  <c r="S70" i="56"/>
  <c r="Y90" i="56"/>
  <c r="S82" i="56"/>
  <c r="BM90" i="56"/>
  <c r="AJ88" i="63"/>
  <c r="I90" i="56"/>
  <c r="AI68" i="63"/>
  <c r="AN88" i="63"/>
  <c r="BO90" i="56"/>
  <c r="AI80" i="63"/>
  <c r="BW46" i="56"/>
  <c r="AD84" i="56"/>
  <c r="U17" i="67" s="1"/>
  <c r="AD76" i="56"/>
  <c r="U9" i="67" s="1"/>
  <c r="BW54" i="56"/>
  <c r="AD64" i="56"/>
  <c r="BW51" i="56"/>
  <c r="BW56" i="56"/>
  <c r="AD80" i="56"/>
  <c r="U13" i="67" s="1"/>
  <c r="AD86" i="56"/>
  <c r="U19" i="67" s="1"/>
  <c r="BW55" i="56"/>
  <c r="AD61" i="56"/>
  <c r="AD24" i="66" s="1"/>
  <c r="BW59" i="56"/>
  <c r="AD89" i="56"/>
  <c r="U22" i="67" s="1"/>
  <c r="BW49" i="56"/>
  <c r="AD79" i="56"/>
  <c r="U12" i="67" s="1"/>
  <c r="AD85" i="56"/>
  <c r="U18" i="67" s="1"/>
  <c r="AD72" i="56"/>
  <c r="U5" i="67" s="1"/>
  <c r="BW50" i="56"/>
  <c r="AD78" i="56"/>
  <c r="U11" i="67" s="1"/>
  <c r="BW42" i="56"/>
  <c r="AD81" i="56"/>
  <c r="U14" i="67" s="1"/>
  <c r="AD71" i="56"/>
  <c r="U4" i="67" s="1"/>
  <c r="BW60" i="56"/>
  <c r="BW48" i="56"/>
  <c r="BW41" i="56"/>
  <c r="AD77" i="56"/>
  <c r="U10" i="67" s="1"/>
  <c r="BW47" i="56"/>
  <c r="BW58" i="56"/>
  <c r="AD88" i="56"/>
  <c r="U21" i="67" s="1"/>
  <c r="AD87" i="56"/>
  <c r="U20" i="67" s="1"/>
  <c r="BW57" i="56"/>
  <c r="BW45" i="56"/>
  <c r="AD75" i="56"/>
  <c r="U8" i="67" s="1"/>
  <c r="AD73" i="56"/>
  <c r="U6" i="67" s="1"/>
  <c r="BW43" i="56"/>
  <c r="BW44" i="56"/>
  <c r="AD74" i="56"/>
  <c r="U7" i="67" s="1"/>
  <c r="BW53" i="56"/>
  <c r="BW40" i="56"/>
  <c r="BW63" i="56"/>
  <c r="AD83" i="56"/>
  <c r="U16" i="67" s="1"/>
  <c r="G90" i="56"/>
  <c r="U90" i="56"/>
  <c r="BC70" i="56" l="1"/>
  <c r="BC82" i="56"/>
  <c r="AV90" i="56"/>
  <c r="AX90" i="56"/>
  <c r="AZ90" i="56"/>
  <c r="H14" i="65" a="1"/>
  <c r="J14" i="65" s="1"/>
  <c r="U14" i="65" s="1"/>
  <c r="AY90" i="56"/>
  <c r="BH82" i="56"/>
  <c r="AA15" i="67" s="1"/>
  <c r="BH70" i="56"/>
  <c r="AA3" i="67" s="1"/>
  <c r="BU60" i="56"/>
  <c r="BV40" i="56" a="1"/>
  <c r="N22" i="65" a="1"/>
  <c r="BF90" i="56"/>
  <c r="Y23" i="67" s="1"/>
  <c r="H19" i="65" a="1"/>
  <c r="J19" i="65" s="1"/>
  <c r="U19" i="65" s="1"/>
  <c r="BB82" i="56"/>
  <c r="N21" i="65" a="1"/>
  <c r="P21" i="65" s="1"/>
  <c r="H27" i="65" a="1"/>
  <c r="H38" i="65" s="1"/>
  <c r="N18" i="65" a="1"/>
  <c r="H10" i="65" a="1"/>
  <c r="J10" i="65" s="1"/>
  <c r="U10" i="65" s="1"/>
  <c r="H7" i="65" a="1"/>
  <c r="J7" i="65" s="1"/>
  <c r="U7" i="65" s="1"/>
  <c r="N10" i="65" a="1"/>
  <c r="P10" i="65" s="1"/>
  <c r="H13" i="65" a="1"/>
  <c r="J13" i="65" s="1"/>
  <c r="U13" i="65" s="1"/>
  <c r="H6" i="65" a="1"/>
  <c r="J6" i="65" s="1"/>
  <c r="N7" i="65" a="1"/>
  <c r="P7" i="65" s="1"/>
  <c r="BC90" i="56"/>
  <c r="N24" i="65" a="1"/>
  <c r="BB70" i="56"/>
  <c r="N33" i="65" a="1"/>
  <c r="P33" i="65" s="1"/>
  <c r="N12" i="65" a="1"/>
  <c r="P12" i="65" s="1"/>
  <c r="H33" i="65" a="1"/>
  <c r="J33" i="65" s="1"/>
  <c r="H11" i="65" a="1"/>
  <c r="J11" i="65" s="1"/>
  <c r="U11" i="65" s="1"/>
  <c r="N23" i="65" a="1"/>
  <c r="P23" i="65" s="1"/>
  <c r="N6" i="65" a="1"/>
  <c r="P6" i="65" s="1"/>
  <c r="H23" i="65" a="1"/>
  <c r="J23" i="65" s="1"/>
  <c r="U23" i="65" s="1"/>
  <c r="N11" i="65" a="1"/>
  <c r="P11" i="65" s="1"/>
  <c r="N27" i="65" a="1"/>
  <c r="N38" i="65" s="1" a="1"/>
  <c r="H12" i="65" a="1"/>
  <c r="J12" i="65" s="1"/>
  <c r="U12" i="65" s="1"/>
  <c r="N9" i="65" a="1"/>
  <c r="P9" i="65" s="1"/>
  <c r="H18" i="65" a="1"/>
  <c r="H9" i="65" a="1"/>
  <c r="J9" i="65" s="1"/>
  <c r="U9" i="65" s="1"/>
  <c r="N16" i="65" a="1"/>
  <c r="P16" i="65" s="1"/>
  <c r="H16" i="65" a="1"/>
  <c r="J16" i="65" s="1"/>
  <c r="U16" i="65" s="1"/>
  <c r="H20" i="65" a="1"/>
  <c r="J20" i="65" s="1"/>
  <c r="U20" i="65" s="1"/>
  <c r="N13" i="65" a="1"/>
  <c r="P13" i="65" s="1"/>
  <c r="N15" i="65" a="1"/>
  <c r="P15" i="65" s="1"/>
  <c r="BA70" i="56"/>
  <c r="H22" i="65" a="1"/>
  <c r="J22" i="65" s="1"/>
  <c r="U22" i="65" s="1"/>
  <c r="H15" i="65" a="1"/>
  <c r="J15" i="65" s="1"/>
  <c r="U15" i="65" s="1"/>
  <c r="N20" i="65" a="1"/>
  <c r="P20" i="65" s="1"/>
  <c r="H8" i="65" a="1"/>
  <c r="N8" i="65" a="1"/>
  <c r="H24" i="65" a="1"/>
  <c r="J24" i="65" s="1"/>
  <c r="U24" i="65" s="1"/>
  <c r="N19" i="65" a="1"/>
  <c r="H21" i="65" a="1"/>
  <c r="J21" i="65" s="1"/>
  <c r="U21" i="65" s="1"/>
  <c r="N14" i="65" a="1"/>
  <c r="P14" i="65" s="1"/>
  <c r="BA82" i="56"/>
  <c r="BE29" i="56"/>
  <c r="BD82" i="56"/>
  <c r="BT52" i="56"/>
  <c r="AF15" i="66"/>
  <c r="BD70" i="56"/>
  <c r="AF3" i="66"/>
  <c r="BE60" i="56"/>
  <c r="BY40" i="56" s="1"/>
  <c r="AW70" i="56"/>
  <c r="AU60" i="56"/>
  <c r="BT40" i="56"/>
  <c r="AW82" i="56"/>
  <c r="BG90" i="56"/>
  <c r="Z23" i="67" s="1"/>
  <c r="Q82" i="56"/>
  <c r="T15" i="67" s="1"/>
  <c r="Q70" i="56"/>
  <c r="BS41" i="56"/>
  <c r="L38" i="65" a="1"/>
  <c r="L17" i="65"/>
  <c r="F38" i="65"/>
  <c r="F17" i="65"/>
  <c r="L5" i="65"/>
  <c r="F5" i="65"/>
  <c r="Q17" i="65"/>
  <c r="AE9" i="66"/>
  <c r="AR46" i="56"/>
  <c r="AE12" i="66"/>
  <c r="AR49" i="56"/>
  <c r="AE5" i="66"/>
  <c r="AR42" i="56"/>
  <c r="BS42" i="56"/>
  <c r="AE8" i="66"/>
  <c r="AR45" i="56"/>
  <c r="AE18" i="66"/>
  <c r="AR55" i="56"/>
  <c r="Q5" i="65"/>
  <c r="AE22" i="66"/>
  <c r="AR59" i="56"/>
  <c r="AE4" i="66"/>
  <c r="AR41" i="56"/>
  <c r="AE11" i="66"/>
  <c r="AR48" i="56"/>
  <c r="AE21" i="66"/>
  <c r="AR58" i="56"/>
  <c r="AE16" i="66"/>
  <c r="AR53" i="56"/>
  <c r="AE14" i="66"/>
  <c r="AR51" i="56"/>
  <c r="AE10" i="66"/>
  <c r="AR47" i="56"/>
  <c r="AE7" i="66"/>
  <c r="AR44" i="56"/>
  <c r="AE20" i="66"/>
  <c r="AR57" i="56"/>
  <c r="AE17" i="66"/>
  <c r="AR54" i="56"/>
  <c r="AE19" i="66"/>
  <c r="AR56" i="56"/>
  <c r="AE13" i="66"/>
  <c r="AR50" i="56"/>
  <c r="BS51" i="56"/>
  <c r="BS58" i="56"/>
  <c r="BB43" i="63"/>
  <c r="AS72" i="63" s="1"/>
  <c r="BB45" i="63"/>
  <c r="AS74" i="63" s="1"/>
  <c r="BB44" i="63"/>
  <c r="AS73" i="63" s="1"/>
  <c r="BB41" i="63"/>
  <c r="AS70" i="63" s="1"/>
  <c r="AZ59" i="63"/>
  <c r="AS62" i="63"/>
  <c r="AX62" i="63" s="1"/>
  <c r="BB55" i="63"/>
  <c r="AS84" i="63" s="1"/>
  <c r="BB53" i="63"/>
  <c r="BC53" i="63" s="1"/>
  <c r="AZ29" i="63"/>
  <c r="AX59" i="63"/>
  <c r="BB54" i="63"/>
  <c r="BC54" i="63" s="1"/>
  <c r="AI90" i="56"/>
  <c r="BS46" i="56"/>
  <c r="BS49" i="56"/>
  <c r="BS57" i="56"/>
  <c r="BS54" i="56"/>
  <c r="BS48" i="56"/>
  <c r="AO90" i="56"/>
  <c r="J90" i="56"/>
  <c r="BB56" i="63"/>
  <c r="AS85" i="63" s="1"/>
  <c r="BB61" i="63"/>
  <c r="BC61" i="63" s="1"/>
  <c r="BS50" i="56"/>
  <c r="BB40" i="63"/>
  <c r="AS69" i="63" s="1"/>
  <c r="BB49" i="63"/>
  <c r="AS78" i="63" s="1"/>
  <c r="BS45" i="56"/>
  <c r="AQ29" i="56"/>
  <c r="AQ30" i="56" s="1"/>
  <c r="AQ52" i="56"/>
  <c r="BS56" i="56"/>
  <c r="AQ63" i="56"/>
  <c r="BS59" i="56"/>
  <c r="BS47" i="56"/>
  <c r="BS44" i="56"/>
  <c r="BQ90" i="56"/>
  <c r="BB39" i="63"/>
  <c r="BC39" i="63" s="1"/>
  <c r="BB46" i="63"/>
  <c r="AS75" i="63" s="1"/>
  <c r="BB42" i="63"/>
  <c r="BC42" i="63" s="1"/>
  <c r="BS55" i="56"/>
  <c r="BB47" i="63"/>
  <c r="BC47" i="63" s="1"/>
  <c r="BB50" i="63"/>
  <c r="BC50" i="63" s="1"/>
  <c r="BB48" i="63"/>
  <c r="BC48" i="63" s="1"/>
  <c r="BB57" i="63"/>
  <c r="AS86" i="63" s="1"/>
  <c r="AJ90" i="56"/>
  <c r="AF90" i="56"/>
  <c r="BB52" i="63"/>
  <c r="BC52" i="63" s="1"/>
  <c r="BB58" i="63"/>
  <c r="BC58" i="63" s="1"/>
  <c r="BS53" i="56"/>
  <c r="AQ40" i="56"/>
  <c r="BR29" i="56"/>
  <c r="BR52" i="56"/>
  <c r="AL15" i="66" s="1"/>
  <c r="BR40" i="56"/>
  <c r="AL3" i="66" s="1"/>
  <c r="BR63" i="56"/>
  <c r="AG90" i="56"/>
  <c r="AH90" i="56"/>
  <c r="AE90" i="56"/>
  <c r="W90" i="56"/>
  <c r="BN90" i="56"/>
  <c r="BL90" i="56"/>
  <c r="AH88" i="63"/>
  <c r="S90" i="56"/>
  <c r="AI88" i="63"/>
  <c r="AD82" i="56"/>
  <c r="U15" i="67" s="1"/>
  <c r="AD70" i="56"/>
  <c r="U3" i="67" s="1"/>
  <c r="AC6" i="57"/>
  <c r="AC7" i="57" s="1"/>
  <c r="BW64" i="56"/>
  <c r="BB90" i="56" l="1"/>
  <c r="J27" i="65"/>
  <c r="U27" i="65" s="1"/>
  <c r="P24" i="65"/>
  <c r="P18" i="65"/>
  <c r="P22" i="65"/>
  <c r="BH90" i="56"/>
  <c r="AA23" i="67" s="1"/>
  <c r="BD90" i="56"/>
  <c r="BU61" i="56"/>
  <c r="BV61" i="56" s="1" a="1"/>
  <c r="BV60" i="56" a="1"/>
  <c r="BU64" i="56"/>
  <c r="BV64" i="56" s="1" a="1"/>
  <c r="T3" i="67"/>
  <c r="Q90" i="56"/>
  <c r="T23" i="67" s="1"/>
  <c r="P27" i="65"/>
  <c r="BA90" i="56"/>
  <c r="H17" i="65"/>
  <c r="N17" i="65"/>
  <c r="N5" i="65"/>
  <c r="H5" i="65"/>
  <c r="P8" i="65"/>
  <c r="P5" i="65" s="1"/>
  <c r="J18" i="65"/>
  <c r="U18" i="65" s="1"/>
  <c r="P19" i="65"/>
  <c r="J8" i="65"/>
  <c r="U8" i="65" s="1"/>
  <c r="BE30" i="56"/>
  <c r="BT60" i="56"/>
  <c r="BT64" i="56" s="1"/>
  <c r="AU88" i="56"/>
  <c r="AU78" i="56"/>
  <c r="AU71" i="56"/>
  <c r="AU80" i="56"/>
  <c r="AU73" i="56"/>
  <c r="AU87" i="56"/>
  <c r="AU72" i="56"/>
  <c r="AU81" i="56"/>
  <c r="AU64" i="56"/>
  <c r="AU84" i="56"/>
  <c r="AU77" i="56"/>
  <c r="AU61" i="56"/>
  <c r="AU85" i="56"/>
  <c r="AU76" i="56"/>
  <c r="AU79" i="56"/>
  <c r="AU89" i="56"/>
  <c r="AU83" i="56"/>
  <c r="AU74" i="56"/>
  <c r="AU75" i="56"/>
  <c r="AU86" i="56"/>
  <c r="AW90" i="56"/>
  <c r="AF23" i="66"/>
  <c r="BE85" i="56"/>
  <c r="BY44" i="56"/>
  <c r="BE78" i="56"/>
  <c r="BY46" i="56"/>
  <c r="BE83" i="56"/>
  <c r="BY43" i="56"/>
  <c r="BY55" i="56"/>
  <c r="BY50" i="56"/>
  <c r="BY59" i="56"/>
  <c r="BE87" i="56"/>
  <c r="BE61" i="56"/>
  <c r="BY51" i="56"/>
  <c r="BE79" i="56"/>
  <c r="BY42" i="56"/>
  <c r="BE77" i="56"/>
  <c r="BE80" i="56"/>
  <c r="BE71" i="56"/>
  <c r="BY58" i="56"/>
  <c r="BE73" i="56"/>
  <c r="BE74" i="56"/>
  <c r="BY60" i="56"/>
  <c r="BE89" i="56"/>
  <c r="BY57" i="56"/>
  <c r="BE88" i="56"/>
  <c r="BE81" i="56"/>
  <c r="BY63" i="56"/>
  <c r="BY47" i="56"/>
  <c r="BY49" i="56"/>
  <c r="BY54" i="56"/>
  <c r="BE64" i="56"/>
  <c r="BY41" i="56"/>
  <c r="BY48" i="56"/>
  <c r="BE76" i="56"/>
  <c r="BE84" i="56"/>
  <c r="BY53" i="56"/>
  <c r="BY45" i="56"/>
  <c r="BE75" i="56"/>
  <c r="BY56" i="56"/>
  <c r="BE86" i="56"/>
  <c r="BE72" i="56"/>
  <c r="BY52" i="56"/>
  <c r="U6" i="65"/>
  <c r="F25" i="65"/>
  <c r="G17" i="65" s="1"/>
  <c r="L25" i="65"/>
  <c r="M5" i="65" s="1"/>
  <c r="AR40" i="56"/>
  <c r="AR52" i="56"/>
  <c r="AE15" i="66"/>
  <c r="Q25" i="65"/>
  <c r="R5" i="65" s="1"/>
  <c r="AE3" i="66"/>
  <c r="AR63" i="56"/>
  <c r="BC44" i="63"/>
  <c r="AS77" i="63"/>
  <c r="BC41" i="63"/>
  <c r="BC46" i="63"/>
  <c r="AS71" i="63"/>
  <c r="BC56" i="63"/>
  <c r="BC45" i="63"/>
  <c r="BC43" i="63"/>
  <c r="BB62" i="63"/>
  <c r="BC62" i="63" s="1"/>
  <c r="AS82" i="63"/>
  <c r="AZ62" i="63"/>
  <c r="AQ60" i="56"/>
  <c r="AQ64" i="56" s="1"/>
  <c r="AS79" i="63"/>
  <c r="BC57" i="63"/>
  <c r="AS76" i="63"/>
  <c r="BC55" i="63"/>
  <c r="BC49" i="63"/>
  <c r="BB59" i="63"/>
  <c r="BC59" i="63" s="1"/>
  <c r="BC40" i="63"/>
  <c r="AS83" i="63"/>
  <c r="BS40" i="56"/>
  <c r="BS52" i="56"/>
  <c r="BR30" i="56"/>
  <c r="AS81" i="63"/>
  <c r="AS87" i="63"/>
  <c r="AP5" i="57"/>
  <c r="BS63" i="56"/>
  <c r="BR60" i="56"/>
  <c r="AL23" i="66" s="1"/>
  <c r="AD90" i="56"/>
  <c r="U23" i="67" s="1"/>
  <c r="H25" i="65" l="1"/>
  <c r="P17" i="65"/>
  <c r="I25" i="65"/>
  <c r="I5" i="65"/>
  <c r="I17" i="65"/>
  <c r="I19" i="65"/>
  <c r="I22" i="65"/>
  <c r="I6" i="65"/>
  <c r="I21" i="65"/>
  <c r="I13" i="65"/>
  <c r="I11" i="65"/>
  <c r="I10" i="65"/>
  <c r="J17" i="65"/>
  <c r="U17" i="65" s="1"/>
  <c r="J5" i="65"/>
  <c r="U5" i="65" s="1"/>
  <c r="N25" i="65"/>
  <c r="P25" i="65" s="1"/>
  <c r="O22" i="65"/>
  <c r="AU82" i="56"/>
  <c r="BS81" i="56"/>
  <c r="W14" i="67"/>
  <c r="BS88" i="56"/>
  <c r="W21" i="67"/>
  <c r="BS86" i="56"/>
  <c r="W19" i="67"/>
  <c r="W22" i="67"/>
  <c r="BS89" i="56"/>
  <c r="BS73" i="56"/>
  <c r="W6" i="67"/>
  <c r="W11" i="67"/>
  <c r="BS78" i="56"/>
  <c r="BS84" i="56"/>
  <c r="W17" i="67"/>
  <c r="BS76" i="56"/>
  <c r="W9" i="67"/>
  <c r="BS77" i="56"/>
  <c r="W10" i="67"/>
  <c r="BS72" i="56"/>
  <c r="W5" i="67"/>
  <c r="BS75" i="56"/>
  <c r="W8" i="67"/>
  <c r="W16" i="67"/>
  <c r="BS83" i="56"/>
  <c r="BE82" i="56"/>
  <c r="W15" i="67" s="1"/>
  <c r="BS74" i="56"/>
  <c r="W7" i="67"/>
  <c r="W4" i="67"/>
  <c r="BS71" i="56"/>
  <c r="BE70" i="56"/>
  <c r="W18" i="67"/>
  <c r="BS85" i="56"/>
  <c r="W13" i="67"/>
  <c r="BS80" i="56"/>
  <c r="BY64" i="56"/>
  <c r="AQ6" i="57"/>
  <c r="AQ7" i="57" s="1"/>
  <c r="AF24" i="66"/>
  <c r="BT61" i="56"/>
  <c r="BS87" i="56"/>
  <c r="W20" i="67"/>
  <c r="BS79" i="56"/>
  <c r="W12" i="67"/>
  <c r="AU70" i="56"/>
  <c r="M17" i="65"/>
  <c r="G5" i="65"/>
  <c r="BX63" i="56"/>
  <c r="L37" i="65" a="1"/>
  <c r="L26" i="65"/>
  <c r="L28" i="65"/>
  <c r="M25" i="65"/>
  <c r="L29" i="65"/>
  <c r="M8" i="65"/>
  <c r="M10" i="65"/>
  <c r="M20" i="65"/>
  <c r="M9" i="65"/>
  <c r="M16" i="65"/>
  <c r="M18" i="65"/>
  <c r="M19" i="65"/>
  <c r="M6" i="65"/>
  <c r="M15" i="65"/>
  <c r="M13" i="65"/>
  <c r="M11" i="65"/>
  <c r="M23" i="65"/>
  <c r="M24" i="65"/>
  <c r="M14" i="65"/>
  <c r="M7" i="65"/>
  <c r="M12" i="65"/>
  <c r="M21" i="65"/>
  <c r="M22" i="65"/>
  <c r="BZ52" i="56"/>
  <c r="CB52" i="56" s="1"/>
  <c r="F37" i="65"/>
  <c r="F29" i="65"/>
  <c r="F26" i="65"/>
  <c r="G25" i="65"/>
  <c r="F28" i="65"/>
  <c r="G14" i="65"/>
  <c r="G24" i="65"/>
  <c r="G9" i="65"/>
  <c r="G10" i="65"/>
  <c r="G8" i="65"/>
  <c r="G23" i="65"/>
  <c r="G20" i="65"/>
  <c r="G13" i="65"/>
  <c r="G6" i="65"/>
  <c r="G16" i="65"/>
  <c r="G7" i="65"/>
  <c r="G15" i="65"/>
  <c r="G12" i="65"/>
  <c r="G11" i="65"/>
  <c r="G22" i="65"/>
  <c r="G18" i="65"/>
  <c r="G21" i="65"/>
  <c r="G19" i="65"/>
  <c r="AR60" i="56"/>
  <c r="BX40" i="56"/>
  <c r="AR64" i="56"/>
  <c r="BX64" i="56"/>
  <c r="Q37" i="65" a="1"/>
  <c r="Q28" i="65"/>
  <c r="Q26" i="65"/>
  <c r="Q29" i="65"/>
  <c r="R25" i="65"/>
  <c r="R11" i="65"/>
  <c r="R12" i="65"/>
  <c r="R13" i="65"/>
  <c r="R8" i="65"/>
  <c r="R20" i="65"/>
  <c r="R7" i="65"/>
  <c r="R18" i="65"/>
  <c r="R17" i="65"/>
  <c r="R14" i="65"/>
  <c r="R16" i="65"/>
  <c r="R10" i="65"/>
  <c r="R19" i="65"/>
  <c r="R15" i="65"/>
  <c r="R22" i="65"/>
  <c r="R6" i="65"/>
  <c r="R24" i="65"/>
  <c r="R23" i="65"/>
  <c r="R21" i="65"/>
  <c r="R9" i="65"/>
  <c r="AQ72" i="56"/>
  <c r="V5" i="67" s="1"/>
  <c r="AE23" i="66"/>
  <c r="BX60" i="56"/>
  <c r="BX43" i="56"/>
  <c r="BX48" i="56"/>
  <c r="BX44" i="56"/>
  <c r="BX50" i="56"/>
  <c r="BX58" i="56"/>
  <c r="BX46" i="56"/>
  <c r="BX53" i="56"/>
  <c r="BX51" i="56"/>
  <c r="BX49" i="56"/>
  <c r="BX55" i="56"/>
  <c r="BX57" i="56"/>
  <c r="BX54" i="56"/>
  <c r="BX41" i="56"/>
  <c r="BX47" i="56"/>
  <c r="BX59" i="56"/>
  <c r="BX56" i="56"/>
  <c r="BX42" i="56"/>
  <c r="BX45" i="56"/>
  <c r="BX52" i="56"/>
  <c r="AS68" i="63"/>
  <c r="AQ87" i="56"/>
  <c r="V20" i="67" s="1"/>
  <c r="AQ83" i="56"/>
  <c r="V16" i="67" s="1"/>
  <c r="AQ76" i="56"/>
  <c r="V9" i="67" s="1"/>
  <c r="AQ75" i="56"/>
  <c r="V8" i="67" s="1"/>
  <c r="AQ81" i="56"/>
  <c r="V14" i="67" s="1"/>
  <c r="AQ89" i="56"/>
  <c r="V22" i="67" s="1"/>
  <c r="AQ86" i="56"/>
  <c r="V19" i="67" s="1"/>
  <c r="AQ80" i="56"/>
  <c r="V13" i="67" s="1"/>
  <c r="AQ77" i="56"/>
  <c r="V10" i="67" s="1"/>
  <c r="AQ84" i="56"/>
  <c r="V17" i="67" s="1"/>
  <c r="AQ61" i="56"/>
  <c r="AQ74" i="56"/>
  <c r="V7" i="67" s="1"/>
  <c r="AQ73" i="56"/>
  <c r="V6" i="67" s="1"/>
  <c r="AQ79" i="56"/>
  <c r="V12" i="67" s="1"/>
  <c r="AQ71" i="56"/>
  <c r="V4" i="67" s="1"/>
  <c r="AQ78" i="56"/>
  <c r="V11" i="67" s="1"/>
  <c r="AQ88" i="56"/>
  <c r="V21" i="67" s="1"/>
  <c r="AQ85" i="56"/>
  <c r="V18" i="67" s="1"/>
  <c r="AS80" i="63"/>
  <c r="BZ59" i="56"/>
  <c r="CB59" i="56" s="1"/>
  <c r="BR77" i="56"/>
  <c r="X10" i="67" s="1"/>
  <c r="BS60" i="56"/>
  <c r="BR76" i="56"/>
  <c r="X9" i="67" s="1"/>
  <c r="BR86" i="56"/>
  <c r="X19" i="67" s="1"/>
  <c r="BR71" i="56"/>
  <c r="X4" i="67" s="1"/>
  <c r="BZ41" i="56"/>
  <c r="CB41" i="56" s="1"/>
  <c r="BR79" i="56"/>
  <c r="X12" i="67" s="1"/>
  <c r="BZ50" i="56"/>
  <c r="BR80" i="56"/>
  <c r="X13" i="67" s="1"/>
  <c r="BR89" i="56"/>
  <c r="X22" i="67" s="1"/>
  <c r="BZ45" i="56"/>
  <c r="BZ53" i="56"/>
  <c r="BR85" i="56"/>
  <c r="X18" i="67" s="1"/>
  <c r="BZ43" i="56"/>
  <c r="CB43" i="56" s="1"/>
  <c r="BR72" i="56"/>
  <c r="X5" i="67" s="1"/>
  <c r="BZ63" i="56"/>
  <c r="BR84" i="56"/>
  <c r="X17" i="67" s="1"/>
  <c r="BZ46" i="56"/>
  <c r="CB46" i="56" s="1"/>
  <c r="BR88" i="56"/>
  <c r="X21" i="67" s="1"/>
  <c r="BR83" i="56"/>
  <c r="X16" i="67" s="1"/>
  <c r="BR78" i="56"/>
  <c r="X11" i="67" s="1"/>
  <c r="BR74" i="56"/>
  <c r="X7" i="67" s="1"/>
  <c r="BZ42" i="56"/>
  <c r="BZ60" i="56"/>
  <c r="BR81" i="56"/>
  <c r="X14" i="67" s="1"/>
  <c r="BR75" i="56"/>
  <c r="X8" i="67" s="1"/>
  <c r="BR61" i="56"/>
  <c r="AL24" i="66" s="1"/>
  <c r="BR87" i="56"/>
  <c r="X20" i="67" s="1"/>
  <c r="BR73" i="56"/>
  <c r="X6" i="67" s="1"/>
  <c r="BZ57" i="56"/>
  <c r="CB57" i="56" s="1"/>
  <c r="BZ44" i="56"/>
  <c r="BZ55" i="56"/>
  <c r="BZ48" i="56"/>
  <c r="BZ58" i="56"/>
  <c r="CB58" i="56" s="1"/>
  <c r="BZ40" i="56"/>
  <c r="CB40" i="56" s="1"/>
  <c r="BZ47" i="56"/>
  <c r="CB47" i="56" s="1"/>
  <c r="BZ51" i="56"/>
  <c r="BZ54" i="56"/>
  <c r="BZ49" i="56"/>
  <c r="CB49" i="56" s="1"/>
  <c r="BR64" i="56"/>
  <c r="BZ64" i="56" s="1"/>
  <c r="BZ56" i="56"/>
  <c r="H28" i="65" l="1"/>
  <c r="H39" i="65" s="1"/>
  <c r="H29" i="65"/>
  <c r="H40" i="65" s="1"/>
  <c r="H37" i="65"/>
  <c r="I16" i="65"/>
  <c r="I14" i="65"/>
  <c r="I24" i="65"/>
  <c r="I9" i="65"/>
  <c r="I12" i="65"/>
  <c r="I15" i="65"/>
  <c r="I20" i="65"/>
  <c r="H26" i="65"/>
  <c r="I8" i="65"/>
  <c r="I7" i="65"/>
  <c r="I18" i="65"/>
  <c r="J25" i="65"/>
  <c r="I23" i="65"/>
  <c r="N29" i="65"/>
  <c r="P29" i="65" s="1"/>
  <c r="O5" i="65"/>
  <c r="N28" i="65"/>
  <c r="P28" i="65" s="1"/>
  <c r="O7" i="65"/>
  <c r="O6" i="65"/>
  <c r="O23" i="65"/>
  <c r="O14" i="65"/>
  <c r="O21" i="65"/>
  <c r="O17" i="65"/>
  <c r="O15" i="65"/>
  <c r="O20" i="65"/>
  <c r="O16" i="65"/>
  <c r="O11" i="65"/>
  <c r="O13" i="65"/>
  <c r="O12" i="65"/>
  <c r="O9" i="65"/>
  <c r="O18" i="65"/>
  <c r="O24" i="65"/>
  <c r="N37" i="65" a="1"/>
  <c r="O19" i="65"/>
  <c r="O25" i="65"/>
  <c r="N26" i="65"/>
  <c r="P26" i="65" s="1"/>
  <c r="O10" i="65"/>
  <c r="O8" i="65"/>
  <c r="CB64" i="56"/>
  <c r="BS82" i="56"/>
  <c r="W3" i="67"/>
  <c r="BE90" i="56"/>
  <c r="W23" i="67" s="1"/>
  <c r="BS70" i="56"/>
  <c r="AU90" i="56"/>
  <c r="CA63" i="56"/>
  <c r="CA47" i="56"/>
  <c r="CA49" i="56"/>
  <c r="CA55" i="56"/>
  <c r="CA57" i="56"/>
  <c r="CA53" i="56"/>
  <c r="CA56" i="56"/>
  <c r="CA41" i="56"/>
  <c r="BS61" i="56"/>
  <c r="CA52" i="56"/>
  <c r="CA44" i="56"/>
  <c r="CA40" i="56"/>
  <c r="F40" i="65"/>
  <c r="CA46" i="56"/>
  <c r="CA45" i="56"/>
  <c r="CA48" i="56"/>
  <c r="CA51" i="56"/>
  <c r="CA58" i="56"/>
  <c r="CA64" i="56"/>
  <c r="CA50" i="56"/>
  <c r="AP6" i="57"/>
  <c r="AP7" i="57" s="1"/>
  <c r="CA42" i="56"/>
  <c r="CA43" i="56"/>
  <c r="CA60" i="56"/>
  <c r="CA54" i="56"/>
  <c r="CA59" i="56"/>
  <c r="F39" i="65"/>
  <c r="AE24" i="66"/>
  <c r="AR61" i="56"/>
  <c r="AS88" i="63"/>
  <c r="AQ82" i="56"/>
  <c r="V15" i="67" s="1"/>
  <c r="AQ70" i="56"/>
  <c r="BS64" i="56"/>
  <c r="CB45" i="56"/>
  <c r="CB42" i="56"/>
  <c r="BR82" i="56"/>
  <c r="X15" i="67" s="1"/>
  <c r="BR70" i="56"/>
  <c r="X3" i="67" s="1"/>
  <c r="CB51" i="56"/>
  <c r="CB53" i="56"/>
  <c r="CB60" i="56"/>
  <c r="CB48" i="56"/>
  <c r="CB55" i="56"/>
  <c r="CB44" i="56"/>
  <c r="CB50" i="56"/>
  <c r="CB54" i="56"/>
  <c r="CB63" i="56"/>
  <c r="CB56" i="56"/>
  <c r="J28" i="65" l="1"/>
  <c r="J29" i="65"/>
  <c r="J26" i="65"/>
  <c r="BS90" i="56"/>
  <c r="AQ90" i="56"/>
  <c r="V23" i="67" s="1"/>
  <c r="V3" i="67"/>
  <c r="BR90" i="56"/>
  <c r="X23" i="6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Diễm, Nguyễn Thị Thanh</author>
  </authors>
  <commentList>
    <comment ref="U10" authorId="0" shapeId="0" xr:uid="{C80232C5-08A1-459D-B3E5-A1703F279D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V10" authorId="0" shapeId="0" xr:uid="{4E8E17F9-EEDB-4997-8341-D94DF945ED8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U11" authorId="0" shapeId="0" xr:uid="{3F59486F-6379-4D3F-8A9F-B4C3B19DAD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V11" authorId="0" shapeId="0" xr:uid="{D740F506-6473-47E1-9CC9-0122839B5F4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U18" authorId="0" shapeId="0" xr:uid="{9A11C8E1-8D5D-4F82-84C0-7755436668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V18" authorId="0" shapeId="0" xr:uid="{4DA96902-EE2D-44E9-86E3-6D51ACCE8C4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R22" authorId="0" shapeId="0" xr:uid="{B033A672-4B6D-4132-BF76-0421AE550C5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S22" authorId="0" shapeId="0" xr:uid="{17CBA401-03B2-4975-8D73-10153AE1A1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T22" authorId="0" shapeId="0" xr:uid="{796B704F-70DC-4B7A-91D5-3A5522B8A42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U22" authorId="0" shapeId="0" xr:uid="{16E49FE5-A890-49D8-96FD-B837C565AFA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V22" authorId="0" shapeId="0" xr:uid="{59CC75C5-9C8A-47B0-859A-AD502247C9A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R24" authorId="0" shapeId="0" xr:uid="{894E4E26-4B89-4459-91BB-BE2C6EA48DF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S24" authorId="0" shapeId="0" xr:uid="{24C6C33B-61D3-490B-8581-B99D4B5F2FE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BT39" authorId="1" shapeId="0" xr:uid="{66634A02-4B20-4D1E-9E98-64F8487E394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Kế hoạch 2025
</t>
        </r>
      </text>
    </comment>
    <comment ref="V41" authorId="0" shapeId="0" xr:uid="{5C624E17-A5F2-463A-8AE4-E369707A2E7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D43" authorId="0" shapeId="0" xr:uid="{71CAC784-9799-4AA7-B3B7-29918B003F3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D53" authorId="0" shapeId="0" xr:uid="{C159D24A-B1A5-427E-8D24-2B9CD0B0795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 (không bao gồm thuê xưởng, thuê máy ở 632)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AJ10" authorId="0" shapeId="0" xr:uid="{FDD32247-7AA5-496A-BE5C-AC81D462D7D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AK10" authorId="0" shapeId="0" xr:uid="{BF3701E7-D3E0-48BF-BEBA-B3F01236330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AJ11" authorId="0" shapeId="0" xr:uid="{581D1E60-CFBA-40AA-B0F4-BBFFCACDA10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K11" authorId="0" shapeId="0" xr:uid="{8BE7F1FC-3357-4457-985B-0628782453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J18" authorId="0" shapeId="0" xr:uid="{42BFB37D-CACC-45A9-91AF-17A57A46B6D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K18" authorId="0" shapeId="0" xr:uid="{11DB4ED5-6B9E-4818-896A-4C61B7F6A2C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G22" authorId="0" shapeId="0" xr:uid="{BAA5EBD8-8AEF-4DE9-8E03-0788A092A46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AH22" authorId="0" shapeId="0" xr:uid="{B330CCCC-5255-40D7-924F-B6B00C8C695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AI22" authorId="0" shapeId="0" xr:uid="{DAC054BD-2086-41F9-B863-0EBD6FCB2EB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AJ22" authorId="0" shapeId="0" xr:uid="{893EBC3E-C2A6-4137-9513-0E6E6B35119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AK22" authorId="0" shapeId="0" xr:uid="{02DDE4EC-13A0-492C-BCE4-57961E5A13F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AG24" authorId="0" shapeId="0" xr:uid="{0D900C9B-9AAF-47D4-ADC6-09AE7A40A7C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AH24" authorId="0" shapeId="0" xr:uid="{EC9E5526-D448-42B6-A8CE-01240D1A1B4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AK40" authorId="0" shapeId="0" xr:uid="{9AA2EFE4-BAD8-487A-BC4D-D997FCC0A61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AY41" authorId="0" shapeId="0" xr:uid="{18B0C7E6-8EB4-4828-86EA-33A6304EA72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780kw/tấn: 780*</t>
        </r>
      </text>
    </comment>
    <comment ref="D42" authorId="0" shapeId="0" xr:uid="{9480C914-0C12-43B6-A64D-5DF30B2843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AY48" authorId="0" shapeId="0" xr:uid="{3882EE3C-1D13-4E5A-884C-E7056C5DC1B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9329/m3 nước thải, 1kg vảy rửa mất 6m3 nước, CP tấn: 0,056tr</t>
        </r>
      </text>
    </comment>
    <comment ref="AY49" authorId="0" shapeId="0" xr:uid="{76CD1BB9-58EB-4C16-94A7-A7B250F750D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3,1 m3 nước rửa 1 tấn vảy</t>
        </r>
      </text>
    </comment>
    <comment ref="D52" authorId="0" shapeId="0" xr:uid="{DAF7E4C2-FE3F-411C-A071-8801026F884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tc={CB2BDF9E-8B8A-4CA4-BCB8-7A1EA2E0E122}</author>
  </authors>
  <commentList>
    <comment ref="S18" authorId="0" shapeId="0" xr:uid="{7B1DE437-5710-41CF-8D8B-66C94B86827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có 1,6 tỷ thuê kho TĐH</t>
        </r>
      </text>
    </comment>
    <comment ref="T18" authorId="0" shapeId="0" xr:uid="{25388DD3-B650-4A83-B690-EFEDD1A2C4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trừ Thuê kho TĐH hạch toán 2 lần: 1,6 tỷ</t>
        </r>
      </text>
    </comment>
    <comment ref="F37" authorId="1" shapeId="0" xr:uid="{CB2BDF9E-8B8A-4CA4-BCB8-7A1EA2E0E122}">
      <text>
        <t>[Threaded comment]
Your version of Excel allows you to read this threaded comment; however, any edits to it will get removed if the file is opened in a newer version of Excel. Learn more: https://go.microsoft.com/fwlink/?linkid=870924
Comment:
    Cơ cấu CP lương không tăng so với T1 nên % nhựa tăng so với tổng CP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tc={A7E02C92-B36E-4E2E-AD1A-89E66777C807}</author>
    <author>tc={5FB2906F-AC7A-4F8D-973D-963AAD2F8264}</author>
    <author>Lâm, Vũ Trần Đình Tùng</author>
  </authors>
  <commentList>
    <comment ref="K4" authorId="0" shapeId="0" xr:uid="{A7E02C92-B36E-4E2E-AD1A-89E66777C807}">
      <text>
        <t>[Threaded comment]
Your version of Excel allows you to read this threaded comment; however, any edits to it will get removed if the file is opened in a newer version of Excel. Learn more: https://go.microsoft.com/fwlink/?linkid=870924
Comment:
    Cộng 966tr phí hỗ trợ trạm</t>
      </text>
    </comment>
    <comment ref="G33" authorId="1" shapeId="0" xr:uid="{5FB2906F-AC7A-4F8D-973D-963AAD2F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CP bảo hiểm cháy nổ thanh toán 2 lần, mỗi lần phân bổ 6 tháng ( lần 1 từ T11.22 đến T4.23, lần 2 từ T02.23 đến T7.23</t>
      </text>
    </comment>
    <comment ref="P64" authorId="2" shapeId="0" xr:uid="{B8D9B89B-19BA-4FFE-9A13-ACF786AD5D68}">
      <text>
        <r>
          <rPr>
            <b/>
            <sz val="8"/>
            <color indexed="81"/>
            <rFont val="Tahoma"/>
            <family val="2"/>
          </rPr>
          <t>Lâm, Vũ Trần Đình Tùng: có bán vảy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B2C8B-C63D-4913-8B6D-70D74ADEC0C6}" name="Query - 01_Formulas_KSB1_TT" description="Connection to the '01_Formulas_KSB1_TT' query in the workbook." type="100" refreshedVersion="8" minRefreshableVersion="5">
    <extLst>
      <ext xmlns:x15="http://schemas.microsoft.com/office/spreadsheetml/2010/11/main" uri="{DE250136-89BD-433C-8126-D09CA5730AF9}">
        <x15:connection id="1b8f3f75-f60f-44b9-b736-de70f3760406"/>
      </ext>
    </extLst>
  </connection>
  <connection id="2" xr16:uid="{A504CA22-B0FC-4862-8DEA-DCF736B19DF4}" name="Query - 02_Formulas_KSB1_NS" description="Connection to the '02_Formulas_KSB1_NS' query in the workbook." type="100" refreshedVersion="8" minRefreshableVersion="5">
    <extLst>
      <ext xmlns:x15="http://schemas.microsoft.com/office/spreadsheetml/2010/11/main" uri="{DE250136-89BD-433C-8126-D09CA5730AF9}">
        <x15:connection id="857bbaa3-9e80-411c-8be8-17af3d6aa4e9"/>
      </ext>
    </extLst>
  </connection>
  <connection id="3" xr16:uid="{32671F2A-5DF6-415E-A314-25C62F71058F}" name="Query - 03_+/-_TT_vs_NS" description="Connection to the '03_+/-_TT_vs_NS' query in the workbook." type="100" refreshedVersion="8" minRefreshableVersion="5">
    <extLst>
      <ext xmlns:x15="http://schemas.microsoft.com/office/spreadsheetml/2010/11/main" uri="{DE250136-89BD-433C-8126-D09CA5730AF9}">
        <x15:connection id="748e4d20-934a-4481-a16b-8cba3f70ac38"/>
      </ext>
    </extLst>
  </connection>
  <connection id="4" xr16:uid="{1DFC005B-B521-4036-A861-D19BD9F6B37C}" name="Query - Data_KSB1_NS" description="Connection to the 'Data_KSB1_NS' query in the workbook." type="100" refreshedVersion="8" minRefreshableVersion="5">
    <extLst>
      <ext xmlns:x15="http://schemas.microsoft.com/office/spreadsheetml/2010/11/main" uri="{DE250136-89BD-433C-8126-D09CA5730AF9}">
        <x15:connection id="76bda40a-58d6-4850-9277-aad94b90e928"/>
      </ext>
    </extLst>
  </connection>
  <connection id="5" xr16:uid="{A55D05D8-EC05-4AE4-833D-C793FED947EF}" name="Query - Data_KSB1_TT" description="Connection to the 'Data_KSB1_TT' query in the workbook." type="100" refreshedVersion="8" minRefreshableVersion="5">
    <extLst>
      <ext xmlns:x15="http://schemas.microsoft.com/office/spreadsheetml/2010/11/main" uri="{DE250136-89BD-433C-8126-D09CA5730AF9}">
        <x15:connection id="49595f56-1aa7-4926-b34d-3061e681a9e6"/>
      </ext>
    </extLst>
  </connection>
  <connection id="6" xr16:uid="{E3045E8E-1CD1-4D56-969E-4AF2A092FCAF}" name="Query - dim_cost_center(1)" description="Connection to the 'dim_cost_center' query in the workbook." type="100" refreshedVersion="8" minRefreshableVersion="5">
    <extLst>
      <ext xmlns:x15="http://schemas.microsoft.com/office/spreadsheetml/2010/11/main" uri="{DE250136-89BD-433C-8126-D09CA5730AF9}">
        <x15:connection id="de8723fd-ab13-41c7-b937-b15b08b271b7"/>
      </ext>
    </extLst>
  </connection>
  <connection id="7" xr16:uid="{0176874E-AD5D-4142-B299-04859B6206FC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c20dcc8a-2e10-4b91-a1c0-ed2b27534407"/>
      </ext>
    </extLst>
  </connection>
  <connection id="8" xr16:uid="{9101C76D-EA88-4C24-BA23-DE165C1932B8}" name="Query - dim_GL_Acc_KMP" description="Connection to the 'dim_GL_Acc_KMP' query in the workbook." type="100" refreshedVersion="8" minRefreshableVersion="5">
    <extLst>
      <ext xmlns:x15="http://schemas.microsoft.com/office/spreadsheetml/2010/11/main" uri="{DE250136-89BD-433C-8126-D09CA5730AF9}">
        <x15:connection id="d7ff6e30-3a27-4672-b3e3-29010eefe11d"/>
      </ext>
    </extLst>
  </connection>
  <connection id="9" xr16:uid="{DBB0D6BB-BCAA-45B0-B298-A086CF929809}" name="Query - dim_GL_Account" description="Connection to the 'dim_GL_Account' query in the workbook." type="100" refreshedVersion="8" minRefreshableVersion="5">
    <extLst>
      <ext xmlns:x15="http://schemas.microsoft.com/office/spreadsheetml/2010/11/main" uri="{DE250136-89BD-433C-8126-D09CA5730AF9}">
        <x15:connection id="d53ae021-1b34-47e4-a538-1e82368dfe69"/>
      </ext>
    </extLst>
  </connection>
  <connection id="10" xr16:uid="{A1549762-A6C8-48BB-91B9-98D6C867DE2D}" name="Query - dim_KMP" description="Connection to the 'dim_KMP' query in the workbook." type="100" refreshedVersion="8" minRefreshableVersion="5">
    <extLst>
      <ext xmlns:x15="http://schemas.microsoft.com/office/spreadsheetml/2010/11/main" uri="{DE250136-89BD-433C-8126-D09CA5730AF9}">
        <x15:connection id="78de3704-b0bc-417d-b4f0-17f2c8921848"/>
      </ext>
    </extLst>
  </connection>
  <connection id="11" xr16:uid="{ECA63066-DFE4-4397-B03F-1D6D750716F3}" name="Query - dim_version" description="Connection to the 'dim_version' query in the workbook." type="100" refreshedVersion="8" minRefreshableVersion="5">
    <extLst>
      <ext xmlns:x15="http://schemas.microsoft.com/office/spreadsheetml/2010/11/main" uri="{DE250136-89BD-433C-8126-D09CA5730AF9}">
        <x15:connection id="4f563aa7-1292-47bd-889b-e21f3129a884"/>
      </ext>
    </extLst>
  </connection>
  <connection id="12" xr16:uid="{10E60BBB-C272-48C5-9D89-7116B79C8B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58D80C9F-4AF1-420A-97CB-24255E5B6BD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3B60C025-05D7-48BE-9177-5772A1DCCFA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5" xr16:uid="{38ABBA05-17F4-4F66-BC41-C9AA030FDF6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6" xr16:uid="{081BD625-D3BC-44C9-B1A6-3C889505C90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C44736F8-D61D-4EFC-83BC-077CEBD0A85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697F9E9-C324-409A-8178-C7AE245F24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5DE6873D-1EFD-4A9A-B7A7-9031EC9288D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8A5E3B95-CD6F-4C47-AA1C-ACA7025DA3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<sst xmlns="http://schemas.openxmlformats.org/spreadsheetml/2006/main" count="2149" uniqueCount="373">
  <si>
    <t>1001203000</t>
  </si>
  <si>
    <t>Chi phí đào tạo</t>
  </si>
  <si>
    <t>Phí cầu đường xe</t>
  </si>
  <si>
    <t>Chi phí xuất khẩu</t>
  </si>
  <si>
    <t>Chi phí tiếp khách</t>
  </si>
  <si>
    <t>Chi phí tuyển dụng</t>
  </si>
  <si>
    <t>Chi phí ngân hàng</t>
  </si>
  <si>
    <t>Cost element name</t>
  </si>
  <si>
    <t>Cost Center</t>
  </si>
  <si>
    <t>Chi phí dịch vụ, tư vấn</t>
  </si>
  <si>
    <t>Chi phí Marketing</t>
  </si>
  <si>
    <t>Chi phí ủng hộ, hỗ trợ</t>
  </si>
  <si>
    <t>Công cụ dụng cụ</t>
  </si>
  <si>
    <t>Công tác</t>
  </si>
  <si>
    <t>Điện thoại +Internet</t>
  </si>
  <si>
    <t>Khác</t>
  </si>
  <si>
    <t>Khấu hao</t>
  </si>
  <si>
    <t>Sửa chữa xe nâng, xe tải, nhà xưởng</t>
  </si>
  <si>
    <t>Thử mẫu -khuôn</t>
  </si>
  <si>
    <t>Chi phí văn phòng phẩm</t>
  </si>
  <si>
    <t>Đồng phục</t>
  </si>
  <si>
    <t>Chi phí bảo hiểm tài sản</t>
  </si>
  <si>
    <t>Chi phí dịch vụ môi trường</t>
  </si>
  <si>
    <t>Chi phí mực, nhũ in</t>
  </si>
  <si>
    <t>Chi phí nước</t>
  </si>
  <si>
    <t>Điện</t>
  </si>
  <si>
    <t>Phúc lợi</t>
  </si>
  <si>
    <t>Thuê xe du lịch</t>
  </si>
  <si>
    <t>Xăng dầu</t>
  </si>
  <si>
    <t>Chi phí chiết khấu, hoa hồng</t>
  </si>
  <si>
    <t>Bảo trì sửa chữa máy</t>
  </si>
  <si>
    <t>Chi phí dao</t>
  </si>
  <si>
    <t>Chi phí khuôn</t>
  </si>
  <si>
    <t>Chi phí lưới</t>
  </si>
  <si>
    <t>Đăng ký, kiểm định</t>
  </si>
  <si>
    <t>Chi phí bao jumbo quay đầu</t>
  </si>
  <si>
    <t>Chi phí hoạt động quản lý</t>
  </si>
  <si>
    <t>CP thuế TNDN h/hành</t>
  </si>
  <si>
    <t>8211000100</t>
  </si>
  <si>
    <t>Lương</t>
  </si>
  <si>
    <t>Lãi Vay</t>
  </si>
  <si>
    <t>Thuê xe vận chuyển hàng</t>
  </si>
  <si>
    <t>Hóa chất XLNT</t>
  </si>
  <si>
    <t>Doanh thu/CP khác</t>
  </si>
  <si>
    <t>Thuế TNDN</t>
  </si>
  <si>
    <t>18 KMP</t>
  </si>
  <si>
    <t>Lũy kế</t>
  </si>
  <si>
    <t>Nhựa phế</t>
  </si>
  <si>
    <t>Tổng Lương và Phụ Cấp</t>
  </si>
  <si>
    <t>Vật liệu phục vụ SX</t>
  </si>
  <si>
    <t>Hoa hồng bán hàng</t>
  </si>
  <si>
    <t>Bảo Trì + Sữa Chữa</t>
  </si>
  <si>
    <t>Nước</t>
  </si>
  <si>
    <t>Hóa chất theo Bom</t>
  </si>
  <si>
    <t>Phụ gia theo Bom</t>
  </si>
  <si>
    <t>Màu theo Bom</t>
  </si>
  <si>
    <t>Bao bì theo Bom</t>
  </si>
  <si>
    <t>STT</t>
  </si>
  <si>
    <t>Phân loại</t>
  </si>
  <si>
    <t>Chỉ tiêu</t>
  </si>
  <si>
    <t>T01.23</t>
  </si>
  <si>
    <t>T02.23</t>
  </si>
  <si>
    <t>T03.23</t>
  </si>
  <si>
    <t>T04.23</t>
  </si>
  <si>
    <t>T05.23</t>
  </si>
  <si>
    <t>T06.23</t>
  </si>
  <si>
    <t>T07.23</t>
  </si>
  <si>
    <t>T08.23</t>
  </si>
  <si>
    <t>T09.23</t>
  </si>
  <si>
    <t>T10.23</t>
  </si>
  <si>
    <t>T11.23</t>
  </si>
  <si>
    <t>T12.23</t>
  </si>
  <si>
    <t>T1.24</t>
  </si>
  <si>
    <t>T2.24</t>
  </si>
  <si>
    <t>T3.24</t>
  </si>
  <si>
    <t>T4.24</t>
  </si>
  <si>
    <t>T5.24</t>
  </si>
  <si>
    <t>T6.24</t>
  </si>
  <si>
    <t>T7.24</t>
  </si>
  <si>
    <t>T8.24</t>
  </si>
  <si>
    <t>T9.24</t>
  </si>
  <si>
    <t>T10.24</t>
  </si>
  <si>
    <t>T11.24</t>
  </si>
  <si>
    <t>T12.24</t>
  </si>
  <si>
    <t>T1.2024</t>
  </si>
  <si>
    <t>T2.2024</t>
  </si>
  <si>
    <t>T3.2024</t>
  </si>
  <si>
    <t>T4.2024</t>
  </si>
  <si>
    <t>T5.2024</t>
  </si>
  <si>
    <t>T6.2024</t>
  </si>
  <si>
    <t>T7.2024</t>
  </si>
  <si>
    <t>T8.2024</t>
  </si>
  <si>
    <t>T9.2024</t>
  </si>
  <si>
    <t>T10.2024</t>
  </si>
  <si>
    <t>T11.2024</t>
  </si>
  <si>
    <t>T12.2024</t>
  </si>
  <si>
    <t>Biến phí</t>
  </si>
  <si>
    <t>Định phí</t>
  </si>
  <si>
    <t>Tổng</t>
  </si>
  <si>
    <t>Sản lượng TPSX</t>
  </si>
  <si>
    <t>%/ CP</t>
  </si>
  <si>
    <t>%/ DT</t>
  </si>
  <si>
    <t>Doanh thu</t>
  </si>
  <si>
    <t>Đơn vị</t>
  </si>
  <si>
    <t>Ghi chú</t>
  </si>
  <si>
    <t>Triệu VND</t>
  </si>
  <si>
    <t>Tổng chi phí</t>
  </si>
  <si>
    <t>Thuế TNDN'!A1</t>
  </si>
  <si>
    <t>DT-CP khác'!A1</t>
  </si>
  <si>
    <t>Lợi nhuận sau thuế</t>
  </si>
  <si>
    <t xml:space="preserve"> </t>
  </si>
  <si>
    <t xml:space="preserve"> TT-T10</t>
  </si>
  <si>
    <t xml:space="preserve"> TT-T11</t>
  </si>
  <si>
    <t xml:space="preserve"> TT-T12</t>
  </si>
  <si>
    <t>%</t>
  </si>
  <si>
    <t>T1.23</t>
  </si>
  <si>
    <t>PET</t>
  </si>
  <si>
    <t>HDPE</t>
  </si>
  <si>
    <t>T2.23</t>
  </si>
  <si>
    <t>T3.23</t>
  </si>
  <si>
    <t>T4.23</t>
  </si>
  <si>
    <t>T5.23</t>
  </si>
  <si>
    <t>T6.23</t>
  </si>
  <si>
    <t>T7.23</t>
  </si>
  <si>
    <t>T9.23</t>
  </si>
  <si>
    <t>48 KMP -Tháng'!A1</t>
  </si>
  <si>
    <t>48 KMP</t>
  </si>
  <si>
    <t>Posting Date</t>
  </si>
  <si>
    <t>Document Number</t>
  </si>
  <si>
    <t>Cost Element</t>
  </si>
  <si>
    <t>CO object name</t>
  </si>
  <si>
    <t>Name</t>
  </si>
  <si>
    <t>Document Header Text</t>
  </si>
  <si>
    <t>Period</t>
  </si>
  <si>
    <t>Fiscal Year</t>
  </si>
  <si>
    <t>Val/COArea Crcy</t>
  </si>
  <si>
    <t>Ref Document Number</t>
  </si>
  <si>
    <t>Reversal document</t>
  </si>
  <si>
    <t>User Name</t>
  </si>
  <si>
    <t>8</t>
  </si>
  <si>
    <t>2023</t>
  </si>
  <si>
    <t/>
  </si>
  <si>
    <t>HIEN.VT</t>
  </si>
  <si>
    <t>6</t>
  </si>
  <si>
    <t>9</t>
  </si>
  <si>
    <t>7</t>
  </si>
  <si>
    <t>X</t>
  </si>
  <si>
    <t>Tài chính Kế toán</t>
  </si>
  <si>
    <t>49</t>
  </si>
  <si>
    <t>1013354472</t>
  </si>
  <si>
    <t>Thuế TNDN T6.23(LK2-6)</t>
  </si>
  <si>
    <t>5100002513</t>
  </si>
  <si>
    <t>1013368237</t>
  </si>
  <si>
    <t>Thuế TNDN T8.23</t>
  </si>
  <si>
    <t>5100003673</t>
  </si>
  <si>
    <t>1013361068</t>
  </si>
  <si>
    <t>Thuế TNDN T7.23</t>
  </si>
  <si>
    <t>5100003101</t>
  </si>
  <si>
    <t>1013374962</t>
  </si>
  <si>
    <t>Thuế TNDN T9.2023</t>
  </si>
  <si>
    <t>5100004334</t>
  </si>
  <si>
    <t>I</t>
  </si>
  <si>
    <t>BIẾN PHÍ</t>
  </si>
  <si>
    <t>II</t>
  </si>
  <si>
    <t>ĐỊNH PHÍ</t>
  </si>
  <si>
    <t>Chi phí bán hàng</t>
  </si>
  <si>
    <t>CPSX/ tấn TP (ko tính CP thuê máy, xưởng)</t>
  </si>
  <si>
    <t>CPSX/ tấn TP ( tính CP thuê máy, xưởng)</t>
  </si>
  <si>
    <t>Thuê Xưởng, Kho, thuê máy</t>
  </si>
  <si>
    <t>CP thuê hạch tóan vào 632</t>
  </si>
  <si>
    <t>BQ 2023</t>
  </si>
  <si>
    <t>Sản lượng thành phẩm SX</t>
  </si>
  <si>
    <t xml:space="preserve">Tổng chi phí </t>
  </si>
  <si>
    <t>BÁO CÁO THÁNG</t>
  </si>
  <si>
    <t>BQ TT 2024</t>
  </si>
  <si>
    <t>Tỷ trọng lũy kế 2024</t>
  </si>
  <si>
    <t>Giải trình</t>
  </si>
  <si>
    <t>Vì 2023  vs 2024 nhiều biến động nên không so với cùng kỳ năm ngoái mà so với tháng trưuosc</t>
  </si>
  <si>
    <t>Tỷ trọng BQ 2024</t>
  </si>
  <si>
    <t>Tỷ trọng BQ 2023</t>
  </si>
  <si>
    <t>CHI PHÍ /TẤN THÀNH PHẨM (Đã loại trừ chênh lệch thuê xưởng + máy với khấu hao)</t>
  </si>
  <si>
    <t>Chi phí NVL/ tấn</t>
  </si>
  <si>
    <t>Chi phí sản suất / tấn</t>
  </si>
  <si>
    <t>ĐVT: %</t>
  </si>
  <si>
    <t>BQ 2024</t>
  </si>
  <si>
    <t>1/24</t>
  </si>
  <si>
    <t>Định mức</t>
  </si>
  <si>
    <t>TỔNG CHI PHÍ THÁNG (bao gồm chi phí thuê máy, thuê xưởng)</t>
  </si>
  <si>
    <t>Tổng chi phí / tấn</t>
  </si>
  <si>
    <t>Chi phí / tấn TP (tính CP thuê máy, xưởng)</t>
  </si>
  <si>
    <t>Chi phí/ tấn TP ( ko tính CP thuê máy, xưởng chỉ tính k.hao)</t>
  </si>
  <si>
    <t>CP Thuê hạch toán 632- PET</t>
  </si>
  <si>
    <t>ĐVT: triệu đồng</t>
  </si>
  <si>
    <t>ĐVT: triệu đồng / tấn</t>
  </si>
  <si>
    <t>CƠ CẤU CHI PHÍ /TẤN THÀNH PHẨM PET (Đã loại trừ chênh lệch thuê xưởng + máy với khấu hao)</t>
  </si>
  <si>
    <t>CHI PHÍ /TẤN THÀNH PHẨM rPET (Đã loại trừ chênh lệch thuê xưởng + máy với khấu hao)</t>
  </si>
  <si>
    <t>CHI PHÍ /TẤN THÀNH PHẨM rHD(Đã loại trừ chênh lệch thuê xưởng + máy với khấu hao)</t>
  </si>
  <si>
    <t>BQ 2024 sv Định mức</t>
  </si>
  <si>
    <t>Tỷ trọng 2024 sv tỷ trọng 2023</t>
  </si>
  <si>
    <t>Tổng CP/ tấn</t>
  </si>
  <si>
    <t>ĐỊNH MỨC (Bình quân 3 tháng thấp nhất)</t>
  </si>
  <si>
    <t>BQ 2024 sv BQ 2023</t>
  </si>
  <si>
    <t>Sản lượng bán thành phẩm</t>
  </si>
  <si>
    <t>Giá vốn của L ko gồm những khoản này</t>
  </si>
  <si>
    <t>BQ  -10%</t>
  </si>
  <si>
    <r>
      <t xml:space="preserve">Chỉ tiêu
</t>
    </r>
    <r>
      <rPr>
        <b/>
        <sz val="12"/>
        <color rgb="FFFFC000"/>
        <rFont val="Aptos Display"/>
        <family val="2"/>
        <scheme val="major"/>
      </rPr>
      <t>ĐVT: triệu đồng</t>
    </r>
  </si>
  <si>
    <r>
      <t xml:space="preserve">Chỉ tiêu
</t>
    </r>
    <r>
      <rPr>
        <b/>
        <i/>
        <sz val="12"/>
        <color rgb="FFFFC000"/>
        <rFont val="Aptos Display"/>
        <family val="2"/>
        <scheme val="major"/>
      </rPr>
      <t>ĐVT: triệu đồng/tấn</t>
    </r>
  </si>
  <si>
    <t>Hóa chất xử lý nước thải</t>
  </si>
  <si>
    <t>Chi phí sản xuất / tấn</t>
  </si>
  <si>
    <t>Lũy kế TT 2024</t>
  </si>
  <si>
    <t>CP thuê hạch toán vào 632</t>
  </si>
  <si>
    <t>CP thuê hạch toán vào 632 ( cũ)</t>
  </si>
  <si>
    <t>Giảm theo option 3</t>
  </si>
  <si>
    <t>Chi phí thuê xe nâng</t>
  </si>
  <si>
    <t>Tong</t>
  </si>
  <si>
    <t>KH T1.25</t>
  </si>
  <si>
    <t>KH T2.25</t>
  </si>
  <si>
    <t>KH T3.25</t>
  </si>
  <si>
    <t>KH T4.25</t>
  </si>
  <si>
    <t>KH T5.25</t>
  </si>
  <si>
    <t>KH T6.25</t>
  </si>
  <si>
    <t>KH T7.25</t>
  </si>
  <si>
    <t>KH T8.25</t>
  </si>
  <si>
    <t>KH T9.25</t>
  </si>
  <si>
    <t>KH T10.25</t>
  </si>
  <si>
    <t>KH T11.25</t>
  </si>
  <si>
    <t>KH T12.25</t>
  </si>
  <si>
    <t>TB</t>
  </si>
  <si>
    <t>T1.25</t>
  </si>
  <si>
    <t>T2.25</t>
  </si>
  <si>
    <t>T3.25</t>
  </si>
  <si>
    <t>T4.25</t>
  </si>
  <si>
    <t>T5.25</t>
  </si>
  <si>
    <t>T6.25</t>
  </si>
  <si>
    <t>T7.25</t>
  </si>
  <si>
    <t>T8.25</t>
  </si>
  <si>
    <t>T9.25</t>
  </si>
  <si>
    <t>T10.25</t>
  </si>
  <si>
    <t>T11.25</t>
  </si>
  <si>
    <t>T12.25</t>
  </si>
  <si>
    <t>BQ TT 2025</t>
  </si>
  <si>
    <t>Lũy kế 2025</t>
  </si>
  <si>
    <t>LK 2024</t>
  </si>
  <si>
    <t>LK KH 2025</t>
  </si>
  <si>
    <t>BQ KH 2025</t>
  </si>
  <si>
    <t>CA NAM</t>
  </si>
  <si>
    <t>Kế hoạch bán</t>
  </si>
  <si>
    <t>Tỷ trọng BQ 2025</t>
  </si>
  <si>
    <t>BQ 2025 sv BQ 2024</t>
  </si>
  <si>
    <t>BQ 2025</t>
  </si>
  <si>
    <t>1/25</t>
  </si>
  <si>
    <t>TT</t>
  </si>
  <si>
    <t>KH</t>
  </si>
  <si>
    <t>KH 2025</t>
  </si>
  <si>
    <t>Tổng chi phí / tấn (không gồm thuê xưởng, kho, máy và khấu hao)</t>
  </si>
  <si>
    <t>Tổng chi phí (không bao gồm thuê xưởng, kho, máy và khấu hao)</t>
  </si>
  <si>
    <t>T13.2024</t>
  </si>
  <si>
    <t>BQ TT 2023</t>
  </si>
  <si>
    <t>T8.23</t>
  </si>
  <si>
    <t>Sản lượng bán sản phẩm chính</t>
  </si>
  <si>
    <t>Nguyên liệu nhựa</t>
  </si>
  <si>
    <t>Chi phí bồi thường</t>
  </si>
  <si>
    <t>T1.26</t>
  </si>
  <si>
    <t>T2.26</t>
  </si>
  <si>
    <t>T3.26</t>
  </si>
  <si>
    <t>T4.26</t>
  </si>
  <si>
    <t>T5.26</t>
  </si>
  <si>
    <t>T6.26</t>
  </si>
  <si>
    <t>T7.26</t>
  </si>
  <si>
    <t>T8.26</t>
  </si>
  <si>
    <t>T9.26</t>
  </si>
  <si>
    <t>T10.26</t>
  </si>
  <si>
    <t>T11.26</t>
  </si>
  <si>
    <t>T12.26</t>
  </si>
  <si>
    <t>BQ TT 2026</t>
  </si>
  <si>
    <t>Lũy kế 2026</t>
  </si>
  <si>
    <t>Tỷ trọng lũy kế 2026</t>
  </si>
  <si>
    <t>KH T1.2026</t>
  </si>
  <si>
    <t>KH T2.2026</t>
  </si>
  <si>
    <t>KH T3.2026</t>
  </si>
  <si>
    <t>KH T4.2026</t>
  </si>
  <si>
    <t>KH T5.2026</t>
  </si>
  <si>
    <t>KH T6.2026</t>
  </si>
  <si>
    <t>KH T7.2026</t>
  </si>
  <si>
    <t>KH T8.2026</t>
  </si>
  <si>
    <t>KH T9.2026</t>
  </si>
  <si>
    <t>KH T10.2026</t>
  </si>
  <si>
    <t>KH T11.2026</t>
  </si>
  <si>
    <t>KH T12.2026</t>
  </si>
  <si>
    <t>BQ KH 2026</t>
  </si>
  <si>
    <t>BQ 2026 sv BQ 2025</t>
  </si>
  <si>
    <t>NS 2026</t>
  </si>
  <si>
    <t>Tỷ trọng 2026 sv KH 2026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</si>
  <si>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</si>
  <si>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</si>
  <si>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</si>
  <si>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</si>
  <si>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</si>
  <si>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</si>
  <si>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</si>
  <si>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</si>
  <si>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</si>
  <si>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</si>
  <si>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</si>
  <si>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</si>
  <si>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</si>
  <si>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BQ 2026</t>
  </si>
  <si>
    <t>SLSX</t>
  </si>
  <si>
    <t>T13.25</t>
  </si>
  <si>
    <t>Tỷ trọng BQ 2026</t>
  </si>
  <si>
    <t>Tỷ trọng KH 2026</t>
  </si>
  <si>
    <t>Tỷ trọng 2026 sv tỷ trọng 2025</t>
  </si>
  <si>
    <t>CHI PHÍ /TẤN THÀNH PHẨM</t>
  </si>
  <si>
    <r>
      <t xml:space="preserve">Chỉ tiêu
</t>
    </r>
    <r>
      <rPr>
        <b/>
        <i/>
        <sz val="11"/>
        <color rgb="FFFFC000"/>
        <rFont val="Aptos Display"/>
        <family val="2"/>
        <scheme val="major"/>
      </rPr>
      <t>ĐVT: triệu đồng</t>
    </r>
  </si>
  <si>
    <t>LŨY KẾ</t>
  </si>
  <si>
    <t>Thực tế</t>
  </si>
  <si>
    <t>%TT</t>
  </si>
  <si>
    <t>Ngân sách</t>
  </si>
  <si>
    <t>%NS</t>
  </si>
  <si>
    <t>TT vs NS</t>
  </si>
  <si>
    <t>Cùng kỳ</t>
  </si>
  <si>
    <t>%CK</t>
  </si>
  <si>
    <t>Nguyên liệu nhựa (chai, vảy)</t>
  </si>
  <si>
    <t>Tổng chi phí (không tính thuê xưởng, kho,máy,khấu hao)</t>
  </si>
  <si>
    <t>Chi phí / tấn TP</t>
  </si>
  <si>
    <t>Chi phí/ tấn TP (không tính thuê xưởng, kho,máy, khấu hao)</t>
  </si>
  <si>
    <r>
      <rPr>
        <i/>
        <u/>
        <sz val="9"/>
        <color theme="1"/>
        <rFont val="Aptos Display"/>
        <family val="2"/>
        <scheme val="major"/>
      </rPr>
      <t>Ghi chú:</t>
    </r>
    <r>
      <rPr>
        <i/>
        <sz val="9"/>
        <color theme="1"/>
        <rFont val="Aptos Display"/>
        <family val="2"/>
        <scheme val="major"/>
      </rPr>
      <t xml:space="preserve"> CP bán hàng tính trên sản lượng sản lượng bán sản phẩm chỉnh;</t>
    </r>
  </si>
  <si>
    <t>Thuê xưởng, thuê máy không bao gồm chi phí ở GVHB</t>
  </si>
  <si>
    <t>Check-Tổng chi phí</t>
  </si>
  <si>
    <t>Check-Tổng sản lượng sx</t>
  </si>
  <si>
    <t>Check-Chi phí / tấn TP</t>
  </si>
  <si>
    <t>Check-Chi phí/ tấn TP (không tính thuê xưởng, kho,máy, khấu hao)</t>
  </si>
  <si>
    <t>x</t>
  </si>
  <si>
    <t>cthuc</t>
  </si>
  <si>
    <t>Check</t>
  </si>
  <si>
    <r>
      <t xml:space="preserve">Chỉ tiêu
</t>
    </r>
    <r>
      <rPr>
        <b/>
        <i/>
        <sz val="14"/>
        <color rgb="FFFFC000"/>
        <rFont val="Aptos Display"/>
        <family val="2"/>
        <scheme val="major"/>
      </rPr>
      <t>ĐVT: triệu đồng/tấn</t>
    </r>
  </si>
  <si>
    <t>Tỷ trọng BQ TT 2023</t>
  </si>
  <si>
    <t>Tỷ trọng BQ TT 2024</t>
  </si>
  <si>
    <t>Biểu đồ</t>
  </si>
  <si>
    <t>Tỷ trọng BQ TT 2025</t>
  </si>
  <si>
    <t>Cẩn thận dòng này</t>
  </si>
  <si>
    <t>Nguyên liệu nhựa (chai,vảy)/tấn</t>
  </si>
  <si>
    <t>Chi phí sản xuất trong BOM/tấn</t>
  </si>
  <si>
    <t>Cẩn thận dòng này-CT</t>
  </si>
  <si>
    <t>Chi phí sản xuất ngoài BOM/tấn</t>
  </si>
  <si>
    <t>Chi phí bán hàng/tấn</t>
  </si>
  <si>
    <t>Chi phí quản lý doanh nghiệp/tấn</t>
  </si>
  <si>
    <t>Chi phí lãi vay/tấn</t>
  </si>
  <si>
    <t>Cp 621,622.627</t>
  </si>
  <si>
    <t>CT</t>
  </si>
  <si>
    <t>TỔNG CHI PHÍ</t>
  </si>
  <si>
    <t>ĐINH MỨC 2026</t>
  </si>
  <si>
    <t>Tỷ trọng BQ TT 2026</t>
  </si>
  <si>
    <t>BQ TT 2026 sv BQ TT 2025</t>
  </si>
  <si>
    <t>TK621</t>
  </si>
  <si>
    <t>TK622</t>
  </si>
  <si>
    <t>TK627</t>
  </si>
  <si>
    <t>TK635</t>
  </si>
  <si>
    <t>TK641</t>
  </si>
  <si>
    <t>TK642</t>
  </si>
  <si>
    <t>TK811</t>
  </si>
  <si>
    <t>ok</t>
  </si>
  <si>
    <t>CP/ tấn</t>
  </si>
  <si>
    <t>SL bán</t>
  </si>
  <si>
    <t>T04.26</t>
  </si>
  <si>
    <t>Updated T04</t>
  </si>
  <si>
    <t>T05.26</t>
  </si>
  <si>
    <t>%T05</t>
  </si>
  <si>
    <t>KH T05.26</t>
  </si>
  <si>
    <t>%KH T05.26</t>
  </si>
  <si>
    <t>T05.26 sv KHT05.26</t>
  </si>
  <si>
    <t>Updated T05</t>
  </si>
  <si>
    <t>KH
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</si>
</sst>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%"/>
    <numFmt numFmtId="168" formatCode="_-* #,##0.00\ _₫_-;\-* #,##0.00\ _₫_-;_-* &quot;-&quot;??\ _₫_-;_-@_-"/>
    <numFmt numFmtId="169" formatCode="_-* #,##0.0_-;\-* #,##0.0_-;_-* &quot;-&quot;??_-;_-@_-"/>
    <numFmt numFmtId="170" formatCode="_(* #,##0.0_);_(* \(#,##0.0\);_(* &quot;-&quot;??_);_(@_)"/>
    <numFmt numFmtId="171" formatCode="_(* #,##0.000_);_(* \(#,##0.000\);_(* &quot;-&quot;??_);_(@_)"/>
    <numFmt numFmtId="172" formatCode="#,##0.0"/>
    <numFmt numFmtId="173" formatCode="0.0"/>
    <numFmt numFmtId="174" formatCode="_-* #,##0.0\ _₫_-;\-* #,##0.0\ _₫_-;_-* &quot;-&quot;?\ _₫_-;_-@_-"/>
    <numFmt numFmtId="175" formatCode="0.0%;\-0.0%;;"/>
    <numFmt numFmtId="176" formatCode="_-* #,##0.000_-;\-* #,##0.000_-;_-* &quot;-&quot;??_-;_-@_-"/>
    <numFmt numFmtId="177" formatCode="_(* #,##0.0_);_(* \(#,##0.0\);_(* &quot;-&quot;?_);_(@_)"/>
    <numFmt numFmtId="178" formatCode="_-* #,##0.00_-;\-* #,##0.00_-;_-* &quot;-&quot;_-;_-@_-"/>
    <numFmt numFmtId="179" formatCode="_-* #,##0.000\ _₫_-;\-* #,##0.000\ _₫_-;_-* &quot;-&quot;??\ _₫_-;_-@_-"/>
  </numFmts>
  <fonts count="9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theme="0"/>
      <name val="Times New Roman"/>
      <family val="1"/>
    </font>
    <font>
      <b/>
      <sz val="1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0"/>
      <name val="Times New Roman"/>
      <family val="1"/>
    </font>
    <font>
      <u/>
      <sz val="11"/>
      <color theme="10"/>
      <name val="Times New Roman"/>
      <family val="1"/>
    </font>
    <font>
      <sz val="11"/>
      <color rgb="FFFF0000"/>
      <name val="Times New Roman"/>
      <family val="1"/>
    </font>
    <font>
      <b/>
      <sz val="8"/>
      <color indexed="81"/>
      <name val="Tahoma"/>
      <family val="2"/>
    </font>
    <font>
      <sz val="10"/>
      <name val="Arial"/>
      <family val="2"/>
    </font>
    <font>
      <u/>
      <sz val="10"/>
      <color theme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6"/>
      <color rgb="FF0000FF"/>
      <name val="Aptos Narrow"/>
      <family val="2"/>
      <scheme val="minor"/>
    </font>
    <font>
      <i/>
      <sz val="11"/>
      <color theme="5" tint="-0.249977111117893"/>
      <name val="Aptos Narrow"/>
      <family val="2"/>
      <scheme val="minor"/>
    </font>
    <font>
      <i/>
      <u/>
      <sz val="12"/>
      <color theme="5" tint="-0.249977111117893"/>
      <name val="Aptos Narrow"/>
      <family val="2"/>
      <scheme val="minor"/>
    </font>
    <font>
      <b/>
      <sz val="12"/>
      <color rgb="FF0000FF"/>
      <name val="Times New Roman"/>
      <family val="1"/>
    </font>
    <font>
      <sz val="12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6"/>
      <color rgb="FF0000FF"/>
      <name val="Aptos Display"/>
      <family val="2"/>
      <scheme val="major"/>
    </font>
    <font>
      <i/>
      <u/>
      <sz val="12"/>
      <color theme="5" tint="-0.249977111117893"/>
      <name val="Aptos Display"/>
      <family val="2"/>
      <scheme val="major"/>
    </font>
    <font>
      <i/>
      <sz val="12"/>
      <color theme="5" tint="-0.249977111117893"/>
      <name val="Aptos Display"/>
      <family val="2"/>
      <scheme val="major"/>
    </font>
    <font>
      <i/>
      <sz val="11"/>
      <color theme="5" tint="-0.249977111117893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rgb="FFFFC00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i/>
      <sz val="11"/>
      <color theme="5" tint="-0.249977111117893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2"/>
      <color theme="5" tint="-0.249977111117893"/>
      <name val="Aptos Display"/>
      <family val="2"/>
      <scheme val="major"/>
    </font>
    <font>
      <b/>
      <i/>
      <sz val="12"/>
      <color rgb="FFFFC000"/>
      <name val="Aptos Display"/>
      <family val="2"/>
      <scheme val="major"/>
    </font>
    <font>
      <sz val="12"/>
      <color rgb="FF0000FF"/>
      <name val="Aptos Display"/>
      <family val="2"/>
      <scheme val="major"/>
    </font>
    <font>
      <i/>
      <sz val="12"/>
      <color theme="0" tint="-0.249977111117893"/>
      <name val="Aptos Display"/>
      <family val="2"/>
      <scheme val="major"/>
    </font>
    <font>
      <i/>
      <u/>
      <sz val="12"/>
      <color theme="0" tint="-0.249977111117893"/>
      <name val="Aptos Display"/>
      <family val="2"/>
      <scheme val="major"/>
    </font>
    <font>
      <sz val="12"/>
      <color theme="0" tint="-0.249977111117893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0"/>
      <color theme="1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sz val="11"/>
      <color theme="5" tint="-0.249977111117893"/>
      <name val="Aptos Display"/>
      <family val="2"/>
      <scheme val="major"/>
    </font>
    <font>
      <b/>
      <sz val="11"/>
      <color theme="5" tint="-0.249977111117893"/>
      <name val="Aptos Display"/>
      <family val="2"/>
      <scheme val="major"/>
    </font>
    <font>
      <b/>
      <i/>
      <sz val="11"/>
      <color rgb="FFFFC00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rgb="FF0000FF"/>
      <name val="Aptos Display"/>
      <family val="2"/>
      <scheme val="major"/>
    </font>
    <font>
      <b/>
      <sz val="11"/>
      <color rgb="FFBE3455"/>
      <name val="Aptos Display"/>
      <family val="2"/>
      <scheme val="major"/>
    </font>
    <font>
      <b/>
      <sz val="12"/>
      <color rgb="FFBE3455"/>
      <name val="Aptos Display"/>
      <family val="2"/>
      <scheme val="major"/>
    </font>
    <font>
      <b/>
      <sz val="10"/>
      <color rgb="FFBE3455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i/>
      <u/>
      <sz val="9"/>
      <color theme="1"/>
      <name val="Aptos Display"/>
      <family val="2"/>
      <scheme val="major"/>
    </font>
    <font>
      <i/>
      <sz val="11"/>
      <color rgb="FF00B0F0"/>
      <name val="Aptos Display"/>
      <family val="2"/>
      <scheme val="major"/>
    </font>
    <font>
      <sz val="11"/>
      <color rgb="FF00B0F0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b/>
      <i/>
      <sz val="14"/>
      <color rgb="FFFFC000"/>
      <name val="Aptos Display"/>
      <family val="2"/>
      <scheme val="major"/>
    </font>
    <font>
      <b/>
      <sz val="14"/>
      <name val="Aptos Display"/>
      <family val="2"/>
      <scheme val="major"/>
    </font>
    <font>
      <sz val="14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rgb="FF0000FF"/>
      <name val="Aptos Display"/>
      <family val="2"/>
      <scheme val="major"/>
    </font>
    <font>
      <sz val="14"/>
      <color rgb="FF0000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4"/>
      <color theme="0" tint="-0.499984740745262"/>
      <name val="Aptos Display"/>
      <family val="2"/>
      <scheme val="major"/>
    </font>
    <font>
      <sz val="12"/>
      <color theme="0" tint="-0.499984740745262"/>
      <name val="Aptos Display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1930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1" tint="0.24997711111789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DDDDD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rgb="FF11930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6" tint="0.39997558519241921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 style="thick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ck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 style="thick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/>
      <diagonal/>
    </border>
    <border>
      <left style="medium">
        <color auto="1"/>
      </left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hair">
        <color theme="0" tint="-0.14993743705557422"/>
      </top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hair">
        <color indexed="64"/>
      </bottom>
      <diagonal/>
    </border>
    <border>
      <left style="thick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ck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ck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22" fillId="0" borderId="0"/>
    <xf numFmtId="43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027">
    <xf numFmtId="0" fontId="0" fillId="0" borderId="0" xfId="0"/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166" fontId="10" fillId="0" borderId="1" xfId="2" applyNumberFormat="1" applyFont="1" applyBorder="1"/>
    <xf numFmtId="166" fontId="11" fillId="0" borderId="1" xfId="2" applyNumberFormat="1" applyFont="1" applyBorder="1"/>
    <xf numFmtId="166" fontId="11" fillId="0" borderId="1" xfId="2" applyNumberFormat="1" applyFont="1" applyFill="1" applyBorder="1"/>
    <xf numFmtId="166" fontId="12" fillId="0" borderId="1" xfId="0" applyNumberFormat="1" applyFont="1" applyBorder="1"/>
    <xf numFmtId="166" fontId="0" fillId="0" borderId="0" xfId="2" applyNumberFormat="1" applyFont="1"/>
    <xf numFmtId="166" fontId="0" fillId="0" borderId="0" xfId="0" applyNumberFormat="1"/>
    <xf numFmtId="0" fontId="4" fillId="0" borderId="0" xfId="0" applyFont="1"/>
    <xf numFmtId="0" fontId="12" fillId="0" borderId="1" xfId="0" applyFont="1" applyBorder="1"/>
    <xf numFmtId="0" fontId="13" fillId="0" borderId="0" xfId="0" applyFont="1"/>
    <xf numFmtId="0" fontId="12" fillId="3" borderId="0" xfId="0" applyFont="1" applyFill="1"/>
    <xf numFmtId="9" fontId="11" fillId="0" borderId="1" xfId="1" applyFont="1" applyBorder="1"/>
    <xf numFmtId="167" fontId="11" fillId="0" borderId="1" xfId="1" applyNumberFormat="1" applyFont="1" applyBorder="1"/>
    <xf numFmtId="0" fontId="12" fillId="0" borderId="0" xfId="0" applyFont="1"/>
    <xf numFmtId="0" fontId="9" fillId="0" borderId="0" xfId="0" applyFont="1"/>
    <xf numFmtId="9" fontId="15" fillId="0" borderId="0" xfId="1" applyFont="1" applyBorder="1"/>
    <xf numFmtId="166" fontId="12" fillId="0" borderId="1" xfId="2" applyNumberFormat="1" applyFont="1" applyBorder="1"/>
    <xf numFmtId="166" fontId="10" fillId="0" borderId="1" xfId="2" applyNumberFormat="1" applyFont="1" applyFill="1" applyBorder="1"/>
    <xf numFmtId="0" fontId="10" fillId="0" borderId="0" xfId="0" applyFont="1"/>
    <xf numFmtId="166" fontId="10" fillId="0" borderId="0" xfId="2" applyNumberFormat="1" applyFont="1" applyAlignment="1">
      <alignment horizontal="center"/>
    </xf>
    <xf numFmtId="166" fontId="10" fillId="0" borderId="0" xfId="2" applyNumberFormat="1" applyFont="1"/>
    <xf numFmtId="0" fontId="14" fillId="5" borderId="0" xfId="0" applyFont="1" applyFill="1"/>
    <xf numFmtId="0" fontId="11" fillId="0" borderId="1" xfId="4" applyFont="1" applyBorder="1"/>
    <xf numFmtId="0" fontId="18" fillId="0" borderId="1" xfId="0" applyFont="1" applyBorder="1" applyAlignment="1">
      <alignment horizontal="left"/>
    </xf>
    <xf numFmtId="9" fontId="16" fillId="0" borderId="1" xfId="3" quotePrefix="1" applyNumberFormat="1" applyFill="1" applyBorder="1"/>
    <xf numFmtId="166" fontId="10" fillId="0" borderId="1" xfId="0" applyNumberFormat="1" applyFont="1" applyBorder="1"/>
    <xf numFmtId="166" fontId="10" fillId="0" borderId="0" xfId="0" applyNumberFormat="1" applyFont="1"/>
    <xf numFmtId="9" fontId="19" fillId="0" borderId="1" xfId="3" quotePrefix="1" applyNumberFormat="1" applyFont="1" applyFill="1" applyBorder="1"/>
    <xf numFmtId="9" fontId="10" fillId="0" borderId="1" xfId="1" applyFont="1" applyFill="1" applyBorder="1"/>
    <xf numFmtId="0" fontId="11" fillId="0" borderId="1" xfId="4" applyFont="1" applyBorder="1" applyAlignment="1">
      <alignment wrapText="1"/>
    </xf>
    <xf numFmtId="0" fontId="16" fillId="0" borderId="1" xfId="3" quotePrefix="1" applyFill="1" applyBorder="1"/>
    <xf numFmtId="9" fontId="19" fillId="0" borderId="1" xfId="3" applyNumberFormat="1" applyFont="1" applyFill="1" applyBorder="1"/>
    <xf numFmtId="0" fontId="10" fillId="0" borderId="3" xfId="0" applyFont="1" applyBorder="1"/>
    <xf numFmtId="0" fontId="11" fillId="0" borderId="3" xfId="4" applyFont="1" applyBorder="1"/>
    <xf numFmtId="0" fontId="18" fillId="0" borderId="3" xfId="0" applyFont="1" applyBorder="1" applyAlignment="1">
      <alignment horizontal="left"/>
    </xf>
    <xf numFmtId="9" fontId="19" fillId="0" borderId="3" xfId="3" quotePrefix="1" applyNumberFormat="1" applyFont="1" applyFill="1" applyBorder="1"/>
    <xf numFmtId="0" fontId="15" fillId="0" borderId="1" xfId="0" applyFont="1" applyBorder="1"/>
    <xf numFmtId="166" fontId="15" fillId="0" borderId="1" xfId="0" applyNumberFormat="1" applyFont="1" applyBorder="1"/>
    <xf numFmtId="166" fontId="12" fillId="0" borderId="1" xfId="2" applyNumberFormat="1" applyFont="1" applyFill="1" applyBorder="1"/>
    <xf numFmtId="166" fontId="15" fillId="0" borderId="1" xfId="2" applyNumberFormat="1" applyFont="1" applyBorder="1"/>
    <xf numFmtId="0" fontId="15" fillId="0" borderId="0" xfId="0" applyFont="1"/>
    <xf numFmtId="9" fontId="19" fillId="0" borderId="1" xfId="3" quotePrefix="1" applyNumberFormat="1" applyFont="1" applyBorder="1"/>
    <xf numFmtId="0" fontId="15" fillId="0" borderId="1" xfId="4" applyFont="1" applyBorder="1"/>
    <xf numFmtId="0" fontId="6" fillId="0" borderId="1" xfId="0" applyFont="1" applyBorder="1" applyAlignment="1">
      <alignment horizontal="left"/>
    </xf>
    <xf numFmtId="3" fontId="12" fillId="0" borderId="1" xfId="2" applyNumberFormat="1" applyFont="1" applyBorder="1"/>
    <xf numFmtId="9" fontId="12" fillId="0" borderId="1" xfId="1" applyFont="1" applyBorder="1"/>
    <xf numFmtId="166" fontId="20" fillId="0" borderId="0" xfId="2" applyNumberFormat="1" applyFont="1"/>
    <xf numFmtId="0" fontId="14" fillId="0" borderId="0" xfId="0" applyFont="1" applyAlignment="1">
      <alignment vertical="center"/>
    </xf>
    <xf numFmtId="167" fontId="12" fillId="0" borderId="1" xfId="1" applyNumberFormat="1" applyFont="1" applyBorder="1"/>
    <xf numFmtId="0" fontId="15" fillId="0" borderId="0" xfId="4" applyFont="1"/>
    <xf numFmtId="9" fontId="12" fillId="0" borderId="0" xfId="1" applyFont="1" applyBorder="1"/>
    <xf numFmtId="166" fontId="12" fillId="0" borderId="0" xfId="2" applyNumberFormat="1" applyFont="1"/>
    <xf numFmtId="0" fontId="7" fillId="0" borderId="0" xfId="0" applyFont="1"/>
    <xf numFmtId="0" fontId="18" fillId="0" borderId="0" xfId="0" applyFont="1" applyAlignment="1">
      <alignment vertical="top"/>
    </xf>
    <xf numFmtId="0" fontId="23" fillId="0" borderId="0" xfId="3" quotePrefix="1" applyFont="1"/>
    <xf numFmtId="166" fontId="7" fillId="0" borderId="0" xfId="2" applyNumberFormat="1" applyFont="1"/>
    <xf numFmtId="0" fontId="7" fillId="8" borderId="1" xfId="0" applyFont="1" applyFill="1" applyBorder="1" applyAlignment="1">
      <alignment vertical="top"/>
    </xf>
    <xf numFmtId="0" fontId="7" fillId="8" borderId="1" xfId="0" applyFont="1" applyFill="1" applyBorder="1" applyAlignment="1">
      <alignment vertical="top" wrapText="1"/>
    </xf>
    <xf numFmtId="166" fontId="7" fillId="8" borderId="1" xfId="2" applyNumberFormat="1" applyFont="1" applyFill="1" applyBorder="1" applyAlignment="1">
      <alignment vertical="top"/>
    </xf>
    <xf numFmtId="0" fontId="7" fillId="0" borderId="0" xfId="0" applyFont="1" applyAlignment="1">
      <alignment vertical="top"/>
    </xf>
    <xf numFmtId="14" fontId="7" fillId="0" borderId="0" xfId="0" applyNumberFormat="1" applyFont="1" applyAlignment="1">
      <alignment horizontal="right" vertical="top"/>
    </xf>
    <xf numFmtId="166" fontId="7" fillId="0" borderId="0" xfId="2" applyNumberFormat="1" applyFont="1" applyAlignment="1">
      <alignment horizontal="right" vertical="top"/>
    </xf>
    <xf numFmtId="165" fontId="10" fillId="0" borderId="0" xfId="7" applyNumberFormat="1" applyFont="1"/>
    <xf numFmtId="0" fontId="10" fillId="3" borderId="2" xfId="0" applyFont="1" applyFill="1" applyBorder="1"/>
    <xf numFmtId="0" fontId="8" fillId="9" borderId="1" xfId="0" applyFont="1" applyFill="1" applyBorder="1" applyAlignment="1">
      <alignment horizontal="left"/>
    </xf>
    <xf numFmtId="166" fontId="8" fillId="9" borderId="1" xfId="2" applyNumberFormat="1" applyFont="1" applyFill="1" applyBorder="1" applyAlignment="1">
      <alignment horizontal="left"/>
    </xf>
    <xf numFmtId="166" fontId="8" fillId="9" borderId="1" xfId="2" applyNumberFormat="1" applyFont="1" applyFill="1" applyBorder="1" applyAlignment="1">
      <alignment horizontal="left" wrapText="1"/>
    </xf>
    <xf numFmtId="0" fontId="8" fillId="9" borderId="1" xfId="0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166" fontId="8" fillId="9" borderId="1" xfId="2" applyNumberFormat="1" applyFont="1" applyFill="1" applyBorder="1" applyAlignment="1">
      <alignment horizontal="center" vertical="center"/>
    </xf>
    <xf numFmtId="166" fontId="8" fillId="9" borderId="1" xfId="2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/>
    </xf>
    <xf numFmtId="166" fontId="9" fillId="9" borderId="1" xfId="2" applyNumberFormat="1" applyFont="1" applyFill="1" applyBorder="1" applyAlignment="1">
      <alignment horizontal="left" vertical="center"/>
    </xf>
    <xf numFmtId="166" fontId="8" fillId="9" borderId="1" xfId="2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/>
    </xf>
    <xf numFmtId="166" fontId="6" fillId="10" borderId="1" xfId="2" applyNumberFormat="1" applyFont="1" applyFill="1" applyBorder="1" applyAlignment="1">
      <alignment horizontal="left"/>
    </xf>
    <xf numFmtId="166" fontId="6" fillId="10" borderId="1" xfId="2" applyNumberFormat="1" applyFont="1" applyFill="1" applyBorder="1" applyAlignment="1">
      <alignment horizontal="left" wrapText="1"/>
    </xf>
    <xf numFmtId="0" fontId="6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right"/>
    </xf>
    <xf numFmtId="0" fontId="15" fillId="0" borderId="4" xfId="0" applyFont="1" applyBorder="1"/>
    <xf numFmtId="0" fontId="15" fillId="0" borderId="5" xfId="0" applyFont="1" applyBorder="1"/>
    <xf numFmtId="166" fontId="13" fillId="0" borderId="0" xfId="0" applyNumberFormat="1" applyFont="1"/>
    <xf numFmtId="166" fontId="8" fillId="10" borderId="1" xfId="0" applyNumberFormat="1" applyFont="1" applyFill="1" applyBorder="1" applyAlignment="1">
      <alignment horizontal="left"/>
    </xf>
    <xf numFmtId="166" fontId="12" fillId="0" borderId="0" xfId="0" applyNumberFormat="1" applyFont="1"/>
    <xf numFmtId="165" fontId="13" fillId="0" borderId="0" xfId="7" applyNumberFormat="1" applyFont="1"/>
    <xf numFmtId="0" fontId="12" fillId="0" borderId="1" xfId="0" applyFont="1" applyBorder="1" applyAlignment="1">
      <alignment wrapText="1"/>
    </xf>
    <xf numFmtId="0" fontId="5" fillId="0" borderId="0" xfId="0" applyFont="1" applyAlignment="1">
      <alignment vertical="center"/>
    </xf>
    <xf numFmtId="0" fontId="11" fillId="0" borderId="0" xfId="0" applyFont="1"/>
    <xf numFmtId="166" fontId="11" fillId="0" borderId="0" xfId="0" applyNumberFormat="1" applyFont="1"/>
    <xf numFmtId="165" fontId="11" fillId="0" borderId="0" xfId="7" applyNumberFormat="1" applyFont="1"/>
    <xf numFmtId="0" fontId="27" fillId="0" borderId="0" xfId="0" applyFont="1"/>
    <xf numFmtId="0" fontId="28" fillId="11" borderId="1" xfId="0" applyFont="1" applyFill="1" applyBorder="1" applyAlignment="1">
      <alignment horizontal="center" vertical="center"/>
    </xf>
    <xf numFmtId="166" fontId="28" fillId="11" borderId="1" xfId="2" applyNumberFormat="1" applyFont="1" applyFill="1" applyBorder="1" applyAlignment="1">
      <alignment horizontal="center" vertical="center"/>
    </xf>
    <xf numFmtId="166" fontId="28" fillId="11" borderId="1" xfId="2" applyNumberFormat="1" applyFont="1" applyFill="1" applyBorder="1" applyAlignment="1">
      <alignment horizontal="center" vertical="center" wrapText="1"/>
    </xf>
    <xf numFmtId="0" fontId="30" fillId="0" borderId="0" xfId="0" applyFont="1"/>
    <xf numFmtId="0" fontId="29" fillId="10" borderId="1" xfId="0" applyFont="1" applyFill="1" applyBorder="1" applyAlignment="1">
      <alignment horizontal="left"/>
    </xf>
    <xf numFmtId="0" fontId="31" fillId="0" borderId="7" xfId="0" applyFont="1" applyBorder="1"/>
    <xf numFmtId="166" fontId="33" fillId="0" borderId="7" xfId="0" applyNumberFormat="1" applyFont="1" applyBorder="1"/>
    <xf numFmtId="0" fontId="31" fillId="0" borderId="8" xfId="0" applyFont="1" applyBorder="1"/>
    <xf numFmtId="0" fontId="31" fillId="0" borderId="9" xfId="0" applyFont="1" applyBorder="1"/>
    <xf numFmtId="0" fontId="32" fillId="0" borderId="0" xfId="0" applyFont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167" fontId="32" fillId="0" borderId="7" xfId="1" applyNumberFormat="1" applyFont="1" applyBorder="1"/>
    <xf numFmtId="0" fontId="38" fillId="10" borderId="1" xfId="0" applyFont="1" applyFill="1" applyBorder="1" applyAlignment="1">
      <alignment horizontal="left"/>
    </xf>
    <xf numFmtId="0" fontId="39" fillId="0" borderId="0" xfId="0" applyFont="1"/>
    <xf numFmtId="169" fontId="33" fillId="0" borderId="9" xfId="0" applyNumberFormat="1" applyFont="1" applyBorder="1" applyAlignment="1">
      <alignment horizontal="center" vertical="center"/>
    </xf>
    <xf numFmtId="9" fontId="33" fillId="0" borderId="9" xfId="1" applyFont="1" applyBorder="1"/>
    <xf numFmtId="0" fontId="29" fillId="10" borderId="1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9" fontId="38" fillId="10" borderId="1" xfId="1" applyFont="1" applyFill="1" applyBorder="1" applyAlignment="1">
      <alignment horizontal="center"/>
    </xf>
    <xf numFmtId="9" fontId="29" fillId="10" borderId="1" xfId="1" applyFont="1" applyFill="1" applyBorder="1" applyAlignment="1">
      <alignment horizontal="center"/>
    </xf>
    <xf numFmtId="166" fontId="33" fillId="0" borderId="7" xfId="0" applyNumberFormat="1" applyFont="1" applyBorder="1" applyAlignment="1">
      <alignment vertical="top"/>
    </xf>
    <xf numFmtId="167" fontId="32" fillId="0" borderId="8" xfId="1" applyNumberFormat="1" applyFont="1" applyBorder="1"/>
    <xf numFmtId="167" fontId="32" fillId="0" borderId="9" xfId="1" applyNumberFormat="1" applyFont="1" applyBorder="1"/>
    <xf numFmtId="166" fontId="28" fillId="11" borderId="1" xfId="2" quotePrefix="1" applyNumberFormat="1" applyFont="1" applyFill="1" applyBorder="1" applyAlignment="1">
      <alignment horizontal="center" vertical="center" wrapText="1"/>
    </xf>
    <xf numFmtId="164" fontId="32" fillId="0" borderId="8" xfId="7" applyFont="1" applyBorder="1"/>
    <xf numFmtId="164" fontId="32" fillId="0" borderId="9" xfId="7" applyFont="1" applyBorder="1"/>
    <xf numFmtId="165" fontId="0" fillId="0" borderId="0" xfId="7" applyNumberFormat="1" applyFont="1"/>
    <xf numFmtId="3" fontId="11" fillId="0" borderId="0" xfId="0" applyNumberFormat="1" applyFont="1"/>
    <xf numFmtId="165" fontId="10" fillId="0" borderId="0" xfId="0" applyNumberFormat="1" applyFont="1"/>
    <xf numFmtId="165" fontId="10" fillId="0" borderId="1" xfId="7" applyNumberFormat="1" applyFont="1" applyBorder="1"/>
    <xf numFmtId="170" fontId="32" fillId="0" borderId="7" xfId="7" applyNumberFormat="1" applyFont="1" applyBorder="1"/>
    <xf numFmtId="170" fontId="38" fillId="10" borderId="1" xfId="7" applyNumberFormat="1" applyFont="1" applyFill="1" applyBorder="1" applyAlignment="1">
      <alignment horizontal="center"/>
    </xf>
    <xf numFmtId="170" fontId="29" fillId="10" borderId="1" xfId="7" applyNumberFormat="1" applyFont="1" applyFill="1" applyBorder="1" applyAlignment="1">
      <alignment horizontal="center"/>
    </xf>
    <xf numFmtId="170" fontId="32" fillId="0" borderId="8" xfId="7" applyNumberFormat="1" applyFont="1" applyBorder="1"/>
    <xf numFmtId="171" fontId="32" fillId="0" borderId="7" xfId="7" applyNumberFormat="1" applyFont="1" applyBorder="1"/>
    <xf numFmtId="171" fontId="32" fillId="0" borderId="8" xfId="7" applyNumberFormat="1" applyFont="1" applyBorder="1"/>
    <xf numFmtId="170" fontId="32" fillId="0" borderId="9" xfId="7" applyNumberFormat="1" applyFont="1" applyBorder="1"/>
    <xf numFmtId="0" fontId="33" fillId="0" borderId="7" xfId="0" applyFont="1" applyBorder="1"/>
    <xf numFmtId="0" fontId="34" fillId="0" borderId="7" xfId="0" applyFont="1" applyBorder="1"/>
    <xf numFmtId="166" fontId="29" fillId="0" borderId="7" xfId="2" applyNumberFormat="1" applyFont="1" applyBorder="1"/>
    <xf numFmtId="9" fontId="29" fillId="0" borderId="7" xfId="1" applyFont="1" applyBorder="1" applyAlignment="1">
      <alignment horizontal="right"/>
    </xf>
    <xf numFmtId="169" fontId="33" fillId="0" borderId="8" xfId="0" applyNumberFormat="1" applyFont="1" applyBorder="1" applyAlignment="1">
      <alignment horizontal="center" vertical="center"/>
    </xf>
    <xf numFmtId="9" fontId="33" fillId="0" borderId="8" xfId="1" applyFont="1" applyBorder="1"/>
    <xf numFmtId="9" fontId="32" fillId="0" borderId="8" xfId="1" applyFont="1" applyBorder="1"/>
    <xf numFmtId="0" fontId="33" fillId="0" borderId="1" xfId="0" applyFont="1" applyBorder="1" applyAlignment="1">
      <alignment vertical="top" wrapText="1"/>
    </xf>
    <xf numFmtId="170" fontId="32" fillId="0" borderId="1" xfId="7" applyNumberFormat="1" applyFont="1" applyBorder="1"/>
    <xf numFmtId="170" fontId="38" fillId="0" borderId="1" xfId="7" applyNumberFormat="1" applyFont="1" applyBorder="1"/>
    <xf numFmtId="173" fontId="40" fillId="0" borderId="1" xfId="0" applyNumberFormat="1" applyFont="1" applyBorder="1"/>
    <xf numFmtId="0" fontId="40" fillId="0" borderId="1" xfId="0" applyFont="1" applyBorder="1"/>
    <xf numFmtId="166" fontId="8" fillId="0" borderId="1" xfId="2" applyNumberFormat="1" applyFont="1" applyFill="1" applyBorder="1" applyAlignment="1">
      <alignment horizontal="center" vertical="center" wrapText="1"/>
    </xf>
    <xf numFmtId="166" fontId="6" fillId="0" borderId="0" xfId="2" applyNumberFormat="1" applyFont="1" applyFill="1" applyBorder="1" applyAlignment="1">
      <alignment horizontal="left" wrapText="1"/>
    </xf>
    <xf numFmtId="166" fontId="15" fillId="0" borderId="0" xfId="0" applyNumberFormat="1" applyFont="1"/>
    <xf numFmtId="166" fontId="8" fillId="0" borderId="0" xfId="2" applyNumberFormat="1" applyFont="1" applyFill="1" applyBorder="1" applyAlignment="1">
      <alignment horizontal="center" vertical="center" wrapText="1"/>
    </xf>
    <xf numFmtId="167" fontId="11" fillId="0" borderId="0" xfId="1" applyNumberFormat="1" applyFont="1" applyFill="1" applyBorder="1"/>
    <xf numFmtId="9" fontId="15" fillId="0" borderId="0" xfId="1" applyFont="1" applyFill="1" applyBorder="1"/>
    <xf numFmtId="166" fontId="8" fillId="0" borderId="0" xfId="2" applyNumberFormat="1" applyFont="1" applyFill="1" applyBorder="1" applyAlignment="1">
      <alignment horizontal="left" wrapText="1"/>
    </xf>
    <xf numFmtId="166" fontId="0" fillId="0" borderId="0" xfId="2" applyNumberFormat="1" applyFont="1" applyFill="1"/>
    <xf numFmtId="174" fontId="0" fillId="0" borderId="0" xfId="0" applyNumberFormat="1"/>
    <xf numFmtId="169" fontId="12" fillId="0" borderId="1" xfId="0" applyNumberFormat="1" applyFont="1" applyBorder="1"/>
    <xf numFmtId="166" fontId="4" fillId="0" borderId="1" xfId="2" applyNumberFormat="1" applyFont="1" applyBorder="1"/>
    <xf numFmtId="1" fontId="13" fillId="0" borderId="0" xfId="0" applyNumberFormat="1" applyFont="1"/>
    <xf numFmtId="0" fontId="42" fillId="0" borderId="0" xfId="0" applyFont="1"/>
    <xf numFmtId="0" fontId="43" fillId="0" borderId="0" xfId="0" applyFont="1"/>
    <xf numFmtId="49" fontId="42" fillId="0" borderId="0" xfId="0" applyNumberFormat="1" applyFont="1"/>
    <xf numFmtId="0" fontId="44" fillId="0" borderId="0" xfId="0" applyFont="1" applyAlignment="1">
      <alignment horizontal="right"/>
    </xf>
    <xf numFmtId="0" fontId="44" fillId="0" borderId="0" xfId="0" applyFont="1" applyAlignment="1">
      <alignment horizontal="left"/>
    </xf>
    <xf numFmtId="166" fontId="42" fillId="0" borderId="0" xfId="0" applyNumberFormat="1" applyFont="1"/>
    <xf numFmtId="0" fontId="45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9" fontId="42" fillId="0" borderId="0" xfId="1" applyFont="1"/>
    <xf numFmtId="49" fontId="45" fillId="0" borderId="0" xfId="0" applyNumberFormat="1" applyFont="1" applyAlignment="1">
      <alignment horizontal="left"/>
    </xf>
    <xf numFmtId="43" fontId="42" fillId="0" borderId="0" xfId="0" applyNumberFormat="1" applyFont="1"/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11" borderId="1" xfId="0" applyFont="1" applyFill="1" applyBorder="1" applyAlignment="1">
      <alignment horizontal="center" vertical="center"/>
    </xf>
    <xf numFmtId="16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51" fillId="10" borderId="1" xfId="0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1" fillId="10" borderId="1" xfId="0" applyFont="1" applyFill="1" applyBorder="1" applyAlignment="1">
      <alignment horizontal="left" vertical="center"/>
    </xf>
    <xf numFmtId="166" fontId="51" fillId="10" borderId="1" xfId="2" applyNumberFormat="1" applyFont="1" applyFill="1" applyBorder="1" applyAlignment="1">
      <alignment horizontal="left" vertical="center"/>
    </xf>
    <xf numFmtId="9" fontId="51" fillId="10" borderId="1" xfId="1" applyFont="1" applyFill="1" applyBorder="1" applyAlignment="1">
      <alignment horizontal="right" vertical="center"/>
    </xf>
    <xf numFmtId="167" fontId="51" fillId="10" borderId="1" xfId="1" applyNumberFormat="1" applyFont="1" applyFill="1" applyBorder="1" applyAlignment="1">
      <alignment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vertical="center"/>
    </xf>
    <xf numFmtId="166" fontId="52" fillId="0" borderId="7" xfId="2" applyNumberFormat="1" applyFont="1" applyBorder="1" applyAlignment="1">
      <alignment vertical="center"/>
    </xf>
    <xf numFmtId="9" fontId="52" fillId="0" borderId="8" xfId="1" applyFont="1" applyFill="1" applyBorder="1" applyAlignment="1">
      <alignment horizontal="right" vertical="center"/>
    </xf>
    <xf numFmtId="167" fontId="52" fillId="0" borderId="7" xfId="1" applyNumberFormat="1" applyFont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vertical="center"/>
    </xf>
    <xf numFmtId="166" fontId="52" fillId="0" borderId="8" xfId="2" applyNumberFormat="1" applyFont="1" applyBorder="1" applyAlignment="1">
      <alignment vertical="center"/>
    </xf>
    <xf numFmtId="167" fontId="52" fillId="0" borderId="8" xfId="1" applyNumberFormat="1" applyFont="1" applyBorder="1" applyAlignment="1">
      <alignment vertical="center"/>
    </xf>
    <xf numFmtId="166" fontId="42" fillId="0" borderId="0" xfId="0" applyNumberFormat="1" applyFont="1" applyAlignment="1">
      <alignment vertical="center"/>
    </xf>
    <xf numFmtId="166" fontId="52" fillId="0" borderId="8" xfId="2" applyNumberFormat="1" applyFont="1" applyFill="1" applyBorder="1" applyAlignment="1">
      <alignment vertical="center"/>
    </xf>
    <xf numFmtId="0" fontId="42" fillId="0" borderId="9" xfId="0" applyFont="1" applyBorder="1" applyAlignment="1">
      <alignment vertical="center"/>
    </xf>
    <xf numFmtId="166" fontId="52" fillId="0" borderId="9" xfId="2" applyNumberFormat="1" applyFont="1" applyBorder="1" applyAlignment="1">
      <alignment vertical="center"/>
    </xf>
    <xf numFmtId="167" fontId="52" fillId="0" borderId="9" xfId="1" applyNumberFormat="1" applyFont="1" applyBorder="1" applyAlignment="1">
      <alignment vertical="center"/>
    </xf>
    <xf numFmtId="9" fontId="52" fillId="0" borderId="8" xfId="1" applyFont="1" applyBorder="1" applyAlignment="1">
      <alignment horizontal="right" vertical="center"/>
    </xf>
    <xf numFmtId="9" fontId="52" fillId="0" borderId="12" xfId="1" applyFont="1" applyBorder="1" applyAlignment="1">
      <alignment horizontal="right" vertical="center"/>
    </xf>
    <xf numFmtId="0" fontId="53" fillId="0" borderId="1" xfId="0" applyFont="1" applyBorder="1" applyAlignment="1">
      <alignment vertical="center"/>
    </xf>
    <xf numFmtId="166" fontId="53" fillId="0" borderId="1" xfId="2" applyNumberFormat="1" applyFont="1" applyBorder="1" applyAlignment="1">
      <alignment vertical="center"/>
    </xf>
    <xf numFmtId="9" fontId="53" fillId="0" borderId="1" xfId="1" applyFont="1" applyBorder="1" applyAlignment="1">
      <alignment horizontal="right" vertical="center"/>
    </xf>
    <xf numFmtId="9" fontId="53" fillId="0" borderId="1" xfId="1" applyFont="1" applyBorder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4" fillId="0" borderId="1" xfId="0" applyFont="1" applyBorder="1" applyAlignment="1">
      <alignment vertical="center"/>
    </xf>
    <xf numFmtId="166" fontId="51" fillId="0" borderId="9" xfId="2" applyNumberFormat="1" applyFont="1" applyBorder="1" applyAlignment="1">
      <alignment vertical="center"/>
    </xf>
    <xf numFmtId="166" fontId="54" fillId="0" borderId="1" xfId="0" applyNumberFormat="1" applyFont="1" applyBorder="1" applyAlignment="1">
      <alignment vertical="center"/>
    </xf>
    <xf numFmtId="166" fontId="51" fillId="0" borderId="1" xfId="2" applyNumberFormat="1" applyFont="1" applyBorder="1" applyAlignment="1">
      <alignment vertical="center"/>
    </xf>
    <xf numFmtId="9" fontId="51" fillId="0" borderId="13" xfId="1" applyFont="1" applyBorder="1" applyAlignment="1">
      <alignment horizontal="right" vertical="center"/>
    </xf>
    <xf numFmtId="166" fontId="54" fillId="0" borderId="1" xfId="0" applyNumberFormat="1" applyFont="1" applyBorder="1" applyAlignment="1">
      <alignment horizontal="center" vertical="center"/>
    </xf>
    <xf numFmtId="166" fontId="54" fillId="0" borderId="0" xfId="0" applyNumberFormat="1" applyFont="1" applyAlignment="1">
      <alignment vertical="center"/>
    </xf>
    <xf numFmtId="165" fontId="52" fillId="0" borderId="1" xfId="7" applyNumberFormat="1" applyFont="1" applyBorder="1" applyAlignment="1">
      <alignment vertical="center"/>
    </xf>
    <xf numFmtId="0" fontId="52" fillId="0" borderId="1" xfId="0" applyFont="1" applyBorder="1" applyAlignment="1">
      <alignment vertical="center"/>
    </xf>
    <xf numFmtId="0" fontId="52" fillId="0" borderId="0" xfId="0" applyFont="1"/>
    <xf numFmtId="166" fontId="52" fillId="0" borderId="0" xfId="0" applyNumberFormat="1" applyFont="1"/>
    <xf numFmtId="165" fontId="52" fillId="0" borderId="0" xfId="7" applyNumberFormat="1" applyFont="1"/>
    <xf numFmtId="49" fontId="52" fillId="0" borderId="0" xfId="0" applyNumberFormat="1" applyFont="1"/>
    <xf numFmtId="0" fontId="48" fillId="0" borderId="0" xfId="0" applyFont="1"/>
    <xf numFmtId="0" fontId="54" fillId="0" borderId="0" xfId="0" applyFont="1"/>
    <xf numFmtId="9" fontId="51" fillId="0" borderId="0" xfId="1" applyFont="1" applyBorder="1"/>
    <xf numFmtId="166" fontId="51" fillId="0" borderId="0" xfId="1" applyNumberFormat="1" applyFont="1" applyBorder="1"/>
    <xf numFmtId="0" fontId="44" fillId="0" borderId="0" xfId="0" applyFont="1" applyAlignment="1">
      <alignment horizontal="center"/>
    </xf>
    <xf numFmtId="49" fontId="51" fillId="0" borderId="0" xfId="1" applyNumberFormat="1" applyFont="1" applyBorder="1"/>
    <xf numFmtId="0" fontId="54" fillId="6" borderId="1" xfId="0" applyFont="1" applyFill="1" applyBorder="1"/>
    <xf numFmtId="165" fontId="41" fillId="6" borderId="1" xfId="7" applyNumberFormat="1" applyFont="1" applyFill="1" applyBorder="1" applyAlignment="1">
      <alignment vertical="center" wrapText="1"/>
    </xf>
    <xf numFmtId="165" fontId="56" fillId="0" borderId="0" xfId="0" applyNumberFormat="1" applyFont="1" applyAlignment="1">
      <alignment horizontal="center"/>
    </xf>
    <xf numFmtId="0" fontId="57" fillId="12" borderId="0" xfId="0" applyFont="1" applyFill="1" applyAlignment="1">
      <alignment vertical="center"/>
    </xf>
    <xf numFmtId="0" fontId="42" fillId="12" borderId="0" xfId="0" applyFont="1" applyFill="1" applyAlignment="1">
      <alignment vertical="center"/>
    </xf>
    <xf numFmtId="0" fontId="48" fillId="14" borderId="1" xfId="0" applyFont="1" applyFill="1" applyBorder="1" applyAlignment="1">
      <alignment horizontal="center" vertical="center"/>
    </xf>
    <xf numFmtId="0" fontId="48" fillId="14" borderId="1" xfId="0" applyFont="1" applyFill="1" applyBorder="1" applyAlignment="1">
      <alignment horizontal="center" vertical="center" wrapText="1"/>
    </xf>
    <xf numFmtId="166" fontId="48" fillId="14" borderId="1" xfId="2" applyNumberFormat="1" applyFont="1" applyFill="1" applyBorder="1" applyAlignment="1">
      <alignment horizontal="center" vertical="center"/>
    </xf>
    <xf numFmtId="166" fontId="48" fillId="14" borderId="1" xfId="2" applyNumberFormat="1" applyFont="1" applyFill="1" applyBorder="1" applyAlignment="1">
      <alignment horizontal="center" vertical="center" wrapText="1"/>
    </xf>
    <xf numFmtId="49" fontId="48" fillId="14" borderId="1" xfId="2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54" fillId="4" borderId="0" xfId="0" applyFont="1" applyFill="1" applyAlignment="1">
      <alignment horizontal="center" vertical="center"/>
    </xf>
    <xf numFmtId="0" fontId="42" fillId="13" borderId="7" xfId="0" applyFont="1" applyFill="1" applyBorder="1" applyAlignment="1">
      <alignment vertical="center" wrapText="1"/>
    </xf>
    <xf numFmtId="0" fontId="51" fillId="10" borderId="1" xfId="0" applyFont="1" applyFill="1" applyBorder="1" applyAlignment="1">
      <alignment horizontal="center"/>
    </xf>
    <xf numFmtId="0" fontId="51" fillId="10" borderId="1" xfId="0" applyFont="1" applyFill="1" applyBorder="1" applyAlignment="1">
      <alignment horizontal="left"/>
    </xf>
    <xf numFmtId="170" fontId="51" fillId="10" borderId="1" xfId="7" applyNumberFormat="1" applyFont="1" applyFill="1" applyBorder="1" applyAlignment="1">
      <alignment horizontal="left"/>
    </xf>
    <xf numFmtId="172" fontId="51" fillId="7" borderId="1" xfId="7" applyNumberFormat="1" applyFont="1" applyFill="1" applyBorder="1" applyAlignment="1">
      <alignment horizontal="right"/>
    </xf>
    <xf numFmtId="4" fontId="52" fillId="7" borderId="7" xfId="7" applyNumberFormat="1" applyFont="1" applyFill="1" applyBorder="1" applyAlignment="1">
      <alignment horizontal="right"/>
    </xf>
    <xf numFmtId="9" fontId="51" fillId="10" borderId="1" xfId="1" applyFont="1" applyFill="1" applyBorder="1" applyAlignment="1">
      <alignment horizontal="right"/>
    </xf>
    <xf numFmtId="167" fontId="51" fillId="10" borderId="1" xfId="1" applyNumberFormat="1" applyFont="1" applyFill="1" applyBorder="1" applyAlignment="1">
      <alignment horizontal="right"/>
    </xf>
    <xf numFmtId="166" fontId="51" fillId="10" borderId="1" xfId="2" applyNumberFormat="1" applyFont="1" applyFill="1" applyBorder="1" applyAlignment="1">
      <alignment horizontal="left" wrapText="1"/>
    </xf>
    <xf numFmtId="170" fontId="51" fillId="10" borderId="8" xfId="7" applyNumberFormat="1" applyFont="1" applyFill="1" applyBorder="1" applyAlignment="1">
      <alignment horizontal="left"/>
    </xf>
    <xf numFmtId="0" fontId="42" fillId="0" borderId="7" xfId="0" applyFont="1" applyBorder="1" applyAlignment="1">
      <alignment horizontal="center"/>
    </xf>
    <xf numFmtId="0" fontId="42" fillId="0" borderId="7" xfId="0" applyFont="1" applyBorder="1"/>
    <xf numFmtId="164" fontId="52" fillId="0" borderId="8" xfId="7" applyFont="1" applyBorder="1"/>
    <xf numFmtId="164" fontId="52" fillId="0" borderId="7" xfId="7" applyFont="1" applyBorder="1"/>
    <xf numFmtId="4" fontId="52" fillId="0" borderId="8" xfId="7" applyNumberFormat="1" applyFont="1" applyBorder="1" applyAlignment="1">
      <alignment horizontal="right"/>
    </xf>
    <xf numFmtId="4" fontId="52" fillId="0" borderId="7" xfId="7" applyNumberFormat="1" applyFont="1" applyBorder="1" applyAlignment="1">
      <alignment horizontal="right"/>
    </xf>
    <xf numFmtId="9" fontId="52" fillId="0" borderId="7" xfId="1" applyFont="1" applyBorder="1" applyAlignment="1">
      <alignment horizontal="right"/>
    </xf>
    <xf numFmtId="167" fontId="52" fillId="0" borderId="7" xfId="1" applyNumberFormat="1" applyFont="1" applyBorder="1" applyAlignment="1">
      <alignment horizontal="right"/>
    </xf>
    <xf numFmtId="166" fontId="42" fillId="0" borderId="7" xfId="0" applyNumberFormat="1" applyFont="1" applyBorder="1"/>
    <xf numFmtId="164" fontId="42" fillId="12" borderId="0" xfId="7" applyFont="1" applyFill="1" applyBorder="1"/>
    <xf numFmtId="168" fontId="42" fillId="0" borderId="8" xfId="0" applyNumberFormat="1" applyFont="1" applyBorder="1"/>
    <xf numFmtId="0" fontId="42" fillId="0" borderId="8" xfId="0" applyFont="1" applyBorder="1" applyAlignment="1">
      <alignment horizontal="center"/>
    </xf>
    <xf numFmtId="0" fontId="42" fillId="0" borderId="8" xfId="0" applyFont="1" applyBorder="1"/>
    <xf numFmtId="164" fontId="52" fillId="0" borderId="8" xfId="7" applyFont="1" applyFill="1" applyBorder="1"/>
    <xf numFmtId="9" fontId="52" fillId="0" borderId="8" xfId="1" applyFont="1" applyBorder="1" applyAlignment="1">
      <alignment horizontal="right"/>
    </xf>
    <xf numFmtId="167" fontId="52" fillId="0" borderId="8" xfId="1" applyNumberFormat="1" applyFont="1" applyBorder="1" applyAlignment="1">
      <alignment horizontal="right"/>
    </xf>
    <xf numFmtId="166" fontId="54" fillId="0" borderId="8" xfId="0" applyNumberFormat="1" applyFont="1" applyBorder="1"/>
    <xf numFmtId="0" fontId="42" fillId="0" borderId="9" xfId="0" applyFont="1" applyBorder="1"/>
    <xf numFmtId="164" fontId="52" fillId="0" borderId="9" xfId="7" applyFont="1" applyBorder="1"/>
    <xf numFmtId="4" fontId="52" fillId="0" borderId="12" xfId="7" applyNumberFormat="1" applyFont="1" applyBorder="1" applyAlignment="1">
      <alignment horizontal="right"/>
    </xf>
    <xf numFmtId="4" fontId="52" fillId="0" borderId="9" xfId="7" applyNumberFormat="1" applyFont="1" applyBorder="1" applyAlignment="1">
      <alignment horizontal="right"/>
    </xf>
    <xf numFmtId="9" fontId="52" fillId="0" borderId="9" xfId="1" applyFont="1" applyBorder="1" applyAlignment="1">
      <alignment horizontal="right"/>
    </xf>
    <xf numFmtId="167" fontId="52" fillId="0" borderId="9" xfId="1" applyNumberFormat="1" applyFont="1" applyBorder="1" applyAlignment="1">
      <alignment horizontal="right"/>
    </xf>
    <xf numFmtId="166" fontId="54" fillId="0" borderId="9" xfId="0" applyNumberFormat="1" applyFont="1" applyBorder="1"/>
    <xf numFmtId="166" fontId="54" fillId="0" borderId="7" xfId="0" applyNumberFormat="1" applyFont="1" applyBorder="1"/>
    <xf numFmtId="0" fontId="53" fillId="10" borderId="1" xfId="0" applyFont="1" applyFill="1" applyBorder="1" applyAlignment="1">
      <alignment horizontal="left"/>
    </xf>
    <xf numFmtId="0" fontId="59" fillId="0" borderId="0" xfId="0" applyFont="1"/>
    <xf numFmtId="170" fontId="53" fillId="10" borderId="1" xfId="7" applyNumberFormat="1" applyFont="1" applyFill="1" applyBorder="1" applyAlignment="1">
      <alignment horizontal="left"/>
    </xf>
    <xf numFmtId="4" fontId="53" fillId="10" borderId="1" xfId="7" applyNumberFormat="1" applyFont="1" applyFill="1" applyBorder="1" applyAlignment="1">
      <alignment horizontal="right"/>
    </xf>
    <xf numFmtId="9" fontId="53" fillId="10" borderId="1" xfId="1" applyFont="1" applyFill="1" applyBorder="1" applyAlignment="1">
      <alignment horizontal="right"/>
    </xf>
    <xf numFmtId="167" fontId="53" fillId="10" borderId="1" xfId="1" applyNumberFormat="1" applyFont="1" applyFill="1" applyBorder="1" applyAlignment="1">
      <alignment horizontal="right"/>
    </xf>
    <xf numFmtId="166" fontId="53" fillId="10" borderId="1" xfId="2" applyNumberFormat="1" applyFont="1" applyFill="1" applyBorder="1" applyAlignment="1">
      <alignment horizontal="left" wrapText="1"/>
    </xf>
    <xf numFmtId="170" fontId="53" fillId="10" borderId="8" xfId="7" applyNumberFormat="1" applyFont="1" applyFill="1" applyBorder="1" applyAlignment="1">
      <alignment horizontal="left"/>
    </xf>
    <xf numFmtId="0" fontId="55" fillId="0" borderId="0" xfId="0" applyFont="1" applyAlignment="1">
      <alignment horizontal="center"/>
    </xf>
    <xf numFmtId="0" fontId="54" fillId="0" borderId="1" xfId="0" applyFont="1" applyBorder="1"/>
    <xf numFmtId="166" fontId="51" fillId="0" borderId="9" xfId="2" applyNumberFormat="1" applyFont="1" applyBorder="1"/>
    <xf numFmtId="166" fontId="51" fillId="0" borderId="11" xfId="2" applyNumberFormat="1" applyFont="1" applyBorder="1"/>
    <xf numFmtId="166" fontId="54" fillId="0" borderId="1" xfId="0" applyNumberFormat="1" applyFont="1" applyBorder="1" applyAlignment="1">
      <alignment vertical="top"/>
    </xf>
    <xf numFmtId="166" fontId="51" fillId="0" borderId="1" xfId="2" applyNumberFormat="1" applyFont="1" applyBorder="1"/>
    <xf numFmtId="3" fontId="54" fillId="0" borderId="1" xfId="0" applyNumberFormat="1" applyFont="1" applyBorder="1" applyAlignment="1">
      <alignment horizontal="right" vertical="top"/>
    </xf>
    <xf numFmtId="9" fontId="51" fillId="0" borderId="10" xfId="1" applyFont="1" applyBorder="1" applyAlignment="1">
      <alignment horizontal="right"/>
    </xf>
    <xf numFmtId="166" fontId="54" fillId="0" borderId="1" xfId="0" applyNumberFormat="1" applyFont="1" applyBorder="1"/>
    <xf numFmtId="166" fontId="54" fillId="0" borderId="7" xfId="0" applyNumberFormat="1" applyFont="1" applyBorder="1" applyAlignment="1">
      <alignment horizontal="center" vertical="center"/>
    </xf>
    <xf numFmtId="165" fontId="54" fillId="0" borderId="8" xfId="7" applyNumberFormat="1" applyFont="1" applyBorder="1"/>
    <xf numFmtId="169" fontId="54" fillId="0" borderId="7" xfId="0" applyNumberFormat="1" applyFont="1" applyBorder="1" applyAlignment="1">
      <alignment horizontal="center" vertical="center"/>
    </xf>
    <xf numFmtId="172" fontId="51" fillId="0" borderId="13" xfId="7" applyNumberFormat="1" applyFont="1" applyBorder="1" applyAlignment="1">
      <alignment horizontal="right"/>
    </xf>
    <xf numFmtId="9" fontId="54" fillId="0" borderId="7" xfId="1" applyFont="1" applyBorder="1"/>
    <xf numFmtId="169" fontId="54" fillId="0" borderId="8" xfId="0" applyNumberFormat="1" applyFont="1" applyBorder="1" applyAlignment="1">
      <alignment horizontal="center" vertical="center"/>
    </xf>
    <xf numFmtId="169" fontId="54" fillId="0" borderId="9" xfId="0" applyNumberFormat="1" applyFont="1" applyBorder="1" applyAlignment="1">
      <alignment horizontal="center" vertical="center"/>
    </xf>
    <xf numFmtId="172" fontId="51" fillId="0" borderId="9" xfId="7" applyNumberFormat="1" applyFont="1" applyBorder="1" applyAlignment="1">
      <alignment horizontal="right"/>
    </xf>
    <xf numFmtId="9" fontId="54" fillId="0" borderId="9" xfId="1" applyFont="1" applyBorder="1"/>
    <xf numFmtId="4" fontId="52" fillId="0" borderId="1" xfId="7" applyNumberFormat="1" applyFont="1" applyBorder="1" applyAlignment="1">
      <alignment horizontal="right"/>
    </xf>
    <xf numFmtId="166" fontId="51" fillId="0" borderId="0" xfId="2" applyNumberFormat="1" applyFont="1" applyBorder="1"/>
    <xf numFmtId="165" fontId="52" fillId="0" borderId="0" xfId="7" applyNumberFormat="1" applyFont="1" applyBorder="1"/>
    <xf numFmtId="9" fontId="52" fillId="0" borderId="0" xfId="1" applyFont="1" applyBorder="1"/>
    <xf numFmtId="9" fontId="51" fillId="10" borderId="1" xfId="1" applyFont="1" applyFill="1" applyBorder="1" applyAlignment="1">
      <alignment horizontal="center"/>
    </xf>
    <xf numFmtId="167" fontId="52" fillId="0" borderId="7" xfId="1" applyNumberFormat="1" applyFont="1" applyBorder="1"/>
    <xf numFmtId="167" fontId="52" fillId="0" borderId="8" xfId="1" applyNumberFormat="1" applyFont="1" applyBorder="1"/>
    <xf numFmtId="10" fontId="52" fillId="0" borderId="8" xfId="1" applyNumberFormat="1" applyFont="1" applyBorder="1"/>
    <xf numFmtId="167" fontId="52" fillId="0" borderId="9" xfId="1" applyNumberFormat="1" applyFont="1" applyBorder="1"/>
    <xf numFmtId="9" fontId="53" fillId="10" borderId="1" xfId="1" applyFont="1" applyFill="1" applyBorder="1" applyAlignment="1">
      <alignment horizontal="center"/>
    </xf>
    <xf numFmtId="166" fontId="48" fillId="14" borderId="1" xfId="2" quotePrefix="1" applyNumberFormat="1" applyFont="1" applyFill="1" applyBorder="1" applyAlignment="1">
      <alignment horizontal="center" vertical="center" wrapText="1"/>
    </xf>
    <xf numFmtId="166" fontId="8" fillId="2" borderId="1" xfId="2" applyNumberFormat="1" applyFont="1" applyFill="1" applyBorder="1" applyAlignment="1">
      <alignment horizontal="center" vertical="center"/>
    </xf>
    <xf numFmtId="166" fontId="11" fillId="4" borderId="1" xfId="2" applyNumberFormat="1" applyFont="1" applyFill="1" applyBorder="1"/>
    <xf numFmtId="0" fontId="31" fillId="0" borderId="0" xfId="0" applyFont="1" applyAlignment="1">
      <alignment vertical="center"/>
    </xf>
    <xf numFmtId="170" fontId="51" fillId="15" borderId="1" xfId="7" applyNumberFormat="1" applyFont="1" applyFill="1" applyBorder="1" applyAlignment="1">
      <alignment horizontal="left"/>
    </xf>
    <xf numFmtId="164" fontId="52" fillId="6" borderId="8" xfId="7" applyFont="1" applyFill="1" applyBorder="1"/>
    <xf numFmtId="164" fontId="52" fillId="6" borderId="9" xfId="7" applyFont="1" applyFill="1" applyBorder="1"/>
    <xf numFmtId="170" fontId="53" fillId="15" borderId="1" xfId="7" applyNumberFormat="1" applyFont="1" applyFill="1" applyBorder="1" applyAlignment="1">
      <alignment horizontal="left"/>
    </xf>
    <xf numFmtId="166" fontId="51" fillId="6" borderId="11" xfId="2" applyNumberFormat="1" applyFont="1" applyFill="1" applyBorder="1"/>
    <xf numFmtId="169" fontId="54" fillId="6" borderId="7" xfId="0" applyNumberFormat="1" applyFont="1" applyFill="1" applyBorder="1" applyAlignment="1">
      <alignment horizontal="center" vertical="center"/>
    </xf>
    <xf numFmtId="169" fontId="54" fillId="6" borderId="9" xfId="0" applyNumberFormat="1" applyFont="1" applyFill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top" wrapText="1"/>
    </xf>
    <xf numFmtId="0" fontId="54" fillId="0" borderId="9" xfId="0" applyFont="1" applyBorder="1" applyAlignment="1">
      <alignment horizontal="left" vertical="top" wrapText="1"/>
    </xf>
    <xf numFmtId="166" fontId="48" fillId="14" borderId="0" xfId="2" applyNumberFormat="1" applyFont="1" applyFill="1" applyBorder="1" applyAlignment="1">
      <alignment horizontal="center" vertical="center" wrapText="1"/>
    </xf>
    <xf numFmtId="0" fontId="11" fillId="0" borderId="15" xfId="4" applyFont="1" applyBorder="1"/>
    <xf numFmtId="0" fontId="42" fillId="0" borderId="12" xfId="0" applyFont="1" applyBorder="1" applyAlignment="1">
      <alignment vertical="center"/>
    </xf>
    <xf numFmtId="0" fontId="54" fillId="0" borderId="11" xfId="0" applyFont="1" applyBorder="1" applyAlignment="1">
      <alignment vertical="center"/>
    </xf>
    <xf numFmtId="0" fontId="42" fillId="0" borderId="13" xfId="0" applyFont="1" applyBorder="1"/>
    <xf numFmtId="0" fontId="42" fillId="0" borderId="12" xfId="0" applyFont="1" applyBorder="1"/>
    <xf numFmtId="0" fontId="54" fillId="0" borderId="11" xfId="0" applyFont="1" applyBorder="1"/>
    <xf numFmtId="166" fontId="48" fillId="16" borderId="1" xfId="2" applyNumberFormat="1" applyFont="1" applyFill="1" applyBorder="1" applyAlignment="1">
      <alignment horizontal="center" vertical="center"/>
    </xf>
    <xf numFmtId="166" fontId="48" fillId="17" borderId="1" xfId="2" applyNumberFormat="1" applyFont="1" applyFill="1" applyBorder="1" applyAlignment="1">
      <alignment horizontal="center" vertical="center"/>
    </xf>
    <xf numFmtId="166" fontId="51" fillId="0" borderId="11" xfId="2" applyNumberFormat="1" applyFont="1" applyBorder="1" applyAlignment="1">
      <alignment vertical="center"/>
    </xf>
    <xf numFmtId="164" fontId="52" fillId="0" borderId="13" xfId="7" applyFont="1" applyBorder="1"/>
    <xf numFmtId="164" fontId="52" fillId="0" borderId="12" xfId="7" applyFont="1" applyBorder="1"/>
    <xf numFmtId="169" fontId="54" fillId="0" borderId="13" xfId="0" applyNumberFormat="1" applyFont="1" applyBorder="1" applyAlignment="1">
      <alignment horizontal="center" vertical="center"/>
    </xf>
    <xf numFmtId="9" fontId="51" fillId="10" borderId="0" xfId="1" applyFont="1" applyFill="1" applyBorder="1" applyAlignment="1">
      <alignment horizontal="center"/>
    </xf>
    <xf numFmtId="167" fontId="52" fillId="0" borderId="0" xfId="1" applyNumberFormat="1" applyFont="1" applyBorder="1"/>
    <xf numFmtId="10" fontId="52" fillId="0" borderId="0" xfId="1" applyNumberFormat="1" applyFont="1" applyBorder="1"/>
    <xf numFmtId="9" fontId="53" fillId="10" borderId="0" xfId="1" applyFont="1" applyFill="1" applyBorder="1" applyAlignment="1">
      <alignment horizontal="center"/>
    </xf>
    <xf numFmtId="166" fontId="52" fillId="0" borderId="13" xfId="2" applyNumberFormat="1" applyFont="1" applyBorder="1" applyAlignment="1">
      <alignment vertical="center"/>
    </xf>
    <xf numFmtId="9" fontId="42" fillId="0" borderId="0" xfId="1" applyFont="1" applyAlignment="1">
      <alignment vertical="center"/>
    </xf>
    <xf numFmtId="166" fontId="48" fillId="16" borderId="1" xfId="2" applyNumberFormat="1" applyFont="1" applyFill="1" applyBorder="1" applyAlignment="1">
      <alignment horizontal="center" vertical="center" wrapText="1"/>
    </xf>
    <xf numFmtId="166" fontId="48" fillId="14" borderId="4" xfId="2" applyNumberFormat="1" applyFont="1" applyFill="1" applyBorder="1" applyAlignment="1">
      <alignment horizontal="center" vertical="center" wrapText="1"/>
    </xf>
    <xf numFmtId="166" fontId="51" fillId="10" borderId="4" xfId="2" applyNumberFormat="1" applyFont="1" applyFill="1" applyBorder="1" applyAlignment="1">
      <alignment horizontal="left" vertical="center"/>
    </xf>
    <xf numFmtId="166" fontId="52" fillId="0" borderId="16" xfId="2" applyNumberFormat="1" applyFont="1" applyBorder="1" applyAlignment="1">
      <alignment vertical="center"/>
    </xf>
    <xf numFmtId="166" fontId="52" fillId="0" borderId="17" xfId="2" applyNumberFormat="1" applyFont="1" applyBorder="1" applyAlignment="1">
      <alignment vertical="center"/>
    </xf>
    <xf numFmtId="166" fontId="52" fillId="0" borderId="18" xfId="2" applyNumberFormat="1" applyFont="1" applyBorder="1" applyAlignment="1">
      <alignment vertical="center"/>
    </xf>
    <xf numFmtId="166" fontId="52" fillId="0" borderId="19" xfId="2" applyNumberFormat="1" applyFont="1" applyBorder="1" applyAlignment="1">
      <alignment vertical="center"/>
    </xf>
    <xf numFmtId="166" fontId="53" fillId="0" borderId="4" xfId="2" applyNumberFormat="1" applyFont="1" applyBorder="1" applyAlignment="1">
      <alignment vertical="center"/>
    </xf>
    <xf numFmtId="166" fontId="54" fillId="0" borderId="4" xfId="0" applyNumberFormat="1" applyFont="1" applyBorder="1" applyAlignment="1">
      <alignment vertical="center"/>
    </xf>
    <xf numFmtId="166" fontId="54" fillId="0" borderId="4" xfId="0" applyNumberFormat="1" applyFont="1" applyBorder="1" applyAlignment="1">
      <alignment horizontal="center" vertical="center"/>
    </xf>
    <xf numFmtId="166" fontId="51" fillId="0" borderId="19" xfId="2" applyNumberFormat="1" applyFont="1" applyBorder="1" applyAlignment="1">
      <alignment vertical="center"/>
    </xf>
    <xf numFmtId="166" fontId="48" fillId="16" borderId="6" xfId="2" applyNumberFormat="1" applyFont="1" applyFill="1" applyBorder="1" applyAlignment="1">
      <alignment horizontal="center" vertical="center" wrapText="1"/>
    </xf>
    <xf numFmtId="166" fontId="51" fillId="10" borderId="6" xfId="2" applyNumberFormat="1" applyFont="1" applyFill="1" applyBorder="1" applyAlignment="1">
      <alignment horizontal="left" vertical="center"/>
    </xf>
    <xf numFmtId="166" fontId="52" fillId="0" borderId="20" xfId="2" applyNumberFormat="1" applyFont="1" applyBorder="1" applyAlignment="1">
      <alignment vertical="center"/>
    </xf>
    <xf numFmtId="166" fontId="52" fillId="0" borderId="21" xfId="2" applyNumberFormat="1" applyFont="1" applyBorder="1" applyAlignment="1">
      <alignment vertical="center"/>
    </xf>
    <xf numFmtId="166" fontId="52" fillId="0" borderId="22" xfId="2" applyNumberFormat="1" applyFont="1" applyBorder="1" applyAlignment="1">
      <alignment vertical="center"/>
    </xf>
    <xf numFmtId="166" fontId="53" fillId="0" borderId="6" xfId="2" applyNumberFormat="1" applyFont="1" applyBorder="1" applyAlignment="1">
      <alignment vertical="center"/>
    </xf>
    <xf numFmtId="166" fontId="51" fillId="0" borderId="6" xfId="2" applyNumberFormat="1" applyFont="1" applyBorder="1" applyAlignment="1">
      <alignment vertical="center"/>
    </xf>
    <xf numFmtId="166" fontId="51" fillId="0" borderId="22" xfId="2" applyNumberFormat="1" applyFont="1" applyBorder="1" applyAlignment="1">
      <alignment vertical="center"/>
    </xf>
    <xf numFmtId="166" fontId="48" fillId="14" borderId="23" xfId="2" applyNumberFormat="1" applyFont="1" applyFill="1" applyBorder="1" applyAlignment="1">
      <alignment horizontal="center" vertical="center" wrapText="1"/>
    </xf>
    <xf numFmtId="166" fontId="51" fillId="10" borderId="24" xfId="2" applyNumberFormat="1" applyFont="1" applyFill="1" applyBorder="1" applyAlignment="1">
      <alignment horizontal="left" vertical="center"/>
    </xf>
    <xf numFmtId="166" fontId="52" fillId="0" borderId="25" xfId="2" applyNumberFormat="1" applyFont="1" applyBorder="1" applyAlignment="1">
      <alignment vertical="center"/>
    </xf>
    <xf numFmtId="166" fontId="52" fillId="0" borderId="26" xfId="2" applyNumberFormat="1" applyFont="1" applyBorder="1" applyAlignment="1">
      <alignment vertical="center"/>
    </xf>
    <xf numFmtId="166" fontId="52" fillId="0" borderId="27" xfId="2" applyNumberFormat="1" applyFont="1" applyBorder="1" applyAlignment="1">
      <alignment vertical="center"/>
    </xf>
    <xf numFmtId="166" fontId="52" fillId="0" borderId="28" xfId="2" applyNumberFormat="1" applyFont="1" applyBorder="1" applyAlignment="1">
      <alignment vertical="center"/>
    </xf>
    <xf numFmtId="166" fontId="53" fillId="0" borderId="24" xfId="2" applyNumberFormat="1" applyFont="1" applyBorder="1" applyAlignment="1">
      <alignment vertical="center"/>
    </xf>
    <xf numFmtId="166" fontId="51" fillId="0" borderId="24" xfId="2" applyNumberFormat="1" applyFont="1" applyBorder="1" applyAlignment="1">
      <alignment vertical="center"/>
    </xf>
    <xf numFmtId="166" fontId="51" fillId="0" borderId="29" xfId="2" applyNumberFormat="1" applyFont="1" applyBorder="1" applyAlignment="1">
      <alignment vertical="center"/>
    </xf>
    <xf numFmtId="166" fontId="48" fillId="14" borderId="6" xfId="2" applyNumberFormat="1" applyFont="1" applyFill="1" applyBorder="1" applyAlignment="1">
      <alignment horizontal="center" vertical="center" wrapText="1"/>
    </xf>
    <xf numFmtId="166" fontId="52" fillId="0" borderId="30" xfId="2" applyNumberFormat="1" applyFont="1" applyBorder="1" applyAlignment="1">
      <alignment vertical="center"/>
    </xf>
    <xf numFmtId="166" fontId="54" fillId="0" borderId="6" xfId="0" applyNumberFormat="1" applyFont="1" applyBorder="1" applyAlignment="1">
      <alignment vertical="center"/>
    </xf>
    <xf numFmtId="166" fontId="48" fillId="18" borderId="23" xfId="2" applyNumberFormat="1" applyFont="1" applyFill="1" applyBorder="1" applyAlignment="1">
      <alignment horizontal="center" vertical="center" wrapText="1"/>
    </xf>
    <xf numFmtId="166" fontId="54" fillId="0" borderId="24" xfId="0" applyNumberFormat="1" applyFont="1" applyBorder="1" applyAlignment="1">
      <alignment vertical="center"/>
    </xf>
    <xf numFmtId="169" fontId="54" fillId="0" borderId="20" xfId="0" applyNumberFormat="1" applyFont="1" applyBorder="1" applyAlignment="1">
      <alignment horizontal="center" vertical="center"/>
    </xf>
    <xf numFmtId="169" fontId="54" fillId="0" borderId="22" xfId="0" applyNumberFormat="1" applyFont="1" applyBorder="1" applyAlignment="1">
      <alignment horizontal="center" vertical="center"/>
    </xf>
    <xf numFmtId="169" fontId="54" fillId="0" borderId="25" xfId="0" applyNumberFormat="1" applyFont="1" applyBorder="1" applyAlignment="1">
      <alignment horizontal="center" vertical="center"/>
    </xf>
    <xf numFmtId="169" fontId="54" fillId="0" borderId="29" xfId="0" applyNumberFormat="1" applyFont="1" applyBorder="1" applyAlignment="1">
      <alignment horizontal="center" vertical="center"/>
    </xf>
    <xf numFmtId="166" fontId="48" fillId="16" borderId="4" xfId="2" applyNumberFormat="1" applyFont="1" applyFill="1" applyBorder="1" applyAlignment="1">
      <alignment horizontal="center" vertical="center" wrapText="1"/>
    </xf>
    <xf numFmtId="166" fontId="51" fillId="0" borderId="4" xfId="2" applyNumberFormat="1" applyFont="1" applyBorder="1" applyAlignment="1">
      <alignment vertical="center"/>
    </xf>
    <xf numFmtId="166" fontId="51" fillId="0" borderId="31" xfId="2" applyNumberFormat="1" applyFont="1" applyBorder="1" applyAlignment="1">
      <alignment vertical="center"/>
    </xf>
    <xf numFmtId="166" fontId="48" fillId="16" borderId="23" xfId="2" applyNumberFormat="1" applyFont="1" applyFill="1" applyBorder="1" applyAlignment="1">
      <alignment horizontal="center" vertical="center" wrapText="1"/>
    </xf>
    <xf numFmtId="166" fontId="51" fillId="0" borderId="32" xfId="2" applyNumberFormat="1" applyFont="1" applyBorder="1" applyAlignment="1">
      <alignment vertical="center"/>
    </xf>
    <xf numFmtId="169" fontId="54" fillId="0" borderId="17" xfId="0" applyNumberFormat="1" applyFont="1" applyBorder="1" applyAlignment="1">
      <alignment horizontal="center" vertical="center"/>
    </xf>
    <xf numFmtId="169" fontId="54" fillId="0" borderId="19" xfId="0" applyNumberFormat="1" applyFont="1" applyBorder="1" applyAlignment="1">
      <alignment horizontal="center" vertical="center"/>
    </xf>
    <xf numFmtId="169" fontId="54" fillId="0" borderId="26" xfId="0" applyNumberFormat="1" applyFont="1" applyBorder="1" applyAlignment="1">
      <alignment horizontal="center" vertical="center"/>
    </xf>
    <xf numFmtId="169" fontId="54" fillId="0" borderId="16" xfId="0" applyNumberFormat="1" applyFont="1" applyBorder="1" applyAlignment="1">
      <alignment horizontal="center" vertical="center"/>
    </xf>
    <xf numFmtId="0" fontId="60" fillId="0" borderId="0" xfId="0" applyFont="1"/>
    <xf numFmtId="0" fontId="60" fillId="0" borderId="0" xfId="0" applyFont="1" applyAlignment="1">
      <alignment horizontal="center"/>
    </xf>
    <xf numFmtId="166" fontId="60" fillId="0" borderId="0" xfId="0" applyNumberFormat="1" applyFont="1"/>
    <xf numFmtId="49" fontId="61" fillId="0" borderId="0" xfId="0" applyNumberFormat="1" applyFont="1" applyAlignment="1">
      <alignment horizontal="left"/>
    </xf>
    <xf numFmtId="0" fontId="62" fillId="0" borderId="0" xfId="0" applyFont="1"/>
    <xf numFmtId="166" fontId="62" fillId="0" borderId="0" xfId="0" applyNumberFormat="1" applyFont="1"/>
    <xf numFmtId="175" fontId="51" fillId="10" borderId="1" xfId="1" applyNumberFormat="1" applyFont="1" applyFill="1" applyBorder="1" applyAlignment="1">
      <alignment horizontal="center"/>
    </xf>
    <xf numFmtId="175" fontId="51" fillId="10" borderId="4" xfId="1" applyNumberFormat="1" applyFont="1" applyFill="1" applyBorder="1" applyAlignment="1">
      <alignment horizontal="center"/>
    </xf>
    <xf numFmtId="175" fontId="51" fillId="10" borderId="24" xfId="1" applyNumberFormat="1" applyFont="1" applyFill="1" applyBorder="1" applyAlignment="1">
      <alignment horizontal="center"/>
    </xf>
    <xf numFmtId="175" fontId="52" fillId="0" borderId="7" xfId="1" applyNumberFormat="1" applyFont="1" applyBorder="1"/>
    <xf numFmtId="175" fontId="52" fillId="0" borderId="16" xfId="1" applyNumberFormat="1" applyFont="1" applyBorder="1"/>
    <xf numFmtId="175" fontId="52" fillId="0" borderId="25" xfId="1" applyNumberFormat="1" applyFont="1" applyBorder="1"/>
    <xf numFmtId="175" fontId="52" fillId="0" borderId="8" xfId="1" applyNumberFormat="1" applyFont="1" applyBorder="1"/>
    <xf numFmtId="175" fontId="52" fillId="0" borderId="18" xfId="1" applyNumberFormat="1" applyFont="1" applyBorder="1"/>
    <xf numFmtId="175" fontId="52" fillId="0" borderId="27" xfId="1" applyNumberFormat="1" applyFont="1" applyBorder="1"/>
    <xf numFmtId="175" fontId="52" fillId="0" borderId="9" xfId="1" applyNumberFormat="1" applyFont="1" applyBorder="1"/>
    <xf numFmtId="175" fontId="52" fillId="0" borderId="19" xfId="1" applyNumberFormat="1" applyFont="1" applyBorder="1"/>
    <xf numFmtId="175" fontId="52" fillId="0" borderId="28" xfId="1" applyNumberFormat="1" applyFont="1" applyBorder="1"/>
    <xf numFmtId="175" fontId="53" fillId="10" borderId="1" xfId="1" applyNumberFormat="1" applyFont="1" applyFill="1" applyBorder="1" applyAlignment="1">
      <alignment horizontal="center"/>
    </xf>
    <xf numFmtId="175" fontId="53" fillId="10" borderId="4" xfId="1" applyNumberFormat="1" applyFont="1" applyFill="1" applyBorder="1" applyAlignment="1">
      <alignment horizontal="center"/>
    </xf>
    <xf numFmtId="175" fontId="53" fillId="10" borderId="36" xfId="1" applyNumberFormat="1" applyFont="1" applyFill="1" applyBorder="1" applyAlignment="1">
      <alignment horizontal="center"/>
    </xf>
    <xf numFmtId="49" fontId="48" fillId="19" borderId="37" xfId="2" applyNumberFormat="1" applyFont="1" applyFill="1" applyBorder="1" applyAlignment="1">
      <alignment horizontal="center" vertical="center" wrapText="1"/>
    </xf>
    <xf numFmtId="49" fontId="48" fillId="19" borderId="38" xfId="2" applyNumberFormat="1" applyFont="1" applyFill="1" applyBorder="1" applyAlignment="1">
      <alignment horizontal="center" vertical="center" wrapText="1"/>
    </xf>
    <xf numFmtId="166" fontId="48" fillId="19" borderId="39" xfId="2" applyNumberFormat="1" applyFont="1" applyFill="1" applyBorder="1" applyAlignment="1">
      <alignment horizontal="center" vertical="center" wrapText="1"/>
    </xf>
    <xf numFmtId="170" fontId="51" fillId="10" borderId="1" xfId="7" applyNumberFormat="1" applyFont="1" applyFill="1" applyBorder="1" applyAlignment="1">
      <alignment horizontal="left" vertical="center"/>
    </xf>
    <xf numFmtId="170" fontId="51" fillId="10" borderId="24" xfId="7" applyNumberFormat="1" applyFont="1" applyFill="1" applyBorder="1" applyAlignment="1">
      <alignment horizontal="left" vertical="center"/>
    </xf>
    <xf numFmtId="170" fontId="51" fillId="10" borderId="6" xfId="7" applyNumberFormat="1" applyFont="1" applyFill="1" applyBorder="1" applyAlignment="1">
      <alignment horizontal="left" vertical="center"/>
    </xf>
    <xf numFmtId="170" fontId="51" fillId="10" borderId="4" xfId="7" applyNumberFormat="1" applyFont="1" applyFill="1" applyBorder="1" applyAlignment="1">
      <alignment horizontal="left" vertical="center"/>
    </xf>
    <xf numFmtId="172" fontId="51" fillId="7" borderId="6" xfId="7" applyNumberFormat="1" applyFont="1" applyFill="1" applyBorder="1" applyAlignment="1">
      <alignment horizontal="right" vertical="center"/>
    </xf>
    <xf numFmtId="4" fontId="52" fillId="7" borderId="16" xfId="7" applyNumberFormat="1" applyFont="1" applyFill="1" applyBorder="1" applyAlignment="1">
      <alignment horizontal="right" vertical="center"/>
    </xf>
    <xf numFmtId="167" fontId="51" fillId="10" borderId="40" xfId="1" applyNumberFormat="1" applyFont="1" applyFill="1" applyBorder="1" applyAlignment="1">
      <alignment horizontal="right" vertical="center"/>
    </xf>
    <xf numFmtId="167" fontId="51" fillId="10" borderId="1" xfId="1" applyNumberFormat="1" applyFont="1" applyFill="1" applyBorder="1" applyAlignment="1">
      <alignment horizontal="right" vertical="center"/>
    </xf>
    <xf numFmtId="167" fontId="51" fillId="10" borderId="41" xfId="1" applyNumberFormat="1" applyFont="1" applyFill="1" applyBorder="1" applyAlignment="1">
      <alignment horizontal="right" vertical="center"/>
    </xf>
    <xf numFmtId="167" fontId="52" fillId="7" borderId="20" xfId="7" applyNumberFormat="1" applyFont="1" applyFill="1" applyBorder="1" applyAlignment="1">
      <alignment horizontal="right" vertical="center"/>
    </xf>
    <xf numFmtId="167" fontId="52" fillId="7" borderId="52" xfId="7" applyNumberFormat="1" applyFont="1" applyFill="1" applyBorder="1" applyAlignment="1">
      <alignment horizontal="right" vertical="center"/>
    </xf>
    <xf numFmtId="166" fontId="51" fillId="10" borderId="1" xfId="2" applyNumberFormat="1" applyFont="1" applyFill="1" applyBorder="1" applyAlignment="1">
      <alignment horizontal="left" vertical="center" wrapText="1"/>
    </xf>
    <xf numFmtId="164" fontId="52" fillId="0" borderId="8" xfId="7" applyFont="1" applyBorder="1" applyAlignment="1">
      <alignment vertical="center"/>
    </xf>
    <xf numFmtId="164" fontId="52" fillId="0" borderId="25" xfId="7" applyFont="1" applyBorder="1" applyAlignment="1">
      <alignment vertical="center"/>
    </xf>
    <xf numFmtId="164" fontId="52" fillId="0" borderId="20" xfId="7" applyFont="1" applyBorder="1" applyAlignment="1">
      <alignment vertical="center"/>
    </xf>
    <xf numFmtId="164" fontId="52" fillId="0" borderId="13" xfId="7" applyFont="1" applyBorder="1" applyAlignment="1">
      <alignment vertical="center"/>
    </xf>
    <xf numFmtId="164" fontId="52" fillId="0" borderId="17" xfId="7" applyFont="1" applyBorder="1" applyAlignment="1">
      <alignment vertical="center"/>
    </xf>
    <xf numFmtId="164" fontId="52" fillId="0" borderId="26" xfId="7" applyFont="1" applyBorder="1" applyAlignment="1">
      <alignment vertical="center"/>
    </xf>
    <xf numFmtId="164" fontId="52" fillId="0" borderId="7" xfId="7" applyFont="1" applyBorder="1" applyAlignment="1">
      <alignment vertical="center"/>
    </xf>
    <xf numFmtId="164" fontId="52" fillId="0" borderId="16" xfId="7" applyFont="1" applyBorder="1" applyAlignment="1">
      <alignment vertical="center"/>
    </xf>
    <xf numFmtId="4" fontId="52" fillId="0" borderId="21" xfId="7" applyNumberFormat="1" applyFont="1" applyBorder="1" applyAlignment="1">
      <alignment horizontal="right" vertical="center"/>
    </xf>
    <xf numFmtId="4" fontId="52" fillId="0" borderId="16" xfId="7" applyNumberFormat="1" applyFont="1" applyBorder="1" applyAlignment="1">
      <alignment horizontal="right" vertical="center"/>
    </xf>
    <xf numFmtId="167" fontId="52" fillId="0" borderId="42" xfId="1" applyNumberFormat="1" applyFont="1" applyBorder="1" applyAlignment="1">
      <alignment horizontal="right" vertical="center"/>
    </xf>
    <xf numFmtId="167" fontId="52" fillId="0" borderId="7" xfId="1" applyNumberFormat="1" applyFont="1" applyBorder="1" applyAlignment="1">
      <alignment horizontal="right" vertical="center"/>
    </xf>
    <xf numFmtId="167" fontId="52" fillId="0" borderId="43" xfId="1" applyNumberFormat="1" applyFont="1" applyBorder="1" applyAlignment="1">
      <alignment horizontal="right" vertical="center"/>
    </xf>
    <xf numFmtId="167" fontId="52" fillId="0" borderId="20" xfId="7" applyNumberFormat="1" applyFont="1" applyBorder="1" applyAlignment="1">
      <alignment horizontal="right" vertical="center"/>
    </xf>
    <xf numFmtId="166" fontId="42" fillId="0" borderId="7" xfId="0" applyNumberFormat="1" applyFont="1" applyBorder="1" applyAlignment="1">
      <alignment vertical="center"/>
    </xf>
    <xf numFmtId="164" fontId="52" fillId="0" borderId="8" xfId="7" applyFont="1" applyFill="1" applyBorder="1" applyAlignment="1">
      <alignment vertical="center"/>
    </xf>
    <xf numFmtId="164" fontId="52" fillId="0" borderId="27" xfId="7" applyFont="1" applyBorder="1" applyAlignment="1">
      <alignment vertical="center"/>
    </xf>
    <xf numFmtId="164" fontId="52" fillId="0" borderId="21" xfId="7" applyFont="1" applyBorder="1" applyAlignment="1">
      <alignment vertical="center"/>
    </xf>
    <xf numFmtId="164" fontId="52" fillId="0" borderId="18" xfId="7" applyFont="1" applyBorder="1" applyAlignment="1">
      <alignment vertical="center"/>
    </xf>
    <xf numFmtId="4" fontId="52" fillId="0" borderId="18" xfId="7" applyNumberFormat="1" applyFont="1" applyBorder="1" applyAlignment="1">
      <alignment horizontal="right" vertical="center"/>
    </xf>
    <xf numFmtId="167" fontId="52" fillId="0" borderId="44" xfId="1" applyNumberFormat="1" applyFont="1" applyBorder="1" applyAlignment="1">
      <alignment horizontal="right" vertical="center"/>
    </xf>
    <xf numFmtId="167" fontId="52" fillId="0" borderId="8" xfId="1" applyNumberFormat="1" applyFont="1" applyBorder="1" applyAlignment="1">
      <alignment horizontal="right" vertical="center"/>
    </xf>
    <xf numFmtId="167" fontId="52" fillId="0" borderId="45" xfId="1" applyNumberFormat="1" applyFont="1" applyBorder="1" applyAlignment="1">
      <alignment horizontal="right" vertical="center"/>
    </xf>
    <xf numFmtId="167" fontId="52" fillId="0" borderId="21" xfId="7" applyNumberFormat="1" applyFont="1" applyBorder="1" applyAlignment="1">
      <alignment horizontal="right" vertical="center"/>
    </xf>
    <xf numFmtId="166" fontId="54" fillId="0" borderId="8" xfId="0" applyNumberFormat="1" applyFont="1" applyBorder="1" applyAlignment="1">
      <alignment vertical="center"/>
    </xf>
    <xf numFmtId="164" fontId="52" fillId="0" borderId="9" xfId="7" applyFont="1" applyBorder="1" applyAlignment="1">
      <alignment vertical="center"/>
    </xf>
    <xf numFmtId="164" fontId="52" fillId="0" borderId="28" xfId="7" applyFont="1" applyBorder="1" applyAlignment="1">
      <alignment vertical="center"/>
    </xf>
    <xf numFmtId="164" fontId="52" fillId="0" borderId="22" xfId="7" applyFont="1" applyBorder="1" applyAlignment="1">
      <alignment vertical="center"/>
    </xf>
    <xf numFmtId="164" fontId="52" fillId="0" borderId="12" xfId="7" applyFont="1" applyBorder="1" applyAlignment="1">
      <alignment vertical="center"/>
    </xf>
    <xf numFmtId="164" fontId="52" fillId="0" borderId="33" xfId="7" applyFont="1" applyBorder="1" applyAlignment="1">
      <alignment vertical="center"/>
    </xf>
    <xf numFmtId="164" fontId="52" fillId="0" borderId="35" xfId="7" applyFont="1" applyBorder="1" applyAlignment="1">
      <alignment vertical="center"/>
    </xf>
    <xf numFmtId="164" fontId="52" fillId="0" borderId="19" xfId="7" applyFont="1" applyBorder="1" applyAlignment="1">
      <alignment vertical="center"/>
    </xf>
    <xf numFmtId="4" fontId="52" fillId="0" borderId="34" xfId="7" applyNumberFormat="1" applyFont="1" applyBorder="1" applyAlignment="1">
      <alignment horizontal="right" vertical="center"/>
    </xf>
    <xf numFmtId="4" fontId="52" fillId="0" borderId="19" xfId="7" applyNumberFormat="1" applyFont="1" applyBorder="1" applyAlignment="1">
      <alignment horizontal="right" vertical="center"/>
    </xf>
    <xf numFmtId="167" fontId="52" fillId="0" borderId="46" xfId="1" applyNumberFormat="1" applyFont="1" applyBorder="1" applyAlignment="1">
      <alignment horizontal="right" vertical="center"/>
    </xf>
    <xf numFmtId="167" fontId="52" fillId="0" borderId="9" xfId="1" applyNumberFormat="1" applyFont="1" applyBorder="1" applyAlignment="1">
      <alignment horizontal="right" vertical="center"/>
    </xf>
    <xf numFmtId="167" fontId="52" fillId="0" borderId="47" xfId="1" applyNumberFormat="1" applyFont="1" applyBorder="1" applyAlignment="1">
      <alignment horizontal="right" vertical="center"/>
    </xf>
    <xf numFmtId="167" fontId="52" fillId="0" borderId="22" xfId="7" applyNumberFormat="1" applyFont="1" applyBorder="1" applyAlignment="1">
      <alignment horizontal="right" vertical="center"/>
    </xf>
    <xf numFmtId="166" fontId="54" fillId="0" borderId="9" xfId="0" applyNumberFormat="1" applyFont="1" applyBorder="1" applyAlignment="1">
      <alignment vertical="center"/>
    </xf>
    <xf numFmtId="4" fontId="52" fillId="0" borderId="20" xfId="7" applyNumberFormat="1" applyFont="1" applyBorder="1" applyAlignment="1">
      <alignment horizontal="right" vertical="center"/>
    </xf>
    <xf numFmtId="166" fontId="54" fillId="0" borderId="7" xfId="0" applyNumberFormat="1" applyFont="1" applyBorder="1" applyAlignment="1">
      <alignment vertical="center"/>
    </xf>
    <xf numFmtId="4" fontId="52" fillId="0" borderId="22" xfId="7" applyNumberFormat="1" applyFont="1" applyBorder="1" applyAlignment="1">
      <alignment horizontal="right" vertical="center"/>
    </xf>
    <xf numFmtId="0" fontId="53" fillId="10" borderId="1" xfId="0" applyFont="1" applyFill="1" applyBorder="1" applyAlignment="1">
      <alignment horizontal="left" vertical="center"/>
    </xf>
    <xf numFmtId="0" fontId="59" fillId="0" borderId="0" xfId="0" applyFont="1" applyAlignment="1">
      <alignment vertical="center"/>
    </xf>
    <xf numFmtId="170" fontId="53" fillId="10" borderId="1" xfId="7" applyNumberFormat="1" applyFont="1" applyFill="1" applyBorder="1" applyAlignment="1">
      <alignment horizontal="left" vertical="center"/>
    </xf>
    <xf numFmtId="170" fontId="53" fillId="10" borderId="24" xfId="7" applyNumberFormat="1" applyFont="1" applyFill="1" applyBorder="1" applyAlignment="1">
      <alignment horizontal="left" vertical="center"/>
    </xf>
    <xf numFmtId="170" fontId="53" fillId="10" borderId="6" xfId="7" applyNumberFormat="1" applyFont="1" applyFill="1" applyBorder="1" applyAlignment="1">
      <alignment horizontal="left" vertical="center"/>
    </xf>
    <xf numFmtId="170" fontId="53" fillId="10" borderId="4" xfId="7" applyNumberFormat="1" applyFont="1" applyFill="1" applyBorder="1" applyAlignment="1">
      <alignment horizontal="left" vertical="center"/>
    </xf>
    <xf numFmtId="4" fontId="53" fillId="10" borderId="6" xfId="7" applyNumberFormat="1" applyFont="1" applyFill="1" applyBorder="1" applyAlignment="1">
      <alignment horizontal="right" vertical="center"/>
    </xf>
    <xf numFmtId="167" fontId="53" fillId="10" borderId="40" xfId="1" applyNumberFormat="1" applyFont="1" applyFill="1" applyBorder="1" applyAlignment="1">
      <alignment horizontal="right" vertical="center"/>
    </xf>
    <xf numFmtId="167" fontId="53" fillId="10" borderId="1" xfId="1" applyNumberFormat="1" applyFont="1" applyFill="1" applyBorder="1" applyAlignment="1">
      <alignment horizontal="right" vertical="center"/>
    </xf>
    <xf numFmtId="167" fontId="53" fillId="10" borderId="41" xfId="1" applyNumberFormat="1" applyFont="1" applyFill="1" applyBorder="1" applyAlignment="1">
      <alignment horizontal="right" vertical="center"/>
    </xf>
    <xf numFmtId="166" fontId="53" fillId="10" borderId="1" xfId="2" applyNumberFormat="1" applyFont="1" applyFill="1" applyBorder="1" applyAlignment="1">
      <alignment horizontal="left" vertical="center" wrapText="1"/>
    </xf>
    <xf numFmtId="9" fontId="51" fillId="0" borderId="48" xfId="1" applyFont="1" applyBorder="1" applyAlignment="1">
      <alignment horizontal="right" vertical="center"/>
    </xf>
    <xf numFmtId="9" fontId="51" fillId="0" borderId="10" xfId="1" applyFont="1" applyBorder="1" applyAlignment="1">
      <alignment horizontal="right" vertical="center"/>
    </xf>
    <xf numFmtId="172" fontId="51" fillId="0" borderId="30" xfId="7" applyNumberFormat="1" applyFont="1" applyBorder="1" applyAlignment="1">
      <alignment horizontal="right" vertical="center"/>
    </xf>
    <xf numFmtId="9" fontId="54" fillId="0" borderId="42" xfId="1" applyFont="1" applyBorder="1" applyAlignment="1">
      <alignment vertical="center"/>
    </xf>
    <xf numFmtId="9" fontId="54" fillId="0" borderId="7" xfId="1" applyFont="1" applyBorder="1" applyAlignment="1">
      <alignment vertical="center"/>
    </xf>
    <xf numFmtId="9" fontId="54" fillId="0" borderId="43" xfId="1" applyFont="1" applyBorder="1" applyAlignment="1">
      <alignment vertical="center"/>
    </xf>
    <xf numFmtId="172" fontId="51" fillId="0" borderId="22" xfId="7" applyNumberFormat="1" applyFont="1" applyBorder="1" applyAlignment="1">
      <alignment horizontal="right" vertical="center"/>
    </xf>
    <xf numFmtId="9" fontId="54" fillId="0" borderId="49" xfId="1" applyFont="1" applyBorder="1" applyAlignment="1">
      <alignment vertical="center"/>
    </xf>
    <xf numFmtId="9" fontId="54" fillId="0" borderId="50" xfId="1" applyFont="1" applyBorder="1" applyAlignment="1">
      <alignment vertical="center"/>
    </xf>
    <xf numFmtId="9" fontId="54" fillId="0" borderId="51" xfId="1" applyFont="1" applyBorder="1" applyAlignment="1">
      <alignment vertical="center"/>
    </xf>
    <xf numFmtId="167" fontId="52" fillId="0" borderId="6" xfId="7" applyNumberFormat="1" applyFont="1" applyBorder="1" applyAlignment="1">
      <alignment horizontal="right" vertical="center"/>
    </xf>
    <xf numFmtId="167" fontId="52" fillId="0" borderId="53" xfId="7" applyNumberFormat="1" applyFont="1" applyBorder="1" applyAlignment="1">
      <alignment horizontal="right" vertical="center"/>
    </xf>
    <xf numFmtId="170" fontId="53" fillId="10" borderId="11" xfId="7" applyNumberFormat="1" applyFont="1" applyFill="1" applyBorder="1" applyAlignment="1">
      <alignment horizontal="left" vertical="center"/>
    </xf>
    <xf numFmtId="166" fontId="54" fillId="0" borderId="54" xfId="0" applyNumberFormat="1" applyFont="1" applyBorder="1" applyAlignment="1">
      <alignment vertical="center"/>
    </xf>
    <xf numFmtId="166" fontId="51" fillId="0" borderId="53" xfId="2" applyNumberFormat="1" applyFont="1" applyBorder="1" applyAlignment="1">
      <alignment vertical="center"/>
    </xf>
    <xf numFmtId="166" fontId="51" fillId="0" borderId="54" xfId="2" applyNumberFormat="1" applyFont="1" applyBorder="1" applyAlignment="1">
      <alignment vertical="center"/>
    </xf>
    <xf numFmtId="166" fontId="54" fillId="0" borderId="53" xfId="0" applyNumberFormat="1" applyFont="1" applyBorder="1" applyAlignment="1">
      <alignment vertical="center"/>
    </xf>
    <xf numFmtId="166" fontId="54" fillId="0" borderId="11" xfId="0" applyNumberFormat="1" applyFont="1" applyBorder="1" applyAlignment="1">
      <alignment vertical="center"/>
    </xf>
    <xf numFmtId="166" fontId="54" fillId="0" borderId="31" xfId="0" applyNumberFormat="1" applyFont="1" applyBorder="1" applyAlignment="1">
      <alignment vertical="center"/>
    </xf>
    <xf numFmtId="3" fontId="54" fillId="0" borderId="53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right" vertical="center"/>
    </xf>
    <xf numFmtId="166" fontId="54" fillId="0" borderId="55" xfId="0" applyNumberFormat="1" applyFont="1" applyBorder="1" applyAlignment="1">
      <alignment vertical="center"/>
    </xf>
    <xf numFmtId="167" fontId="52" fillId="0" borderId="30" xfId="7" applyNumberFormat="1" applyFont="1" applyBorder="1" applyAlignment="1">
      <alignment horizontal="right" vertical="center"/>
    </xf>
    <xf numFmtId="167" fontId="52" fillId="0" borderId="56" xfId="7" applyNumberFormat="1" applyFont="1" applyBorder="1" applyAlignment="1">
      <alignment horizontal="right" vertical="center"/>
    </xf>
    <xf numFmtId="0" fontId="59" fillId="0" borderId="2" xfId="0" applyFont="1" applyBorder="1" applyAlignment="1">
      <alignment vertical="center"/>
    </xf>
    <xf numFmtId="4" fontId="52" fillId="7" borderId="4" xfId="7" applyNumberFormat="1" applyFont="1" applyFill="1" applyBorder="1" applyAlignment="1">
      <alignment horizontal="right" vertical="center"/>
    </xf>
    <xf numFmtId="167" fontId="53" fillId="10" borderId="57" xfId="1" applyNumberFormat="1" applyFont="1" applyFill="1" applyBorder="1" applyAlignment="1">
      <alignment horizontal="right" vertical="center"/>
    </xf>
    <xf numFmtId="167" fontId="53" fillId="10" borderId="11" xfId="1" applyNumberFormat="1" applyFont="1" applyFill="1" applyBorder="1" applyAlignment="1">
      <alignment horizontal="right" vertical="center"/>
    </xf>
    <xf numFmtId="167" fontId="52" fillId="7" borderId="6" xfId="7" applyNumberFormat="1" applyFont="1" applyFill="1" applyBorder="1" applyAlignment="1">
      <alignment horizontal="right" vertical="center"/>
    </xf>
    <xf numFmtId="166" fontId="53" fillId="0" borderId="11" xfId="2" applyNumberFormat="1" applyFont="1" applyBorder="1" applyAlignment="1">
      <alignment vertical="center"/>
    </xf>
    <xf numFmtId="166" fontId="53" fillId="0" borderId="31" xfId="2" applyNumberFormat="1" applyFont="1" applyBorder="1" applyAlignment="1">
      <alignment vertical="center"/>
    </xf>
    <xf numFmtId="9" fontId="42" fillId="0" borderId="4" xfId="1" applyFont="1" applyBorder="1" applyAlignment="1">
      <alignment horizontal="left" vertical="top" wrapText="1"/>
    </xf>
    <xf numFmtId="9" fontId="42" fillId="0" borderId="5" xfId="1" applyFont="1" applyBorder="1" applyAlignment="1">
      <alignment horizontal="left" vertical="top" wrapText="1"/>
    </xf>
    <xf numFmtId="9" fontId="42" fillId="0" borderId="6" xfId="1" applyFont="1" applyBorder="1" applyAlignment="1">
      <alignment horizontal="left" vertical="top" wrapText="1"/>
    </xf>
    <xf numFmtId="0" fontId="47" fillId="3" borderId="0" xfId="0" applyFont="1" applyFill="1" applyAlignment="1">
      <alignment horizontal="center"/>
    </xf>
    <xf numFmtId="165" fontId="41" fillId="6" borderId="4" xfId="7" applyNumberFormat="1" applyFont="1" applyFill="1" applyBorder="1" applyAlignment="1">
      <alignment vertical="center" wrapText="1"/>
    </xf>
    <xf numFmtId="165" fontId="41" fillId="6" borderId="6" xfId="7" applyNumberFormat="1" applyFont="1" applyFill="1" applyBorder="1" applyAlignment="1">
      <alignment vertical="center" wrapText="1"/>
    </xf>
    <xf numFmtId="165" fontId="41" fillId="6" borderId="58" xfId="7" applyNumberFormat="1" applyFont="1" applyFill="1" applyBorder="1" applyAlignment="1">
      <alignment vertical="center" wrapText="1"/>
    </xf>
    <xf numFmtId="166" fontId="63" fillId="0" borderId="0" xfId="0" applyNumberFormat="1" applyFont="1"/>
    <xf numFmtId="165" fontId="51" fillId="0" borderId="0" xfId="7" applyNumberFormat="1" applyFont="1"/>
    <xf numFmtId="164" fontId="64" fillId="0" borderId="0" xfId="7" applyFont="1"/>
    <xf numFmtId="164" fontId="63" fillId="0" borderId="0" xfId="7" applyFont="1"/>
    <xf numFmtId="165" fontId="64" fillId="0" borderId="0" xfId="7" applyNumberFormat="1" applyFont="1"/>
    <xf numFmtId="166" fontId="52" fillId="0" borderId="7" xfId="2" applyNumberFormat="1" applyFont="1" applyFill="1" applyBorder="1" applyAlignment="1">
      <alignment vertical="center"/>
    </xf>
    <xf numFmtId="0" fontId="31" fillId="0" borderId="9" xfId="0" applyFont="1" applyBorder="1" applyAlignment="1">
      <alignment horizontal="center"/>
    </xf>
    <xf numFmtId="171" fontId="32" fillId="0" borderId="13" xfId="7" applyNumberFormat="1" applyFont="1" applyBorder="1"/>
    <xf numFmtId="166" fontId="28" fillId="11" borderId="0" xfId="2" applyNumberFormat="1" applyFont="1" applyFill="1" applyBorder="1" applyAlignment="1">
      <alignment horizontal="center" vertical="center" wrapText="1"/>
    </xf>
    <xf numFmtId="9" fontId="32" fillId="0" borderId="0" xfId="1" applyFont="1" applyBorder="1"/>
    <xf numFmtId="0" fontId="66" fillId="0" borderId="0" xfId="0" applyFont="1"/>
    <xf numFmtId="0" fontId="8" fillId="11" borderId="1" xfId="0" applyFont="1" applyFill="1" applyBorder="1" applyAlignment="1">
      <alignment horizontal="center" vertical="center"/>
    </xf>
    <xf numFmtId="166" fontId="8" fillId="11" borderId="1" xfId="2" applyNumberFormat="1" applyFont="1" applyFill="1" applyBorder="1" applyAlignment="1">
      <alignment horizontal="center" vertical="center" wrapText="1"/>
    </xf>
    <xf numFmtId="166" fontId="8" fillId="11" borderId="1" xfId="2" quotePrefix="1" applyNumberFormat="1" applyFont="1" applyFill="1" applyBorder="1" applyAlignment="1">
      <alignment horizontal="center" vertical="center" wrapText="1"/>
    </xf>
    <xf numFmtId="166" fontId="8" fillId="11" borderId="1" xfId="2" applyNumberFormat="1" applyFont="1" applyFill="1" applyBorder="1" applyAlignment="1">
      <alignment horizontal="center" vertical="center"/>
    </xf>
    <xf numFmtId="9" fontId="32" fillId="0" borderId="7" xfId="1" applyFont="1" applyBorder="1"/>
    <xf numFmtId="9" fontId="32" fillId="0" borderId="9" xfId="1" applyFont="1" applyBorder="1"/>
    <xf numFmtId="9" fontId="29" fillId="0" borderId="7" xfId="1" applyFont="1" applyBorder="1"/>
    <xf numFmtId="9" fontId="33" fillId="0" borderId="8" xfId="1" applyFont="1" applyBorder="1" applyAlignment="1">
      <alignment horizontal="center" vertical="center"/>
    </xf>
    <xf numFmtId="9" fontId="33" fillId="0" borderId="9" xfId="1" applyFont="1" applyBorder="1" applyAlignment="1">
      <alignment horizontal="center" vertical="center"/>
    </xf>
    <xf numFmtId="169" fontId="54" fillId="0" borderId="24" xfId="0" applyNumberFormat="1" applyFont="1" applyBorder="1" applyAlignment="1">
      <alignment vertical="center"/>
    </xf>
    <xf numFmtId="169" fontId="51" fillId="0" borderId="9" xfId="2" applyNumberFormat="1" applyFont="1" applyBorder="1" applyAlignment="1">
      <alignment vertical="center"/>
    </xf>
    <xf numFmtId="169" fontId="51" fillId="0" borderId="19" xfId="2" applyNumberFormat="1" applyFont="1" applyBorder="1" applyAlignment="1">
      <alignment vertical="center"/>
    </xf>
    <xf numFmtId="166" fontId="48" fillId="18" borderId="4" xfId="2" applyNumberFormat="1" applyFont="1" applyFill="1" applyBorder="1" applyAlignment="1">
      <alignment horizontal="center" vertical="center" wrapText="1"/>
    </xf>
    <xf numFmtId="166" fontId="48" fillId="18" borderId="1" xfId="2" applyNumberFormat="1" applyFont="1" applyFill="1" applyBorder="1" applyAlignment="1">
      <alignment horizontal="center" vertical="center" wrapText="1"/>
    </xf>
    <xf numFmtId="0" fontId="44" fillId="20" borderId="0" xfId="0" applyFont="1" applyFill="1" applyAlignment="1">
      <alignment horizontal="left"/>
    </xf>
    <xf numFmtId="164" fontId="52" fillId="0" borderId="0" xfId="0" applyNumberFormat="1" applyFont="1"/>
    <xf numFmtId="176" fontId="63" fillId="0" borderId="0" xfId="0" applyNumberFormat="1" applyFont="1"/>
    <xf numFmtId="43" fontId="54" fillId="0" borderId="24" xfId="0" applyNumberFormat="1" applyFont="1" applyBorder="1" applyAlignment="1">
      <alignment horizontal="center" vertical="center"/>
    </xf>
    <xf numFmtId="43" fontId="54" fillId="0" borderId="1" xfId="0" applyNumberFormat="1" applyFont="1" applyBorder="1" applyAlignment="1">
      <alignment horizontal="center" vertical="center"/>
    </xf>
    <xf numFmtId="43" fontId="54" fillId="0" borderId="4" xfId="0" applyNumberFormat="1" applyFont="1" applyBorder="1" applyAlignment="1">
      <alignment horizontal="center" vertical="center"/>
    </xf>
    <xf numFmtId="43" fontId="54" fillId="0" borderId="6" xfId="0" applyNumberFormat="1" applyFont="1" applyBorder="1" applyAlignment="1">
      <alignment horizontal="center" vertical="center"/>
    </xf>
    <xf numFmtId="43" fontId="54" fillId="0" borderId="1" xfId="0" applyNumberFormat="1" applyFont="1" applyBorder="1" applyAlignment="1">
      <alignment vertical="center"/>
    </xf>
    <xf numFmtId="0" fontId="6" fillId="10" borderId="4" xfId="0" applyFont="1" applyFill="1" applyBorder="1" applyAlignment="1">
      <alignment horizontal="left"/>
    </xf>
    <xf numFmtId="166" fontId="10" fillId="0" borderId="4" xfId="2" applyNumberFormat="1" applyFont="1" applyFill="1" applyBorder="1"/>
    <xf numFmtId="166" fontId="15" fillId="0" borderId="4" xfId="0" applyNumberFormat="1" applyFont="1" applyBorder="1"/>
    <xf numFmtId="0" fontId="6" fillId="10" borderId="6" xfId="0" applyFont="1" applyFill="1" applyBorder="1" applyAlignment="1">
      <alignment horizontal="left"/>
    </xf>
    <xf numFmtId="166" fontId="10" fillId="0" borderId="6" xfId="2" applyNumberFormat="1" applyFont="1" applyFill="1" applyBorder="1"/>
    <xf numFmtId="166" fontId="15" fillId="0" borderId="6" xfId="0" applyNumberFormat="1" applyFont="1" applyBorder="1"/>
    <xf numFmtId="166" fontId="10" fillId="0" borderId="11" xfId="2" applyNumberFormat="1" applyFont="1" applyFill="1" applyBorder="1"/>
    <xf numFmtId="0" fontId="6" fillId="10" borderId="24" xfId="0" applyFont="1" applyFill="1" applyBorder="1" applyAlignment="1">
      <alignment horizontal="left"/>
    </xf>
    <xf numFmtId="166" fontId="15" fillId="0" borderId="36" xfId="0" applyNumberFormat="1" applyFont="1" applyBorder="1"/>
    <xf numFmtId="166" fontId="12" fillId="0" borderId="4" xfId="2" applyNumberFormat="1" applyFont="1" applyFill="1" applyBorder="1"/>
    <xf numFmtId="166" fontId="12" fillId="0" borderId="24" xfId="2" applyNumberFormat="1" applyFont="1" applyFill="1" applyBorder="1"/>
    <xf numFmtId="43" fontId="51" fillId="0" borderId="0" xfId="2" applyFont="1" applyBorder="1"/>
    <xf numFmtId="164" fontId="52" fillId="0" borderId="0" xfId="7" applyFont="1"/>
    <xf numFmtId="166" fontId="11" fillId="3" borderId="1" xfId="2" applyNumberFormat="1" applyFont="1" applyFill="1" applyBorder="1"/>
    <xf numFmtId="164" fontId="51" fillId="0" borderId="0" xfId="7" applyFont="1" applyBorder="1"/>
    <xf numFmtId="166" fontId="36" fillId="0" borderId="0" xfId="0" applyNumberFormat="1" applyFont="1" applyAlignment="1">
      <alignment horizontal="center"/>
    </xf>
    <xf numFmtId="2" fontId="61" fillId="0" borderId="0" xfId="0" applyNumberFormat="1" applyFont="1" applyAlignment="1">
      <alignment horizontal="left"/>
    </xf>
    <xf numFmtId="168" fontId="42" fillId="0" borderId="0" xfId="0" applyNumberFormat="1" applyFont="1"/>
    <xf numFmtId="166" fontId="6" fillId="10" borderId="1" xfId="0" applyNumberFormat="1" applyFont="1" applyFill="1" applyBorder="1" applyAlignment="1">
      <alignment horizontal="left"/>
    </xf>
    <xf numFmtId="11" fontId="0" fillId="0" borderId="0" xfId="0" applyNumberFormat="1"/>
    <xf numFmtId="166" fontId="12" fillId="0" borderId="0" xfId="1" applyNumberFormat="1" applyFont="1" applyBorder="1"/>
    <xf numFmtId="165" fontId="43" fillId="0" borderId="0" xfId="7" applyNumberFormat="1" applyFont="1"/>
    <xf numFmtId="165" fontId="42" fillId="0" borderId="0" xfId="7" applyNumberFormat="1" applyFont="1"/>
    <xf numFmtId="166" fontId="12" fillId="3" borderId="1" xfId="0" applyNumberFormat="1" applyFont="1" applyFill="1" applyBorder="1"/>
    <xf numFmtId="166" fontId="10" fillId="3" borderId="1" xfId="2" applyNumberFormat="1" applyFont="1" applyFill="1" applyBorder="1"/>
    <xf numFmtId="166" fontId="51" fillId="0" borderId="9" xfId="2" applyNumberFormat="1" applyFont="1" applyFill="1" applyBorder="1" applyAlignment="1">
      <alignment vertical="center"/>
    </xf>
    <xf numFmtId="164" fontId="53" fillId="21" borderId="24" xfId="7" applyFont="1" applyFill="1" applyBorder="1" applyAlignment="1">
      <alignment horizontal="left" vertical="center"/>
    </xf>
    <xf numFmtId="164" fontId="52" fillId="3" borderId="27" xfId="7" applyFont="1" applyFill="1" applyBorder="1" applyAlignment="1">
      <alignment vertical="center"/>
    </xf>
    <xf numFmtId="164" fontId="52" fillId="3" borderId="25" xfId="7" applyFont="1" applyFill="1" applyBorder="1" applyAlignment="1">
      <alignment vertical="center"/>
    </xf>
    <xf numFmtId="41" fontId="10" fillId="0" borderId="0" xfId="9" applyFont="1"/>
    <xf numFmtId="41" fontId="15" fillId="0" borderId="0" xfId="4" applyNumberFormat="1" applyFont="1"/>
    <xf numFmtId="0" fontId="12" fillId="0" borderId="0" xfId="0" applyFont="1" applyAlignment="1">
      <alignment horizontal="right"/>
    </xf>
    <xf numFmtId="166" fontId="10" fillId="22" borderId="6" xfId="2" applyNumberFormat="1" applyFont="1" applyFill="1" applyBorder="1"/>
    <xf numFmtId="43" fontId="12" fillId="0" borderId="1" xfId="0" applyNumberFormat="1" applyFont="1" applyBorder="1"/>
    <xf numFmtId="0" fontId="10" fillId="4" borderId="1" xfId="0" applyFont="1" applyFill="1" applyBorder="1"/>
    <xf numFmtId="0" fontId="11" fillId="4" borderId="1" xfId="4" applyFont="1" applyFill="1" applyBorder="1"/>
    <xf numFmtId="0" fontId="18" fillId="4" borderId="1" xfId="0" applyFont="1" applyFill="1" applyBorder="1" applyAlignment="1">
      <alignment horizontal="left"/>
    </xf>
    <xf numFmtId="166" fontId="52" fillId="0" borderId="27" xfId="2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top"/>
    </xf>
    <xf numFmtId="49" fontId="8" fillId="9" borderId="1" xfId="0" applyNumberFormat="1" applyFont="1" applyFill="1" applyBorder="1" applyAlignment="1">
      <alignment horizontal="center" vertical="top"/>
    </xf>
    <xf numFmtId="166" fontId="9" fillId="9" borderId="1" xfId="2" applyNumberFormat="1" applyFont="1" applyFill="1" applyBorder="1" applyAlignment="1">
      <alignment horizontal="center" vertical="top"/>
    </xf>
    <xf numFmtId="166" fontId="8" fillId="9" borderId="1" xfId="2" applyNumberFormat="1" applyFont="1" applyFill="1" applyBorder="1" applyAlignment="1">
      <alignment horizontal="center" vertical="top"/>
    </xf>
    <xf numFmtId="166" fontId="8" fillId="9" borderId="1" xfId="2" applyNumberFormat="1" applyFont="1" applyFill="1" applyBorder="1" applyAlignment="1">
      <alignment horizontal="center" vertical="top" wrapText="1"/>
    </xf>
    <xf numFmtId="166" fontId="8" fillId="9" borderId="4" xfId="2" applyNumberFormat="1" applyFont="1" applyFill="1" applyBorder="1" applyAlignment="1">
      <alignment horizontal="center" vertical="top"/>
    </xf>
    <xf numFmtId="166" fontId="8" fillId="9" borderId="23" xfId="2" applyNumberFormat="1" applyFont="1" applyFill="1" applyBorder="1" applyAlignment="1">
      <alignment horizontal="center" vertical="top"/>
    </xf>
    <xf numFmtId="0" fontId="8" fillId="9" borderId="6" xfId="0" applyFont="1" applyFill="1" applyBorder="1" applyAlignment="1">
      <alignment horizontal="center" vertical="top"/>
    </xf>
    <xf numFmtId="166" fontId="8" fillId="9" borderId="4" xfId="2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/>
    </xf>
    <xf numFmtId="0" fontId="14" fillId="5" borderId="0" xfId="0" applyFont="1" applyFill="1" applyAlignment="1">
      <alignment vertical="top"/>
    </xf>
    <xf numFmtId="41" fontId="10" fillId="0" borderId="0" xfId="9" applyFont="1" applyAlignment="1">
      <alignment horizontal="left"/>
    </xf>
    <xf numFmtId="41" fontId="14" fillId="5" borderId="0" xfId="9" applyFont="1" applyFill="1" applyAlignment="1">
      <alignment horizontal="left" vertical="top"/>
    </xf>
    <xf numFmtId="41" fontId="14" fillId="5" borderId="0" xfId="9" applyFont="1" applyFill="1" applyAlignment="1">
      <alignment horizontal="left"/>
    </xf>
    <xf numFmtId="41" fontId="10" fillId="0" borderId="0" xfId="9" quotePrefix="1" applyFont="1" applyAlignment="1">
      <alignment horizontal="left"/>
    </xf>
    <xf numFmtId="41" fontId="12" fillId="0" borderId="0" xfId="9" applyFont="1" applyAlignment="1">
      <alignment horizontal="left"/>
    </xf>
    <xf numFmtId="41" fontId="14" fillId="0" borderId="0" xfId="9" applyFont="1" applyAlignment="1">
      <alignment horizontal="left" vertical="center"/>
    </xf>
    <xf numFmtId="38" fontId="15" fillId="3" borderId="1" xfId="0" applyNumberFormat="1" applyFont="1" applyFill="1" applyBorder="1"/>
    <xf numFmtId="166" fontId="10" fillId="23" borderId="1" xfId="2" applyNumberFormat="1" applyFont="1" applyFill="1" applyBorder="1"/>
    <xf numFmtId="0" fontId="14" fillId="0" borderId="0" xfId="0" applyFont="1"/>
    <xf numFmtId="43" fontId="51" fillId="0" borderId="6" xfId="2" applyFont="1" applyBorder="1" applyAlignment="1">
      <alignment vertical="center"/>
    </xf>
    <xf numFmtId="166" fontId="4" fillId="0" borderId="0" xfId="0" applyNumberFormat="1" applyFont="1"/>
    <xf numFmtId="2" fontId="0" fillId="0" borderId="0" xfId="0" applyNumberFormat="1"/>
    <xf numFmtId="2" fontId="52" fillId="0" borderId="21" xfId="7" applyNumberFormat="1" applyFont="1" applyBorder="1" applyAlignment="1">
      <alignment horizontal="right" vertical="center"/>
    </xf>
    <xf numFmtId="49" fontId="48" fillId="19" borderId="59" xfId="2" applyNumberFormat="1" applyFont="1" applyFill="1" applyBorder="1" applyAlignment="1">
      <alignment horizontal="center" vertical="center" wrapText="1"/>
    </xf>
    <xf numFmtId="167" fontId="51" fillId="10" borderId="6" xfId="1" applyNumberFormat="1" applyFont="1" applyFill="1" applyBorder="1" applyAlignment="1">
      <alignment horizontal="right" vertical="center"/>
    </xf>
    <xf numFmtId="167" fontId="52" fillId="0" borderId="20" xfId="1" applyNumberFormat="1" applyFont="1" applyBorder="1" applyAlignment="1">
      <alignment horizontal="right" vertical="center"/>
    </xf>
    <xf numFmtId="167" fontId="52" fillId="0" borderId="21" xfId="1" applyNumberFormat="1" applyFont="1" applyBorder="1" applyAlignment="1">
      <alignment horizontal="right" vertical="center"/>
    </xf>
    <xf numFmtId="167" fontId="52" fillId="0" borderId="22" xfId="1" applyNumberFormat="1" applyFont="1" applyBorder="1" applyAlignment="1">
      <alignment horizontal="right" vertical="center"/>
    </xf>
    <xf numFmtId="167" fontId="53" fillId="10" borderId="6" xfId="1" applyNumberFormat="1" applyFont="1" applyFill="1" applyBorder="1" applyAlignment="1">
      <alignment horizontal="right" vertical="center"/>
    </xf>
    <xf numFmtId="167" fontId="53" fillId="10" borderId="53" xfId="1" applyNumberFormat="1" applyFont="1" applyFill="1" applyBorder="1" applyAlignment="1">
      <alignment horizontal="right" vertical="center"/>
    </xf>
    <xf numFmtId="9" fontId="51" fillId="0" borderId="56" xfId="1" applyFont="1" applyBorder="1" applyAlignment="1">
      <alignment horizontal="right" vertical="center"/>
    </xf>
    <xf numFmtId="9" fontId="54" fillId="0" borderId="20" xfId="1" applyFont="1" applyBorder="1" applyAlignment="1">
      <alignment vertical="center"/>
    </xf>
    <xf numFmtId="9" fontId="54" fillId="0" borderId="60" xfId="1" applyFont="1" applyBorder="1" applyAlignment="1">
      <alignment vertical="center"/>
    </xf>
    <xf numFmtId="166" fontId="48" fillId="24" borderId="23" xfId="2" applyNumberFormat="1" applyFont="1" applyFill="1" applyBorder="1" applyAlignment="1">
      <alignment horizontal="center" vertical="center" wrapText="1"/>
    </xf>
    <xf numFmtId="166" fontId="48" fillId="25" borderId="23" xfId="2" applyNumberFormat="1" applyFont="1" applyFill="1" applyBorder="1" applyAlignment="1">
      <alignment horizontal="center" vertical="center" wrapText="1"/>
    </xf>
    <xf numFmtId="0" fontId="68" fillId="0" borderId="0" xfId="0" applyFont="1"/>
    <xf numFmtId="0" fontId="1" fillId="0" borderId="0" xfId="0" applyFont="1"/>
    <xf numFmtId="0" fontId="1" fillId="20" borderId="0" xfId="0" applyFont="1" applyFill="1"/>
    <xf numFmtId="0" fontId="6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67" fillId="26" borderId="0" xfId="0" applyFont="1" applyFill="1" applyAlignment="1">
      <alignment horizontal="center" vertical="center"/>
    </xf>
    <xf numFmtId="0" fontId="71" fillId="26" borderId="0" xfId="0" applyFont="1" applyFill="1" applyAlignment="1">
      <alignment horizontal="center" vertical="center"/>
    </xf>
    <xf numFmtId="0" fontId="67" fillId="26" borderId="62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67" fillId="27" borderId="0" xfId="0" applyFont="1" applyFill="1" applyAlignment="1">
      <alignment horizontal="center" vertical="center"/>
    </xf>
    <xf numFmtId="0" fontId="71" fillId="27" borderId="0" xfId="0" applyFont="1" applyFill="1" applyAlignment="1">
      <alignment horizontal="center" vertical="center"/>
    </xf>
    <xf numFmtId="0" fontId="67" fillId="27" borderId="63" xfId="0" applyFont="1" applyFill="1" applyBorder="1" applyAlignment="1">
      <alignment horizontal="center" vertical="center"/>
    </xf>
    <xf numFmtId="0" fontId="71" fillId="27" borderId="64" xfId="0" applyFont="1" applyFill="1" applyBorder="1" applyAlignment="1">
      <alignment horizontal="center" vertical="center"/>
    </xf>
    <xf numFmtId="0" fontId="67" fillId="27" borderId="65" xfId="0" applyFont="1" applyFill="1" applyBorder="1" applyAlignment="1">
      <alignment horizontal="center" vertical="center"/>
    </xf>
    <xf numFmtId="0" fontId="71" fillId="27" borderId="66" xfId="0" applyFont="1" applyFill="1" applyBorder="1" applyAlignment="1">
      <alignment horizontal="center" vertical="center"/>
    </xf>
    <xf numFmtId="0" fontId="69" fillId="0" borderId="0" xfId="0" applyFont="1"/>
    <xf numFmtId="0" fontId="51" fillId="10" borderId="0" xfId="0" applyFont="1" applyFill="1" applyAlignment="1">
      <alignment horizontal="center" vertical="center"/>
    </xf>
    <xf numFmtId="0" fontId="51" fillId="10" borderId="0" xfId="0" applyFont="1" applyFill="1" applyAlignment="1">
      <alignment horizontal="left" vertical="center"/>
    </xf>
    <xf numFmtId="165" fontId="41" fillId="7" borderId="0" xfId="7" applyNumberFormat="1" applyFont="1" applyFill="1" applyAlignment="1">
      <alignment vertical="center"/>
    </xf>
    <xf numFmtId="167" fontId="72" fillId="7" borderId="0" xfId="7" applyNumberFormat="1" applyFont="1" applyFill="1" applyAlignment="1">
      <alignment vertical="center"/>
    </xf>
    <xf numFmtId="165" fontId="41" fillId="7" borderId="67" xfId="7" applyNumberFormat="1" applyFont="1" applyFill="1" applyBorder="1" applyAlignment="1">
      <alignment vertical="center"/>
    </xf>
    <xf numFmtId="165" fontId="73" fillId="7" borderId="67" xfId="7" applyNumberFormat="1" applyFont="1" applyFill="1" applyBorder="1" applyAlignment="1">
      <alignment vertical="center"/>
    </xf>
    <xf numFmtId="165" fontId="41" fillId="7" borderId="68" xfId="7" applyNumberFormat="1" applyFont="1" applyFill="1" applyBorder="1" applyAlignment="1">
      <alignment vertical="center"/>
    </xf>
    <xf numFmtId="167" fontId="72" fillId="7" borderId="69" xfId="7" applyNumberFormat="1" applyFont="1" applyFill="1" applyBorder="1" applyAlignment="1">
      <alignment vertical="center"/>
    </xf>
    <xf numFmtId="165" fontId="73" fillId="7" borderId="70" xfId="7" applyNumberFormat="1" applyFont="1" applyFill="1" applyBorder="1" applyAlignment="1">
      <alignment vertical="center"/>
    </xf>
    <xf numFmtId="167" fontId="72" fillId="7" borderId="0" xfId="7" applyNumberFormat="1" applyFont="1" applyFill="1" applyBorder="1" applyAlignment="1">
      <alignment vertical="center"/>
    </xf>
    <xf numFmtId="0" fontId="41" fillId="0" borderId="0" xfId="0" applyFont="1"/>
    <xf numFmtId="167" fontId="41" fillId="0" borderId="0" xfId="0" applyNumberFormat="1" applyFont="1"/>
    <xf numFmtId="0" fontId="42" fillId="0" borderId="71" xfId="0" applyFont="1" applyBorder="1" applyAlignment="1">
      <alignment horizontal="center" vertical="center"/>
    </xf>
    <xf numFmtId="0" fontId="42" fillId="0" borderId="7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1" fillId="0" borderId="71" xfId="7" applyNumberFormat="1" applyFont="1" applyBorder="1" applyAlignment="1">
      <alignment vertical="center"/>
    </xf>
    <xf numFmtId="167" fontId="74" fillId="0" borderId="71" xfId="7" applyNumberFormat="1" applyFont="1" applyBorder="1" applyAlignment="1">
      <alignment vertical="center"/>
    </xf>
    <xf numFmtId="165" fontId="1" fillId="0" borderId="72" xfId="7" applyNumberFormat="1" applyFont="1" applyBorder="1" applyAlignment="1">
      <alignment vertical="center"/>
    </xf>
    <xf numFmtId="165" fontId="75" fillId="0" borderId="72" xfId="7" applyNumberFormat="1" applyFont="1" applyBorder="1" applyAlignment="1">
      <alignment vertical="center"/>
    </xf>
    <xf numFmtId="165" fontId="1" fillId="0" borderId="73" xfId="7" applyNumberFormat="1" applyFont="1" applyBorder="1" applyAlignment="1">
      <alignment vertical="center"/>
    </xf>
    <xf numFmtId="167" fontId="74" fillId="0" borderId="74" xfId="7" applyNumberFormat="1" applyFont="1" applyBorder="1" applyAlignment="1">
      <alignment vertical="center"/>
    </xf>
    <xf numFmtId="165" fontId="75" fillId="0" borderId="75" xfId="7" applyNumberFormat="1" applyFont="1" applyBorder="1" applyAlignment="1">
      <alignment vertical="center"/>
    </xf>
    <xf numFmtId="167" fontId="1" fillId="0" borderId="0" xfId="0" applyNumberFormat="1" applyFont="1"/>
    <xf numFmtId="164" fontId="1" fillId="0" borderId="0" xfId="7" applyFont="1"/>
    <xf numFmtId="164" fontId="1" fillId="0" borderId="0" xfId="0" applyNumberFormat="1" applyFont="1"/>
    <xf numFmtId="0" fontId="42" fillId="0" borderId="76" xfId="0" applyFont="1" applyBorder="1" applyAlignment="1">
      <alignment horizontal="center" vertical="center"/>
    </xf>
    <xf numFmtId="0" fontId="42" fillId="0" borderId="76" xfId="0" applyFont="1" applyBorder="1" applyAlignment="1">
      <alignment vertical="center"/>
    </xf>
    <xf numFmtId="165" fontId="1" fillId="0" borderId="76" xfId="7" applyNumberFormat="1" applyFont="1" applyBorder="1" applyAlignment="1">
      <alignment vertical="center"/>
    </xf>
    <xf numFmtId="165" fontId="75" fillId="0" borderId="77" xfId="7" applyNumberFormat="1" applyFont="1" applyBorder="1" applyAlignment="1">
      <alignment vertical="center"/>
    </xf>
    <xf numFmtId="165" fontId="75" fillId="0" borderId="78" xfId="7" applyNumberFormat="1" applyFont="1" applyBorder="1" applyAlignment="1">
      <alignment vertical="center"/>
    </xf>
    <xf numFmtId="165" fontId="41" fillId="7" borderId="76" xfId="7" applyNumberFormat="1" applyFont="1" applyFill="1" applyBorder="1" applyAlignment="1">
      <alignment vertical="center"/>
    </xf>
    <xf numFmtId="167" fontId="72" fillId="7" borderId="76" xfId="7" applyNumberFormat="1" applyFont="1" applyFill="1" applyBorder="1" applyAlignment="1">
      <alignment vertical="center"/>
    </xf>
    <xf numFmtId="165" fontId="41" fillId="7" borderId="77" xfId="7" applyNumberFormat="1" applyFont="1" applyFill="1" applyBorder="1" applyAlignment="1">
      <alignment vertical="center"/>
    </xf>
    <xf numFmtId="165" fontId="73" fillId="7" borderId="77" xfId="7" applyNumberFormat="1" applyFont="1" applyFill="1" applyBorder="1" applyAlignment="1">
      <alignment vertical="center"/>
    </xf>
    <xf numFmtId="165" fontId="41" fillId="7" borderId="79" xfId="7" applyNumberFormat="1" applyFont="1" applyFill="1" applyBorder="1" applyAlignment="1">
      <alignment vertical="center"/>
    </xf>
    <xf numFmtId="167" fontId="72" fillId="7" borderId="80" xfId="7" applyNumberFormat="1" applyFont="1" applyFill="1" applyBorder="1" applyAlignment="1">
      <alignment vertical="center"/>
    </xf>
    <xf numFmtId="165" fontId="73" fillId="7" borderId="78" xfId="7" applyNumberFormat="1" applyFont="1" applyFill="1" applyBorder="1" applyAlignment="1">
      <alignment vertical="center"/>
    </xf>
    <xf numFmtId="0" fontId="42" fillId="0" borderId="81" xfId="0" applyFont="1" applyBorder="1" applyAlignment="1">
      <alignment horizontal="center" vertical="center"/>
    </xf>
    <xf numFmtId="0" fontId="42" fillId="0" borderId="81" xfId="0" applyFont="1" applyBorder="1" applyAlignment="1">
      <alignment vertical="center"/>
    </xf>
    <xf numFmtId="165" fontId="1" fillId="0" borderId="81" xfId="7" applyNumberFormat="1" applyFont="1" applyBorder="1" applyAlignment="1">
      <alignment vertical="center"/>
    </xf>
    <xf numFmtId="167" fontId="74" fillId="0" borderId="0" xfId="7" applyNumberFormat="1" applyFont="1" applyBorder="1" applyAlignment="1">
      <alignment vertical="center"/>
    </xf>
    <xf numFmtId="165" fontId="1" fillId="0" borderId="67" xfId="7" applyNumberFormat="1" applyFont="1" applyBorder="1" applyAlignment="1">
      <alignment vertical="center"/>
    </xf>
    <xf numFmtId="165" fontId="75" fillId="0" borderId="82" xfId="7" applyNumberFormat="1" applyFont="1" applyBorder="1" applyAlignment="1">
      <alignment vertical="center"/>
    </xf>
    <xf numFmtId="165" fontId="1" fillId="0" borderId="68" xfId="7" applyNumberFormat="1" applyFont="1" applyBorder="1" applyAlignment="1">
      <alignment vertical="center"/>
    </xf>
    <xf numFmtId="167" fontId="74" fillId="0" borderId="69" xfId="7" applyNumberFormat="1" applyFont="1" applyBorder="1" applyAlignment="1">
      <alignment vertical="center"/>
    </xf>
    <xf numFmtId="165" fontId="75" fillId="0" borderId="83" xfId="7" applyNumberFormat="1" applyFont="1" applyBorder="1" applyAlignment="1">
      <alignment vertical="center"/>
    </xf>
    <xf numFmtId="0" fontId="53" fillId="0" borderId="84" xfId="0" applyFont="1" applyBorder="1" applyAlignment="1">
      <alignment horizontal="left" vertical="center"/>
    </xf>
    <xf numFmtId="0" fontId="53" fillId="0" borderId="85" xfId="0" applyFont="1" applyBorder="1" applyAlignment="1">
      <alignment vertical="center"/>
    </xf>
    <xf numFmtId="0" fontId="56" fillId="0" borderId="86" xfId="0" applyFont="1" applyBorder="1" applyAlignment="1">
      <alignment vertical="center"/>
    </xf>
    <xf numFmtId="165" fontId="56" fillId="0" borderId="85" xfId="0" applyNumberFormat="1" applyFont="1" applyBorder="1" applyAlignment="1">
      <alignment vertical="center"/>
    </xf>
    <xf numFmtId="167" fontId="72" fillId="0" borderId="85" xfId="0" applyNumberFormat="1" applyFont="1" applyBorder="1" applyAlignment="1">
      <alignment vertical="center"/>
    </xf>
    <xf numFmtId="165" fontId="56" fillId="0" borderId="87" xfId="0" applyNumberFormat="1" applyFont="1" applyBorder="1" applyAlignment="1">
      <alignment vertical="center"/>
    </xf>
    <xf numFmtId="165" fontId="76" fillId="0" borderId="87" xfId="7" applyNumberFormat="1" applyFont="1" applyBorder="1" applyAlignment="1">
      <alignment vertical="center"/>
    </xf>
    <xf numFmtId="165" fontId="56" fillId="0" borderId="88" xfId="0" applyNumberFormat="1" applyFont="1" applyBorder="1" applyAlignment="1">
      <alignment vertical="center"/>
    </xf>
    <xf numFmtId="167" fontId="72" fillId="0" borderId="89" xfId="0" applyNumberFormat="1" applyFont="1" applyBorder="1" applyAlignment="1">
      <alignment vertical="center"/>
    </xf>
    <xf numFmtId="165" fontId="76" fillId="0" borderId="90" xfId="7" applyNumberFormat="1" applyFont="1" applyBorder="1" applyAlignment="1">
      <alignment vertical="center"/>
    </xf>
    <xf numFmtId="167" fontId="72" fillId="0" borderId="91" xfId="0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6" fillId="0" borderId="0" xfId="0" applyFont="1"/>
    <xf numFmtId="0" fontId="77" fillId="0" borderId="0" xfId="0" applyFont="1"/>
    <xf numFmtId="0" fontId="78" fillId="0" borderId="92" xfId="0" applyFont="1" applyBorder="1" applyAlignment="1">
      <alignment horizontal="left" vertical="center"/>
    </xf>
    <xf numFmtId="0" fontId="78" fillId="0" borderId="76" xfId="0" applyFont="1" applyBorder="1" applyAlignment="1">
      <alignment vertical="center"/>
    </xf>
    <xf numFmtId="0" fontId="77" fillId="0" borderId="0" xfId="0" applyFont="1" applyAlignment="1">
      <alignment vertical="center"/>
    </xf>
    <xf numFmtId="165" fontId="77" fillId="0" borderId="76" xfId="0" applyNumberFormat="1" applyFont="1" applyBorder="1" applyAlignment="1">
      <alignment vertical="center"/>
    </xf>
    <xf numFmtId="165" fontId="77" fillId="0" borderId="77" xfId="7" applyNumberFormat="1" applyFont="1" applyBorder="1" applyAlignment="1">
      <alignment vertical="center"/>
    </xf>
    <xf numFmtId="165" fontId="77" fillId="0" borderId="76" xfId="7" applyNumberFormat="1" applyFont="1" applyBorder="1" applyAlignment="1">
      <alignment vertical="center"/>
    </xf>
    <xf numFmtId="165" fontId="79" fillId="0" borderId="77" xfId="7" applyNumberFormat="1" applyFont="1" applyBorder="1" applyAlignment="1">
      <alignment vertical="center"/>
    </xf>
    <xf numFmtId="165" fontId="79" fillId="0" borderId="76" xfId="7" applyNumberFormat="1" applyFont="1" applyBorder="1" applyAlignment="1">
      <alignment vertical="center"/>
    </xf>
    <xf numFmtId="165" fontId="77" fillId="0" borderId="79" xfId="7" applyNumberFormat="1" applyFont="1" applyBorder="1" applyAlignment="1">
      <alignment vertical="center"/>
    </xf>
    <xf numFmtId="165" fontId="79" fillId="0" borderId="80" xfId="7" applyNumberFormat="1" applyFont="1" applyBorder="1" applyAlignment="1">
      <alignment vertical="center"/>
    </xf>
    <xf numFmtId="165" fontId="79" fillId="0" borderId="78" xfId="7" applyNumberFormat="1" applyFont="1" applyBorder="1" applyAlignment="1">
      <alignment vertical="center"/>
    </xf>
    <xf numFmtId="165" fontId="77" fillId="0" borderId="93" xfId="7" applyNumberFormat="1" applyFont="1" applyBorder="1" applyAlignment="1">
      <alignment vertical="center"/>
    </xf>
    <xf numFmtId="0" fontId="54" fillId="0" borderId="92" xfId="0" applyFont="1" applyBorder="1" applyAlignment="1">
      <alignment horizontal="left" vertical="center"/>
    </xf>
    <xf numFmtId="0" fontId="54" fillId="0" borderId="76" xfId="0" applyFont="1" applyBorder="1" applyAlignment="1">
      <alignment vertical="center"/>
    </xf>
    <xf numFmtId="165" fontId="41" fillId="0" borderId="76" xfId="7" applyNumberFormat="1" applyFont="1" applyBorder="1" applyAlignment="1">
      <alignment vertical="center"/>
    </xf>
    <xf numFmtId="165" fontId="41" fillId="0" borderId="77" xfId="7" applyNumberFormat="1" applyFont="1" applyBorder="1" applyAlignment="1">
      <alignment vertical="center"/>
    </xf>
    <xf numFmtId="165" fontId="73" fillId="0" borderId="77" xfId="7" applyNumberFormat="1" applyFont="1" applyBorder="1" applyAlignment="1">
      <alignment vertical="center"/>
    </xf>
    <xf numFmtId="165" fontId="41" fillId="0" borderId="0" xfId="7" applyNumberFormat="1" applyFont="1" applyBorder="1" applyAlignment="1">
      <alignment vertical="center"/>
    </xf>
    <xf numFmtId="165" fontId="73" fillId="0" borderId="76" xfId="7" applyNumberFormat="1" applyFont="1" applyBorder="1" applyAlignment="1">
      <alignment vertical="center"/>
    </xf>
    <xf numFmtId="165" fontId="41" fillId="0" borderId="79" xfId="7" applyNumberFormat="1" applyFont="1" applyBorder="1" applyAlignment="1">
      <alignment vertical="center"/>
    </xf>
    <xf numFmtId="165" fontId="73" fillId="0" borderId="80" xfId="7" applyNumberFormat="1" applyFont="1" applyBorder="1" applyAlignment="1">
      <alignment vertical="center"/>
    </xf>
    <xf numFmtId="165" fontId="73" fillId="0" borderId="78" xfId="7" applyNumberFormat="1" applyFont="1" applyBorder="1" applyAlignment="1">
      <alignment vertical="center"/>
    </xf>
    <xf numFmtId="165" fontId="41" fillId="0" borderId="94" xfId="7" applyNumberFormat="1" applyFont="1" applyBorder="1" applyAlignment="1">
      <alignment vertical="center"/>
    </xf>
    <xf numFmtId="0" fontId="54" fillId="0" borderId="76" xfId="0" applyFont="1" applyBorder="1" applyAlignment="1">
      <alignment horizontal="left" vertical="center"/>
    </xf>
    <xf numFmtId="170" fontId="41" fillId="0" borderId="76" xfId="7" applyNumberFormat="1" applyFont="1" applyBorder="1" applyAlignment="1">
      <alignment vertical="center"/>
    </xf>
    <xf numFmtId="170" fontId="41" fillId="0" borderId="77" xfId="7" applyNumberFormat="1" applyFont="1" applyBorder="1" applyAlignment="1">
      <alignment vertical="center"/>
    </xf>
    <xf numFmtId="170" fontId="73" fillId="0" borderId="77" xfId="7" applyNumberFormat="1" applyFont="1" applyBorder="1" applyAlignment="1">
      <alignment vertical="center"/>
    </xf>
    <xf numFmtId="170" fontId="73" fillId="0" borderId="76" xfId="7" applyNumberFormat="1" applyFont="1" applyBorder="1" applyAlignment="1">
      <alignment vertical="center"/>
    </xf>
    <xf numFmtId="170" fontId="41" fillId="0" borderId="79" xfId="7" applyNumberFormat="1" applyFont="1" applyBorder="1" applyAlignment="1">
      <alignment vertical="center"/>
    </xf>
    <xf numFmtId="170" fontId="73" fillId="0" borderId="80" xfId="7" applyNumberFormat="1" applyFont="1" applyBorder="1" applyAlignment="1">
      <alignment vertical="center"/>
    </xf>
    <xf numFmtId="170" fontId="73" fillId="0" borderId="78" xfId="7" applyNumberFormat="1" applyFont="1" applyBorder="1" applyAlignment="1">
      <alignment vertical="center"/>
    </xf>
    <xf numFmtId="170" fontId="41" fillId="0" borderId="94" xfId="7" applyNumberFormat="1" applyFont="1" applyBorder="1" applyAlignment="1">
      <alignment vertical="center"/>
    </xf>
    <xf numFmtId="0" fontId="78" fillId="0" borderId="95" xfId="0" applyFont="1" applyBorder="1" applyAlignment="1">
      <alignment horizontal="left" vertical="center"/>
    </xf>
    <xf numFmtId="0" fontId="78" fillId="0" borderId="96" xfId="0" applyFont="1" applyBorder="1" applyAlignment="1">
      <alignment horizontal="left" vertical="center"/>
    </xf>
    <xf numFmtId="0" fontId="77" fillId="0" borderId="97" xfId="0" applyFont="1" applyBorder="1" applyAlignment="1">
      <alignment vertical="center"/>
    </xf>
    <xf numFmtId="170" fontId="77" fillId="0" borderId="96" xfId="7" applyNumberFormat="1" applyFont="1" applyBorder="1" applyAlignment="1">
      <alignment vertical="center"/>
    </xf>
    <xf numFmtId="170" fontId="77" fillId="0" borderId="98" xfId="7" applyNumberFormat="1" applyFont="1" applyBorder="1" applyAlignment="1">
      <alignment vertical="center"/>
    </xf>
    <xf numFmtId="170" fontId="79" fillId="0" borderId="98" xfId="7" applyNumberFormat="1" applyFont="1" applyBorder="1" applyAlignment="1">
      <alignment vertical="center"/>
    </xf>
    <xf numFmtId="170" fontId="79" fillId="0" borderId="96" xfId="7" applyNumberFormat="1" applyFont="1" applyBorder="1" applyAlignment="1">
      <alignment vertical="center"/>
    </xf>
    <xf numFmtId="170" fontId="77" fillId="0" borderId="99" xfId="7" applyNumberFormat="1" applyFont="1" applyBorder="1" applyAlignment="1">
      <alignment vertical="center"/>
    </xf>
    <xf numFmtId="170" fontId="79" fillId="0" borderId="100" xfId="7" applyNumberFormat="1" applyFont="1" applyBorder="1" applyAlignment="1">
      <alignment vertical="center"/>
    </xf>
    <xf numFmtId="170" fontId="79" fillId="0" borderId="101" xfId="7" applyNumberFormat="1" applyFont="1" applyBorder="1" applyAlignment="1">
      <alignment vertical="center"/>
    </xf>
    <xf numFmtId="170" fontId="77" fillId="0" borderId="102" xfId="7" applyNumberFormat="1" applyFont="1" applyBorder="1" applyAlignment="1">
      <alignment vertical="center"/>
    </xf>
    <xf numFmtId="0" fontId="80" fillId="0" borderId="0" xfId="0" applyFont="1"/>
    <xf numFmtId="165" fontId="1" fillId="0" borderId="0" xfId="7" applyNumberFormat="1" applyFont="1"/>
    <xf numFmtId="0" fontId="82" fillId="0" borderId="0" xfId="0" applyFont="1"/>
    <xf numFmtId="165" fontId="82" fillId="0" borderId="0" xfId="0" applyNumberFormat="1" applyFont="1"/>
    <xf numFmtId="164" fontId="82" fillId="0" borderId="0" xfId="0" applyNumberFormat="1" applyFont="1"/>
    <xf numFmtId="166" fontId="48" fillId="25" borderId="1" xfId="2" applyNumberFormat="1" applyFont="1" applyFill="1" applyBorder="1" applyAlignment="1">
      <alignment horizontal="center" vertical="center"/>
    </xf>
    <xf numFmtId="166" fontId="48" fillId="25" borderId="4" xfId="2" applyNumberFormat="1" applyFont="1" applyFill="1" applyBorder="1" applyAlignment="1">
      <alignment horizontal="center" vertical="center"/>
    </xf>
    <xf numFmtId="166" fontId="48" fillId="24" borderId="1" xfId="2" applyNumberFormat="1" applyFont="1" applyFill="1" applyBorder="1" applyAlignment="1">
      <alignment horizontal="center" vertical="center"/>
    </xf>
    <xf numFmtId="166" fontId="48" fillId="24" borderId="4" xfId="2" applyNumberFormat="1" applyFont="1" applyFill="1" applyBorder="1" applyAlignment="1">
      <alignment horizontal="center" vertical="center"/>
    </xf>
    <xf numFmtId="166" fontId="65" fillId="18" borderId="6" xfId="2" applyNumberFormat="1" applyFont="1" applyFill="1" applyBorder="1" applyAlignment="1">
      <alignment horizontal="center" vertical="center" wrapText="1"/>
    </xf>
    <xf numFmtId="166" fontId="48" fillId="18" borderId="6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3" fillId="0" borderId="0" xfId="0" applyFont="1" applyAlignment="1">
      <alignment horizontal="center"/>
    </xf>
    <xf numFmtId="0" fontId="84" fillId="14" borderId="1" xfId="0" applyFont="1" applyFill="1" applyBorder="1" applyAlignment="1">
      <alignment horizontal="center" vertical="center"/>
    </xf>
    <xf numFmtId="0" fontId="84" fillId="14" borderId="1" xfId="0" applyFont="1" applyFill="1" applyBorder="1" applyAlignment="1">
      <alignment horizontal="center" vertical="center" wrapText="1"/>
    </xf>
    <xf numFmtId="166" fontId="84" fillId="18" borderId="103" xfId="2" applyNumberFormat="1" applyFont="1" applyFill="1" applyBorder="1" applyAlignment="1">
      <alignment horizontal="center" vertical="center" wrapText="1"/>
    </xf>
    <xf numFmtId="166" fontId="84" fillId="18" borderId="104" xfId="2" applyNumberFormat="1" applyFont="1" applyFill="1" applyBorder="1" applyAlignment="1">
      <alignment horizontal="center" vertical="center" wrapText="1"/>
    </xf>
    <xf numFmtId="166" fontId="84" fillId="19" borderId="103" xfId="2" applyNumberFormat="1" applyFont="1" applyFill="1" applyBorder="1" applyAlignment="1">
      <alignment horizontal="center" vertical="center" wrapText="1"/>
    </xf>
    <xf numFmtId="166" fontId="84" fillId="19" borderId="104" xfId="2" applyNumberFormat="1" applyFont="1" applyFill="1" applyBorder="1" applyAlignment="1">
      <alignment horizontal="center" vertical="center" wrapText="1"/>
    </xf>
    <xf numFmtId="166" fontId="84" fillId="14" borderId="6" xfId="2" applyNumberFormat="1" applyFont="1" applyFill="1" applyBorder="1" applyAlignment="1">
      <alignment horizontal="center" vertical="center" wrapText="1"/>
    </xf>
    <xf numFmtId="166" fontId="84" fillId="28" borderId="4" xfId="2" applyNumberFormat="1" applyFont="1" applyFill="1" applyBorder="1" applyAlignment="1">
      <alignment horizontal="center" vertical="center" wrapText="1"/>
    </xf>
    <xf numFmtId="166" fontId="84" fillId="28" borderId="105" xfId="2" applyNumberFormat="1" applyFont="1" applyFill="1" applyBorder="1" applyAlignment="1">
      <alignment horizontal="center" vertical="center" wrapText="1"/>
    </xf>
    <xf numFmtId="166" fontId="84" fillId="29" borderId="41" xfId="2" applyNumberFormat="1" applyFont="1" applyFill="1" applyBorder="1" applyAlignment="1">
      <alignment horizontal="center" vertical="center" wrapText="1"/>
    </xf>
    <xf numFmtId="166" fontId="84" fillId="14" borderId="103" xfId="2" applyNumberFormat="1" applyFont="1" applyFill="1" applyBorder="1" applyAlignment="1">
      <alignment horizontal="center" vertical="center" wrapText="1"/>
    </xf>
    <xf numFmtId="166" fontId="84" fillId="14" borderId="106" xfId="2" applyNumberFormat="1" applyFont="1" applyFill="1" applyBorder="1" applyAlignment="1">
      <alignment horizontal="center" vertical="center" wrapText="1"/>
    </xf>
    <xf numFmtId="166" fontId="84" fillId="14" borderId="23" xfId="2" applyNumberFormat="1" applyFont="1" applyFill="1" applyBorder="1" applyAlignment="1">
      <alignment horizontal="center" vertical="center" wrapText="1"/>
    </xf>
    <xf numFmtId="166" fontId="84" fillId="19" borderId="59" xfId="2" applyNumberFormat="1" applyFont="1" applyFill="1" applyBorder="1" applyAlignment="1">
      <alignment horizontal="center" vertical="center" wrapText="1"/>
    </xf>
    <xf numFmtId="166" fontId="84" fillId="14" borderId="39" xfId="2" applyNumberFormat="1" applyFont="1" applyFill="1" applyBorder="1" applyAlignment="1">
      <alignment horizontal="center" vertical="center" wrapText="1"/>
    </xf>
    <xf numFmtId="0" fontId="83" fillId="0" borderId="0" xfId="0" applyFont="1" applyAlignment="1">
      <alignment wrapText="1"/>
    </xf>
    <xf numFmtId="0" fontId="86" fillId="10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6" fillId="10" borderId="1" xfId="0" applyFont="1" applyFill="1" applyBorder="1" applyAlignment="1">
      <alignment horizontal="left" vertical="center"/>
    </xf>
    <xf numFmtId="170" fontId="86" fillId="10" borderId="107" xfId="7" applyNumberFormat="1" applyFont="1" applyFill="1" applyBorder="1" applyAlignment="1">
      <alignment horizontal="left" vertical="center"/>
    </xf>
    <xf numFmtId="167" fontId="51" fillId="10" borderId="105" xfId="7" applyNumberFormat="1" applyFont="1" applyFill="1" applyBorder="1" applyAlignment="1">
      <alignment horizontal="center" vertical="center"/>
    </xf>
    <xf numFmtId="170" fontId="86" fillId="10" borderId="6" xfId="7" applyNumberFormat="1" applyFont="1" applyFill="1" applyBorder="1" applyAlignment="1">
      <alignment horizontal="left" vertical="center"/>
    </xf>
    <xf numFmtId="170" fontId="86" fillId="10" borderId="4" xfId="7" applyNumberFormat="1" applyFont="1" applyFill="1" applyBorder="1" applyAlignment="1">
      <alignment horizontal="left" vertical="center"/>
    </xf>
    <xf numFmtId="167" fontId="51" fillId="10" borderId="5" xfId="7" applyNumberFormat="1" applyFont="1" applyFill="1" applyBorder="1" applyAlignment="1">
      <alignment horizontal="center" vertical="center"/>
    </xf>
    <xf numFmtId="170" fontId="86" fillId="10" borderId="5" xfId="7" applyNumberFormat="1" applyFont="1" applyFill="1" applyBorder="1" applyAlignment="1">
      <alignment horizontal="left" vertical="center"/>
    </xf>
    <xf numFmtId="167" fontId="86" fillId="10" borderId="105" xfId="7" applyNumberFormat="1" applyFont="1" applyFill="1" applyBorder="1" applyAlignment="1">
      <alignment horizontal="right" vertical="center"/>
    </xf>
    <xf numFmtId="164" fontId="86" fillId="7" borderId="24" xfId="7" applyFont="1" applyFill="1" applyBorder="1" applyAlignment="1">
      <alignment horizontal="right" vertical="center"/>
    </xf>
    <xf numFmtId="167" fontId="51" fillId="10" borderId="6" xfId="7" applyNumberFormat="1" applyFont="1" applyFill="1" applyBorder="1" applyAlignment="1">
      <alignment horizontal="center" vertical="center"/>
    </xf>
    <xf numFmtId="164" fontId="86" fillId="7" borderId="41" xfId="7" applyFont="1" applyFill="1" applyBorder="1" applyAlignment="1">
      <alignment horizontal="right" vertical="center"/>
    </xf>
    <xf numFmtId="164" fontId="83" fillId="0" borderId="0" xfId="7" applyFont="1"/>
    <xf numFmtId="170" fontId="83" fillId="0" borderId="0" xfId="7" applyNumberFormat="1" applyFont="1"/>
    <xf numFmtId="164" fontId="83" fillId="0" borderId="0" xfId="0" applyNumberFormat="1" applyFont="1"/>
    <xf numFmtId="0" fontId="88" fillId="0" borderId="7" xfId="0" applyFont="1" applyBorder="1" applyAlignment="1">
      <alignment horizontal="center" vertical="center"/>
    </xf>
    <xf numFmtId="0" fontId="88" fillId="0" borderId="7" xfId="0" applyFont="1" applyBorder="1" applyAlignment="1">
      <alignment vertical="center"/>
    </xf>
    <xf numFmtId="164" fontId="87" fillId="0" borderId="108" xfId="7" applyFont="1" applyBorder="1" applyAlignment="1">
      <alignment vertical="center"/>
    </xf>
    <xf numFmtId="167" fontId="52" fillId="0" borderId="109" xfId="7" applyNumberFormat="1" applyFont="1" applyBorder="1" applyAlignment="1">
      <alignment horizontal="center" vertical="center"/>
    </xf>
    <xf numFmtId="164" fontId="87" fillId="0" borderId="110" xfId="7" applyFont="1" applyBorder="1" applyAlignment="1">
      <alignment vertical="center"/>
    </xf>
    <xf numFmtId="167" fontId="52" fillId="0" borderId="111" xfId="7" applyNumberFormat="1" applyFont="1" applyBorder="1" applyAlignment="1">
      <alignment horizontal="center" vertical="center"/>
    </xf>
    <xf numFmtId="164" fontId="87" fillId="0" borderId="20" xfId="7" applyFont="1" applyBorder="1" applyAlignment="1">
      <alignment vertical="center"/>
    </xf>
    <xf numFmtId="164" fontId="87" fillId="0" borderId="16" xfId="7" applyFont="1" applyBorder="1" applyAlignment="1">
      <alignment vertical="center"/>
    </xf>
    <xf numFmtId="167" fontId="52" fillId="0" borderId="112" xfId="7" applyNumberFormat="1" applyFont="1" applyBorder="1" applyAlignment="1">
      <alignment horizontal="center" vertical="center"/>
    </xf>
    <xf numFmtId="164" fontId="87" fillId="0" borderId="112" xfId="7" applyFont="1" applyBorder="1" applyAlignment="1">
      <alignment vertical="center"/>
    </xf>
    <xf numFmtId="167" fontId="87" fillId="0" borderId="109" xfId="7" applyNumberFormat="1" applyFont="1" applyBorder="1" applyAlignment="1">
      <alignment horizontal="right" vertical="center"/>
    </xf>
    <xf numFmtId="164" fontId="87" fillId="0" borderId="27" xfId="7" applyFont="1" applyBorder="1" applyAlignment="1">
      <alignment horizontal="right" vertical="center"/>
    </xf>
    <xf numFmtId="167" fontId="52" fillId="0" borderId="30" xfId="7" applyNumberFormat="1" applyFont="1" applyBorder="1" applyAlignment="1">
      <alignment horizontal="center" vertical="center"/>
    </xf>
    <xf numFmtId="164" fontId="87" fillId="0" borderId="45" xfId="7" applyFont="1" applyBorder="1" applyAlignment="1">
      <alignment horizontal="right" vertical="center"/>
    </xf>
    <xf numFmtId="0" fontId="88" fillId="0" borderId="8" xfId="0" applyFont="1" applyBorder="1" applyAlignment="1">
      <alignment horizontal="center" vertical="center"/>
    </xf>
    <xf numFmtId="0" fontId="88" fillId="0" borderId="8" xfId="0" applyFont="1" applyBorder="1" applyAlignment="1">
      <alignment vertical="center"/>
    </xf>
    <xf numFmtId="164" fontId="87" fillId="0" borderId="113" xfId="7" applyFont="1" applyBorder="1" applyAlignment="1">
      <alignment vertical="center"/>
    </xf>
    <xf numFmtId="167" fontId="52" fillId="0" borderId="114" xfId="7" applyNumberFormat="1" applyFont="1" applyBorder="1" applyAlignment="1">
      <alignment horizontal="center" vertical="center"/>
    </xf>
    <xf numFmtId="164" fontId="87" fillId="0" borderId="21" xfId="7" applyFont="1" applyBorder="1" applyAlignment="1">
      <alignment vertical="center"/>
    </xf>
    <xf numFmtId="164" fontId="87" fillId="0" borderId="18" xfId="7" applyFont="1" applyBorder="1" applyAlignment="1">
      <alignment vertical="center"/>
    </xf>
    <xf numFmtId="167" fontId="52" fillId="0" borderId="115" xfId="7" applyNumberFormat="1" applyFont="1" applyBorder="1" applyAlignment="1">
      <alignment horizontal="center" vertical="center"/>
    </xf>
    <xf numFmtId="167" fontId="87" fillId="0" borderId="114" xfId="7" applyNumberFormat="1" applyFont="1" applyBorder="1" applyAlignment="1">
      <alignment horizontal="right" vertical="center"/>
    </xf>
    <xf numFmtId="167" fontId="52" fillId="0" borderId="21" xfId="7" applyNumberFormat="1" applyFont="1" applyBorder="1" applyAlignment="1">
      <alignment horizontal="center" vertical="center"/>
    </xf>
    <xf numFmtId="0" fontId="88" fillId="0" borderId="9" xfId="0" applyFont="1" applyBorder="1" applyAlignment="1">
      <alignment vertical="center"/>
    </xf>
    <xf numFmtId="164" fontId="87" fillId="0" borderId="116" xfId="7" applyFont="1" applyBorder="1" applyAlignment="1">
      <alignment vertical="center"/>
    </xf>
    <xf numFmtId="167" fontId="52" fillId="0" borderId="117" xfId="7" applyNumberFormat="1" applyFont="1" applyBorder="1" applyAlignment="1">
      <alignment horizontal="center" vertical="center"/>
    </xf>
    <xf numFmtId="164" fontId="87" fillId="0" borderId="118" xfId="7" applyFont="1" applyBorder="1" applyAlignment="1">
      <alignment vertical="center"/>
    </xf>
    <xf numFmtId="167" fontId="52" fillId="0" borderId="119" xfId="7" applyNumberFormat="1" applyFont="1" applyBorder="1" applyAlignment="1">
      <alignment horizontal="center" vertical="center"/>
    </xf>
    <xf numFmtId="164" fontId="87" fillId="0" borderId="22" xfId="7" applyFont="1" applyBorder="1" applyAlignment="1">
      <alignment vertical="center"/>
    </xf>
    <xf numFmtId="164" fontId="87" fillId="0" borderId="19" xfId="7" applyFont="1" applyBorder="1" applyAlignment="1">
      <alignment vertical="center"/>
    </xf>
    <xf numFmtId="167" fontId="52" fillId="0" borderId="0" xfId="7" applyNumberFormat="1" applyFont="1" applyBorder="1" applyAlignment="1">
      <alignment horizontal="center" vertical="center"/>
    </xf>
    <xf numFmtId="167" fontId="87" fillId="0" borderId="117" xfId="7" applyNumberFormat="1" applyFont="1" applyBorder="1" applyAlignment="1">
      <alignment horizontal="right" vertical="center"/>
    </xf>
    <xf numFmtId="164" fontId="87" fillId="0" borderId="35" xfId="7" applyFont="1" applyBorder="1" applyAlignment="1">
      <alignment horizontal="right" vertical="center"/>
    </xf>
    <xf numFmtId="167" fontId="52" fillId="0" borderId="34" xfId="7" applyNumberFormat="1" applyFont="1" applyBorder="1" applyAlignment="1">
      <alignment horizontal="center" vertical="center"/>
    </xf>
    <xf numFmtId="164" fontId="87" fillId="0" borderId="120" xfId="7" applyFont="1" applyBorder="1" applyAlignment="1">
      <alignment horizontal="right" vertical="center"/>
    </xf>
    <xf numFmtId="164" fontId="87" fillId="0" borderId="25" xfId="7" applyFont="1" applyBorder="1" applyAlignment="1">
      <alignment horizontal="right" vertical="center"/>
    </xf>
    <xf numFmtId="164" fontId="87" fillId="0" borderId="43" xfId="7" applyFont="1" applyBorder="1" applyAlignment="1">
      <alignment horizontal="right" vertical="center"/>
    </xf>
    <xf numFmtId="164" fontId="87" fillId="0" borderId="28" xfId="7" applyFont="1" applyBorder="1" applyAlignment="1">
      <alignment horizontal="right" vertical="center"/>
    </xf>
    <xf numFmtId="164" fontId="87" fillId="0" borderId="47" xfId="7" applyFont="1" applyBorder="1" applyAlignment="1">
      <alignment horizontal="right" vertical="center"/>
    </xf>
    <xf numFmtId="0" fontId="89" fillId="10" borderId="1" xfId="0" applyFont="1" applyFill="1" applyBorder="1" applyAlignment="1">
      <alignment horizontal="left" vertical="center"/>
    </xf>
    <xf numFmtId="0" fontId="90" fillId="0" borderId="0" xfId="0" applyFont="1" applyAlignment="1">
      <alignment vertical="center"/>
    </xf>
    <xf numFmtId="170" fontId="89" fillId="10" borderId="107" xfId="7" applyNumberFormat="1" applyFont="1" applyFill="1" applyBorder="1" applyAlignment="1">
      <alignment horizontal="left" vertical="center"/>
    </xf>
    <xf numFmtId="167" fontId="53" fillId="10" borderId="105" xfId="7" applyNumberFormat="1" applyFont="1" applyFill="1" applyBorder="1" applyAlignment="1">
      <alignment horizontal="center" vertical="center"/>
    </xf>
    <xf numFmtId="170" fontId="89" fillId="10" borderId="6" xfId="7" applyNumberFormat="1" applyFont="1" applyFill="1" applyBorder="1" applyAlignment="1">
      <alignment horizontal="left" vertical="center"/>
    </xf>
    <xf numFmtId="170" fontId="89" fillId="10" borderId="4" xfId="7" applyNumberFormat="1" applyFont="1" applyFill="1" applyBorder="1" applyAlignment="1">
      <alignment horizontal="left" vertical="center"/>
    </xf>
    <xf numFmtId="167" fontId="53" fillId="10" borderId="5" xfId="7" applyNumberFormat="1" applyFont="1" applyFill="1" applyBorder="1" applyAlignment="1">
      <alignment horizontal="center" vertical="center"/>
    </xf>
    <xf numFmtId="170" fontId="89" fillId="10" borderId="5" xfId="7" applyNumberFormat="1" applyFont="1" applyFill="1" applyBorder="1" applyAlignment="1">
      <alignment horizontal="left" vertical="center"/>
    </xf>
    <xf numFmtId="167" fontId="89" fillId="10" borderId="105" xfId="7" applyNumberFormat="1" applyFont="1" applyFill="1" applyBorder="1" applyAlignment="1">
      <alignment horizontal="right" vertical="center"/>
    </xf>
    <xf numFmtId="164" fontId="89" fillId="10" borderId="24" xfId="7" applyFont="1" applyFill="1" applyBorder="1" applyAlignment="1">
      <alignment horizontal="right" vertical="center"/>
    </xf>
    <xf numFmtId="167" fontId="53" fillId="10" borderId="6" xfId="7" applyNumberFormat="1" applyFont="1" applyFill="1" applyBorder="1" applyAlignment="1">
      <alignment horizontal="center" vertical="center"/>
    </xf>
    <xf numFmtId="164" fontId="89" fillId="10" borderId="41" xfId="7" applyFont="1" applyFill="1" applyBorder="1" applyAlignment="1">
      <alignment horizontal="right" vertical="center"/>
    </xf>
    <xf numFmtId="167" fontId="89" fillId="10" borderId="105" xfId="7" applyNumberFormat="1" applyFont="1" applyFill="1" applyBorder="1" applyAlignment="1">
      <alignment horizontal="left" vertical="center"/>
    </xf>
    <xf numFmtId="0" fontId="91" fillId="0" borderId="11" xfId="0" applyFont="1" applyBorder="1" applyAlignment="1">
      <alignment vertical="center"/>
    </xf>
    <xf numFmtId="166" fontId="91" fillId="0" borderId="122" xfId="0" applyNumberFormat="1" applyFont="1" applyBorder="1" applyAlignment="1">
      <alignment vertical="center"/>
    </xf>
    <xf numFmtId="167" fontId="54" fillId="0" borderId="121" xfId="0" applyNumberFormat="1" applyFont="1" applyBorder="1" applyAlignment="1">
      <alignment horizontal="center" vertical="center"/>
    </xf>
    <xf numFmtId="166" fontId="86" fillId="0" borderId="122" xfId="2" applyNumberFormat="1" applyFont="1" applyBorder="1" applyAlignment="1">
      <alignment vertical="center"/>
    </xf>
    <xf numFmtId="167" fontId="51" fillId="0" borderId="121" xfId="2" applyNumberFormat="1" applyFont="1" applyBorder="1" applyAlignment="1">
      <alignment horizontal="center" vertical="center"/>
    </xf>
    <xf numFmtId="166" fontId="91" fillId="0" borderId="53" xfId="0" applyNumberFormat="1" applyFont="1" applyBorder="1" applyAlignment="1">
      <alignment vertical="center"/>
    </xf>
    <xf numFmtId="166" fontId="91" fillId="0" borderId="31" xfId="0" applyNumberFormat="1" applyFont="1" applyBorder="1" applyAlignment="1">
      <alignment vertical="center"/>
    </xf>
    <xf numFmtId="166" fontId="54" fillId="0" borderId="2" xfId="0" applyNumberFormat="1" applyFont="1" applyBorder="1" applyAlignment="1">
      <alignment vertical="center"/>
    </xf>
    <xf numFmtId="166" fontId="91" fillId="0" borderId="2" xfId="0" applyNumberFormat="1" applyFont="1" applyBorder="1" applyAlignment="1">
      <alignment vertical="center"/>
    </xf>
    <xf numFmtId="167" fontId="91" fillId="0" borderId="121" xfId="0" applyNumberFormat="1" applyFont="1" applyBorder="1" applyAlignment="1">
      <alignment vertical="center"/>
    </xf>
    <xf numFmtId="170" fontId="91" fillId="0" borderId="54" xfId="7" applyNumberFormat="1" applyFont="1" applyBorder="1" applyAlignment="1">
      <alignment horizontal="right" vertical="center"/>
    </xf>
    <xf numFmtId="165" fontId="91" fillId="0" borderId="55" xfId="7" applyNumberFormat="1" applyFont="1" applyBorder="1" applyAlignment="1">
      <alignment horizontal="right" vertical="center"/>
    </xf>
    <xf numFmtId="0" fontId="92" fillId="0" borderId="0" xfId="0" applyFont="1"/>
    <xf numFmtId="169" fontId="93" fillId="0" borderId="126" xfId="0" applyNumberFormat="1" applyFont="1" applyBorder="1" applyAlignment="1">
      <alignment horizontal="center" vertical="center"/>
    </xf>
    <xf numFmtId="167" fontId="94" fillId="0" borderId="125" xfId="0" applyNumberFormat="1" applyFont="1" applyBorder="1" applyAlignment="1">
      <alignment horizontal="center" vertical="center"/>
    </xf>
    <xf numFmtId="167" fontId="94" fillId="0" borderId="124" xfId="0" applyNumberFormat="1" applyFont="1" applyBorder="1" applyAlignment="1">
      <alignment horizontal="center" vertical="center"/>
    </xf>
    <xf numFmtId="169" fontId="93" fillId="0" borderId="128" xfId="0" applyNumberFormat="1" applyFont="1" applyBorder="1" applyAlignment="1">
      <alignment horizontal="center" vertical="center"/>
    </xf>
    <xf numFmtId="164" fontId="93" fillId="0" borderId="129" xfId="7" applyFont="1" applyFill="1" applyBorder="1" applyAlignment="1">
      <alignment horizontal="right" vertical="center"/>
    </xf>
    <xf numFmtId="167" fontId="94" fillId="0" borderId="127" xfId="0" applyNumberFormat="1" applyFont="1" applyBorder="1" applyAlignment="1">
      <alignment horizontal="center" vertical="center"/>
    </xf>
    <xf numFmtId="164" fontId="93" fillId="0" borderId="128" xfId="7" applyFont="1" applyFill="1" applyBorder="1" applyAlignment="1">
      <alignment horizontal="right" vertical="center"/>
    </xf>
    <xf numFmtId="0" fontId="83" fillId="0" borderId="0" xfId="0" applyFont="1"/>
    <xf numFmtId="169" fontId="93" fillId="0" borderId="110" xfId="0" applyNumberFormat="1" applyFont="1" applyBorder="1" applyAlignment="1">
      <alignment horizontal="center" vertical="center"/>
    </xf>
    <xf numFmtId="167" fontId="94" fillId="0" borderId="111" xfId="0" applyNumberFormat="1" applyFont="1" applyBorder="1" applyAlignment="1">
      <alignment horizontal="center" vertical="center"/>
    </xf>
    <xf numFmtId="167" fontId="94" fillId="0" borderId="115" xfId="0" applyNumberFormat="1" applyFont="1" applyBorder="1" applyAlignment="1">
      <alignment horizontal="center" vertical="center"/>
    </xf>
    <xf numFmtId="169" fontId="93" fillId="0" borderId="130" xfId="0" applyNumberFormat="1" applyFont="1" applyBorder="1" applyAlignment="1">
      <alignment horizontal="center" vertical="center"/>
    </xf>
    <xf numFmtId="164" fontId="93" fillId="0" borderId="26" xfId="7" applyFont="1" applyBorder="1" applyAlignment="1">
      <alignment horizontal="right" vertical="center"/>
    </xf>
    <xf numFmtId="167" fontId="94" fillId="0" borderId="30" xfId="0" applyNumberFormat="1" applyFont="1" applyBorder="1" applyAlignment="1">
      <alignment horizontal="center" vertical="center"/>
    </xf>
    <xf numFmtId="164" fontId="93" fillId="0" borderId="130" xfId="7" applyFont="1" applyBorder="1" applyAlignment="1">
      <alignment horizontal="right" vertical="center"/>
    </xf>
    <xf numFmtId="0" fontId="92" fillId="6" borderId="0" xfId="0" applyFont="1" applyFill="1"/>
    <xf numFmtId="169" fontId="93" fillId="0" borderId="113" xfId="0" applyNumberFormat="1" applyFont="1" applyBorder="1" applyAlignment="1">
      <alignment horizontal="center" vertical="center"/>
    </xf>
    <xf numFmtId="167" fontId="94" fillId="0" borderId="114" xfId="0" applyNumberFormat="1" applyFont="1" applyBorder="1" applyAlignment="1">
      <alignment horizontal="center" vertical="center"/>
    </xf>
    <xf numFmtId="167" fontId="94" fillId="0" borderId="131" xfId="0" applyNumberFormat="1" applyFont="1" applyBorder="1" applyAlignment="1">
      <alignment horizontal="center" vertical="center"/>
    </xf>
    <xf numFmtId="169" fontId="93" fillId="0" borderId="45" xfId="0" applyNumberFormat="1" applyFont="1" applyBorder="1" applyAlignment="1">
      <alignment horizontal="center" vertical="center"/>
    </xf>
    <xf numFmtId="164" fontId="93" fillId="0" borderId="27" xfId="7" applyFont="1" applyBorder="1" applyAlignment="1">
      <alignment horizontal="right" vertical="center"/>
    </xf>
    <xf numFmtId="167" fontId="94" fillId="0" borderId="21" xfId="0" applyNumberFormat="1" applyFont="1" applyBorder="1" applyAlignment="1">
      <alignment horizontal="center" vertical="center"/>
    </xf>
    <xf numFmtId="164" fontId="93" fillId="0" borderId="45" xfId="7" applyFont="1" applyBorder="1" applyAlignment="1">
      <alignment horizontal="right" vertical="center"/>
    </xf>
    <xf numFmtId="169" fontId="93" fillId="0" borderId="133" xfId="0" applyNumberFormat="1" applyFont="1" applyBorder="1" applyAlignment="1">
      <alignment horizontal="center" vertical="center"/>
    </xf>
    <xf numFmtId="167" fontId="94" fillId="0" borderId="134" xfId="0" applyNumberFormat="1" applyFont="1" applyBorder="1" applyAlignment="1">
      <alignment horizontal="center" vertical="center"/>
    </xf>
    <xf numFmtId="167" fontId="94" fillId="0" borderId="132" xfId="0" applyNumberFormat="1" applyFont="1" applyBorder="1" applyAlignment="1">
      <alignment horizontal="center" vertical="center"/>
    </xf>
    <xf numFmtId="169" fontId="93" fillId="0" borderId="47" xfId="0" applyNumberFormat="1" applyFont="1" applyBorder="1" applyAlignment="1">
      <alignment horizontal="center" vertical="center"/>
    </xf>
    <xf numFmtId="164" fontId="93" fillId="0" borderId="29" xfId="7" applyFont="1" applyBorder="1" applyAlignment="1">
      <alignment horizontal="right" vertical="center"/>
    </xf>
    <xf numFmtId="167" fontId="94" fillId="0" borderId="60" xfId="0" applyNumberFormat="1" applyFont="1" applyBorder="1" applyAlignment="1">
      <alignment horizontal="center" vertical="center"/>
    </xf>
    <xf numFmtId="164" fontId="93" fillId="0" borderId="51" xfId="7" applyFont="1" applyBorder="1" applyAlignment="1">
      <alignment horizontal="right" vertical="center"/>
    </xf>
    <xf numFmtId="164" fontId="0" fillId="0" borderId="0" xfId="0" applyNumberFormat="1"/>
    <xf numFmtId="3" fontId="0" fillId="0" borderId="0" xfId="0" applyNumberFormat="1"/>
    <xf numFmtId="177" fontId="0" fillId="3" borderId="0" xfId="0" applyNumberFormat="1" applyFill="1"/>
    <xf numFmtId="164" fontId="0" fillId="3" borderId="0" xfId="7" applyFont="1" applyFill="1"/>
    <xf numFmtId="164" fontId="0" fillId="0" borderId="0" xfId="7" applyFont="1"/>
    <xf numFmtId="166" fontId="48" fillId="19" borderId="103" xfId="2" applyNumberFormat="1" applyFont="1" applyFill="1" applyBorder="1" applyAlignment="1">
      <alignment horizontal="center" vertical="center" wrapText="1"/>
    </xf>
    <xf numFmtId="166" fontId="48" fillId="19" borderId="138" xfId="2" applyNumberFormat="1" applyFont="1" applyFill="1" applyBorder="1" applyAlignment="1">
      <alignment horizontal="center" vertical="center" wrapText="1"/>
    </xf>
    <xf numFmtId="175" fontId="51" fillId="10" borderId="24" xfId="1" applyNumberFormat="1" applyFont="1" applyFill="1" applyBorder="1" applyAlignment="1">
      <alignment horizontal="center" vertical="center"/>
    </xf>
    <xf numFmtId="175" fontId="51" fillId="10" borderId="107" xfId="1" applyNumberFormat="1" applyFont="1" applyFill="1" applyBorder="1" applyAlignment="1">
      <alignment horizontal="center" vertical="center"/>
    </xf>
    <xf numFmtId="175" fontId="51" fillId="10" borderId="139" xfId="1" applyNumberFormat="1" applyFont="1" applyFill="1" applyBorder="1" applyAlignment="1">
      <alignment horizontal="center" vertical="center"/>
    </xf>
    <xf numFmtId="175" fontId="51" fillId="10" borderId="105" xfId="1" applyNumberFormat="1" applyFont="1" applyFill="1" applyBorder="1" applyAlignment="1">
      <alignment horizontal="center" vertical="center"/>
    </xf>
    <xf numFmtId="175" fontId="51" fillId="10" borderId="1" xfId="1" applyNumberFormat="1" applyFont="1" applyFill="1" applyBorder="1" applyAlignment="1">
      <alignment horizontal="center" vertical="center"/>
    </xf>
    <xf numFmtId="175" fontId="51" fillId="10" borderId="5" xfId="1" applyNumberFormat="1" applyFont="1" applyFill="1" applyBorder="1" applyAlignment="1">
      <alignment horizontal="center" vertical="center"/>
    </xf>
    <xf numFmtId="175" fontId="51" fillId="10" borderId="140" xfId="1" applyNumberFormat="1" applyFont="1" applyFill="1" applyBorder="1" applyAlignment="1">
      <alignment horizontal="center" vertical="center"/>
    </xf>
    <xf numFmtId="175" fontId="51" fillId="10" borderId="141" xfId="1" applyNumberFormat="1" applyFont="1" applyFill="1" applyBorder="1" applyAlignment="1">
      <alignment horizontal="center" vertical="center"/>
    </xf>
    <xf numFmtId="175" fontId="52" fillId="0" borderId="25" xfId="1" applyNumberFormat="1" applyFont="1" applyBorder="1" applyAlignment="1">
      <alignment horizontal="center" vertical="center"/>
    </xf>
    <xf numFmtId="175" fontId="52" fillId="0" borderId="108" xfId="1" applyNumberFormat="1" applyFont="1" applyBorder="1" applyAlignment="1">
      <alignment horizontal="center" vertical="center"/>
    </xf>
    <xf numFmtId="175" fontId="52" fillId="0" borderId="142" xfId="1" applyNumberFormat="1" applyFont="1" applyBorder="1" applyAlignment="1">
      <alignment horizontal="center" vertical="center"/>
    </xf>
    <xf numFmtId="175" fontId="52" fillId="0" borderId="109" xfId="1" applyNumberFormat="1" applyFont="1" applyBorder="1" applyAlignment="1">
      <alignment horizontal="center" vertical="center"/>
    </xf>
    <xf numFmtId="175" fontId="52" fillId="0" borderId="7" xfId="1" applyNumberFormat="1" applyFont="1" applyBorder="1" applyAlignment="1">
      <alignment horizontal="center" vertical="center"/>
    </xf>
    <xf numFmtId="175" fontId="52" fillId="0" borderId="112" xfId="1" applyNumberFormat="1" applyFont="1" applyBorder="1" applyAlignment="1">
      <alignment horizontal="center" vertical="center"/>
    </xf>
    <xf numFmtId="175" fontId="52" fillId="0" borderId="143" xfId="1" applyNumberFormat="1" applyFont="1" applyBorder="1" applyAlignment="1">
      <alignment horizontal="center" vertical="center"/>
    </xf>
    <xf numFmtId="175" fontId="52" fillId="0" borderId="144" xfId="1" applyNumberFormat="1" applyFont="1" applyBorder="1" applyAlignment="1">
      <alignment horizontal="center" vertical="center"/>
    </xf>
    <xf numFmtId="175" fontId="52" fillId="0" borderId="27" xfId="1" applyNumberFormat="1" applyFont="1" applyBorder="1" applyAlignment="1">
      <alignment horizontal="center" vertical="center"/>
    </xf>
    <xf numFmtId="175" fontId="52" fillId="0" borderId="113" xfId="1" applyNumberFormat="1" applyFont="1" applyBorder="1" applyAlignment="1">
      <alignment horizontal="center" vertical="center"/>
    </xf>
    <xf numFmtId="175" fontId="52" fillId="0" borderId="145" xfId="1" applyNumberFormat="1" applyFont="1" applyBorder="1" applyAlignment="1">
      <alignment horizontal="center" vertical="center"/>
    </xf>
    <xf numFmtId="175" fontId="52" fillId="0" borderId="114" xfId="1" applyNumberFormat="1" applyFont="1" applyBorder="1" applyAlignment="1">
      <alignment horizontal="center" vertical="center"/>
    </xf>
    <xf numFmtId="175" fontId="52" fillId="0" borderId="8" xfId="1" applyNumberFormat="1" applyFont="1" applyBorder="1" applyAlignment="1">
      <alignment horizontal="center" vertical="center"/>
    </xf>
    <xf numFmtId="175" fontId="52" fillId="0" borderId="131" xfId="1" applyNumberFormat="1" applyFont="1" applyBorder="1" applyAlignment="1">
      <alignment horizontal="center" vertical="center"/>
    </xf>
    <xf numFmtId="175" fontId="52" fillId="0" borderId="146" xfId="1" applyNumberFormat="1" applyFont="1" applyBorder="1" applyAlignment="1">
      <alignment horizontal="center" vertical="center"/>
    </xf>
    <xf numFmtId="175" fontId="52" fillId="0" borderId="147" xfId="1" applyNumberFormat="1" applyFont="1" applyBorder="1" applyAlignment="1">
      <alignment horizontal="center" vertical="center"/>
    </xf>
    <xf numFmtId="175" fontId="52" fillId="0" borderId="28" xfId="1" applyNumberFormat="1" applyFont="1" applyBorder="1" applyAlignment="1">
      <alignment horizontal="center" vertical="center"/>
    </xf>
    <xf numFmtId="175" fontId="52" fillId="0" borderId="116" xfId="1" applyNumberFormat="1" applyFont="1" applyBorder="1" applyAlignment="1">
      <alignment horizontal="center" vertical="center"/>
    </xf>
    <xf numFmtId="175" fontId="52" fillId="0" borderId="148" xfId="1" applyNumberFormat="1" applyFont="1" applyBorder="1" applyAlignment="1">
      <alignment horizontal="center" vertical="center"/>
    </xf>
    <xf numFmtId="175" fontId="52" fillId="0" borderId="117" xfId="1" applyNumberFormat="1" applyFont="1" applyBorder="1" applyAlignment="1">
      <alignment horizontal="center" vertical="center"/>
    </xf>
    <xf numFmtId="175" fontId="52" fillId="0" borderId="9" xfId="1" applyNumberFormat="1" applyFont="1" applyBorder="1" applyAlignment="1">
      <alignment horizontal="center" vertical="center"/>
    </xf>
    <xf numFmtId="175" fontId="52" fillId="0" borderId="132" xfId="1" applyNumberFormat="1" applyFont="1" applyBorder="1" applyAlignment="1">
      <alignment horizontal="center" vertical="center"/>
    </xf>
    <xf numFmtId="175" fontId="52" fillId="0" borderId="149" xfId="1" applyNumberFormat="1" applyFont="1" applyBorder="1" applyAlignment="1">
      <alignment horizontal="center" vertical="center"/>
    </xf>
    <xf numFmtId="175" fontId="52" fillId="0" borderId="150" xfId="1" applyNumberFormat="1" applyFont="1" applyBorder="1" applyAlignment="1">
      <alignment horizontal="center" vertical="center"/>
    </xf>
    <xf numFmtId="175" fontId="53" fillId="10" borderId="36" xfId="1" applyNumberFormat="1" applyFont="1" applyFill="1" applyBorder="1" applyAlignment="1">
      <alignment horizontal="center" vertical="center"/>
    </xf>
    <xf numFmtId="175" fontId="53" fillId="10" borderId="151" xfId="1" applyNumberFormat="1" applyFont="1" applyFill="1" applyBorder="1" applyAlignment="1">
      <alignment horizontal="center" vertical="center"/>
    </xf>
    <xf numFmtId="175" fontId="53" fillId="10" borderId="152" xfId="1" applyNumberFormat="1" applyFont="1" applyFill="1" applyBorder="1" applyAlignment="1">
      <alignment horizontal="center" vertical="center"/>
    </xf>
    <xf numFmtId="175" fontId="53" fillId="10" borderId="153" xfId="1" applyNumberFormat="1" applyFont="1" applyFill="1" applyBorder="1" applyAlignment="1">
      <alignment horizontal="center" vertical="center"/>
    </xf>
    <xf numFmtId="175" fontId="53" fillId="10" borderId="1" xfId="1" applyNumberFormat="1" applyFont="1" applyFill="1" applyBorder="1" applyAlignment="1">
      <alignment horizontal="center" vertical="center"/>
    </xf>
    <xf numFmtId="175" fontId="53" fillId="10" borderId="154" xfId="1" applyNumberFormat="1" applyFont="1" applyFill="1" applyBorder="1" applyAlignment="1">
      <alignment horizontal="center" vertical="center"/>
    </xf>
    <xf numFmtId="175" fontId="53" fillId="10" borderId="155" xfId="1" applyNumberFormat="1" applyFont="1" applyFill="1" applyBorder="1" applyAlignment="1">
      <alignment horizontal="center" vertical="center"/>
    </xf>
    <xf numFmtId="175" fontId="53" fillId="10" borderId="156" xfId="1" applyNumberFormat="1" applyFont="1" applyFill="1" applyBorder="1" applyAlignment="1">
      <alignment horizontal="center" vertical="center"/>
    </xf>
    <xf numFmtId="0" fontId="0" fillId="3" borderId="0" xfId="0" applyFill="1"/>
    <xf numFmtId="11" fontId="10" fillId="0" borderId="0" xfId="0" applyNumberFormat="1" applyFont="1"/>
    <xf numFmtId="164" fontId="10" fillId="0" borderId="0" xfId="7" applyFont="1"/>
    <xf numFmtId="164" fontId="15" fillId="0" borderId="0" xfId="7" applyFont="1"/>
    <xf numFmtId="164" fontId="10" fillId="3" borderId="0" xfId="7" applyFont="1" applyFill="1"/>
    <xf numFmtId="166" fontId="14" fillId="30" borderId="6" xfId="2" applyNumberFormat="1" applyFont="1" applyFill="1" applyBorder="1"/>
    <xf numFmtId="166" fontId="14" fillId="30" borderId="1" xfId="2" applyNumberFormat="1" applyFont="1" applyFill="1" applyBorder="1"/>
    <xf numFmtId="165" fontId="11" fillId="3" borderId="0" xfId="7" applyNumberFormat="1" applyFont="1" applyFill="1"/>
    <xf numFmtId="166" fontId="9" fillId="30" borderId="4" xfId="2" applyNumberFormat="1" applyFont="1" applyFill="1" applyBorder="1"/>
    <xf numFmtId="166" fontId="14" fillId="30" borderId="0" xfId="2" applyNumberFormat="1" applyFont="1" applyFill="1" applyAlignment="1">
      <alignment horizontal="center"/>
    </xf>
    <xf numFmtId="166" fontId="61" fillId="0" borderId="0" xfId="0" applyNumberFormat="1" applyFont="1" applyAlignment="1">
      <alignment horizontal="left"/>
    </xf>
    <xf numFmtId="178" fontId="11" fillId="0" borderId="1" xfId="9" applyNumberFormat="1" applyFont="1" applyBorder="1"/>
    <xf numFmtId="178" fontId="6" fillId="10" borderId="1" xfId="9" applyNumberFormat="1" applyFont="1" applyFill="1" applyBorder="1" applyAlignment="1">
      <alignment horizontal="left"/>
    </xf>
    <xf numFmtId="178" fontId="12" fillId="0" borderId="1" xfId="9" applyNumberFormat="1" applyFont="1" applyBorder="1"/>
    <xf numFmtId="179" fontId="12" fillId="0" borderId="0" xfId="0" applyNumberFormat="1" applyFont="1"/>
    <xf numFmtId="166" fontId="84" fillId="14" borderId="5" xfId="2" applyNumberFormat="1" applyFont="1" applyFill="1" applyBorder="1" applyAlignment="1">
      <alignment horizontal="center" vertical="center" wrapText="1"/>
    </xf>
    <xf numFmtId="164" fontId="87" fillId="0" borderId="131" xfId="7" applyFont="1" applyBorder="1" applyAlignment="1">
      <alignment vertical="center"/>
    </xf>
    <xf numFmtId="164" fontId="87" fillId="0" borderId="132" xfId="7" applyFont="1" applyBorder="1" applyAlignment="1">
      <alignment vertical="center"/>
    </xf>
    <xf numFmtId="164" fontId="53" fillId="10" borderId="6" xfId="7" applyFont="1" applyFill="1" applyBorder="1" applyAlignment="1">
      <alignment horizontal="left" vertical="center"/>
    </xf>
    <xf numFmtId="164" fontId="53" fillId="10" borderId="1" xfId="7" applyFont="1" applyFill="1" applyBorder="1" applyAlignment="1">
      <alignment horizontal="left" vertical="center"/>
    </xf>
    <xf numFmtId="166" fontId="48" fillId="14" borderId="11" xfId="2" applyNumberFormat="1" applyFont="1" applyFill="1" applyBorder="1" applyAlignment="1">
      <alignment horizontal="center" vertical="center" wrapText="1"/>
    </xf>
    <xf numFmtId="166" fontId="84" fillId="14" borderId="1" xfId="2" applyNumberFormat="1" applyFont="1" applyFill="1" applyBorder="1" applyAlignment="1">
      <alignment horizontal="center" vertical="center" wrapText="1"/>
    </xf>
    <xf numFmtId="170" fontId="86" fillId="10" borderId="1" xfId="7" applyNumberFormat="1" applyFont="1" applyFill="1" applyBorder="1" applyAlignment="1">
      <alignment horizontal="left" vertical="center"/>
    </xf>
    <xf numFmtId="164" fontId="87" fillId="0" borderId="7" xfId="7" applyFont="1" applyBorder="1" applyAlignment="1">
      <alignment vertical="center"/>
    </xf>
    <xf numFmtId="164" fontId="87" fillId="0" borderId="8" xfId="7" applyFont="1" applyBorder="1" applyAlignment="1">
      <alignment vertical="center"/>
    </xf>
    <xf numFmtId="164" fontId="87" fillId="0" borderId="9" xfId="7" applyFont="1" applyBorder="1" applyAlignment="1">
      <alignment vertical="center"/>
    </xf>
    <xf numFmtId="170" fontId="89" fillId="10" borderId="1" xfId="7" applyNumberFormat="1" applyFont="1" applyFill="1" applyBorder="1" applyAlignment="1">
      <alignment horizontal="left" vertical="center"/>
    </xf>
    <xf numFmtId="166" fontId="91" fillId="0" borderId="11" xfId="0" applyNumberFormat="1" applyFont="1" applyBorder="1" applyAlignment="1">
      <alignment vertical="center"/>
    </xf>
    <xf numFmtId="170" fontId="93" fillId="0" borderId="127" xfId="7" applyNumberFormat="1" applyFont="1" applyBorder="1" applyAlignment="1">
      <alignment horizontal="center" vertical="center"/>
    </xf>
    <xf numFmtId="170" fontId="93" fillId="0" borderId="124" xfId="7" applyNumberFormat="1" applyFont="1" applyBorder="1" applyAlignment="1">
      <alignment horizontal="center" vertical="center"/>
    </xf>
    <xf numFmtId="170" fontId="93" fillId="0" borderId="157" xfId="7" applyNumberFormat="1" applyFont="1" applyBorder="1" applyAlignment="1">
      <alignment horizontal="center" vertical="center"/>
    </xf>
    <xf numFmtId="170" fontId="93" fillId="0" borderId="123" xfId="7" applyNumberFormat="1" applyFont="1" applyBorder="1" applyAlignment="1">
      <alignment horizontal="center" vertical="center"/>
    </xf>
    <xf numFmtId="170" fontId="93" fillId="0" borderId="30" xfId="7" applyNumberFormat="1" applyFont="1" applyBorder="1" applyAlignment="1">
      <alignment horizontal="center" vertical="center"/>
    </xf>
    <xf numFmtId="170" fontId="93" fillId="0" borderId="115" xfId="7" applyNumberFormat="1" applyFont="1" applyBorder="1" applyAlignment="1">
      <alignment horizontal="center" vertical="center"/>
    </xf>
    <xf numFmtId="170" fontId="93" fillId="0" borderId="13" xfId="7" applyNumberFormat="1" applyFont="1" applyBorder="1" applyAlignment="1">
      <alignment horizontal="center" vertical="center"/>
    </xf>
    <xf numFmtId="170" fontId="93" fillId="0" borderId="17" xfId="7" applyNumberFormat="1" applyFont="1" applyBorder="1" applyAlignment="1">
      <alignment horizontal="center" vertical="center"/>
    </xf>
    <xf numFmtId="170" fontId="93" fillId="0" borderId="21" xfId="7" applyNumberFormat="1" applyFont="1" applyBorder="1" applyAlignment="1">
      <alignment horizontal="center" vertical="center"/>
    </xf>
    <xf numFmtId="170" fontId="93" fillId="0" borderId="131" xfId="7" applyNumberFormat="1" applyFont="1" applyBorder="1" applyAlignment="1">
      <alignment horizontal="center" vertical="center"/>
    </xf>
    <xf numFmtId="170" fontId="93" fillId="0" borderId="8" xfId="7" applyNumberFormat="1" applyFont="1" applyBorder="1" applyAlignment="1">
      <alignment horizontal="center" vertical="center"/>
    </xf>
    <xf numFmtId="170" fontId="93" fillId="0" borderId="18" xfId="7" applyNumberFormat="1" applyFont="1" applyBorder="1" applyAlignment="1">
      <alignment horizontal="center" vertical="center"/>
    </xf>
    <xf numFmtId="170" fontId="93" fillId="0" borderId="22" xfId="7" applyNumberFormat="1" applyFont="1" applyBorder="1" applyAlignment="1">
      <alignment horizontal="center" vertical="center"/>
    </xf>
    <xf numFmtId="170" fontId="93" fillId="0" borderId="132" xfId="7" applyNumberFormat="1" applyFont="1" applyBorder="1" applyAlignment="1">
      <alignment horizontal="center" vertical="center"/>
    </xf>
    <xf numFmtId="170" fontId="93" fillId="0" borderId="9" xfId="7" applyNumberFormat="1" applyFont="1" applyBorder="1" applyAlignment="1">
      <alignment horizontal="center" vertical="center"/>
    </xf>
    <xf numFmtId="170" fontId="93" fillId="0" borderId="19" xfId="7" applyNumberFormat="1" applyFont="1" applyBorder="1" applyAlignment="1">
      <alignment horizontal="center" vertical="center"/>
    </xf>
    <xf numFmtId="0" fontId="0" fillId="3" borderId="0" xfId="0" applyFill="1" applyAlignment="1">
      <alignment horizontal="right"/>
    </xf>
    <xf numFmtId="177" fontId="0" fillId="0" borderId="0" xfId="0" applyNumberFormat="1"/>
    <xf numFmtId="0" fontId="0" fillId="0" borderId="0" xfId="0" applyAlignment="1">
      <alignment horizontal="right"/>
    </xf>
    <xf numFmtId="170" fontId="93" fillId="0" borderId="113" xfId="7" applyNumberFormat="1" applyFont="1" applyBorder="1" applyAlignment="1">
      <alignment horizontal="center" vertical="center"/>
    </xf>
    <xf numFmtId="166" fontId="10" fillId="31" borderId="6" xfId="2" applyNumberFormat="1" applyFont="1" applyFill="1" applyBorder="1"/>
    <xf numFmtId="166" fontId="10" fillId="31" borderId="1" xfId="2" applyNumberFormat="1" applyFont="1" applyFill="1" applyBorder="1"/>
    <xf numFmtId="166" fontId="84" fillId="14" borderId="4" xfId="2" applyNumberFormat="1" applyFont="1" applyFill="1" applyBorder="1" applyAlignment="1">
      <alignment horizontal="center" vertical="center" wrapText="1"/>
    </xf>
    <xf numFmtId="166" fontId="48" fillId="14" borderId="2" xfId="2" applyNumberFormat="1" applyFont="1" applyFill="1" applyBorder="1" applyAlignment="1">
      <alignment horizontal="center" vertical="center" wrapText="1"/>
    </xf>
    <xf numFmtId="175" fontId="53" fillId="10" borderId="158" xfId="1" applyNumberFormat="1" applyFont="1" applyFill="1" applyBorder="1" applyAlignment="1">
      <alignment horizontal="center" vertical="center"/>
    </xf>
    <xf numFmtId="178" fontId="12" fillId="0" borderId="0" xfId="9" applyNumberFormat="1" applyFont="1" applyBorder="1"/>
    <xf numFmtId="9" fontId="42" fillId="0" borderId="1" xfId="1" applyFont="1" applyBorder="1" applyAlignment="1">
      <alignment horizontal="left" vertical="top" wrapText="1"/>
    </xf>
    <xf numFmtId="49" fontId="42" fillId="0" borderId="8" xfId="1" quotePrefix="1" applyNumberFormat="1" applyFont="1" applyBorder="1" applyAlignment="1">
      <alignment horizontal="left" vertical="top" wrapText="1"/>
    </xf>
    <xf numFmtId="49" fontId="42" fillId="0" borderId="8" xfId="1" applyNumberFormat="1" applyFont="1" applyBorder="1" applyAlignment="1">
      <alignment horizontal="left" vertical="top"/>
    </xf>
    <xf numFmtId="166" fontId="42" fillId="0" borderId="8" xfId="1" applyNumberFormat="1" applyFont="1" applyBorder="1" applyAlignment="1">
      <alignment horizontal="left" vertical="top" wrapText="1"/>
    </xf>
    <xf numFmtId="9" fontId="42" fillId="0" borderId="8" xfId="1" applyFont="1" applyBorder="1" applyAlignment="1">
      <alignment horizontal="left" vertical="top" wrapText="1"/>
    </xf>
    <xf numFmtId="166" fontId="42" fillId="0" borderId="8" xfId="1" quotePrefix="1" applyNumberFormat="1" applyFont="1" applyBorder="1" applyAlignment="1">
      <alignment horizontal="left" vertical="top" wrapText="1"/>
    </xf>
    <xf numFmtId="9" fontId="42" fillId="0" borderId="9" xfId="1" applyFont="1" applyBorder="1" applyAlignment="1">
      <alignment horizontal="left" vertical="top" wrapText="1"/>
    </xf>
    <xf numFmtId="9" fontId="42" fillId="0" borderId="9" xfId="1" quotePrefix="1" applyFont="1" applyBorder="1" applyAlignment="1">
      <alignment horizontal="left" vertical="top" wrapText="1"/>
    </xf>
    <xf numFmtId="166" fontId="51" fillId="10" borderId="1" xfId="2" applyNumberFormat="1" applyFont="1" applyFill="1" applyBorder="1" applyAlignment="1">
      <alignment horizontal="center" vertical="center" wrapText="1"/>
    </xf>
    <xf numFmtId="9" fontId="42" fillId="0" borderId="7" xfId="1" applyFont="1" applyBorder="1" applyAlignment="1">
      <alignment horizontal="left" vertical="top" wrapText="1"/>
    </xf>
    <xf numFmtId="9" fontId="42" fillId="0" borderId="8" xfId="1" quotePrefix="1" applyFont="1" applyBorder="1" applyAlignment="1">
      <alignment horizontal="left" vertical="top" wrapText="1"/>
    </xf>
    <xf numFmtId="9" fontId="42" fillId="0" borderId="8" xfId="1" quotePrefix="1" applyFont="1" applyFill="1" applyBorder="1" applyAlignment="1">
      <alignment horizontal="left" vertical="top" wrapText="1"/>
    </xf>
    <xf numFmtId="9" fontId="42" fillId="0" borderId="8" xfId="1" applyFont="1" applyFill="1" applyBorder="1" applyAlignment="1">
      <alignment horizontal="left" vertical="top" wrapText="1"/>
    </xf>
    <xf numFmtId="0" fontId="54" fillId="0" borderId="1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54" fillId="0" borderId="9" xfId="0" applyFont="1" applyBorder="1" applyAlignment="1">
      <alignment horizontal="left" vertical="center" wrapText="1"/>
    </xf>
    <xf numFmtId="166" fontId="48" fillId="14" borderId="14" xfId="2" applyNumberFormat="1" applyFont="1" applyFill="1" applyBorder="1" applyAlignment="1">
      <alignment horizontal="center" vertical="center" wrapText="1"/>
    </xf>
    <xf numFmtId="166" fontId="48" fillId="14" borderId="0" xfId="2" applyNumberFormat="1" applyFont="1" applyFill="1" applyBorder="1" applyAlignment="1">
      <alignment horizontal="center" vertical="center" wrapText="1"/>
    </xf>
    <xf numFmtId="41" fontId="42" fillId="0" borderId="7" xfId="9" quotePrefix="1" applyFont="1" applyBorder="1" applyAlignment="1">
      <alignment horizontal="left" vertical="top" wrapText="1"/>
    </xf>
    <xf numFmtId="41" fontId="42" fillId="0" borderId="7" xfId="9" applyFont="1" applyBorder="1" applyAlignment="1">
      <alignment horizontal="left" vertical="top" wrapText="1"/>
    </xf>
    <xf numFmtId="0" fontId="93" fillId="0" borderId="19" xfId="0" applyFont="1" applyBorder="1" applyAlignment="1">
      <alignment horizontal="left" vertical="center" wrapText="1"/>
    </xf>
    <xf numFmtId="0" fontId="93" fillId="0" borderId="132" xfId="0" applyFont="1" applyBorder="1" applyAlignment="1">
      <alignment horizontal="left" vertical="center" wrapText="1"/>
    </xf>
    <xf numFmtId="0" fontId="93" fillId="0" borderId="117" xfId="0" applyFont="1" applyBorder="1" applyAlignment="1">
      <alignment horizontal="left" vertical="center" wrapText="1"/>
    </xf>
    <xf numFmtId="0" fontId="89" fillId="10" borderId="31" xfId="0" applyFont="1" applyFill="1" applyBorder="1" applyAlignment="1">
      <alignment horizontal="left" vertical="center" wrapText="1"/>
    </xf>
    <xf numFmtId="0" fontId="89" fillId="10" borderId="2" xfId="0" applyFont="1" applyFill="1" applyBorder="1" applyAlignment="1">
      <alignment horizontal="left" vertical="center" wrapText="1"/>
    </xf>
    <xf numFmtId="0" fontId="89" fillId="10" borderId="121" xfId="0" applyFont="1" applyFill="1" applyBorder="1" applyAlignment="1">
      <alignment horizontal="left" vertical="center" wrapText="1"/>
    </xf>
    <xf numFmtId="0" fontId="93" fillId="0" borderId="123" xfId="0" applyFont="1" applyBorder="1" applyAlignment="1">
      <alignment horizontal="left" vertical="center" wrapText="1"/>
    </xf>
    <xf numFmtId="0" fontId="93" fillId="0" borderId="124" xfId="0" applyFont="1" applyBorder="1" applyAlignment="1">
      <alignment horizontal="left" vertical="center" wrapText="1"/>
    </xf>
    <xf numFmtId="0" fontId="93" fillId="0" borderId="125" xfId="0" applyFont="1" applyBorder="1" applyAlignment="1">
      <alignment horizontal="left" vertical="center" wrapText="1"/>
    </xf>
    <xf numFmtId="0" fontId="93" fillId="0" borderId="17" xfId="0" applyFont="1" applyBorder="1" applyAlignment="1">
      <alignment horizontal="left" vertical="center" wrapText="1"/>
    </xf>
    <xf numFmtId="0" fontId="93" fillId="0" borderId="115" xfId="0" applyFont="1" applyBorder="1" applyAlignment="1">
      <alignment horizontal="left" vertical="center" wrapText="1"/>
    </xf>
    <xf numFmtId="0" fontId="93" fillId="0" borderId="111" xfId="0" applyFont="1" applyBorder="1" applyAlignment="1">
      <alignment horizontal="left" vertical="center" wrapText="1"/>
    </xf>
    <xf numFmtId="0" fontId="93" fillId="0" borderId="18" xfId="0" applyFont="1" applyBorder="1" applyAlignment="1">
      <alignment horizontal="left" vertical="center" wrapText="1"/>
    </xf>
    <xf numFmtId="0" fontId="93" fillId="0" borderId="131" xfId="0" applyFont="1" applyBorder="1" applyAlignment="1">
      <alignment horizontal="left" vertical="center" wrapText="1"/>
    </xf>
    <xf numFmtId="0" fontId="93" fillId="0" borderId="114" xfId="0" applyFont="1" applyBorder="1" applyAlignment="1">
      <alignment horizontal="left" vertical="center" wrapText="1"/>
    </xf>
    <xf numFmtId="166" fontId="48" fillId="14" borderId="135" xfId="2" applyNumberFormat="1" applyFont="1" applyFill="1" applyBorder="1" applyAlignment="1">
      <alignment horizontal="center" vertical="center" wrapText="1"/>
    </xf>
    <xf numFmtId="166" fontId="48" fillId="14" borderId="104" xfId="2" applyNumberFormat="1" applyFont="1" applyFill="1" applyBorder="1" applyAlignment="1">
      <alignment horizontal="center" vertical="center" wrapText="1"/>
    </xf>
    <xf numFmtId="166" fontId="48" fillId="28" borderId="136" xfId="2" applyNumberFormat="1" applyFont="1" applyFill="1" applyBorder="1" applyAlignment="1">
      <alignment horizontal="center" vertical="center" wrapText="1"/>
    </xf>
    <xf numFmtId="166" fontId="48" fillId="28" borderId="137" xfId="2" applyNumberFormat="1" applyFont="1" applyFill="1" applyBorder="1" applyAlignment="1">
      <alignment horizontal="center" vertical="center" wrapText="1"/>
    </xf>
    <xf numFmtId="0" fontId="48" fillId="14" borderId="0" xfId="0" applyFont="1" applyFill="1" applyAlignment="1">
      <alignment horizontal="center" vertical="center"/>
    </xf>
    <xf numFmtId="0" fontId="48" fillId="14" borderId="0" xfId="0" applyFont="1" applyFill="1" applyAlignment="1">
      <alignment horizontal="center" vertical="center" wrapText="1"/>
    </xf>
    <xf numFmtId="0" fontId="67" fillId="26" borderId="61" xfId="0" applyFont="1" applyFill="1" applyBorder="1" applyAlignment="1">
      <alignment horizontal="center" vertical="center"/>
    </xf>
    <xf numFmtId="0" fontId="67" fillId="27" borderId="61" xfId="0" applyFont="1" applyFill="1" applyBorder="1" applyAlignment="1">
      <alignment horizontal="center" vertical="center"/>
    </xf>
    <xf numFmtId="0" fontId="54" fillId="0" borderId="7" xfId="0" applyFont="1" applyBorder="1" applyAlignment="1">
      <alignment horizontal="left" vertical="top" wrapText="1"/>
    </xf>
    <xf numFmtId="0" fontId="54" fillId="0" borderId="9" xfId="0" applyFont="1" applyBorder="1" applyAlignment="1">
      <alignment horizontal="left" vertical="top" wrapText="1"/>
    </xf>
    <xf numFmtId="9" fontId="42" fillId="0" borderId="7" xfId="1" quotePrefix="1" applyFont="1" applyBorder="1" applyAlignment="1">
      <alignment horizontal="left" vertical="top" wrapText="1"/>
    </xf>
    <xf numFmtId="0" fontId="33" fillId="0" borderId="8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left" vertical="top" wrapText="1"/>
    </xf>
  </cellXfs>
  <cellStyles count="10">
    <cellStyle name="Comma" xfId="7" builtinId="3"/>
    <cellStyle name="Comma [0]" xfId="9" builtinId="6"/>
    <cellStyle name="Comma 2" xfId="2" xr:uid="{F0DA9C27-AEBD-4D0E-883F-2A974DF9DCF3}"/>
    <cellStyle name="Comma 3" xfId="6" xr:uid="{82A934A4-AC13-4FBD-936F-41C823148388}"/>
    <cellStyle name="Comma 4" xfId="8" xr:uid="{56E3BB53-6CB1-450A-A54F-5DB95797701F}"/>
    <cellStyle name="Hyperlink" xfId="3" builtinId="8"/>
    <cellStyle name="Normal" xfId="0" builtinId="0"/>
    <cellStyle name="Normal 2 2" xfId="5" xr:uid="{78BCEF76-A73F-43A2-9AEC-B55DA526C608}"/>
    <cellStyle name="Normal 3" xfId="4" xr:uid="{C5B0DC1D-5AFA-433C-9D8E-63D0BD945E8C}"/>
    <cellStyle name="Percent" xfId="1" builtinId="5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DDDDDD"/>
      <color rgb="FFBE3455"/>
      <color rgb="FF0000FF"/>
      <color rgb="FF11930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0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'KMP- HDPE'!$D$62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HDPE'!$E$62:$AE$62</c15:sqref>
                  </c15:fullRef>
                </c:ext>
              </c:extLst>
              <c:f>('KMP- HDPE'!$E$62:$X$62,'KMP- HDPE'!$Z$62:$AE$62)</c:f>
              <c:numCache>
                <c:formatCode>0.0%</c:formatCode>
                <c:ptCount val="8"/>
                <c:pt idx="0">
                  <c:v>0.60038901967306957</c:v>
                </c:pt>
                <c:pt idx="1">
                  <c:v>0.53496001218464184</c:v>
                </c:pt>
                <c:pt idx="2">
                  <c:v>0.64162427897983887</c:v>
                </c:pt>
                <c:pt idx="3">
                  <c:v>0.72554595557985346</c:v>
                </c:pt>
                <c:pt idx="4">
                  <c:v>0.69023297270982031</c:v>
                </c:pt>
                <c:pt idx="5">
                  <c:v>0</c:v>
                </c:pt>
                <c:pt idx="6">
                  <c:v>0</c:v>
                </c:pt>
                <c:pt idx="7">
                  <c:v>0.65685487063810355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6-4319-A86E-2515796FDC77}"/>
            </c:ext>
          </c:extLst>
        </c:ser>
        <c:ser>
          <c:idx val="15"/>
          <c:order val="1"/>
          <c:tx>
            <c:strRef>
              <c:f>'KMP- HDPE'!$D$75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HDPE'!$E$75:$AE$75</c15:sqref>
                  </c15:fullRef>
                </c:ext>
              </c:extLst>
              <c:f>('KMP- HDPE'!$E$75:$X$75,'KMP- HDPE'!$Z$75:$AE$75)</c:f>
              <c:numCache>
                <c:formatCode>0.0%</c:formatCode>
                <c:ptCount val="8"/>
                <c:pt idx="0">
                  <c:v>9.9771981773716031E-2</c:v>
                </c:pt>
                <c:pt idx="1">
                  <c:v>0.17032246129228693</c:v>
                </c:pt>
                <c:pt idx="2">
                  <c:v>0.12868916396722921</c:v>
                </c:pt>
                <c:pt idx="3">
                  <c:v>8.7676011966974082E-2</c:v>
                </c:pt>
                <c:pt idx="4">
                  <c:v>0.11060470256779753</c:v>
                </c:pt>
                <c:pt idx="5">
                  <c:v>0</c:v>
                </c:pt>
                <c:pt idx="6">
                  <c:v>0</c:v>
                </c:pt>
                <c:pt idx="7">
                  <c:v>0.12058993382069781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6-4319-A86E-2515796FDC77}"/>
            </c:ext>
          </c:extLst>
        </c:ser>
        <c:ser>
          <c:idx val="2"/>
          <c:order val="2"/>
          <c:tx>
            <c:strRef>
              <c:f>'KMP- HDPE'!$D$63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HDPE'!$E$63:$AE$63</c15:sqref>
                  </c15:fullRef>
                </c:ext>
              </c:extLst>
              <c:f>('KMP- HDPE'!$E$63:$X$63,'KMP- HDPE'!$Z$63:$AE$63)</c:f>
              <c:numCache>
                <c:formatCode>0.0%</c:formatCode>
                <c:ptCount val="8"/>
                <c:pt idx="0">
                  <c:v>4.4106487584985962E-2</c:v>
                </c:pt>
                <c:pt idx="1">
                  <c:v>4.3935405219294968E-2</c:v>
                </c:pt>
                <c:pt idx="2">
                  <c:v>4.3488549841291815E-2</c:v>
                </c:pt>
                <c:pt idx="3">
                  <c:v>4.6128803456163242E-2</c:v>
                </c:pt>
                <c:pt idx="4">
                  <c:v>4.9828168036447219E-2</c:v>
                </c:pt>
                <c:pt idx="5">
                  <c:v>0</c:v>
                </c:pt>
                <c:pt idx="6">
                  <c:v>0</c:v>
                </c:pt>
                <c:pt idx="7">
                  <c:v>4.6055147197352916E-2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6-4319-A86E-2515796FDC77}"/>
            </c:ext>
          </c:extLst>
        </c:ser>
        <c:ser>
          <c:idx val="14"/>
          <c:order val="3"/>
          <c:tx>
            <c:strRef>
              <c:f>'KMP- HDPE'!$D$74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HDPE'!$E$74:$AE$74</c15:sqref>
                  </c15:fullRef>
                </c:ext>
              </c:extLst>
              <c:f>('KMP- HDPE'!$E$74:$X$74,'KMP- HDPE'!$Z$74:$AE$74)</c:f>
              <c:numCache>
                <c:formatCode>0.0%</c:formatCode>
                <c:ptCount val="8"/>
                <c:pt idx="0">
                  <c:v>0.14753412985349729</c:v>
                </c:pt>
                <c:pt idx="1">
                  <c:v>7.3572072905629934E-2</c:v>
                </c:pt>
                <c:pt idx="2">
                  <c:v>5.4545563283499521E-2</c:v>
                </c:pt>
                <c:pt idx="3">
                  <c:v>3.804046271354284E-2</c:v>
                </c:pt>
                <c:pt idx="4">
                  <c:v>4.3522274911278774E-2</c:v>
                </c:pt>
                <c:pt idx="5">
                  <c:v>0</c:v>
                </c:pt>
                <c:pt idx="6">
                  <c:v>0</c:v>
                </c:pt>
                <c:pt idx="7">
                  <c:v>5.0749755548613461E-2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F6-4319-A86E-2515796FDC77}"/>
            </c:ext>
          </c:extLst>
        </c:ser>
        <c:ser>
          <c:idx val="3"/>
          <c:order val="4"/>
          <c:tx>
            <c:strRef>
              <c:f>'KMP- HDPE'!$D$76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HDPE'!$E$76:$AE$76</c15:sqref>
                  </c15:fullRef>
                </c:ext>
              </c:extLst>
              <c:f>('KMP- HDPE'!$E$76:$X$76,'KMP- HDPE'!$Z$76:$AE$76)</c:f>
              <c:numCache>
                <c:formatCode>0.0%</c:formatCode>
                <c:ptCount val="8"/>
                <c:pt idx="0">
                  <c:v>3.202095112883821E-2</c:v>
                </c:pt>
                <c:pt idx="1">
                  <c:v>5.4986235214396634E-2</c:v>
                </c:pt>
                <c:pt idx="2">
                  <c:v>4.1709952637383682E-2</c:v>
                </c:pt>
                <c:pt idx="3">
                  <c:v>2.9567370080119837E-2</c:v>
                </c:pt>
                <c:pt idx="4">
                  <c:v>3.3245535087561902E-2</c:v>
                </c:pt>
                <c:pt idx="5">
                  <c:v>0</c:v>
                </c:pt>
                <c:pt idx="6">
                  <c:v>0</c:v>
                </c:pt>
                <c:pt idx="7">
                  <c:v>3.8671751093073775E-2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F6-4319-A86E-2515796FDC77}"/>
            </c:ext>
          </c:extLst>
        </c:ser>
        <c:ser>
          <c:idx val="4"/>
          <c:order val="5"/>
          <c:tx>
            <c:strRef>
              <c:f>'KMP- HDPE'!$D$64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HDPE'!$E$64:$AE$64</c15:sqref>
                  </c15:fullRef>
                </c:ext>
              </c:extLst>
              <c:f>('KMP- HDPE'!$E$64:$X$64,'KMP- HDPE'!$Z$64:$AE$64)</c:f>
              <c:numCache>
                <c:formatCode>0.0%</c:formatCode>
                <c:ptCount val="8"/>
                <c:pt idx="0">
                  <c:v>1.3371423700177232E-3</c:v>
                </c:pt>
                <c:pt idx="1">
                  <c:v>1.3051574781289715E-3</c:v>
                </c:pt>
                <c:pt idx="2">
                  <c:v>2.5735431000435847E-3</c:v>
                </c:pt>
                <c:pt idx="3">
                  <c:v>2.4377275458722846E-3</c:v>
                </c:pt>
                <c:pt idx="4">
                  <c:v>1.7734056571344203E-3</c:v>
                </c:pt>
                <c:pt idx="5">
                  <c:v>0</c:v>
                </c:pt>
                <c:pt idx="6">
                  <c:v>0</c:v>
                </c:pt>
                <c:pt idx="7">
                  <c:v>2.0546239641803759E-3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F6-4319-A86E-2515796FDC77}"/>
            </c:ext>
          </c:extLst>
        </c:ser>
        <c:ser>
          <c:idx val="5"/>
          <c:order val="6"/>
          <c:tx>
            <c:strRef>
              <c:f>'KMP- HDPE'!$D$65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HDPE'!$E$65:$AE$65</c15:sqref>
                  </c15:fullRef>
                </c:ext>
              </c:extLst>
              <c:f>('KMP- HDPE'!$E$65:$X$65,'KMP- HDPE'!$Z$65:$AE$65)</c:f>
              <c:numCache>
                <c:formatCode>0.0%</c:formatCode>
                <c:ptCount val="8"/>
                <c:pt idx="0">
                  <c:v>4.6683833059678135E-3</c:v>
                </c:pt>
                <c:pt idx="1">
                  <c:v>8.8830851345152416E-3</c:v>
                </c:pt>
                <c:pt idx="2">
                  <c:v>8.018630452263786E-3</c:v>
                </c:pt>
                <c:pt idx="3">
                  <c:v>5.3310575545665127E-3</c:v>
                </c:pt>
                <c:pt idx="4">
                  <c:v>2.3754945715752226E-3</c:v>
                </c:pt>
                <c:pt idx="5">
                  <c:v>0</c:v>
                </c:pt>
                <c:pt idx="6">
                  <c:v>0</c:v>
                </c:pt>
                <c:pt idx="7">
                  <c:v>5.8988614771963649E-3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6-4319-A86E-2515796FDC77}"/>
            </c:ext>
          </c:extLst>
        </c:ser>
        <c:ser>
          <c:idx val="6"/>
          <c:order val="7"/>
          <c:tx>
            <c:strRef>
              <c:f>'KMP- HDPE'!$D$66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HDPE'!$E$66:$AE$66</c15:sqref>
                  </c15:fullRef>
                </c:ext>
              </c:extLst>
              <c:f>('KMP- HDPE'!$E$66:$X$66,'KMP- HDPE'!$Z$66:$AE$66)</c:f>
              <c:numCache>
                <c:formatCode>0.0%</c:formatCode>
                <c:ptCount val="8"/>
                <c:pt idx="0">
                  <c:v>5.5542501201765243E-3</c:v>
                </c:pt>
                <c:pt idx="1">
                  <c:v>6.0565510315383833E-3</c:v>
                </c:pt>
                <c:pt idx="2">
                  <c:v>5.153249578068995E-3</c:v>
                </c:pt>
                <c:pt idx="3">
                  <c:v>5.3400849094260927E-3</c:v>
                </c:pt>
                <c:pt idx="4">
                  <c:v>9.0043267528917437E-3</c:v>
                </c:pt>
                <c:pt idx="5">
                  <c:v>0</c:v>
                </c:pt>
                <c:pt idx="6">
                  <c:v>0</c:v>
                </c:pt>
                <c:pt idx="7">
                  <c:v>6.4330263632708887E-3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F6-4319-A86E-2515796FDC77}"/>
            </c:ext>
          </c:extLst>
        </c:ser>
        <c:ser>
          <c:idx val="7"/>
          <c:order val="8"/>
          <c:tx>
            <c:strRef>
              <c:f>'KMP- HDPE'!$D$67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HDPE'!$E$67:$AE$67</c15:sqref>
                  </c15:fullRef>
                </c:ext>
              </c:extLst>
              <c:f>('KMP- HDPE'!$E$67:$X$67,'KMP- HDPE'!$Z$67:$AE$67)</c:f>
              <c:numCache>
                <c:formatCode>0.0%</c:formatCode>
                <c:ptCount val="8"/>
                <c:pt idx="0">
                  <c:v>7.7760316598097208E-3</c:v>
                </c:pt>
                <c:pt idx="1">
                  <c:v>6.4807601748547786E-3</c:v>
                </c:pt>
                <c:pt idx="2">
                  <c:v>1.0441612584914248E-2</c:v>
                </c:pt>
                <c:pt idx="3">
                  <c:v>8.9169909294815608E-3</c:v>
                </c:pt>
                <c:pt idx="4">
                  <c:v>7.9769474942061307E-3</c:v>
                </c:pt>
                <c:pt idx="5">
                  <c:v>0</c:v>
                </c:pt>
                <c:pt idx="6">
                  <c:v>0</c:v>
                </c:pt>
                <c:pt idx="7">
                  <c:v>8.5112488973152663E-3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6-4319-A86E-2515796FDC77}"/>
            </c:ext>
          </c:extLst>
        </c:ser>
        <c:ser>
          <c:idx val="8"/>
          <c:order val="9"/>
          <c:tx>
            <c:strRef>
              <c:f>'KMP- HDPE'!$D$68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HDPE'!$E$68:$AE$68</c15:sqref>
                  </c15:fullRef>
                </c:ext>
              </c:extLst>
              <c:f>('KMP- HDPE'!$E$68:$X$68,'KMP- HDPE'!$Z$68:$AE$68)</c:f>
              <c:numCache>
                <c:formatCode>0.0%</c:formatCode>
                <c:ptCount val="8"/>
                <c:pt idx="0">
                  <c:v>3.1175085491211342E-3</c:v>
                </c:pt>
                <c:pt idx="1">
                  <c:v>2.3711268324235063E-3</c:v>
                </c:pt>
                <c:pt idx="2">
                  <c:v>2.2918261447039501E-3</c:v>
                </c:pt>
                <c:pt idx="3">
                  <c:v>1.9891644825192592E-3</c:v>
                </c:pt>
                <c:pt idx="4">
                  <c:v>1.9113865339119296E-3</c:v>
                </c:pt>
                <c:pt idx="5">
                  <c:v>0</c:v>
                </c:pt>
                <c:pt idx="6">
                  <c:v>0</c:v>
                </c:pt>
                <c:pt idx="7">
                  <c:v>2.1180755389376095E-3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F6-4319-A86E-2515796FDC77}"/>
            </c:ext>
          </c:extLst>
        </c:ser>
        <c:ser>
          <c:idx val="9"/>
          <c:order val="10"/>
          <c:tx>
            <c:strRef>
              <c:f>'KMP- HDPE'!$D$69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HDPE'!$E$69:$AE$69</c15:sqref>
                  </c15:fullRef>
                </c:ext>
              </c:extLst>
              <c:f>('KMP- HDPE'!$E$69:$X$69,'KMP- HDPE'!$Z$69:$AE$69)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F6-4319-A86E-2515796FDC77}"/>
            </c:ext>
          </c:extLst>
        </c:ser>
        <c:ser>
          <c:idx val="10"/>
          <c:order val="11"/>
          <c:tx>
            <c:strRef>
              <c:f>'KMP- HDPE'!$D$70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HDPE'!$E$70:$AE$70</c15:sqref>
                  </c15:fullRef>
                </c:ext>
              </c:extLst>
              <c:f>('KMP- HDPE'!$E$70:$X$70,'KMP- HDPE'!$Z$70:$AE$70)</c:f>
              <c:numCache>
                <c:formatCode>0.0%</c:formatCode>
                <c:ptCount val="8"/>
                <c:pt idx="0">
                  <c:v>7.8314695681947204E-4</c:v>
                </c:pt>
                <c:pt idx="1">
                  <c:v>6.2383454689616093E-4</c:v>
                </c:pt>
                <c:pt idx="2">
                  <c:v>5.4870543408543212E-4</c:v>
                </c:pt>
                <c:pt idx="3">
                  <c:v>4.8125680286929091E-4</c:v>
                </c:pt>
                <c:pt idx="4">
                  <c:v>7.9897197963769138E-4</c:v>
                </c:pt>
                <c:pt idx="5">
                  <c:v>0</c:v>
                </c:pt>
                <c:pt idx="6">
                  <c:v>0</c:v>
                </c:pt>
                <c:pt idx="7">
                  <c:v>6.1221671251860288E-4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9F6-4319-A86E-2515796FDC77}"/>
            </c:ext>
          </c:extLst>
        </c:ser>
        <c:ser>
          <c:idx val="11"/>
          <c:order val="12"/>
          <c:tx>
            <c:strRef>
              <c:f>'KMP- HDPE'!$D$71</c:f>
              <c:strCache>
                <c:ptCount val="1"/>
                <c:pt idx="0">
                  <c:v>Nước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HDPE'!$E$71:$AE$71</c15:sqref>
                  </c15:fullRef>
                </c:ext>
              </c:extLst>
              <c:f>('KMP- HDPE'!$E$71:$X$71,'KMP- HDPE'!$Z$71:$AE$71)</c:f>
              <c:numCache>
                <c:formatCode>0.0%</c:formatCode>
                <c:ptCount val="8"/>
                <c:pt idx="0">
                  <c:v>1.1466562962402418E-3</c:v>
                </c:pt>
                <c:pt idx="1">
                  <c:v>1.2516832003016457E-3</c:v>
                </c:pt>
                <c:pt idx="2">
                  <c:v>1.4512809958284977E-3</c:v>
                </c:pt>
                <c:pt idx="3">
                  <c:v>8.5078777956683371E-4</c:v>
                </c:pt>
                <c:pt idx="4">
                  <c:v>9.9436864739321177E-4</c:v>
                </c:pt>
                <c:pt idx="5">
                  <c:v>0</c:v>
                </c:pt>
                <c:pt idx="6">
                  <c:v>0</c:v>
                </c:pt>
                <c:pt idx="7">
                  <c:v>1.1125381237003678E-3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F6-4319-A86E-2515796FDC77}"/>
            </c:ext>
          </c:extLst>
        </c:ser>
        <c:ser>
          <c:idx val="12"/>
          <c:order val="13"/>
          <c:tx>
            <c:strRef>
              <c:f>'KMP- HDPE'!$D$72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HDPE'!$E$72:$AE$72</c15:sqref>
                  </c15:fullRef>
                </c:ext>
              </c:extLst>
              <c:f>('KMP- HDPE'!$E$72:$X$72,'KMP- HDPE'!$Z$72:$AE$72)</c:f>
              <c:numCache>
                <c:formatCode>0.0%</c:formatCode>
                <c:ptCount val="8"/>
                <c:pt idx="0">
                  <c:v>8.0472376897018215E-4</c:v>
                </c:pt>
                <c:pt idx="1">
                  <c:v>6.9904139210643932E-3</c:v>
                </c:pt>
                <c:pt idx="2">
                  <c:v>2.2318748877175939E-3</c:v>
                </c:pt>
                <c:pt idx="3">
                  <c:v>1.9579121883738877E-3</c:v>
                </c:pt>
                <c:pt idx="4">
                  <c:v>4.6247965101266211E-3</c:v>
                </c:pt>
                <c:pt idx="5">
                  <c:v>0</c:v>
                </c:pt>
                <c:pt idx="6">
                  <c:v>0</c:v>
                </c:pt>
                <c:pt idx="7">
                  <c:v>3.7874606219335878E-3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9F6-4319-A86E-2515796FDC77}"/>
            </c:ext>
          </c:extLst>
        </c:ser>
        <c:ser>
          <c:idx val="16"/>
          <c:order val="14"/>
          <c:tx>
            <c:strRef>
              <c:f>'KMP- HDPE'!$D$77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HDPE'!$E$77:$AE$77</c15:sqref>
                  </c15:fullRef>
                </c:ext>
              </c:extLst>
              <c:f>('KMP- HDPE'!$E$77:$X$77,'KMP- HDPE'!$Z$77:$AE$77)</c:f>
              <c:numCache>
                <c:formatCode>0.0%</c:formatCode>
                <c:ptCount val="8"/>
                <c:pt idx="0">
                  <c:v>2.6549396256692014E-2</c:v>
                </c:pt>
                <c:pt idx="1">
                  <c:v>4.857240572254027E-2</c:v>
                </c:pt>
                <c:pt idx="2">
                  <c:v>2.5384929690602409E-2</c:v>
                </c:pt>
                <c:pt idx="3">
                  <c:v>2.7135333896909346E-2</c:v>
                </c:pt>
                <c:pt idx="4">
                  <c:v>1.8156043457891766E-2</c:v>
                </c:pt>
                <c:pt idx="5">
                  <c:v>0</c:v>
                </c:pt>
                <c:pt idx="6">
                  <c:v>0</c:v>
                </c:pt>
                <c:pt idx="7">
                  <c:v>2.8770059672618586E-2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F6-4319-A86E-2515796FDC77}"/>
            </c:ext>
          </c:extLst>
        </c:ser>
        <c:ser>
          <c:idx val="17"/>
          <c:order val="15"/>
          <c:tx>
            <c:strRef>
              <c:f>'KMP- HDPE'!$D$78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HDPE'!$E$78:$AE$78</c15:sqref>
                  </c15:fullRef>
                </c:ext>
              </c:extLst>
              <c:f>('KMP- HDPE'!$E$78:$X$78,'KMP- HDPE'!$Z$78:$AE$78)</c:f>
              <c:numCache>
                <c:formatCode>0.0%</c:formatCode>
                <c:ptCount val="8"/>
                <c:pt idx="0">
                  <c:v>7.8748084862491127E-3</c:v>
                </c:pt>
                <c:pt idx="1">
                  <c:v>1.1453449382731233E-2</c:v>
                </c:pt>
                <c:pt idx="2">
                  <c:v>1.0278108209055928E-2</c:v>
                </c:pt>
                <c:pt idx="3">
                  <c:v>6.6065143825369188E-3</c:v>
                </c:pt>
                <c:pt idx="4">
                  <c:v>8.771303668363423E-3</c:v>
                </c:pt>
                <c:pt idx="5">
                  <c:v>0</c:v>
                </c:pt>
                <c:pt idx="6">
                  <c:v>0</c:v>
                </c:pt>
                <c:pt idx="7">
                  <c:v>9.0522342836940623E-3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F6-4319-A86E-2515796FDC77}"/>
            </c:ext>
          </c:extLst>
        </c:ser>
        <c:ser>
          <c:idx val="18"/>
          <c:order val="16"/>
          <c:tx>
            <c:strRef>
              <c:f>'KMP- HDPE'!$D$79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HDPE'!$E$79:$AE$79</c15:sqref>
                  </c15:fullRef>
                </c:ext>
              </c:extLst>
              <c:f>('KMP- HDPE'!$E$79:$X$79,'KMP- HDPE'!$Z$79:$AE$79)</c:f>
              <c:numCache>
                <c:formatCode>0.0%</c:formatCode>
                <c:ptCount val="8"/>
                <c:pt idx="0">
                  <c:v>7.7403873616061917E-3</c:v>
                </c:pt>
                <c:pt idx="1">
                  <c:v>1.3026386341675427E-2</c:v>
                </c:pt>
                <c:pt idx="2">
                  <c:v>1.1965046467651334E-2</c:v>
                </c:pt>
                <c:pt idx="3">
                  <c:v>7.2564913608706098E-3</c:v>
                </c:pt>
                <c:pt idx="4">
                  <c:v>9.0337701669491264E-3</c:v>
                </c:pt>
                <c:pt idx="5">
                  <c:v>0</c:v>
                </c:pt>
                <c:pt idx="6">
                  <c:v>0</c:v>
                </c:pt>
                <c:pt idx="7">
                  <c:v>1.0031003078113663E-2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6-4319-A86E-2515796FDC77}"/>
            </c:ext>
          </c:extLst>
        </c:ser>
        <c:ser>
          <c:idx val="19"/>
          <c:order val="17"/>
          <c:tx>
            <c:strRef>
              <c:f>'KMP- HDPE'!$D$80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HDPE'!$E$80:$AE$80</c15:sqref>
                  </c15:fullRef>
                </c:ext>
              </c:extLst>
              <c:f>('KMP- HDPE'!$E$80:$X$80,'KMP- HDPE'!$Z$80:$AE$80)</c:f>
              <c:numCache>
                <c:formatCode>0.0%</c:formatCode>
                <c:ptCount val="8"/>
                <c:pt idx="0">
                  <c:v>8.8249948542226675E-3</c:v>
                </c:pt>
                <c:pt idx="1">
                  <c:v>1.52089594170797E-2</c:v>
                </c:pt>
                <c:pt idx="2">
                  <c:v>9.6036837458210924E-3</c:v>
                </c:pt>
                <c:pt idx="3">
                  <c:v>4.7380743703538631E-3</c:v>
                </c:pt>
                <c:pt idx="4">
                  <c:v>7.1455312470130351E-3</c:v>
                </c:pt>
                <c:pt idx="5">
                  <c:v>0</c:v>
                </c:pt>
                <c:pt idx="6">
                  <c:v>0</c:v>
                </c:pt>
                <c:pt idx="7">
                  <c:v>8.6971929686787981E-3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9F6-4319-A86E-2515796F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29772137951995"/>
          <c:y val="0.11319679023598511"/>
          <c:w val="0.18288979220557719"/>
          <c:h val="0.884814892643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('KMP- PET'!$F$67:$X$67,'KMP- PET'!$Z$67:$AE$67)</c:f>
              <c:numCache>
                <c:formatCode>0.0%</c:formatCode>
                <c:ptCount val="8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CAC-4E99-9D78-EC99F6605A3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('KMP- PET'!$F$80:$X$80,'KMP- PET'!$Z$80:$AE$80)</c:f>
              <c:numCache>
                <c:formatCode>0.0%</c:formatCode>
                <c:ptCount val="8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CAC-4E99-9D78-EC99F6605A3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('KMP- PET'!$F$68:$X$68,'KMP- PET'!$Z$68:$AE$68)</c:f>
              <c:numCache>
                <c:formatCode>0.0%</c:formatCode>
                <c:ptCount val="8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CAC-4E99-9D78-EC99F6605A3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('KMP- PET'!$F$79:$X$79,'KMP- PET'!$Z$79:$AE$79)</c:f>
              <c:numCache>
                <c:formatCode>0.0%</c:formatCode>
                <c:ptCount val="8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CAC-4E99-9D78-EC99F6605A3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('KMP- PET'!$F$81:$X$81,'KMP- PET'!$Z$81:$AE$81)</c:f>
              <c:numCache>
                <c:formatCode>0.0%</c:formatCode>
                <c:ptCount val="8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CAC-4E99-9D78-EC99F6605A3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('KMP- PET'!$F$69:$X$69,'KMP- PET'!$Z$69:$AE$69)</c:f>
              <c:numCache>
                <c:formatCode>0.0%</c:formatCode>
                <c:ptCount val="8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CAC-4E99-9D78-EC99F6605A3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('KMP- PET'!$F$70:$X$70,'KMP- PET'!$Z$70:$AE$70)</c:f>
              <c:numCache>
                <c:formatCode>0.0%</c:formatCode>
                <c:ptCount val="8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CAC-4E99-9D78-EC99F6605A3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('KMP- PET'!$F$71:$X$71,'KMP- PET'!$Z$71:$AE$71)</c:f>
              <c:numCache>
                <c:formatCode>0.0%</c:formatCode>
                <c:ptCount val="8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CAC-4E99-9D78-EC99F6605A3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('KMP- PET'!$F$72:$X$72,'KMP- PET'!$Z$72:$AE$72)</c:f>
              <c:numCache>
                <c:formatCode>0.0%</c:formatCode>
                <c:ptCount val="8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CAC-4E99-9D78-EC99F6605A3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('KMP- PET'!$F$73:$X$73,'KMP- PET'!$Z$73:$AE$73)</c:f>
              <c:numCache>
                <c:formatCode>0.0%</c:formatCode>
                <c:ptCount val="8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AC-4E99-9D78-EC99F6605A3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('KMP- PET'!$F$74:$X$74,'KMP- PET'!$Z$74:$AE$74)</c:f>
              <c:numCache>
                <c:formatCode>0.0%</c:formatCode>
                <c:ptCount val="8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CAC-4E99-9D78-EC99F6605A3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('KMP- PET'!$F$75:$X$75,'KMP- PET'!$Z$75:$AE$75)</c:f>
              <c:numCache>
                <c:formatCode>0.0%</c:formatCode>
                <c:ptCount val="8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CAC-4E99-9D78-EC99F6605A3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('KMP- PET'!$F$76:$X$76,'KMP- PET'!$Z$76:$AE$76)</c:f>
              <c:numCache>
                <c:formatCode>0.0%</c:formatCode>
                <c:ptCount val="8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CAC-4E99-9D78-EC99F6605A3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('KMP- PET'!$F$77:$X$77,'KMP- PET'!$Z$77:$AE$77)</c:f>
              <c:numCache>
                <c:formatCode>0.0%</c:formatCode>
                <c:ptCount val="8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CAC-4E99-9D78-EC99F6605A3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('KMP- PET'!$F$82:$X$82,'KMP- PET'!$Z$82:$AE$82)</c:f>
              <c:numCache>
                <c:formatCode>0.0%</c:formatCode>
                <c:ptCount val="8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CAC-4E99-9D78-EC99F6605A3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('KMP- PET'!$F$83:$X$83,'KMP- PET'!$Z$83:$AE$83)</c:f>
              <c:numCache>
                <c:formatCode>0.0%</c:formatCode>
                <c:ptCount val="8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CAC-4E99-9D78-EC99F6605A3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('KMP- PET'!$F$84:$X$84,'KMP- PET'!$Z$84:$AE$84)</c:f>
              <c:numCache>
                <c:formatCode>0.0%</c:formatCode>
                <c:ptCount val="8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0CAC-4E99-9D78-EC99F6605A3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('KMP- PET'!$F$85:$X$85,'KMP- PET'!$Z$85:$AE$85)</c:f>
              <c:numCache>
                <c:formatCode>0.0%</c:formatCode>
                <c:ptCount val="8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AC-4E99-9D78-EC99F660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82020086487400146"/>
          <c:y val="2.6351637774797002E-2"/>
          <c:w val="0.16954281877556004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Tâm'!$P$5:$AQ$5</c15:sqref>
                  </c15:fullRef>
                </c:ext>
              </c:extLst>
              <c:f>('Chart - Tâm'!$P$5,'Chart - Tâm'!$AC$5:$AN$5,'Chart - Tâm'!$AQ$5)</c:f>
              <c:numCache>
                <c:formatCode>_(* #,##0.0_);_(* \(#,##0.0\);_(* "-"??_);_(@_)</c:formatCode>
                <c:ptCount val="14"/>
                <c:pt idx="0">
                  <c:v>19.760467905924752</c:v>
                </c:pt>
                <c:pt idx="1">
                  <c:v>19.06531599293432</c:v>
                </c:pt>
                <c:pt idx="2">
                  <c:v>19.575337209777519</c:v>
                </c:pt>
                <c:pt idx="3">
                  <c:v>18.521581012658768</c:v>
                </c:pt>
                <c:pt idx="4">
                  <c:v>19.19105057386151</c:v>
                </c:pt>
                <c:pt idx="5">
                  <c:v>18.446340251474307</c:v>
                </c:pt>
                <c:pt idx="6">
                  <c:v>19.589332330935022</c:v>
                </c:pt>
                <c:pt idx="7">
                  <c:v>20.006230151387914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18.443916461714945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D19-B402-22D6453374EF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Tâm'!$P$6:$AQ$6</c15:sqref>
                  </c15:fullRef>
                </c:ext>
              </c:extLst>
              <c:f>('Chart - Tâm'!$P$6,'Chart - Tâm'!$AC$6:$AN$6,'Chart - Tâm'!$AQ$6)</c:f>
              <c:numCache>
                <c:formatCode>_(* #,##0.0_);_(* \(#,##0.0\);_(* "-"??_);_(@_)</c:formatCode>
                <c:ptCount val="14"/>
                <c:pt idx="0">
                  <c:v>4.9017272604390136</c:v>
                </c:pt>
                <c:pt idx="1">
                  <c:v>9.2712136581776328</c:v>
                </c:pt>
                <c:pt idx="2">
                  <c:v>13.419729534097701</c:v>
                </c:pt>
                <c:pt idx="3">
                  <c:v>18.619775515790469</c:v>
                </c:pt>
                <c:pt idx="4">
                  <c:v>9.2780369134501157</c:v>
                </c:pt>
                <c:pt idx="5">
                  <c:v>9.7267858971214132</c:v>
                </c:pt>
                <c:pt idx="6">
                  <c:v>11.556222651700033</c:v>
                </c:pt>
                <c:pt idx="7">
                  <c:v>10.672106168087048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10.505038550694039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A-4D19-B402-22D645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Tâm'!$P$7:$AQ$7</c15:sqref>
                  </c15:fullRef>
                </c:ext>
              </c:extLst>
              <c:f>('Chart - Tâm'!$P$7,'Chart - Tâm'!$AC$7:$AN$7,'Chart - Tâm'!$AQ$7)</c:f>
              <c:numCache>
                <c:formatCode>0.0</c:formatCode>
                <c:ptCount val="14"/>
                <c:pt idx="0">
                  <c:v>24.662195166363766</c:v>
                </c:pt>
                <c:pt idx="1">
                  <c:v>28.336529651111952</c:v>
                </c:pt>
                <c:pt idx="2">
                  <c:v>32.995066743875221</c:v>
                </c:pt>
                <c:pt idx="3">
                  <c:v>37.141356528449236</c:v>
                </c:pt>
                <c:pt idx="4">
                  <c:v>28.469087487311626</c:v>
                </c:pt>
                <c:pt idx="5">
                  <c:v>28.173126148595721</c:v>
                </c:pt>
                <c:pt idx="6">
                  <c:v>31.145554982635055</c:v>
                </c:pt>
                <c:pt idx="7">
                  <c:v>30.678336319474962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28.948955012408984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5-4D7B-8A41-004DE3D5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Tâm'!$P$5:$AO$5</c15:sqref>
                  </c15:fullRef>
                </c:ext>
              </c:extLst>
              <c:f>('Chart - Tâm'!$P$5,'Chart - Tâm'!$AC$5:$AN$5)</c:f>
              <c:numCache>
                <c:formatCode>_(* #,##0.0_);_(* \(#,##0.0\);_(* "-"??_);_(@_)</c:formatCode>
                <c:ptCount val="13"/>
                <c:pt idx="0">
                  <c:v>19.760467905924752</c:v>
                </c:pt>
                <c:pt idx="1">
                  <c:v>19.06531599293432</c:v>
                </c:pt>
                <c:pt idx="2">
                  <c:v>19.575337209777519</c:v>
                </c:pt>
                <c:pt idx="3">
                  <c:v>18.521581012658768</c:v>
                </c:pt>
                <c:pt idx="4">
                  <c:v>19.19105057386151</c:v>
                </c:pt>
                <c:pt idx="5">
                  <c:v>18.446340251474307</c:v>
                </c:pt>
                <c:pt idx="6">
                  <c:v>19.589332330935022</c:v>
                </c:pt>
                <c:pt idx="7">
                  <c:v>20.006230151387914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B87-AF09-9A65C2B81B22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Tâm'!$P$6:$AO$6</c15:sqref>
                  </c15:fullRef>
                </c:ext>
              </c:extLst>
              <c:f>('Chart - Tâm'!$P$6,'Chart - Tâm'!$AC$6:$AN$6)</c:f>
              <c:numCache>
                <c:formatCode>_(* #,##0.0_);_(* \(#,##0.0\);_(* "-"??_);_(@_)</c:formatCode>
                <c:ptCount val="13"/>
                <c:pt idx="0">
                  <c:v>4.9017272604390136</c:v>
                </c:pt>
                <c:pt idx="1">
                  <c:v>9.2712136581776328</c:v>
                </c:pt>
                <c:pt idx="2">
                  <c:v>13.419729534097701</c:v>
                </c:pt>
                <c:pt idx="3">
                  <c:v>18.619775515790469</c:v>
                </c:pt>
                <c:pt idx="4">
                  <c:v>9.2780369134501157</c:v>
                </c:pt>
                <c:pt idx="5">
                  <c:v>9.7267858971214132</c:v>
                </c:pt>
                <c:pt idx="6">
                  <c:v>11.556222651700033</c:v>
                </c:pt>
                <c:pt idx="7">
                  <c:v>10.672106168087048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Tâm'!$P$4:$AD$4</c15:sqref>
                  </c15:fullRef>
                </c:ext>
              </c:extLst>
              <c:f>('Chart - Tâm'!$P$4,'Chart - Tâm'!$AC$4:$AD$4)</c:f>
              <c:strCache>
                <c:ptCount val="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Tâm'!$P$7:$AO$7</c15:sqref>
                  </c15:fullRef>
                </c:ext>
              </c:extLst>
              <c:f>('Chart - Tâm'!$P$7,'Chart - Tâm'!$AC$7:$AN$7)</c:f>
              <c:numCache>
                <c:formatCode>0.0</c:formatCode>
                <c:ptCount val="13"/>
                <c:pt idx="0">
                  <c:v>24.662195166363766</c:v>
                </c:pt>
                <c:pt idx="1">
                  <c:v>28.336529651111952</c:v>
                </c:pt>
                <c:pt idx="2">
                  <c:v>32.995066743875221</c:v>
                </c:pt>
                <c:pt idx="3">
                  <c:v>37.141356528449236</c:v>
                </c:pt>
                <c:pt idx="4">
                  <c:v>28.469087487311626</c:v>
                </c:pt>
                <c:pt idx="5">
                  <c:v>28.173126148595721</c:v>
                </c:pt>
                <c:pt idx="6">
                  <c:v>31.145554982635055</c:v>
                </c:pt>
                <c:pt idx="7">
                  <c:v>30.678336319474962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119303"/>
                </a:solidFill>
                <a:latin typeface="+mj-lt"/>
                <a:ea typeface="+mn-ea"/>
                <a:cs typeface="+mn-cs"/>
              </a:defRPr>
            </a:pPr>
            <a:r>
              <a:rPr lang="en-US" sz="2200" b="1">
                <a:solidFill>
                  <a:srgbClr val="119303"/>
                </a:solidFill>
              </a:rPr>
              <a:t>CƠ CẤU % CHI PHÍ/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119303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'18 KMP- Tháng (Tâm)'!$D$71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(Tâm)'!$R$71:$BS$71</c:f>
              <c:numCache>
                <c:formatCode>0.0%;\-0.0%;;</c:formatCode>
                <c:ptCount val="17"/>
                <c:pt idx="0">
                  <c:v>0.65312789759722734</c:v>
                </c:pt>
                <c:pt idx="1">
                  <c:v>0.62396446525623883</c:v>
                </c:pt>
                <c:pt idx="2">
                  <c:v>0.61564684923847379</c:v>
                </c:pt>
                <c:pt idx="3">
                  <c:v>0.57352075400072655</c:v>
                </c:pt>
                <c:pt idx="4">
                  <c:v>0.4874406187673746</c:v>
                </c:pt>
                <c:pt idx="5">
                  <c:v>0.64844504566225136</c:v>
                </c:pt>
                <c:pt idx="6">
                  <c:v>0.6311168408281097</c:v>
                </c:pt>
                <c:pt idx="7">
                  <c:v>0.60225075859203048</c:v>
                </c:pt>
                <c:pt idx="8">
                  <c:v>0.62657823879892738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0.60495066471296455</c:v>
                </c:pt>
                <c:pt idx="16">
                  <c:v>0.61564684923847379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0-4F4A-98AE-EFA541856494}"/>
            </c:ext>
          </c:extLst>
        </c:ser>
        <c:ser>
          <c:idx val="15"/>
          <c:order val="2"/>
          <c:tx>
            <c:strRef>
              <c:f>'18 KMP- Tháng (Tâm)'!$D$84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(Tâm)'!$R$84:$BS$84</c:f>
              <c:numCache>
                <c:formatCode>0.0%;\-0.0%;;</c:formatCode>
                <c:ptCount val="17"/>
                <c:pt idx="0">
                  <c:v>0.10084670463119567</c:v>
                </c:pt>
                <c:pt idx="1">
                  <c:v>0.12122724354679869</c:v>
                </c:pt>
                <c:pt idx="2">
                  <c:v>0.135308740159539</c:v>
                </c:pt>
                <c:pt idx="3">
                  <c:v>0.15226522436481463</c:v>
                </c:pt>
                <c:pt idx="4">
                  <c:v>0.19162437673907745</c:v>
                </c:pt>
                <c:pt idx="5">
                  <c:v>0.11398953274522819</c:v>
                </c:pt>
                <c:pt idx="6">
                  <c:v>0.12629373527810508</c:v>
                </c:pt>
                <c:pt idx="7">
                  <c:v>0.13091955657621626</c:v>
                </c:pt>
                <c:pt idx="8">
                  <c:v>0.12863770462877944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0.13594176656292245</c:v>
                </c:pt>
                <c:pt idx="16">
                  <c:v>0.135308740159539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0-4F4A-98AE-EFA541856494}"/>
            </c:ext>
          </c:extLst>
        </c:ser>
        <c:ser>
          <c:idx val="2"/>
          <c:order val="3"/>
          <c:tx>
            <c:strRef>
              <c:f>'18 KMP- Tháng (Tâm)'!$D$72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(Tâm)'!$R$72:$BS$72</c:f>
              <c:numCache>
                <c:formatCode>0.0%;\-0.0%;;</c:formatCode>
                <c:ptCount val="17"/>
                <c:pt idx="0">
                  <c:v>4.7338188666920536E-2</c:v>
                </c:pt>
                <c:pt idx="1">
                  <c:v>4.9050406560504273E-2</c:v>
                </c:pt>
                <c:pt idx="2">
                  <c:v>4.2190070017251877E-2</c:v>
                </c:pt>
                <c:pt idx="3">
                  <c:v>4.33306363610972E-2</c:v>
                </c:pt>
                <c:pt idx="4">
                  <c:v>3.7267521882112388E-2</c:v>
                </c:pt>
                <c:pt idx="5">
                  <c:v>4.6988183733967966E-2</c:v>
                </c:pt>
                <c:pt idx="6">
                  <c:v>4.6753665547935953E-2</c:v>
                </c:pt>
                <c:pt idx="7">
                  <c:v>5.2620352620113588E-2</c:v>
                </c:pt>
                <c:pt idx="8">
                  <c:v>5.0759210986536928E-2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4.70815096381869E-2</c:v>
                </c:pt>
                <c:pt idx="16">
                  <c:v>4.2190070017251877E-2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0-4F4A-98AE-EFA541856494}"/>
            </c:ext>
          </c:extLst>
        </c:ser>
        <c:ser>
          <c:idx val="14"/>
          <c:order val="4"/>
          <c:tx>
            <c:strRef>
              <c:f>'18 KMP- Tháng (Tâm)'!$D$83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(Tâm)'!$R$83:$BS$83</c:f>
              <c:numCache>
                <c:formatCode>0.0%;\-0.0%;;</c:formatCode>
                <c:ptCount val="17"/>
                <c:pt idx="0">
                  <c:v>6.9754862614493554E-2</c:v>
                </c:pt>
                <c:pt idx="1">
                  <c:v>6.899452728312272E-2</c:v>
                </c:pt>
                <c:pt idx="2">
                  <c:v>4.8250446325308144E-2</c:v>
                </c:pt>
                <c:pt idx="3">
                  <c:v>9.8645551329318432E-2</c:v>
                </c:pt>
                <c:pt idx="4">
                  <c:v>0.13880070182941048</c:v>
                </c:pt>
                <c:pt idx="5">
                  <c:v>7.6634864317940796E-2</c:v>
                </c:pt>
                <c:pt idx="6">
                  <c:v>7.5831040486389778E-2</c:v>
                </c:pt>
                <c:pt idx="7">
                  <c:v>8.3440519987093342E-2</c:v>
                </c:pt>
                <c:pt idx="8">
                  <c:v>7.6222018808485434E-2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8.7409119476173761E-2</c:v>
                </c:pt>
                <c:pt idx="16">
                  <c:v>4.8250446325308144E-2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0-4F4A-98AE-EFA541856494}"/>
            </c:ext>
          </c:extLst>
        </c:ser>
        <c:ser>
          <c:idx val="3"/>
          <c:order val="5"/>
          <c:tx>
            <c:strRef>
              <c:f>'18 KMP- Tháng (Tâm)'!$D$85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(Tâm)'!$R$85:$BR$85</c:f>
              <c:numCache>
                <c:formatCode>0.0%;\-0.0%;;</c:formatCode>
                <c:ptCount val="16"/>
                <c:pt idx="0">
                  <c:v>3.1347448821492596E-2</c:v>
                </c:pt>
                <c:pt idx="1">
                  <c:v>3.4476806454527116E-2</c:v>
                </c:pt>
                <c:pt idx="2">
                  <c:v>4.8520390865884694E-2</c:v>
                </c:pt>
                <c:pt idx="3">
                  <c:v>2.2546219188803261E-2</c:v>
                </c:pt>
                <c:pt idx="4">
                  <c:v>3.1263733022141547E-2</c:v>
                </c:pt>
                <c:pt idx="5">
                  <c:v>1.7385347211671655E-2</c:v>
                </c:pt>
                <c:pt idx="6">
                  <c:v>1.8501270568396885E-2</c:v>
                </c:pt>
                <c:pt idx="7">
                  <c:v>2.0831629365659462E-2</c:v>
                </c:pt>
                <c:pt idx="8">
                  <c:v>1.9356437567700002E-2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2.0802909269181036E-2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0-4F4A-98AE-EFA541856494}"/>
            </c:ext>
          </c:extLst>
        </c:ser>
        <c:ser>
          <c:idx val="4"/>
          <c:order val="6"/>
          <c:tx>
            <c:strRef>
              <c:f>'18 KMP- Tháng (Tâm)'!$D$73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(Tâm)'!$R$73:$BR$73</c:f>
              <c:numCache>
                <c:formatCode>0.0%;\-0.0%;;</c:formatCode>
                <c:ptCount val="16"/>
                <c:pt idx="0">
                  <c:v>1.2287112452854318E-2</c:v>
                </c:pt>
                <c:pt idx="1">
                  <c:v>1.1239803456889734E-2</c:v>
                </c:pt>
                <c:pt idx="2">
                  <c:v>5.6403500453105415E-3</c:v>
                </c:pt>
                <c:pt idx="3">
                  <c:v>1.2023871833951925E-2</c:v>
                </c:pt>
                <c:pt idx="4">
                  <c:v>1.0060059478348388E-2</c:v>
                </c:pt>
                <c:pt idx="5">
                  <c:v>1.9353336195913281E-2</c:v>
                </c:pt>
                <c:pt idx="6">
                  <c:v>2.0992119159449287E-2</c:v>
                </c:pt>
                <c:pt idx="7">
                  <c:v>1.783231376011676E-2</c:v>
                </c:pt>
                <c:pt idx="8">
                  <c:v>1.5242144013439336E-2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1.6418623875275127E-2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0-4F4A-98AE-EFA541856494}"/>
            </c:ext>
          </c:extLst>
        </c:ser>
        <c:ser>
          <c:idx val="5"/>
          <c:order val="7"/>
          <c:tx>
            <c:strRef>
              <c:f>'18 KMP- Tháng (Tâm)'!$D$74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(Tâm)'!$R$74:$BR$74</c:f>
              <c:numCache>
                <c:formatCode>0.0%;\-0.0%;;</c:formatCode>
                <c:ptCount val="16"/>
                <c:pt idx="0">
                  <c:v>1.1369586897380967E-2</c:v>
                </c:pt>
                <c:pt idx="1">
                  <c:v>1.2205124413144813E-2</c:v>
                </c:pt>
                <c:pt idx="2">
                  <c:v>1.110487457308461E-2</c:v>
                </c:pt>
                <c:pt idx="3">
                  <c:v>9.4156386904460324E-3</c:v>
                </c:pt>
                <c:pt idx="4">
                  <c:v>4.2898083246667145E-3</c:v>
                </c:pt>
                <c:pt idx="5">
                  <c:v>1.4473365025482807E-2</c:v>
                </c:pt>
                <c:pt idx="6">
                  <c:v>1.1261732682443872E-2</c:v>
                </c:pt>
                <c:pt idx="7">
                  <c:v>1.6220778582212672E-2</c:v>
                </c:pt>
                <c:pt idx="8">
                  <c:v>1.4223644348209715E-2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1.2294606348433034E-2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80-4F4A-98AE-EFA541856494}"/>
            </c:ext>
          </c:extLst>
        </c:ser>
        <c:ser>
          <c:idx val="6"/>
          <c:order val="8"/>
          <c:tx>
            <c:strRef>
              <c:f>'18 KMP- Tháng (Tâm)'!$D$75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(Tâm)'!$R$75:$BR$75</c:f>
              <c:numCache>
                <c:formatCode>0.0%;\-0.0%;;</c:formatCode>
                <c:ptCount val="16"/>
                <c:pt idx="0">
                  <c:v>7.2011888967003961E-3</c:v>
                </c:pt>
                <c:pt idx="1">
                  <c:v>6.1876369625455657E-3</c:v>
                </c:pt>
                <c:pt idx="2">
                  <c:v>7.4305090793390632E-3</c:v>
                </c:pt>
                <c:pt idx="3">
                  <c:v>7.6455738288423907E-3</c:v>
                </c:pt>
                <c:pt idx="4">
                  <c:v>5.727426410008409E-3</c:v>
                </c:pt>
                <c:pt idx="5">
                  <c:v>6.6800419652915388E-3</c:v>
                </c:pt>
                <c:pt idx="6">
                  <c:v>7.0961384456261272E-3</c:v>
                </c:pt>
                <c:pt idx="7">
                  <c:v>6.1219816551365998E-3</c:v>
                </c:pt>
                <c:pt idx="8">
                  <c:v>6.768558622821861E-3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6.7228929816910395E-3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80-4F4A-98AE-EFA541856494}"/>
            </c:ext>
          </c:extLst>
        </c:ser>
        <c:ser>
          <c:idx val="7"/>
          <c:order val="9"/>
          <c:tx>
            <c:strRef>
              <c:f>'18 KMP- Tháng (Tâm)'!$D$76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(Tâm)'!$R$76:$BS$76</c:f>
              <c:numCache>
                <c:formatCode>0.0%;\-0.0%;;</c:formatCode>
                <c:ptCount val="17"/>
                <c:pt idx="0">
                  <c:v>6.0586076733934128E-3</c:v>
                </c:pt>
                <c:pt idx="1">
                  <c:v>5.9250110663598898E-3</c:v>
                </c:pt>
                <c:pt idx="2">
                  <c:v>5.9566582486962737E-3</c:v>
                </c:pt>
                <c:pt idx="3">
                  <c:v>6.4094699864020851E-3</c:v>
                </c:pt>
                <c:pt idx="4">
                  <c:v>5.1683065638340681E-3</c:v>
                </c:pt>
                <c:pt idx="5">
                  <c:v>6.6804824447623144E-3</c:v>
                </c:pt>
                <c:pt idx="6">
                  <c:v>8.320004583665665E-3</c:v>
                </c:pt>
                <c:pt idx="7">
                  <c:v>7.0187779834237152E-3</c:v>
                </c:pt>
                <c:pt idx="8">
                  <c:v>7.2275855106772573E-3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6.96033371771922E-3</c:v>
                </c:pt>
                <c:pt idx="16">
                  <c:v>5.9566582486962737E-3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80-4F4A-98AE-EFA541856494}"/>
            </c:ext>
          </c:extLst>
        </c:ser>
        <c:ser>
          <c:idx val="8"/>
          <c:order val="10"/>
          <c:tx>
            <c:strRef>
              <c:f>'18 KMP- Tháng (Tâm)'!$D$77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(Tâm)'!$R$77:$BS$77</c:f>
              <c:numCache>
                <c:formatCode>0.0%;\-0.0%;;</c:formatCode>
                <c:ptCount val="17"/>
                <c:pt idx="0">
                  <c:v>3.1677199014415107E-3</c:v>
                </c:pt>
                <c:pt idx="1">
                  <c:v>1.8948650195759317E-3</c:v>
                </c:pt>
                <c:pt idx="2">
                  <c:v>1.9227222528806643E-3</c:v>
                </c:pt>
                <c:pt idx="3">
                  <c:v>1.7051789488404644E-3</c:v>
                </c:pt>
                <c:pt idx="4">
                  <c:v>1.5991008287286248E-3</c:v>
                </c:pt>
                <c:pt idx="5">
                  <c:v>2.8106909503469754E-3</c:v>
                </c:pt>
                <c:pt idx="6">
                  <c:v>3.2127473304394819E-3</c:v>
                </c:pt>
                <c:pt idx="7">
                  <c:v>3.189709887017922E-3</c:v>
                </c:pt>
                <c:pt idx="8">
                  <c:v>2.7994182799235957E-3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2.6615433687325837E-3</c:v>
                </c:pt>
                <c:pt idx="16">
                  <c:v>1.9227222528806643E-3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80-4F4A-98AE-EFA541856494}"/>
            </c:ext>
          </c:extLst>
        </c:ser>
        <c:ser>
          <c:idx val="9"/>
          <c:order val="11"/>
          <c:tx>
            <c:strRef>
              <c:f>'18 KMP- Tháng (Tâm)'!$D$78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(Tâm)'!$R$78:$BS$78</c:f>
              <c:numCache>
                <c:formatCode>0.0%;\-0.0%;;</c:formatCode>
                <c:ptCount val="17"/>
                <c:pt idx="0">
                  <c:v>2.1295750318425254E-3</c:v>
                </c:pt>
                <c:pt idx="1">
                  <c:v>2.6299328380214515E-3</c:v>
                </c:pt>
                <c:pt idx="2">
                  <c:v>3.9264745983556134E-3</c:v>
                </c:pt>
                <c:pt idx="3">
                  <c:v>2.6661726926221763E-3</c:v>
                </c:pt>
                <c:pt idx="4">
                  <c:v>1.1896219249905812E-3</c:v>
                </c:pt>
                <c:pt idx="5">
                  <c:v>2.8628169125323659E-3</c:v>
                </c:pt>
                <c:pt idx="6">
                  <c:v>3.7223265131715454E-3</c:v>
                </c:pt>
                <c:pt idx="7">
                  <c:v>3.4467302611473193E-3</c:v>
                </c:pt>
                <c:pt idx="8">
                  <c:v>3.4108618848266853E-3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3.0290637625878924E-3</c:v>
                </c:pt>
                <c:pt idx="16">
                  <c:v>3.9264745983556134E-3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80-4F4A-98AE-EFA541856494}"/>
            </c:ext>
          </c:extLst>
        </c:ser>
        <c:ser>
          <c:idx val="10"/>
          <c:order val="12"/>
          <c:tx>
            <c:strRef>
              <c:f>'18 KMP- Tháng (Tâm)'!$D$79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(Tâm)'!$R$79:$BS$79</c:f>
              <c:numCache>
                <c:formatCode>0.0%;\-0.0%;;</c:formatCode>
                <c:ptCount val="17"/>
                <c:pt idx="0">
                  <c:v>8.013038195309538E-4</c:v>
                </c:pt>
                <c:pt idx="1">
                  <c:v>7.4751031307809346E-4</c:v>
                </c:pt>
                <c:pt idx="2">
                  <c:v>1.0399566074525037E-3</c:v>
                </c:pt>
                <c:pt idx="3">
                  <c:v>7.3988773151478196E-4</c:v>
                </c:pt>
                <c:pt idx="4">
                  <c:v>6.1626771253774808E-4</c:v>
                </c:pt>
                <c:pt idx="5">
                  <c:v>8.1513660818689391E-4</c:v>
                </c:pt>
                <c:pt idx="6">
                  <c:v>8.9012447818674905E-4</c:v>
                </c:pt>
                <c:pt idx="7">
                  <c:v>7.5190553534476708E-4</c:v>
                </c:pt>
                <c:pt idx="8">
                  <c:v>9.0849249785735799E-4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8.0413884094740907E-4</c:v>
                </c:pt>
                <c:pt idx="16">
                  <c:v>1.0399566074525037E-3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80-4F4A-98AE-EFA541856494}"/>
            </c:ext>
          </c:extLst>
        </c:ser>
        <c:ser>
          <c:idx val="11"/>
          <c:order val="13"/>
          <c:tx>
            <c:strRef>
              <c:f>'18 KMP- Tháng (Tâm)'!$D$80</c:f>
              <c:strCache>
                <c:ptCount val="1"/>
                <c:pt idx="0">
                  <c:v>Nước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(Tâm)'!$R$80:$BS$80</c:f>
              <c:numCache>
                <c:formatCode>0.0%;\-0.0%;;</c:formatCode>
                <c:ptCount val="17"/>
                <c:pt idx="0">
                  <c:v>1.19283089980862E-3</c:v>
                </c:pt>
                <c:pt idx="1">
                  <c:v>1.2748620042716782E-3</c:v>
                </c:pt>
                <c:pt idx="2">
                  <c:v>1.8160404406335497E-3</c:v>
                </c:pt>
                <c:pt idx="3">
                  <c:v>1.1809129771653628E-3</c:v>
                </c:pt>
                <c:pt idx="4">
                  <c:v>1.1819100271771817E-3</c:v>
                </c:pt>
                <c:pt idx="5">
                  <c:v>8.6965988184137537E-4</c:v>
                </c:pt>
                <c:pt idx="6">
                  <c:v>1.011084690627214E-3</c:v>
                </c:pt>
                <c:pt idx="7">
                  <c:v>1.1178622687296402E-3</c:v>
                </c:pt>
                <c:pt idx="8">
                  <c:v>1.2838798352365064E-3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1.0974848520613589E-3</c:v>
                </c:pt>
                <c:pt idx="16">
                  <c:v>1.8160404406335497E-3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A980-4F4A-98AE-EFA541856494}"/>
            </c:ext>
          </c:extLst>
        </c:ser>
        <c:ser>
          <c:idx val="12"/>
          <c:order val="14"/>
          <c:tx>
            <c:strRef>
              <c:f>'18 KMP- Tháng (Tâm)'!$D$81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(Tâm)'!$R$81:$BS$81</c:f>
              <c:numCache>
                <c:formatCode>0.0%;\-0.0%;;</c:formatCode>
                <c:ptCount val="17"/>
                <c:pt idx="0">
                  <c:v>1.3193706123994128E-4</c:v>
                </c:pt>
                <c:pt idx="1">
                  <c:v>5.5912817100249308E-4</c:v>
                </c:pt>
                <c:pt idx="2">
                  <c:v>4.8370094766439525E-4</c:v>
                </c:pt>
                <c:pt idx="3">
                  <c:v>1.2686923740873528E-3</c:v>
                </c:pt>
                <c:pt idx="4">
                  <c:v>5.8974193212498111E-4</c:v>
                </c:pt>
                <c:pt idx="5">
                  <c:v>1.6396492772451298E-3</c:v>
                </c:pt>
                <c:pt idx="6">
                  <c:v>3.285951173232949E-4</c:v>
                </c:pt>
                <c:pt idx="7">
                  <c:v>2.3727373864983919E-5</c:v>
                </c:pt>
                <c:pt idx="8">
                  <c:v>6.8858358911156258E-4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7.5974765388817946E-4</c:v>
                </c:pt>
                <c:pt idx="16">
                  <c:v>4.8370094766439525E-4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80-4F4A-98AE-EFA541856494}"/>
            </c:ext>
          </c:extLst>
        </c:ser>
        <c:ser>
          <c:idx val="16"/>
          <c:order val="16"/>
          <c:tx>
            <c:strRef>
              <c:f>'18 KMP- Tháng (Tâm)'!$D$86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(Tâm)'!$R$86:$BS$86</c:f>
              <c:numCache>
                <c:formatCode>0.0%;\-0.0%;;</c:formatCode>
                <c:ptCount val="17"/>
                <c:pt idx="0">
                  <c:v>2.8694164912917045E-2</c:v>
                </c:pt>
                <c:pt idx="1">
                  <c:v>3.1893563884158094E-2</c:v>
                </c:pt>
                <c:pt idx="2">
                  <c:v>3.0018348713603517E-2</c:v>
                </c:pt>
                <c:pt idx="3">
                  <c:v>3.7118058429438758E-2</c:v>
                </c:pt>
                <c:pt idx="4">
                  <c:v>4.7846520712961027E-2</c:v>
                </c:pt>
                <c:pt idx="5">
                  <c:v>2.0426824879360386E-2</c:v>
                </c:pt>
                <c:pt idx="6">
                  <c:v>2.3084162982960267E-2</c:v>
                </c:pt>
                <c:pt idx="7">
                  <c:v>2.9987326481409983E-2</c:v>
                </c:pt>
                <c:pt idx="8">
                  <c:v>2.4638135090588102E-2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2.8767559375927312E-2</c:v>
                </c:pt>
                <c:pt idx="16">
                  <c:v>3.0018348713603517E-2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80-4F4A-98AE-EFA541856494}"/>
            </c:ext>
          </c:extLst>
        </c:ser>
        <c:ser>
          <c:idx val="17"/>
          <c:order val="17"/>
          <c:tx>
            <c:strRef>
              <c:f>'18 KMP- Tháng (Tâm)'!$D$87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(Tâm)'!$R$87:$BS$87</c:f>
              <c:numCache>
                <c:formatCode>0.0%;\-0.0%;;</c:formatCode>
                <c:ptCount val="17"/>
                <c:pt idx="0">
                  <c:v>8.2067361447929581E-3</c:v>
                </c:pt>
                <c:pt idx="1">
                  <c:v>8.0530618933681332E-3</c:v>
                </c:pt>
                <c:pt idx="2">
                  <c:v>6.8615571786710943E-3</c:v>
                </c:pt>
                <c:pt idx="3">
                  <c:v>6.3464195782089077E-3</c:v>
                </c:pt>
                <c:pt idx="4">
                  <c:v>7.7424000778233268E-3</c:v>
                </c:pt>
                <c:pt idx="5">
                  <c:v>4.9763678622203201E-3</c:v>
                </c:pt>
                <c:pt idx="6">
                  <c:v>4.6859977469356851E-3</c:v>
                </c:pt>
                <c:pt idx="7">
                  <c:v>5.4538175380639672E-3</c:v>
                </c:pt>
                <c:pt idx="8">
                  <c:v>5.2037295552775243E-3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5.5416690461447459E-3</c:v>
                </c:pt>
                <c:pt idx="16">
                  <c:v>6.8615571786710943E-3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80-4F4A-98AE-EFA541856494}"/>
            </c:ext>
          </c:extLst>
        </c:ser>
        <c:ser>
          <c:idx val="18"/>
          <c:order val="18"/>
          <c:tx>
            <c:strRef>
              <c:f>'18 KMP- Tháng (Tâm)'!$D$88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(Tâm)'!$R$88:$BS$88</c:f>
              <c:numCache>
                <c:formatCode>0.0%;\-0.0%;;</c:formatCode>
                <c:ptCount val="17"/>
                <c:pt idx="0">
                  <c:v>8.108146974407128E-3</c:v>
                </c:pt>
                <c:pt idx="1">
                  <c:v>9.7208912092087516E-3</c:v>
                </c:pt>
                <c:pt idx="2">
                  <c:v>1.0001722058910794E-2</c:v>
                </c:pt>
                <c:pt idx="3">
                  <c:v>1.0069434835982095E-2</c:v>
                </c:pt>
                <c:pt idx="4">
                  <c:v>1.0402409149902498E-2</c:v>
                </c:pt>
                <c:pt idx="5">
                  <c:v>7.0913353065537388E-3</c:v>
                </c:pt>
                <c:pt idx="6">
                  <c:v>8.2723188660237673E-3</c:v>
                </c:pt>
                <c:pt idx="7">
                  <c:v>1.1275681230437434E-2</c:v>
                </c:pt>
                <c:pt idx="8">
                  <c:v>8.9324313762252742E-3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9.1890118209960285E-3</c:v>
                </c:pt>
                <c:pt idx="16">
                  <c:v>1.0001722058910794E-2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80-4F4A-98AE-EFA541856494}"/>
            </c:ext>
          </c:extLst>
        </c:ser>
        <c:ser>
          <c:idx val="19"/>
          <c:order val="19"/>
          <c:tx>
            <c:strRef>
              <c:f>'18 KMP- Tháng (Tâm)'!$D$89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17"/>
                <c:pt idx="0">
                  <c:v> BQ TT 2024 </c:v>
                </c:pt>
                <c:pt idx="1">
                  <c:v> BQ TT 2025 </c:v>
                </c:pt>
                <c:pt idx="2">
                  <c:v> BQ KH 2026 </c:v>
                </c:pt>
                <c:pt idx="3">
                  <c:v> T1.26 </c:v>
                </c:pt>
                <c:pt idx="4">
                  <c:v> T2.26 </c:v>
                </c:pt>
                <c:pt idx="5">
                  <c:v> T3.26 </c:v>
                </c:pt>
                <c:pt idx="6">
                  <c:v> T4.26 </c:v>
                </c:pt>
                <c:pt idx="7">
                  <c:v> T5.26 </c:v>
                </c:pt>
                <c:pt idx="8">
                  <c:v> T6.26 </c:v>
                </c:pt>
                <c:pt idx="9">
                  <c:v> T7.26 </c:v>
                </c:pt>
                <c:pt idx="10">
                  <c:v> T8.26 </c:v>
                </c:pt>
                <c:pt idx="11">
                  <c:v> T9.26 </c:v>
                </c:pt>
                <c:pt idx="12">
                  <c:v> T10.26 </c:v>
                </c:pt>
                <c:pt idx="13">
                  <c:v> T11.26 </c:v>
                </c:pt>
                <c:pt idx="14">
                  <c:v> T12.26 </c:v>
                </c:pt>
                <c:pt idx="15">
                  <c:v> BQ TT 2026 </c:v>
                </c:pt>
                <c:pt idx="16">
                  <c:v> BQ KH 2026 </c:v>
                </c:pt>
              </c:strCache>
            </c:strRef>
          </c:cat>
          <c:val>
            <c:numRef>
              <c:f>'18 KMP- Tháng (Tâm)'!$R$89:$BS$89</c:f>
              <c:numCache>
                <c:formatCode>0.0%;\-0.0%;;</c:formatCode>
                <c:ptCount val="17"/>
                <c:pt idx="0">
                  <c:v>8.2359870023605078E-3</c:v>
                </c:pt>
                <c:pt idx="1">
                  <c:v>9.9551596671837647E-3</c:v>
                </c:pt>
                <c:pt idx="2">
                  <c:v>2.3880588648940087E-2</c:v>
                </c:pt>
                <c:pt idx="3">
                  <c:v>1.3102302847737689E-2</c:v>
                </c:pt>
                <c:pt idx="4">
                  <c:v>1.7189474616780151E-2</c:v>
                </c:pt>
                <c:pt idx="5">
                  <c:v>7.8773190192029195E-3</c:v>
                </c:pt>
                <c:pt idx="6">
                  <c:v>8.6260946942096454E-3</c:v>
                </c:pt>
                <c:pt idx="7">
                  <c:v>7.4965703019813099E-3</c:v>
                </c:pt>
                <c:pt idx="8">
                  <c:v>7.1189246053759096E-3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9.5673546961671206E-3</c:v>
                </c:pt>
                <c:pt idx="16">
                  <c:v>2.3880588648940087E-2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80-4F4A-98AE-EFA54185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0983968"/>
        <c:axId val="1840981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'18 KMP- Tháng (Tâm)'!$D$70</c15:sqref>
                        </c15:formulaRef>
                      </c:ext>
                    </c:extLst>
                    <c:strCache>
                      <c:ptCount val="1"/>
                      <c:pt idx="0">
                        <c:v>BIẾN PHÍ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17"/>
                      <c:pt idx="0">
                        <c:v> BQ TT 2024 </c:v>
                      </c:pt>
                      <c:pt idx="1">
                        <c:v> BQ TT 2025 </c:v>
                      </c:pt>
                      <c:pt idx="2">
                        <c:v> BQ KH 2026 </c:v>
                      </c:pt>
                      <c:pt idx="3">
                        <c:v> T1.26 </c:v>
                      </c:pt>
                      <c:pt idx="4">
                        <c:v> T2.26 </c:v>
                      </c:pt>
                      <c:pt idx="5">
                        <c:v> T3.26 </c:v>
                      </c:pt>
                      <c:pt idx="6">
                        <c:v> T4.26 </c:v>
                      </c:pt>
                      <c:pt idx="7">
                        <c:v> T5.26 </c:v>
                      </c:pt>
                      <c:pt idx="8">
                        <c:v> T6.26 </c:v>
                      </c:pt>
                      <c:pt idx="9">
                        <c:v> T7.26 </c:v>
                      </c:pt>
                      <c:pt idx="10">
                        <c:v> T8.26 </c:v>
                      </c:pt>
                      <c:pt idx="11">
                        <c:v> T9.26 </c:v>
                      </c:pt>
                      <c:pt idx="12">
                        <c:v> T10.26 </c:v>
                      </c:pt>
                      <c:pt idx="13">
                        <c:v> T11.26 </c:v>
                      </c:pt>
                      <c:pt idx="14">
                        <c:v> T12.26 </c:v>
                      </c:pt>
                      <c:pt idx="15">
                        <c:v> BQ TT 2026 </c:v>
                      </c:pt>
                      <c:pt idx="16">
                        <c:v> BQ KH 2026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'18 KMP- Tháng (Tâm)'!$R$70:$BS$70</c15:sqref>
                        </c15:formulaRef>
                      </c:ext>
                    </c:extLst>
                    <c:numCache>
                      <c:formatCode>0.0%;\-0.0%;;</c:formatCode>
                      <c:ptCount val="17"/>
                      <c:pt idx="0">
                        <c:v>0.7448059488983404</c:v>
                      </c:pt>
                      <c:pt idx="1">
                        <c:v>0.71567874606163262</c:v>
                      </c:pt>
                      <c:pt idx="2">
                        <c:v>0.6971582060491428</c:v>
                      </c:pt>
                      <c:pt idx="3">
                        <c:v>0.65990678942569636</c:v>
                      </c:pt>
                      <c:pt idx="4">
                        <c:v>0.55513038385190383</c:v>
                      </c:pt>
                      <c:pt idx="5">
                        <c:v>0.75161840865782203</c:v>
                      </c:pt>
                      <c:pt idx="6">
                        <c:v>0.73470537937697888</c:v>
                      </c:pt>
                      <c:pt idx="7">
                        <c:v>0.71059489851913848</c:v>
                      </c:pt>
                      <c:pt idx="8">
                        <c:v>0.72989061836756819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0.70278060975248746</c:v>
                      </c:pt>
                      <c:pt idx="16">
                        <c:v>0.6971582060491428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A980-4F4A-98AE-EFA541856494}"/>
                  </c:ext>
                </c:extLst>
              </c15:ser>
            </c15:filteredBarSeries>
            <c15:filteredBa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(Tâm)'!$D$82</c15:sqref>
                        </c15:formulaRef>
                      </c:ext>
                    </c:extLst>
                    <c:strCache>
                      <c:ptCount val="1"/>
                      <c:pt idx="0">
                        <c:v>ĐỊNH PHÍ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17"/>
                      <c:pt idx="0">
                        <c:v> BQ TT 2024 </c:v>
                      </c:pt>
                      <c:pt idx="1">
                        <c:v> BQ TT 2025 </c:v>
                      </c:pt>
                      <c:pt idx="2">
                        <c:v> BQ KH 2026 </c:v>
                      </c:pt>
                      <c:pt idx="3">
                        <c:v> T1.26 </c:v>
                      </c:pt>
                      <c:pt idx="4">
                        <c:v> T2.26 </c:v>
                      </c:pt>
                      <c:pt idx="5">
                        <c:v> T3.26 </c:v>
                      </c:pt>
                      <c:pt idx="6">
                        <c:v> T4.26 </c:v>
                      </c:pt>
                      <c:pt idx="7">
                        <c:v> T5.26 </c:v>
                      </c:pt>
                      <c:pt idx="8">
                        <c:v> T6.26 </c:v>
                      </c:pt>
                      <c:pt idx="9">
                        <c:v> T7.26 </c:v>
                      </c:pt>
                      <c:pt idx="10">
                        <c:v> T8.26 </c:v>
                      </c:pt>
                      <c:pt idx="11">
                        <c:v> T9.26 </c:v>
                      </c:pt>
                      <c:pt idx="12">
                        <c:v> T10.26 </c:v>
                      </c:pt>
                      <c:pt idx="13">
                        <c:v> T11.26 </c:v>
                      </c:pt>
                      <c:pt idx="14">
                        <c:v> T12.26 </c:v>
                      </c:pt>
                      <c:pt idx="15">
                        <c:v> BQ TT 2026 </c:v>
                      </c:pt>
                      <c:pt idx="16">
                        <c:v> BQ KH 2026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(Tâm)'!$R$82:$BS$82</c15:sqref>
                        </c15:formulaRef>
                      </c:ext>
                    </c:extLst>
                    <c:numCache>
                      <c:formatCode>0.0%;\-0.0%;;</c:formatCode>
                      <c:ptCount val="17"/>
                      <c:pt idx="0">
                        <c:v>0.25519405110165944</c:v>
                      </c:pt>
                      <c:pt idx="1">
                        <c:v>0.28432125393836727</c:v>
                      </c:pt>
                      <c:pt idx="2">
                        <c:v>0.30284179395085736</c:v>
                      </c:pt>
                      <c:pt idx="3">
                        <c:v>0.34009321057430381</c:v>
                      </c:pt>
                      <c:pt idx="4">
                        <c:v>0.44486961614809645</c:v>
                      </c:pt>
                      <c:pt idx="5">
                        <c:v>0.24838159134217799</c:v>
                      </c:pt>
                      <c:pt idx="6">
                        <c:v>0.26529462062302112</c:v>
                      </c:pt>
                      <c:pt idx="7">
                        <c:v>0.28940510148086174</c:v>
                      </c:pt>
                      <c:pt idx="8">
                        <c:v>0.2701093816324317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0.29721939024751237</c:v>
                      </c:pt>
                      <c:pt idx="16">
                        <c:v>0.30284179395085736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80-4F4A-98AE-EFA541856494}"/>
                  </c:ext>
                </c:extLst>
              </c15:ser>
            </c15:filteredBarSeries>
          </c:ext>
        </c:extLst>
      </c:barChart>
      <c:catAx>
        <c:axId val="18409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1568"/>
        <c:crosses val="autoZero"/>
        <c:auto val="1"/>
        <c:lblAlgn val="ctr"/>
        <c:lblOffset val="100"/>
        <c:noMultiLvlLbl val="0"/>
      </c:catAx>
      <c:valAx>
        <c:axId val="1840981568"/>
        <c:scaling>
          <c:orientation val="minMax"/>
          <c:max val="1"/>
          <c:min val="0"/>
        </c:scaling>
        <c:delete val="0"/>
        <c:axPos val="l"/>
        <c:numFmt formatCode="0.0%;\-0.0%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396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7567123846018"/>
          <c:y val="1.845695858640543E-2"/>
          <c:w val="0.16875519128393898"/>
          <c:h val="0.966589076432097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'KMP- PET'!$F$67:$AE$67</c:f>
              <c:numCache>
                <c:formatCode>0.0%</c:formatCode>
                <c:ptCount val="9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8-4891-B09A-85A004117EC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'KMP- PET'!$F$80:$AE$80</c:f>
              <c:numCache>
                <c:formatCode>0.0%</c:formatCode>
                <c:ptCount val="9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8-4891-B09A-85A004117EC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'KMP- PET'!$F$68:$AE$68</c:f>
              <c:numCache>
                <c:formatCode>0.0%</c:formatCode>
                <c:ptCount val="9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8-4891-B09A-85A004117EC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'KMP- PET'!$F$79:$AE$79</c:f>
              <c:numCache>
                <c:formatCode>0.0%</c:formatCode>
                <c:ptCount val="9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8-4891-B09A-85A004117EC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'KMP- PET'!$F$81:$AE$81</c:f>
              <c:numCache>
                <c:formatCode>0.0%</c:formatCode>
                <c:ptCount val="9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8-4891-B09A-85A004117EC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'KMP- PET'!$F$69:$AE$69</c:f>
              <c:numCache>
                <c:formatCode>0.0%</c:formatCode>
                <c:ptCount val="9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8-4891-B09A-85A004117EC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'KMP- PET'!$F$70:$AE$70</c:f>
              <c:numCache>
                <c:formatCode>0.0%</c:formatCode>
                <c:ptCount val="9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8-4891-B09A-85A004117EC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'KMP- PET'!$F$71:$AE$71</c:f>
              <c:numCache>
                <c:formatCode>0.0%</c:formatCode>
                <c:ptCount val="9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8-4891-B09A-85A004117EC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'KMP- PET'!$F$72:$AE$72</c:f>
              <c:numCache>
                <c:formatCode>0.0%</c:formatCode>
                <c:ptCount val="9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8-4891-B09A-85A004117EC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'KMP- PET'!$F$73:$AE$73</c:f>
              <c:numCache>
                <c:formatCode>0.0%</c:formatCode>
                <c:ptCount val="9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8-4891-B09A-85A004117EC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'KMP- PET'!$F$74:$AE$74</c:f>
              <c:numCache>
                <c:formatCode>0.0%</c:formatCode>
                <c:ptCount val="9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8-4891-B09A-85A004117EC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'KMP- PET'!$F$75:$AE$75</c:f>
              <c:numCache>
                <c:formatCode>0.0%</c:formatCode>
                <c:ptCount val="9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8-4891-B09A-85A004117EC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'KMP- PET'!$F$76:$AE$76</c:f>
              <c:numCache>
                <c:formatCode>0.0%</c:formatCode>
                <c:ptCount val="9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8-4891-B09A-85A004117EC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'KMP- PET'!$F$77:$AE$77</c:f>
              <c:numCache>
                <c:formatCode>0.0%</c:formatCode>
                <c:ptCount val="9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8-4891-B09A-85A004117EC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'KMP- PET'!$F$82:$AE$82</c:f>
              <c:numCache>
                <c:formatCode>0.0%</c:formatCode>
                <c:ptCount val="9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8-4891-B09A-85A004117EC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'KMP- PET'!$F$83:$AE$83</c:f>
              <c:numCache>
                <c:formatCode>0.0%</c:formatCode>
                <c:ptCount val="9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D8-4891-B09A-85A004117EC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'KMP- PET'!$F$84:$AE$84</c:f>
              <c:numCache>
                <c:formatCode>0.0%</c:formatCode>
                <c:ptCount val="9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D8-4891-B09A-85A004117EC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'KMP- PET'!$F$85:$AE$85</c:f>
              <c:numCache>
                <c:formatCode>0.0%</c:formatCode>
                <c:ptCount val="9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D8-4891-B09A-85A004117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102973520714977"/>
          <c:y val="2.6351637774797002E-2"/>
          <c:w val="0.23871397720854515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FF"/>
                </a:solidFill>
              </a:rPr>
              <a:t>CƠ</a:t>
            </a:r>
            <a:r>
              <a:rPr lang="en-US" b="1" baseline="0">
                <a:solidFill>
                  <a:srgbClr val="0000FF"/>
                </a:solidFill>
              </a:rPr>
              <a:t> CẤU CHI PHÍ NVL VÀ CP SẢN XUẤT</a:t>
            </a:r>
            <a:endParaRPr lang="en-US" b="1">
              <a:solidFill>
                <a:srgbClr val="0000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65174922557107E-2"/>
          <c:y val="0.14856481481481484"/>
          <c:w val="0.91758098490945095"/>
          <c:h val="0.74440616797900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'KMP- PET'!$B$91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PET'!$C$91:$AE$91</c15:sqref>
                  </c15:fullRef>
                </c:ext>
              </c:extLst>
              <c:f>'KMP- PET'!$C$91:$AD$91</c:f>
              <c:numCache>
                <c:formatCode>0%</c:formatCode>
                <c:ptCount val="10"/>
                <c:pt idx="1">
                  <c:v>8.3937332351351049E-2</c:v>
                </c:pt>
                <c:pt idx="2">
                  <c:v>0.62826929386024077</c:v>
                </c:pt>
                <c:pt idx="3">
                  <c:v>0.4957275333209506</c:v>
                </c:pt>
                <c:pt idx="4">
                  <c:v>0.61598471624404982</c:v>
                </c:pt>
                <c:pt idx="5">
                  <c:v>0.71789075893057108</c:v>
                </c:pt>
                <c:pt idx="6">
                  <c:v>0.69068921207810463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2C8-BEF4-773537A1308A}"/>
            </c:ext>
          </c:extLst>
        </c:ser>
        <c:ser>
          <c:idx val="1"/>
          <c:order val="1"/>
          <c:tx>
            <c:strRef>
              <c:f>'KMP- PET'!$B$92</c:f>
              <c:strCache>
                <c:ptCount val="1"/>
                <c:pt idx="0">
                  <c:v>Chi phí sản suất / tấn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PET'!$C$92:$AE$92</c15:sqref>
                  </c15:fullRef>
                </c:ext>
              </c:extLst>
              <c:f>'KMP- PET'!$C$92:$AD$92</c:f>
              <c:numCache>
                <c:formatCode>0%</c:formatCode>
                <c:ptCount val="10"/>
                <c:pt idx="1">
                  <c:v>0.91606266764864885</c:v>
                </c:pt>
                <c:pt idx="2">
                  <c:v>0.37173070613975923</c:v>
                </c:pt>
                <c:pt idx="3">
                  <c:v>0.50427246667904946</c:v>
                </c:pt>
                <c:pt idx="4">
                  <c:v>0.38401528375595012</c:v>
                </c:pt>
                <c:pt idx="5">
                  <c:v>0.28210924106942897</c:v>
                </c:pt>
                <c:pt idx="6">
                  <c:v>0.30931078792189542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2C8-BEF4-773537A130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579792"/>
        <c:axId val="1624602832"/>
      </c:barChart>
      <c:catAx>
        <c:axId val="16245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02832"/>
        <c:crosses val="autoZero"/>
        <c:auto val="1"/>
        <c:lblAlgn val="ctr"/>
        <c:lblOffset val="100"/>
        <c:noMultiLvlLbl val="0"/>
      </c:catAx>
      <c:valAx>
        <c:axId val="16246028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7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331108</xdr:colOff>
      <xdr:row>66</xdr:row>
      <xdr:rowOff>38100</xdr:rowOff>
    </xdr:from>
    <xdr:to>
      <xdr:col>12</xdr:col>
      <xdr:colOff>445408</xdr:colOff>
      <xdr:row>88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2C493-D3DB-4C85-A36D-D93444B12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122765</xdr:colOff>
      <xdr:row>36</xdr:row>
      <xdr:rowOff>33867</xdr:rowOff>
    </xdr:from>
    <xdr:to>
      <xdr:col>13</xdr:col>
      <xdr:colOff>328083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0ECAF3-FF96-4BBC-B5E6-F08D58A5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54163</xdr:colOff>
      <xdr:row>9</xdr:row>
      <xdr:rowOff>40341</xdr:rowOff>
    </xdr:from>
    <xdr:to>
      <xdr:col>26</xdr:col>
      <xdr:colOff>560295</xdr:colOff>
      <xdr:row>35</xdr:row>
      <xdr:rowOff>1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5ACBC301-40C3-4FFF-B468-2396806E8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796774</xdr:colOff>
      <xdr:row>36</xdr:row>
      <xdr:rowOff>66524</xdr:rowOff>
    </xdr:from>
    <xdr:to>
      <xdr:col>29</xdr:col>
      <xdr:colOff>488611</xdr:colOff>
      <xdr:row>62</xdr:row>
      <xdr:rowOff>26183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D48FB-E5BA-4AC4-A111-90E59B90E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84666</xdr:colOff>
      <xdr:row>3</xdr:row>
      <xdr:rowOff>21167</xdr:rowOff>
    </xdr:from>
    <xdr:to>
      <xdr:col>13</xdr:col>
      <xdr:colOff>613834</xdr:colOff>
      <xdr:row>34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3CB08E-364C-4E96-BCC3-96AAB2B01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44</xdr:row>
      <xdr:rowOff>0</xdr:rowOff>
    </xdr:from>
    <xdr:to>
      <xdr:col>48</xdr:col>
      <xdr:colOff>243417</xdr:colOff>
      <xdr:row>68</xdr:row>
      <xdr:rowOff>78317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CB45-FA9B-48AC-9989-9225A8A9A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278694</xdr:colOff>
      <xdr:row>93</xdr:row>
      <xdr:rowOff>28929</xdr:rowOff>
    </xdr:from>
    <xdr:to>
      <xdr:col>30</xdr:col>
      <xdr:colOff>663222</xdr:colOff>
      <xdr:row>107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C8A5C8-CBBF-8232-372A-D1FD3647A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8D920BA-A5BE-4497-86ED-4EFBDBD4C5A0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3-08-12T03:18:37.21" personId="{E8D920BA-A5BE-4497-86ED-4EFBDBD4C5A0}" id="{CB2BDF9E-8B8A-4CA4-BCB8-7A1EA2E0E122}">
    <text>Cơ cấu CP lương không tăng so với T1 nên % nhựa tăng so với tổng CP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3-08-14T06:29:11.61" personId="{E8D920BA-A5BE-4497-86ED-4EFBDBD4C5A0}" id="{A7E02C92-B36E-4E2E-AD1A-89E66777C807}">
    <text>Cộng 966tr phí hỗ trợ trạm</text>
  </threadedComment>
  <threadedComment ref="G33" dT="2023-07-26T08:13:28.90" personId="{E8D920BA-A5BE-4497-86ED-4EFBDBD4C5A0}" id="{5FB2906F-AC7A-4F8D-973D-963AAD2F8264}">
    <text>CP bảo hiểm cháy nổ thanh toán 2 lần, mỗi lần phân bổ 6 tháng ( lần 1 từ T11.22 đến T4.23, lần 2 từ T02.23 đến T7.23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787B-CC5B-43F1-B422-17234ACE241D}">
  <sheetPr>
    <tabColor rgb="FF00B050"/>
  </sheetPr>
  <dimension ref="A1:AM37"/>
  <sheetViews>
    <sheetView showGridLines="0" zoomScale="85" zoomScaleNormal="85" workbookViewId="0">
      <pane xSplit="5" ySplit="2" topLeftCell="O3" activePane="bottomRight" state="frozen"/>
      <selection activeCell="L33" sqref="L33"/>
      <selection pane="topRight" activeCell="L33" sqref="L33"/>
      <selection pane="bottomLeft" activeCell="L33" sqref="L33"/>
      <selection pane="bottomRight" activeCell="L33" sqref="L33"/>
    </sheetView>
  </sheetViews>
  <sheetFormatPr defaultRowHeight="14.5" x14ac:dyDescent="0.35"/>
  <cols>
    <col min="1" max="1" width="13.54296875" bestFit="1" customWidth="1"/>
    <col min="2" max="2" width="28.26953125" customWidth="1"/>
    <col min="3" max="3" width="10.54296875" customWidth="1"/>
    <col min="4" max="4" width="10.26953125" hidden="1" customWidth="1"/>
    <col min="5" max="5" width="35.54296875" customWidth="1"/>
    <col min="6" max="6" width="11.26953125" customWidth="1"/>
    <col min="7" max="7" width="12.26953125" customWidth="1"/>
    <col min="8" max="8" width="10.26953125" bestFit="1" customWidth="1"/>
    <col min="9" max="11" width="12.26953125" customWidth="1"/>
    <col min="12" max="13" width="10.54296875" customWidth="1"/>
    <col min="14" max="14" width="10.26953125" bestFit="1" customWidth="1"/>
    <col min="15" max="18" width="10.26953125" customWidth="1"/>
    <col min="20" max="20" width="9.26953125" hidden="1" customWidth="1"/>
    <col min="21" max="21" width="10.26953125" bestFit="1" customWidth="1"/>
    <col min="22" max="22" width="10.54296875" customWidth="1"/>
    <col min="23" max="23" width="14.453125" customWidth="1"/>
    <col min="24" max="24" width="10" customWidth="1"/>
    <col min="25" max="25" width="9" customWidth="1"/>
    <col min="26" max="26" width="13.26953125" customWidth="1"/>
    <col min="29" max="38" width="8.26953125" style="855" customWidth="1"/>
  </cols>
  <sheetData>
    <row r="1" spans="3:39" s="749" customFormat="1" ht="15" thickBot="1" x14ac:dyDescent="0.4">
      <c r="F1" s="749" t="s">
        <v>332</v>
      </c>
      <c r="G1" s="749" t="s">
        <v>333</v>
      </c>
      <c r="H1" s="749" t="s">
        <v>332</v>
      </c>
      <c r="I1" s="749" t="s">
        <v>333</v>
      </c>
      <c r="J1" s="749" t="s">
        <v>332</v>
      </c>
      <c r="L1" s="749" t="s">
        <v>332</v>
      </c>
      <c r="M1" s="749" t="s">
        <v>333</v>
      </c>
      <c r="N1" s="749" t="s">
        <v>332</v>
      </c>
      <c r="R1" s="749" t="s">
        <v>332</v>
      </c>
      <c r="S1" s="749" t="s">
        <v>333</v>
      </c>
      <c r="U1" s="749" t="s">
        <v>332</v>
      </c>
      <c r="V1" s="749" t="s">
        <v>333</v>
      </c>
      <c r="W1" s="749" t="s">
        <v>333</v>
      </c>
      <c r="X1" s="749" t="s">
        <v>332</v>
      </c>
      <c r="Y1" s="749" t="s">
        <v>333</v>
      </c>
      <c r="Z1" s="749" t="s">
        <v>333</v>
      </c>
      <c r="AC1" s="750" t="s">
        <v>334</v>
      </c>
      <c r="AD1" s="750" t="s">
        <v>334</v>
      </c>
      <c r="AE1" s="750" t="s">
        <v>334</v>
      </c>
      <c r="AF1" s="750" t="s">
        <v>334</v>
      </c>
      <c r="AG1" s="750"/>
      <c r="AH1" s="750"/>
      <c r="AI1" s="750"/>
      <c r="AJ1" s="750"/>
      <c r="AK1" s="750"/>
      <c r="AL1" s="750" t="s">
        <v>334</v>
      </c>
    </row>
    <row r="2" spans="3:39" ht="56" thickTop="1" x14ac:dyDescent="0.35">
      <c r="C2" s="751" t="s">
        <v>57</v>
      </c>
      <c r="D2" s="751" t="s">
        <v>58</v>
      </c>
      <c r="E2" s="752" t="s">
        <v>335</v>
      </c>
      <c r="F2" s="753" t="s">
        <v>257</v>
      </c>
      <c r="G2" s="754" t="s">
        <v>336</v>
      </c>
      <c r="H2" s="753" t="s">
        <v>174</v>
      </c>
      <c r="I2" s="754" t="s">
        <v>337</v>
      </c>
      <c r="J2" s="753" t="s">
        <v>240</v>
      </c>
      <c r="K2" s="754" t="s">
        <v>339</v>
      </c>
      <c r="L2" s="755" t="s">
        <v>351</v>
      </c>
      <c r="M2" s="756" t="s">
        <v>114</v>
      </c>
      <c r="N2" s="757" t="s">
        <v>262</v>
      </c>
      <c r="O2" s="940" t="s">
        <v>263</v>
      </c>
      <c r="P2" s="946" t="s">
        <v>264</v>
      </c>
      <c r="Q2" s="975" t="s">
        <v>364</v>
      </c>
      <c r="R2" s="758" t="s">
        <v>366</v>
      </c>
      <c r="S2" s="759" t="s">
        <v>367</v>
      </c>
      <c r="T2" s="760" t="s">
        <v>338</v>
      </c>
      <c r="U2" s="761" t="s">
        <v>274</v>
      </c>
      <c r="V2" s="762" t="s">
        <v>352</v>
      </c>
      <c r="W2" s="763" t="s">
        <v>353</v>
      </c>
      <c r="X2" s="755" t="s">
        <v>368</v>
      </c>
      <c r="Y2" s="764" t="s">
        <v>369</v>
      </c>
      <c r="Z2" s="765" t="s">
        <v>370</v>
      </c>
      <c r="AC2" s="766" t="s">
        <v>257</v>
      </c>
      <c r="AD2" s="766" t="s">
        <v>174</v>
      </c>
      <c r="AE2" s="766" t="s">
        <v>240</v>
      </c>
      <c r="AF2" s="766" t="s">
        <v>351</v>
      </c>
      <c r="AG2" s="766">
        <v>1</v>
      </c>
      <c r="AH2" s="766">
        <v>2</v>
      </c>
      <c r="AI2" s="766">
        <v>3</v>
      </c>
      <c r="AJ2" s="766">
        <v>4</v>
      </c>
      <c r="AK2" s="766">
        <v>5</v>
      </c>
      <c r="AL2" s="766" t="s">
        <v>274</v>
      </c>
      <c r="AM2" s="766" t="s">
        <v>368</v>
      </c>
    </row>
    <row r="3" spans="3:39" ht="24.75" customHeight="1" x14ac:dyDescent="0.35">
      <c r="C3" s="767" t="s">
        <v>161</v>
      </c>
      <c r="D3" s="768"/>
      <c r="E3" s="769" t="s">
        <v>162</v>
      </c>
      <c r="F3" s="770">
        <v>21.103404110336594</v>
      </c>
      <c r="G3" s="771">
        <f t="shared" ref="G3:G23" si="0">IFERROR(F3/F$23,0)</f>
        <v>0.8556985283742734</v>
      </c>
      <c r="H3" s="770">
        <v>21.105215855282399</v>
      </c>
      <c r="I3" s="771">
        <f t="shared" ref="I3:K23" si="1">IFERROR(H3/H$23,0)</f>
        <v>0.74480594889834051</v>
      </c>
      <c r="J3" s="770">
        <v>22.537179165276907</v>
      </c>
      <c r="K3" s="771">
        <f t="shared" si="1"/>
        <v>0.71567874606163273</v>
      </c>
      <c r="L3" s="770">
        <v>20.181590265472188</v>
      </c>
      <c r="M3" s="771">
        <f t="shared" ref="M3:M23" si="2">IFERROR(L3/L$23,0)</f>
        <v>0.69714186246047405</v>
      </c>
      <c r="N3" s="772">
        <v>21.773668561837258</v>
      </c>
      <c r="O3" s="775">
        <v>20.618295506418431</v>
      </c>
      <c r="P3" s="947">
        <v>21.397890233153475</v>
      </c>
      <c r="Q3" s="773">
        <v>20.698947335239502</v>
      </c>
      <c r="R3" s="773">
        <v>22.1318724822078</v>
      </c>
      <c r="S3" s="774">
        <f>IFERROR(R3/R$23,0)</f>
        <v>0.71059489851913837</v>
      </c>
      <c r="T3" s="775"/>
      <c r="U3" s="770">
        <v>21.34537847401506</v>
      </c>
      <c r="V3" s="776">
        <f>IFERROR(U3/U$23,0)</f>
        <v>0.6964650692580947</v>
      </c>
      <c r="W3" s="777">
        <f t="shared" ref="W3:W31" si="3">U3-H3</f>
        <v>0.24016261873266131</v>
      </c>
      <c r="X3" s="770">
        <v>20.124577269291272</v>
      </c>
      <c r="Y3" s="778">
        <f>IFERROR(X3/X$23,0)</f>
        <v>0.69349147243143516</v>
      </c>
      <c r="Z3" s="779">
        <f t="shared" ref="Z3:Z31" si="4">R3-X3</f>
        <v>2.007295212916528</v>
      </c>
      <c r="AC3" s="780">
        <f>F3-'18 KMP- Tháng (Tâm)'!Q40</f>
        <v>0</v>
      </c>
      <c r="AD3" s="780">
        <f>H3-'18 KMP- Tháng (Tâm)'!AD40</f>
        <v>0</v>
      </c>
      <c r="AE3" s="780">
        <f>J3-'18 KMP- Tháng (Tâm)'!AQ40</f>
        <v>0</v>
      </c>
      <c r="AF3" s="781">
        <f>L3-'18 KMP- Tháng (Tâm)'!BE40</f>
        <v>-4.1127797619822104E-4</v>
      </c>
      <c r="AG3" s="781">
        <f>N3-'18 KMP- Tháng (Tâm)'!BF40</f>
        <v>0</v>
      </c>
      <c r="AH3" s="781">
        <f>O3-'18 KMP- Tháng (Tâm)'!BG40</f>
        <v>0</v>
      </c>
      <c r="AI3" s="781">
        <f>P3-'18 KMP- Tháng (Tâm)'!BH40</f>
        <v>0</v>
      </c>
      <c r="AJ3" s="781">
        <f>Q3-'18 KMP- Tháng (Tâm)'!BI40</f>
        <v>0</v>
      </c>
      <c r="AK3" s="781">
        <f>R3-'18 KMP- Tháng (Tâm)'!BJ40</f>
        <v>0</v>
      </c>
      <c r="AL3" s="782">
        <f>U3-'18 KMP- Tháng (Tâm)'!BR40</f>
        <v>-0.19896252192305397</v>
      </c>
      <c r="AM3" s="782">
        <f>X3-'18 KMP- Tháng (Tâm)'!AW40</f>
        <v>0</v>
      </c>
    </row>
    <row r="4" spans="3:39" ht="24.75" customHeight="1" x14ac:dyDescent="0.35">
      <c r="C4" s="783">
        <v>1</v>
      </c>
      <c r="D4" s="784" t="s">
        <v>96</v>
      </c>
      <c r="E4" s="784" t="s">
        <v>322</v>
      </c>
      <c r="F4" s="785">
        <v>19.326224119829444</v>
      </c>
      <c r="G4" s="786">
        <f t="shared" si="0"/>
        <v>0.78363762793459935</v>
      </c>
      <c r="H4" s="785">
        <v>18.507378036232243</v>
      </c>
      <c r="I4" s="786">
        <f t="shared" si="1"/>
        <v>0.65312789759722734</v>
      </c>
      <c r="J4" s="785">
        <v>19.649038096535882</v>
      </c>
      <c r="K4" s="786">
        <f t="shared" si="1"/>
        <v>0.62396446525623883</v>
      </c>
      <c r="L4" s="787">
        <v>17.822332942135915</v>
      </c>
      <c r="M4" s="788">
        <f t="shared" si="2"/>
        <v>0.61564496242539246</v>
      </c>
      <c r="N4" s="789">
        <v>18.923355557251615</v>
      </c>
      <c r="O4" s="792">
        <v>18.104205808086963</v>
      </c>
      <c r="P4" s="948">
        <v>18.460638735672415</v>
      </c>
      <c r="Q4" s="790">
        <v>17.780534371153539</v>
      </c>
      <c r="R4" s="790">
        <v>18.757434115061756</v>
      </c>
      <c r="S4" s="791">
        <f t="shared" ref="S4:S23" si="5">IFERROR(R4/R$23,0)</f>
        <v>0.60225075859203048</v>
      </c>
      <c r="T4" s="792"/>
      <c r="U4" s="785">
        <v>18.388297990062355</v>
      </c>
      <c r="V4" s="793">
        <f t="shared" ref="V4:V23" si="6">IFERROR(U4/U$23,0)</f>
        <v>0.59998033057964817</v>
      </c>
      <c r="W4" s="794">
        <f t="shared" si="3"/>
        <v>-0.11908004616988777</v>
      </c>
      <c r="X4" s="785">
        <v>17.818768695321094</v>
      </c>
      <c r="Y4" s="795">
        <f t="shared" ref="Y4:Y23" si="7">IFERROR(X4/X$23,0)</f>
        <v>0.61403347628521743</v>
      </c>
      <c r="Z4" s="796">
        <f t="shared" si="4"/>
        <v>0.93866541974066209</v>
      </c>
      <c r="AC4" s="780">
        <f>F4-'18 KMP- Tháng (Tâm)'!Q41</f>
        <v>0</v>
      </c>
      <c r="AD4" s="780">
        <f>H4-'18 KMP- Tháng (Tâm)'!AD41</f>
        <v>0</v>
      </c>
      <c r="AE4" s="780">
        <f>J4-'18 KMP- Tháng (Tâm)'!AQ41</f>
        <v>0</v>
      </c>
      <c r="AF4" s="781">
        <f>L4-'18 KMP- Tháng (Tâm)'!BE41</f>
        <v>0</v>
      </c>
      <c r="AG4" s="781">
        <f>N4-'18 KMP- Tháng (Tâm)'!BF41</f>
        <v>0</v>
      </c>
      <c r="AH4" s="781">
        <f>O4-'18 KMP- Tháng (Tâm)'!BG41</f>
        <v>0</v>
      </c>
      <c r="AI4" s="781">
        <f>P4-'18 KMP- Tháng (Tâm)'!BH41</f>
        <v>0</v>
      </c>
      <c r="AJ4" s="781">
        <f>Q4-'18 KMP- Tháng (Tâm)'!BI41</f>
        <v>0</v>
      </c>
      <c r="AK4" s="781">
        <f>R4-'18 KMP- Tháng (Tâm)'!BJ41</f>
        <v>0</v>
      </c>
      <c r="AL4" s="782">
        <f>U4-'18 KMP- Tháng (Tâm)'!BR41</f>
        <v>-0.156982322787659</v>
      </c>
      <c r="AM4" s="782">
        <f>X4-'18 KMP- Tháng (Tâm)'!AW41</f>
        <v>0</v>
      </c>
    </row>
    <row r="5" spans="3:39" ht="24.75" customHeight="1" x14ac:dyDescent="0.35">
      <c r="C5" s="797">
        <v>2</v>
      </c>
      <c r="D5" s="798" t="s">
        <v>96</v>
      </c>
      <c r="E5" s="798" t="s">
        <v>25</v>
      </c>
      <c r="F5" s="799">
        <v>0.77740656314822498</v>
      </c>
      <c r="G5" s="800">
        <f t="shared" si="0"/>
        <v>3.152219654025417E-2</v>
      </c>
      <c r="H5" s="799">
        <v>1.3413999867901256</v>
      </c>
      <c r="I5" s="800">
        <f t="shared" si="1"/>
        <v>4.7338188666920536E-2</v>
      </c>
      <c r="J5" s="799">
        <v>1.5446285178469712</v>
      </c>
      <c r="K5" s="800">
        <f t="shared" si="1"/>
        <v>4.9050406560504273E-2</v>
      </c>
      <c r="L5" s="799">
        <v>1.2213584388998098</v>
      </c>
      <c r="M5" s="800">
        <f t="shared" si="2"/>
        <v>4.2189940714590604E-2</v>
      </c>
      <c r="N5" s="801">
        <v>1.4296972387889886</v>
      </c>
      <c r="O5" s="941">
        <v>1.3841663171553198</v>
      </c>
      <c r="P5" s="949">
        <v>1.3377107135922071</v>
      </c>
      <c r="Q5" s="802">
        <v>1.3171969173912532</v>
      </c>
      <c r="R5" s="802">
        <v>1.6388900857353923</v>
      </c>
      <c r="S5" s="803">
        <f t="shared" si="5"/>
        <v>5.2620352620113588E-2</v>
      </c>
      <c r="T5" s="792"/>
      <c r="U5" s="799">
        <v>1.4169203858263513</v>
      </c>
      <c r="V5" s="804">
        <f t="shared" si="6"/>
        <v>4.6231813403968779E-2</v>
      </c>
      <c r="W5" s="794">
        <f t="shared" si="3"/>
        <v>7.5520399036225649E-2</v>
      </c>
      <c r="X5" s="799">
        <v>1.1702205199797147</v>
      </c>
      <c r="Y5" s="805">
        <f t="shared" si="7"/>
        <v>4.0325714205612824E-2</v>
      </c>
      <c r="Z5" s="796">
        <f t="shared" si="4"/>
        <v>0.46866956575567764</v>
      </c>
      <c r="AC5" s="780">
        <f>F5-'18 KMP- Tháng (Tâm)'!Q42</f>
        <v>0</v>
      </c>
      <c r="AD5" s="780">
        <f>H5-'18 KMP- Tháng (Tâm)'!AD42</f>
        <v>0</v>
      </c>
      <c r="AE5" s="780">
        <f>J5-'18 KMP- Tháng (Tâm)'!AQ42</f>
        <v>0</v>
      </c>
      <c r="AF5" s="781">
        <f>L5-'18 KMP- Tháng (Tâm)'!BE42</f>
        <v>0</v>
      </c>
      <c r="AG5" s="781">
        <f>N5-'18 KMP- Tháng (Tâm)'!BF42</f>
        <v>0</v>
      </c>
      <c r="AH5" s="781">
        <f>O5-'18 KMP- Tháng (Tâm)'!BG42</f>
        <v>0</v>
      </c>
      <c r="AI5" s="781">
        <f>P5-'18 KMP- Tháng (Tâm)'!BH42</f>
        <v>0</v>
      </c>
      <c r="AJ5" s="781">
        <f>Q5-'18 KMP- Tháng (Tâm)'!BI42</f>
        <v>0</v>
      </c>
      <c r="AK5" s="781">
        <f>R5-'18 KMP- Tháng (Tâm)'!BJ42</f>
        <v>0</v>
      </c>
      <c r="AL5" s="782">
        <f>U5-'18 KMP- Tháng (Tâm)'!BR42</f>
        <v>-2.6403582098555312E-2</v>
      </c>
      <c r="AM5" s="782">
        <f>X5-'18 KMP- Tháng (Tâm)'!AW42</f>
        <v>0</v>
      </c>
    </row>
    <row r="6" spans="3:39" ht="24.75" customHeight="1" x14ac:dyDescent="0.35">
      <c r="C6" s="797">
        <v>3</v>
      </c>
      <c r="D6" s="798" t="s">
        <v>96</v>
      </c>
      <c r="E6" s="798" t="s">
        <v>165</v>
      </c>
      <c r="F6" s="799">
        <v>0.24640421535210622</v>
      </c>
      <c r="G6" s="800">
        <f t="shared" si="0"/>
        <v>9.9911712517858752E-3</v>
      </c>
      <c r="H6" s="799">
        <v>0.3481741263468533</v>
      </c>
      <c r="I6" s="800">
        <f t="shared" si="1"/>
        <v>1.2287112452854318E-2</v>
      </c>
      <c r="J6" s="799">
        <v>0.35394856377166722</v>
      </c>
      <c r="K6" s="800">
        <f t="shared" si="1"/>
        <v>1.1239803456889734E-2</v>
      </c>
      <c r="L6" s="799">
        <v>0.16237096173973625</v>
      </c>
      <c r="M6" s="800">
        <f t="shared" si="2"/>
        <v>5.6088540688688723E-3</v>
      </c>
      <c r="N6" s="801">
        <v>0.39672845368104515</v>
      </c>
      <c r="O6" s="941">
        <v>0.37364425578274252</v>
      </c>
      <c r="P6" s="949">
        <v>0.55097182133280997</v>
      </c>
      <c r="Q6" s="802">
        <v>0.59141362120551788</v>
      </c>
      <c r="R6" s="802">
        <v>0.55539730868331616</v>
      </c>
      <c r="S6" s="803">
        <f t="shared" si="5"/>
        <v>1.783231376011676E-2</v>
      </c>
      <c r="T6" s="792"/>
      <c r="U6" s="799">
        <v>0.50913359242255996</v>
      </c>
      <c r="V6" s="804">
        <f t="shared" si="6"/>
        <v>1.6612203111782155E-2</v>
      </c>
      <c r="W6" s="794">
        <f t="shared" si="3"/>
        <v>0.16095946607570666</v>
      </c>
      <c r="X6" s="799">
        <v>0.16150261887789097</v>
      </c>
      <c r="Y6" s="805">
        <f t="shared" si="7"/>
        <v>5.5653685276692445E-3</v>
      </c>
      <c r="Z6" s="796">
        <f t="shared" si="4"/>
        <v>0.39389468980542519</v>
      </c>
      <c r="AC6" s="780">
        <f>F6-'18 KMP- Tháng (Tâm)'!Q43</f>
        <v>0</v>
      </c>
      <c r="AD6" s="780">
        <f>H6-'18 KMP- Tháng (Tâm)'!AD43</f>
        <v>0</v>
      </c>
      <c r="AE6" s="780">
        <f>J6-'18 KMP- Tháng (Tâm)'!AQ43</f>
        <v>0</v>
      </c>
      <c r="AF6" s="781">
        <f>L6-'18 KMP- Tháng (Tâm)'!BE43</f>
        <v>-9.1127797619758311E-4</v>
      </c>
      <c r="AG6" s="781">
        <f>N6-'18 KMP- Tháng (Tâm)'!BF43</f>
        <v>0</v>
      </c>
      <c r="AH6" s="781">
        <f>O6-'18 KMP- Tháng (Tâm)'!BG43</f>
        <v>0</v>
      </c>
      <c r="AI6" s="781">
        <f>P6-'18 KMP- Tháng (Tâm)'!BH43</f>
        <v>0</v>
      </c>
      <c r="AJ6" s="781">
        <f>Q6-'18 KMP- Tháng (Tâm)'!BI43</f>
        <v>0</v>
      </c>
      <c r="AK6" s="781">
        <f>R6-'18 KMP- Tháng (Tâm)'!BJ43</f>
        <v>0</v>
      </c>
      <c r="AL6" s="782">
        <f>U6-'18 KMP- Tháng (Tâm)'!BR43</f>
        <v>5.8066273010294323E-3</v>
      </c>
      <c r="AM6" s="782">
        <f>X6-'18 KMP- Tháng (Tâm)'!AW43</f>
        <v>0</v>
      </c>
    </row>
    <row r="7" spans="3:39" ht="24.75" customHeight="1" x14ac:dyDescent="0.35">
      <c r="C7" s="797">
        <v>4</v>
      </c>
      <c r="D7" s="798" t="s">
        <v>96</v>
      </c>
      <c r="E7" s="798" t="s">
        <v>54</v>
      </c>
      <c r="F7" s="799">
        <v>0.26214899795194962</v>
      </c>
      <c r="G7" s="800">
        <f t="shared" si="0"/>
        <v>1.0629588979552355E-2</v>
      </c>
      <c r="H7" s="799">
        <v>0.32217463623852971</v>
      </c>
      <c r="I7" s="800">
        <f t="shared" si="1"/>
        <v>1.1369586897380967E-2</v>
      </c>
      <c r="J7" s="799">
        <v>0.38434713500609036</v>
      </c>
      <c r="K7" s="800">
        <f t="shared" si="1"/>
        <v>1.2205124413144813E-2</v>
      </c>
      <c r="L7" s="799">
        <v>0.32147451443467079</v>
      </c>
      <c r="M7" s="800">
        <f t="shared" si="2"/>
        <v>1.1104840539250704E-2</v>
      </c>
      <c r="N7" s="801">
        <v>0.31066962702748069</v>
      </c>
      <c r="O7" s="941">
        <v>0.15932930042515597</v>
      </c>
      <c r="P7" s="949">
        <v>0.41204349514626631</v>
      </c>
      <c r="Q7" s="802">
        <v>0.3172782155142545</v>
      </c>
      <c r="R7" s="802">
        <v>0.50520515119345388</v>
      </c>
      <c r="S7" s="803">
        <f t="shared" si="5"/>
        <v>1.6220778582212672E-2</v>
      </c>
      <c r="T7" s="792"/>
      <c r="U7" s="799">
        <v>0.3631170322860709</v>
      </c>
      <c r="V7" s="804">
        <f t="shared" si="6"/>
        <v>1.1847919649107167E-2</v>
      </c>
      <c r="W7" s="794">
        <f t="shared" si="3"/>
        <v>4.0942396047541185E-2</v>
      </c>
      <c r="X7" s="799">
        <v>0.32224191510539973</v>
      </c>
      <c r="Y7" s="805">
        <f t="shared" si="7"/>
        <v>1.1104433012194109E-2</v>
      </c>
      <c r="Z7" s="796">
        <f t="shared" si="4"/>
        <v>0.18296323608805415</v>
      </c>
      <c r="AC7" s="780">
        <f>F7-'18 KMP- Tháng (Tâm)'!Q44</f>
        <v>0</v>
      </c>
      <c r="AD7" s="780">
        <f>H7-'18 KMP- Tháng (Tâm)'!AD44</f>
        <v>0</v>
      </c>
      <c r="AE7" s="780">
        <f>J7-'18 KMP- Tháng (Tâm)'!AQ44</f>
        <v>0</v>
      </c>
      <c r="AF7" s="781">
        <f>L7-'18 KMP- Tháng (Tâm)'!BE44</f>
        <v>0</v>
      </c>
      <c r="AG7" s="781">
        <f>N7-'18 KMP- Tháng (Tâm)'!BF44</f>
        <v>0</v>
      </c>
      <c r="AH7" s="781">
        <f>O7-'18 KMP- Tháng (Tâm)'!BG44</f>
        <v>0</v>
      </c>
      <c r="AI7" s="781">
        <f>P7-'18 KMP- Tháng (Tâm)'!BH44</f>
        <v>0</v>
      </c>
      <c r="AJ7" s="781">
        <f>Q7-'18 KMP- Tháng (Tâm)'!BI44</f>
        <v>0</v>
      </c>
      <c r="AK7" s="781">
        <f>R7-'18 KMP- Tháng (Tâm)'!BJ44</f>
        <v>0</v>
      </c>
      <c r="AL7" s="782">
        <f>U7-'18 KMP- Tháng (Tâm)'!BR44</f>
        <v>-1.3784646425233749E-2</v>
      </c>
      <c r="AM7" s="782">
        <f>X7-'18 KMP- Tháng (Tâm)'!AW44</f>
        <v>0</v>
      </c>
    </row>
    <row r="8" spans="3:39" ht="24.75" customHeight="1" x14ac:dyDescent="0.35">
      <c r="C8" s="797">
        <v>5</v>
      </c>
      <c r="D8" s="798" t="s">
        <v>96</v>
      </c>
      <c r="E8" s="798" t="s">
        <v>49</v>
      </c>
      <c r="F8" s="799">
        <v>0.16637840604902243</v>
      </c>
      <c r="G8" s="800">
        <f t="shared" si="0"/>
        <v>6.7462934636062866E-3</v>
      </c>
      <c r="H8" s="799">
        <v>0.20405670269460893</v>
      </c>
      <c r="I8" s="800">
        <f t="shared" si="1"/>
        <v>7.2011888967003961E-3</v>
      </c>
      <c r="J8" s="799">
        <v>0.19485262570948264</v>
      </c>
      <c r="K8" s="800">
        <f t="shared" si="1"/>
        <v>6.1876369625455657E-3</v>
      </c>
      <c r="L8" s="799">
        <v>0.21560547305708302</v>
      </c>
      <c r="M8" s="800">
        <f t="shared" si="2"/>
        <v>7.4477580342536837E-3</v>
      </c>
      <c r="N8" s="801">
        <v>0.2522662187778803</v>
      </c>
      <c r="O8" s="941">
        <v>0.2127243862845784</v>
      </c>
      <c r="P8" s="949">
        <v>0.19017469912879792</v>
      </c>
      <c r="Q8" s="802">
        <v>0.19992040359652483</v>
      </c>
      <c r="R8" s="802">
        <v>0.19067251624274012</v>
      </c>
      <c r="S8" s="803">
        <f t="shared" si="5"/>
        <v>6.1219816551365998E-3</v>
      </c>
      <c r="T8" s="792"/>
      <c r="U8" s="799">
        <v>0.20573619396331566</v>
      </c>
      <c r="V8" s="804">
        <f t="shared" si="6"/>
        <v>6.7128382264099997E-3</v>
      </c>
      <c r="W8" s="794">
        <f t="shared" si="3"/>
        <v>1.6794912687067287E-3</v>
      </c>
      <c r="X8" s="799">
        <v>0.21531319931446263</v>
      </c>
      <c r="Y8" s="805">
        <f t="shared" si="7"/>
        <v>7.4196772249402031E-3</v>
      </c>
      <c r="Z8" s="796">
        <f t="shared" si="4"/>
        <v>-2.4640683071722513E-2</v>
      </c>
      <c r="AC8" s="780">
        <f>F8-'18 KMP- Tháng (Tâm)'!Q45</f>
        <v>0</v>
      </c>
      <c r="AD8" s="780">
        <f>H8-'18 KMP- Tháng (Tâm)'!AD45</f>
        <v>0</v>
      </c>
      <c r="AE8" s="780">
        <f>J8-'18 KMP- Tháng (Tâm)'!AQ45</f>
        <v>0</v>
      </c>
      <c r="AF8" s="781">
        <f>L8-'18 KMP- Tháng (Tâm)'!BE45</f>
        <v>5.0000000000000044E-4</v>
      </c>
      <c r="AG8" s="781">
        <f>N8-'18 KMP- Tháng (Tâm)'!BF45</f>
        <v>0</v>
      </c>
      <c r="AH8" s="781">
        <f>O8-'18 KMP- Tháng (Tâm)'!BG45</f>
        <v>0</v>
      </c>
      <c r="AI8" s="781">
        <f>P8-'18 KMP- Tháng (Tâm)'!BH45</f>
        <v>0</v>
      </c>
      <c r="AJ8" s="781">
        <f>Q8-'18 KMP- Tháng (Tâm)'!BI45</f>
        <v>0</v>
      </c>
      <c r="AK8" s="781">
        <f>R8-'18 KMP- Tháng (Tâm)'!BJ45</f>
        <v>0</v>
      </c>
      <c r="AL8" s="782">
        <f>U8-'18 KMP- Tháng (Tâm)'!BR45</f>
        <v>-3.5984350101087026E-4</v>
      </c>
      <c r="AM8" s="782">
        <f>X8-'18 KMP- Tháng (Tâm)'!AW45</f>
        <v>0</v>
      </c>
    </row>
    <row r="9" spans="3:39" ht="24.75" customHeight="1" x14ac:dyDescent="0.35">
      <c r="C9" s="797">
        <v>6</v>
      </c>
      <c r="D9" s="798" t="s">
        <v>96</v>
      </c>
      <c r="E9" s="798" t="s">
        <v>56</v>
      </c>
      <c r="F9" s="799">
        <v>9.8549699727078097E-2</v>
      </c>
      <c r="G9" s="800">
        <f t="shared" si="0"/>
        <v>3.9959824769162438E-3</v>
      </c>
      <c r="H9" s="799">
        <v>0.17167991598156684</v>
      </c>
      <c r="I9" s="800">
        <f t="shared" si="1"/>
        <v>6.0586076733934128E-3</v>
      </c>
      <c r="J9" s="799">
        <v>0.18658236910573509</v>
      </c>
      <c r="K9" s="800">
        <f t="shared" si="1"/>
        <v>5.9250110663598898E-3</v>
      </c>
      <c r="L9" s="799">
        <v>0.17243903166580332</v>
      </c>
      <c r="M9" s="800">
        <f t="shared" si="2"/>
        <v>5.9566399929369554E-3</v>
      </c>
      <c r="N9" s="801">
        <v>0.21148088999420181</v>
      </c>
      <c r="O9" s="941">
        <v>0.19195791673568549</v>
      </c>
      <c r="P9" s="949">
        <v>0.19018723917738778</v>
      </c>
      <c r="Q9" s="802">
        <v>0.23440053869250738</v>
      </c>
      <c r="R9" s="802">
        <v>0.21860373559363172</v>
      </c>
      <c r="S9" s="803">
        <f t="shared" si="5"/>
        <v>7.0187779834237152E-3</v>
      </c>
      <c r="T9" s="792"/>
      <c r="U9" s="799">
        <v>0.21143784126198115</v>
      </c>
      <c r="V9" s="804">
        <f t="shared" si="6"/>
        <v>6.8988737275178583E-3</v>
      </c>
      <c r="W9" s="794">
        <f t="shared" si="3"/>
        <v>3.9757925280414302E-2</v>
      </c>
      <c r="X9" s="799">
        <v>0.17175222641212443</v>
      </c>
      <c r="Y9" s="805">
        <f t="shared" si="7"/>
        <v>5.9185692595726284E-3</v>
      </c>
      <c r="Z9" s="796">
        <f t="shared" si="4"/>
        <v>4.6851509181507295E-2</v>
      </c>
      <c r="AC9" s="780">
        <f>F9-'18 KMP- Tháng (Tâm)'!Q46</f>
        <v>0</v>
      </c>
      <c r="AD9" s="780">
        <f>H9-'18 KMP- Tháng (Tâm)'!AD46</f>
        <v>0</v>
      </c>
      <c r="AE9" s="780">
        <f>J9-'18 KMP- Tháng (Tâm)'!AQ46</f>
        <v>0</v>
      </c>
      <c r="AF9" s="781">
        <f>L9-'18 KMP- Tháng (Tâm)'!BE46</f>
        <v>0</v>
      </c>
      <c r="AG9" s="781">
        <f>N9-'18 KMP- Tháng (Tâm)'!BF46</f>
        <v>0</v>
      </c>
      <c r="AH9" s="781">
        <f>O9-'18 KMP- Tháng (Tâm)'!BG46</f>
        <v>0</v>
      </c>
      <c r="AI9" s="781">
        <f>P9-'18 KMP- Tháng (Tâm)'!BH46</f>
        <v>0</v>
      </c>
      <c r="AJ9" s="781">
        <f>Q9-'18 KMP- Tháng (Tâm)'!BI46</f>
        <v>0</v>
      </c>
      <c r="AK9" s="781">
        <f>R9-'18 KMP- Tháng (Tâm)'!BJ46</f>
        <v>0</v>
      </c>
      <c r="AL9" s="782">
        <f>U9-'18 KMP- Tháng (Tâm)'!BR46</f>
        <v>-1.9371451550196372E-3</v>
      </c>
      <c r="AM9" s="782">
        <f>X9-'18 KMP- Tháng (Tâm)'!AW46</f>
        <v>0</v>
      </c>
    </row>
    <row r="10" spans="3:39" ht="24.75" customHeight="1" x14ac:dyDescent="0.35">
      <c r="C10" s="797">
        <v>7</v>
      </c>
      <c r="D10" s="798" t="s">
        <v>96</v>
      </c>
      <c r="E10" s="798" t="s">
        <v>28</v>
      </c>
      <c r="F10" s="799">
        <v>8.7574391456592168E-2</v>
      </c>
      <c r="G10" s="800">
        <f t="shared" si="0"/>
        <v>3.5509568741079862E-3</v>
      </c>
      <c r="H10" s="799">
        <v>8.9762188913614802E-2</v>
      </c>
      <c r="I10" s="800">
        <f t="shared" si="1"/>
        <v>3.1677199014415107E-3</v>
      </c>
      <c r="J10" s="799">
        <v>5.9670505342240596E-2</v>
      </c>
      <c r="K10" s="800">
        <f t="shared" si="1"/>
        <v>1.8948650195759317E-3</v>
      </c>
      <c r="L10" s="799">
        <v>5.5660800000000003E-2</v>
      </c>
      <c r="M10" s="800">
        <f t="shared" si="2"/>
        <v>1.9227163601882823E-3</v>
      </c>
      <c r="N10" s="801">
        <v>5.6262493227242111E-2</v>
      </c>
      <c r="O10" s="941">
        <v>5.9392774004748496E-2</v>
      </c>
      <c r="P10" s="949">
        <v>8.0017806565223101E-2</v>
      </c>
      <c r="Q10" s="802">
        <v>9.0513135824035668E-2</v>
      </c>
      <c r="R10" s="802">
        <v>9.9345284664771341E-2</v>
      </c>
      <c r="S10" s="803">
        <f t="shared" si="5"/>
        <v>3.189709887017922E-3</v>
      </c>
      <c r="T10" s="792"/>
      <c r="U10" s="799">
        <v>8.0597361951392887E-2</v>
      </c>
      <c r="V10" s="804">
        <f t="shared" si="6"/>
        <v>2.6297611607979106E-3</v>
      </c>
      <c r="W10" s="794">
        <f t="shared" si="3"/>
        <v>-9.1648269622219142E-3</v>
      </c>
      <c r="X10" s="799">
        <v>5.595174909529553E-2</v>
      </c>
      <c r="Y10" s="805">
        <f t="shared" si="7"/>
        <v>1.928093213884299E-3</v>
      </c>
      <c r="Z10" s="796">
        <f t="shared" si="4"/>
        <v>4.3393535569475811E-2</v>
      </c>
      <c r="AC10" s="780">
        <f>F10-'18 KMP- Tháng (Tâm)'!Q47</f>
        <v>0</v>
      </c>
      <c r="AD10" s="780">
        <f>H10-'18 KMP- Tháng (Tâm)'!AD47</f>
        <v>0</v>
      </c>
      <c r="AE10" s="780">
        <f>J10-'18 KMP- Tháng (Tâm)'!AQ47</f>
        <v>0</v>
      </c>
      <c r="AF10" s="781">
        <f>L10-'18 KMP- Tháng (Tâm)'!BE47</f>
        <v>0</v>
      </c>
      <c r="AG10" s="781">
        <f>N10-'18 KMP- Tháng (Tâm)'!BF47</f>
        <v>0</v>
      </c>
      <c r="AH10" s="781">
        <f>O10-'18 KMP- Tháng (Tâm)'!BG47</f>
        <v>0</v>
      </c>
      <c r="AI10" s="781">
        <f>P10-'18 KMP- Tháng (Tâm)'!BH47</f>
        <v>0</v>
      </c>
      <c r="AJ10" s="781">
        <f>Q10-'18 KMP- Tháng (Tâm)'!BI47</f>
        <v>0</v>
      </c>
      <c r="AK10" s="781">
        <f>R10-'18 KMP- Tháng (Tâm)'!BJ47</f>
        <v>0</v>
      </c>
      <c r="AL10" s="782">
        <f>U10-'18 KMP- Tháng (Tâm)'!BR47</f>
        <v>-9.9452763083057727E-4</v>
      </c>
      <c r="AM10" s="782">
        <f>X10-'18 KMP- Tháng (Tâm)'!AW47</f>
        <v>0</v>
      </c>
    </row>
    <row r="11" spans="3:39" ht="24.75" customHeight="1" x14ac:dyDescent="0.35">
      <c r="C11" s="797">
        <v>8</v>
      </c>
      <c r="D11" s="798" t="s">
        <v>96</v>
      </c>
      <c r="E11" s="798" t="s">
        <v>53</v>
      </c>
      <c r="F11" s="799">
        <v>6.5260353702097512E-2</v>
      </c>
      <c r="G11" s="800">
        <f t="shared" si="0"/>
        <v>2.6461697047594811E-3</v>
      </c>
      <c r="H11" s="799">
        <v>6.0344766034073405E-2</v>
      </c>
      <c r="I11" s="800">
        <f t="shared" si="1"/>
        <v>2.1295750318425254E-3</v>
      </c>
      <c r="J11" s="799">
        <v>8.2818258735924938E-2</v>
      </c>
      <c r="K11" s="800">
        <f t="shared" si="1"/>
        <v>2.6299328380214515E-3</v>
      </c>
      <c r="L11" s="799">
        <v>0.11366733650516329</v>
      </c>
      <c r="M11" s="800">
        <f t="shared" si="2"/>
        <v>3.9264625646326361E-3</v>
      </c>
      <c r="N11" s="801">
        <v>8.7970545943766215E-2</v>
      </c>
      <c r="O11" s="941">
        <v>4.4184172050135272E-2</v>
      </c>
      <c r="P11" s="949">
        <v>8.1501785143039282E-2</v>
      </c>
      <c r="Q11" s="802">
        <v>0.1048695744218444</v>
      </c>
      <c r="R11" s="802">
        <v>0.10735032685887591</v>
      </c>
      <c r="S11" s="803">
        <f t="shared" si="5"/>
        <v>3.4467302611473193E-3</v>
      </c>
      <c r="T11" s="792"/>
      <c r="U11" s="799">
        <v>9.0127158877348235E-2</v>
      </c>
      <c r="V11" s="804">
        <f t="shared" si="6"/>
        <v>2.9407029735247672E-3</v>
      </c>
      <c r="W11" s="794">
        <f t="shared" si="3"/>
        <v>2.978239284327483E-2</v>
      </c>
      <c r="X11" s="799">
        <v>0.11384383671511566</v>
      </c>
      <c r="Y11" s="805">
        <f t="shared" si="7"/>
        <v>3.9230503525299549E-3</v>
      </c>
      <c r="Z11" s="796">
        <f t="shared" si="4"/>
        <v>-6.4935098562397542E-3</v>
      </c>
      <c r="AC11" s="780">
        <f>F11-'18 KMP- Tháng (Tâm)'!Q48</f>
        <v>0</v>
      </c>
      <c r="AD11" s="780">
        <f>H11-'18 KMP- Tháng (Tâm)'!AD48</f>
        <v>0</v>
      </c>
      <c r="AE11" s="780">
        <f>J11-'18 KMP- Tháng (Tâm)'!AQ48</f>
        <v>0</v>
      </c>
      <c r="AF11" s="781">
        <f>L11-'18 KMP- Tháng (Tâm)'!BE48</f>
        <v>0</v>
      </c>
      <c r="AG11" s="781">
        <f>N11-'18 KMP- Tháng (Tâm)'!BF48</f>
        <v>0</v>
      </c>
      <c r="AH11" s="781">
        <f>O11-'18 KMP- Tháng (Tâm)'!BG48</f>
        <v>0</v>
      </c>
      <c r="AI11" s="781">
        <f>P11-'18 KMP- Tháng (Tâm)'!BH48</f>
        <v>0</v>
      </c>
      <c r="AJ11" s="781">
        <f>Q11-'18 KMP- Tháng (Tâm)'!BI48</f>
        <v>0</v>
      </c>
      <c r="AK11" s="781">
        <f>R11-'18 KMP- Tháng (Tâm)'!BJ48</f>
        <v>0</v>
      </c>
      <c r="AL11" s="782">
        <f>U11-'18 KMP- Tháng (Tâm)'!BR48</f>
        <v>-2.7313828838089749E-3</v>
      </c>
      <c r="AM11" s="782">
        <f>X11-'18 KMP- Tháng (Tâm)'!AW48</f>
        <v>0</v>
      </c>
    </row>
    <row r="12" spans="3:39" ht="24.75" customHeight="1" x14ac:dyDescent="0.35">
      <c r="C12" s="797">
        <v>9</v>
      </c>
      <c r="D12" s="798" t="s">
        <v>96</v>
      </c>
      <c r="E12" s="798" t="s">
        <v>42</v>
      </c>
      <c r="F12" s="799">
        <v>3.0350639052575047E-2</v>
      </c>
      <c r="G12" s="800">
        <f t="shared" si="0"/>
        <v>1.2306544023286956E-3</v>
      </c>
      <c r="H12" s="799">
        <v>2.2706169441688132E-2</v>
      </c>
      <c r="I12" s="800">
        <f t="shared" si="1"/>
        <v>8.013038195309538E-4</v>
      </c>
      <c r="J12" s="799">
        <v>2.3539575467960615E-2</v>
      </c>
      <c r="K12" s="800">
        <f t="shared" si="1"/>
        <v>7.4751031307809346E-4</v>
      </c>
      <c r="L12" s="799">
        <v>3.0105657043999999E-2</v>
      </c>
      <c r="M12" s="800">
        <f t="shared" si="2"/>
        <v>1.0399534202296121E-3</v>
      </c>
      <c r="N12" s="801">
        <v>2.4412645084304661E-2</v>
      </c>
      <c r="O12" s="941">
        <v>2.2889018828336369E-2</v>
      </c>
      <c r="P12" s="949">
        <v>2.320619541258314E-2</v>
      </c>
      <c r="Q12" s="802">
        <v>2.5077589211908221E-2</v>
      </c>
      <c r="R12" s="802">
        <v>2.3418515192828088E-2</v>
      </c>
      <c r="S12" s="803">
        <f t="shared" si="5"/>
        <v>7.5190553534476708E-4</v>
      </c>
      <c r="T12" s="792"/>
      <c r="U12" s="799">
        <v>2.3905142377902151E-2</v>
      </c>
      <c r="V12" s="804">
        <f t="shared" si="6"/>
        <v>7.7998601252810419E-4</v>
      </c>
      <c r="W12" s="794">
        <f t="shared" si="3"/>
        <v>1.198972936214019E-3</v>
      </c>
      <c r="X12" s="799">
        <v>2.9519560691596305E-2</v>
      </c>
      <c r="Y12" s="805">
        <f t="shared" si="7"/>
        <v>1.0172419194505239E-3</v>
      </c>
      <c r="Z12" s="796">
        <f t="shared" si="4"/>
        <v>-6.1010454987682171E-3</v>
      </c>
      <c r="AC12" s="780">
        <f>F12-'18 KMP- Tháng (Tâm)'!Q49</f>
        <v>0</v>
      </c>
      <c r="AD12" s="780">
        <f>H12-'18 KMP- Tháng (Tâm)'!AD49</f>
        <v>0</v>
      </c>
      <c r="AE12" s="780">
        <f>J12-'18 KMP- Tháng (Tâm)'!AQ49</f>
        <v>0</v>
      </c>
      <c r="AF12" s="781">
        <f>L12-'18 KMP- Tháng (Tâm)'!BE49</f>
        <v>0</v>
      </c>
      <c r="AG12" s="781">
        <f>N12-'18 KMP- Tháng (Tâm)'!BF49</f>
        <v>0</v>
      </c>
      <c r="AH12" s="781">
        <f>O12-'18 KMP- Tháng (Tâm)'!BG49</f>
        <v>0</v>
      </c>
      <c r="AI12" s="781">
        <f>P12-'18 KMP- Tháng (Tâm)'!BH49</f>
        <v>0</v>
      </c>
      <c r="AJ12" s="781">
        <f>Q12-'18 KMP- Tháng (Tâm)'!BI49</f>
        <v>0</v>
      </c>
      <c r="AK12" s="781">
        <f>R12-'18 KMP- Tháng (Tâm)'!BJ49</f>
        <v>0</v>
      </c>
      <c r="AL12" s="782">
        <f>U12-'18 KMP- Tháng (Tâm)'!BR49</f>
        <v>-7.4642193254602016E-4</v>
      </c>
      <c r="AM12" s="782">
        <f>X12-'18 KMP- Tháng (Tâm)'!AW49</f>
        <v>0</v>
      </c>
    </row>
    <row r="13" spans="3:39" ht="24.75" customHeight="1" x14ac:dyDescent="0.35">
      <c r="C13" s="797">
        <v>10</v>
      </c>
      <c r="D13" s="798" t="s">
        <v>96</v>
      </c>
      <c r="E13" s="798" t="s">
        <v>52</v>
      </c>
      <c r="F13" s="799">
        <v>3.4821989353318636E-2</v>
      </c>
      <c r="G13" s="800">
        <f t="shared" si="0"/>
        <v>1.411958226687444E-3</v>
      </c>
      <c r="H13" s="799">
        <v>3.3800688161189509E-2</v>
      </c>
      <c r="I13" s="800">
        <f t="shared" si="1"/>
        <v>1.19283089980862E-3</v>
      </c>
      <c r="J13" s="799">
        <v>4.014621582572539E-2</v>
      </c>
      <c r="K13" s="800">
        <f t="shared" si="1"/>
        <v>1.2748620042716782E-3</v>
      </c>
      <c r="L13" s="799">
        <v>5.2572473016616016E-2</v>
      </c>
      <c r="M13" s="800">
        <f t="shared" si="2"/>
        <v>1.8160348748958806E-3</v>
      </c>
      <c r="N13" s="801">
        <v>3.8964302500279539E-2</v>
      </c>
      <c r="O13" s="941">
        <v>4.3897741703936836E-2</v>
      </c>
      <c r="P13" s="949">
        <v>2.4758423260347207E-2</v>
      </c>
      <c r="Q13" s="802">
        <v>2.8485416535954381E-2</v>
      </c>
      <c r="R13" s="802">
        <v>3.4816440753732171E-2</v>
      </c>
      <c r="S13" s="803">
        <f t="shared" si="5"/>
        <v>1.1178622687296402E-3</v>
      </c>
      <c r="T13" s="792"/>
      <c r="U13" s="799">
        <v>3.2312855447920626E-2</v>
      </c>
      <c r="V13" s="804">
        <f t="shared" si="6"/>
        <v>1.0543160494839285E-3</v>
      </c>
      <c r="W13" s="794">
        <f t="shared" si="3"/>
        <v>-1.4878327132688829E-3</v>
      </c>
      <c r="X13" s="799">
        <v>5.3434828906441509E-2</v>
      </c>
      <c r="Y13" s="805">
        <f t="shared" si="7"/>
        <v>1.8413603268077471E-3</v>
      </c>
      <c r="Z13" s="796">
        <f t="shared" si="4"/>
        <v>-1.8618388152709338E-2</v>
      </c>
      <c r="AC13" s="780">
        <f>F13-'18 KMP- Tháng (Tâm)'!Q50</f>
        <v>0</v>
      </c>
      <c r="AD13" s="780">
        <f>H13-'18 KMP- Tháng (Tâm)'!AD50</f>
        <v>0</v>
      </c>
      <c r="AE13" s="780">
        <f>J13-'18 KMP- Tháng (Tâm)'!AQ50</f>
        <v>0</v>
      </c>
      <c r="AF13" s="781">
        <f>L13-'18 KMP- Tháng (Tâm)'!BE50</f>
        <v>0</v>
      </c>
      <c r="AG13" s="781">
        <f>N13-'18 KMP- Tháng (Tâm)'!BF50</f>
        <v>0</v>
      </c>
      <c r="AH13" s="781">
        <f>O13-'18 KMP- Tháng (Tâm)'!BG50</f>
        <v>0</v>
      </c>
      <c r="AI13" s="781">
        <f>P13-'18 KMP- Tháng (Tâm)'!BH50</f>
        <v>0</v>
      </c>
      <c r="AJ13" s="781">
        <f>Q13-'18 KMP- Tháng (Tâm)'!BI50</f>
        <v>0</v>
      </c>
      <c r="AK13" s="781">
        <f>R13-'18 KMP- Tháng (Tâm)'!BJ50</f>
        <v>0</v>
      </c>
      <c r="AL13" s="782">
        <f>U13-'18 KMP- Tháng (Tâm)'!BR50</f>
        <v>-1.3314818638529707E-3</v>
      </c>
      <c r="AM13" s="782">
        <f>X13-'18 KMP- Tháng (Tâm)'!AW50</f>
        <v>0</v>
      </c>
    </row>
    <row r="14" spans="3:39" ht="24.75" customHeight="1" x14ac:dyDescent="0.35">
      <c r="C14" s="797">
        <v>11</v>
      </c>
      <c r="D14" s="806" t="s">
        <v>96</v>
      </c>
      <c r="E14" s="806" t="s">
        <v>55</v>
      </c>
      <c r="F14" s="807">
        <v>8.2847347141852372E-3</v>
      </c>
      <c r="G14" s="808">
        <f t="shared" si="0"/>
        <v>3.3592851967551566E-4</v>
      </c>
      <c r="H14" s="807">
        <v>3.7386384479061699E-3</v>
      </c>
      <c r="I14" s="808">
        <f t="shared" si="1"/>
        <v>1.3193706123994128E-4</v>
      </c>
      <c r="J14" s="807">
        <v>1.7607301929225636E-2</v>
      </c>
      <c r="K14" s="808">
        <f t="shared" si="1"/>
        <v>5.5912817100249308E-4</v>
      </c>
      <c r="L14" s="809">
        <v>1.400263697339617E-2</v>
      </c>
      <c r="M14" s="810">
        <f t="shared" si="2"/>
        <v>4.8369946523453035E-4</v>
      </c>
      <c r="N14" s="811">
        <v>4.1860589560457712E-2</v>
      </c>
      <c r="O14" s="942">
        <v>2.1903815360830435E-2</v>
      </c>
      <c r="P14" s="950">
        <v>4.6679318722398874E-2</v>
      </c>
      <c r="Q14" s="812">
        <v>9.2575516921617976E-3</v>
      </c>
      <c r="R14" s="812">
        <v>7.3900222730539466E-4</v>
      </c>
      <c r="S14" s="813">
        <f t="shared" si="5"/>
        <v>2.3727373864983919E-5</v>
      </c>
      <c r="T14" s="792"/>
      <c r="U14" s="807">
        <v>2.3792919537859593E-2</v>
      </c>
      <c r="V14" s="814">
        <f t="shared" si="6"/>
        <v>7.7632436332578493E-4</v>
      </c>
      <c r="W14" s="815">
        <f t="shared" si="3"/>
        <v>2.0054281089953423E-2</v>
      </c>
      <c r="X14" s="799">
        <v>1.2028118872133269E-2</v>
      </c>
      <c r="Y14" s="816">
        <f t="shared" si="7"/>
        <v>4.1448810355606506E-4</v>
      </c>
      <c r="Z14" s="817">
        <f t="shared" si="4"/>
        <v>-1.1289116644827875E-2</v>
      </c>
      <c r="AC14" s="780">
        <f>F14-'18 KMP- Tháng (Tâm)'!Q51</f>
        <v>0</v>
      </c>
      <c r="AD14" s="780">
        <f>H14-'18 KMP- Tháng (Tâm)'!AD51</f>
        <v>0</v>
      </c>
      <c r="AE14" s="780">
        <f>J14-'18 KMP- Tháng (Tâm)'!AQ51</f>
        <v>0</v>
      </c>
      <c r="AF14" s="781">
        <f>L14-'18 KMP- Tháng (Tâm)'!BE51</f>
        <v>0</v>
      </c>
      <c r="AG14" s="781">
        <f>N14-'18 KMP- Tháng (Tâm)'!BF51</f>
        <v>0</v>
      </c>
      <c r="AH14" s="781">
        <f>O14-'18 KMP- Tháng (Tâm)'!BG51</f>
        <v>0</v>
      </c>
      <c r="AI14" s="781">
        <f>P14-'18 KMP- Tháng (Tâm)'!BH51</f>
        <v>0</v>
      </c>
      <c r="AJ14" s="781">
        <f>Q14-'18 KMP- Tháng (Tâm)'!BI51</f>
        <v>0</v>
      </c>
      <c r="AK14" s="781">
        <f>R14-'18 KMP- Tháng (Tâm)'!BJ51</f>
        <v>0</v>
      </c>
      <c r="AL14" s="782">
        <f>U14-'18 KMP- Tháng (Tâm)'!BR51</f>
        <v>5.0220505443687724E-4</v>
      </c>
      <c r="AM14" s="782">
        <f>X14-'18 KMP- Tháng (Tâm)'!AW51</f>
        <v>0</v>
      </c>
    </row>
    <row r="15" spans="3:39" ht="24.75" customHeight="1" x14ac:dyDescent="0.35">
      <c r="C15" s="767" t="s">
        <v>163</v>
      </c>
      <c r="D15" s="768"/>
      <c r="E15" s="769" t="s">
        <v>164</v>
      </c>
      <c r="F15" s="770">
        <v>3.5587910560271734</v>
      </c>
      <c r="G15" s="771">
        <f t="shared" si="0"/>
        <v>0.14430147162572662</v>
      </c>
      <c r="H15" s="770">
        <v>7.2313137958295535</v>
      </c>
      <c r="I15" s="771">
        <f t="shared" si="1"/>
        <v>0.25519405110165949</v>
      </c>
      <c r="J15" s="770">
        <v>8.953457226118811</v>
      </c>
      <c r="K15" s="771">
        <f t="shared" si="1"/>
        <v>0.28432125393836727</v>
      </c>
      <c r="L15" s="770">
        <v>8.7674534689605981</v>
      </c>
      <c r="M15" s="771">
        <f t="shared" si="2"/>
        <v>0.30285813753952601</v>
      </c>
      <c r="N15" s="772">
        <v>11.221398182037962</v>
      </c>
      <c r="O15" s="775">
        <v>16.523061022030809</v>
      </c>
      <c r="P15" s="947">
        <v>7.0711972541581503</v>
      </c>
      <c r="Q15" s="773">
        <v>7.4741788133562173</v>
      </c>
      <c r="R15" s="773">
        <v>9.0136825004272563</v>
      </c>
      <c r="S15" s="774">
        <f t="shared" si="5"/>
        <v>0.28940510148086174</v>
      </c>
      <c r="T15" s="775"/>
      <c r="U15" s="770">
        <v>9.3027895622557306</v>
      </c>
      <c r="V15" s="776">
        <f t="shared" si="6"/>
        <v>0.30353493074190535</v>
      </c>
      <c r="W15" s="777">
        <f t="shared" si="3"/>
        <v>2.0714757664261771</v>
      </c>
      <c r="X15" s="770">
        <v>8.8946364763845569</v>
      </c>
      <c r="Y15" s="778">
        <f t="shared" si="7"/>
        <v>0.30650852756856489</v>
      </c>
      <c r="Z15" s="779">
        <f t="shared" si="4"/>
        <v>0.11904602404269937</v>
      </c>
      <c r="AC15" s="780">
        <f>F15-'18 KMP- Tháng (Tâm)'!Q52</f>
        <v>0</v>
      </c>
      <c r="AD15" s="780">
        <f>H15-'18 KMP- Tháng (Tâm)'!AD52</f>
        <v>0</v>
      </c>
      <c r="AE15" s="780">
        <f>J15-'18 KMP- Tháng (Tâm)'!AQ52</f>
        <v>0</v>
      </c>
      <c r="AF15" s="781">
        <f>L15-'18 KMP- Tháng (Tâm)'!BE52</f>
        <v>5.0000000000061107E-4</v>
      </c>
      <c r="AG15" s="781">
        <f>N15-'18 KMP- Tháng (Tâm)'!BF52</f>
        <v>0</v>
      </c>
      <c r="AH15" s="781">
        <f>O15-'18 KMP- Tháng (Tâm)'!BG52</f>
        <v>0</v>
      </c>
      <c r="AI15" s="781">
        <f>P15-'18 KMP- Tháng (Tâm)'!BH52</f>
        <v>0</v>
      </c>
      <c r="AJ15" s="781">
        <f>Q15-'18 KMP- Tháng (Tâm)'!BI52</f>
        <v>0</v>
      </c>
      <c r="AK15" s="781">
        <f>R15-'18 KMP- Tháng (Tâm)'!BJ52</f>
        <v>0</v>
      </c>
      <c r="AL15" s="782">
        <f>U15-'18 KMP- Tháng (Tâm)'!BR52</f>
        <v>0.19127480894967874</v>
      </c>
      <c r="AM15" s="782">
        <f>X15-'18 KMP- Tháng (Tâm)'!AW52</f>
        <v>0</v>
      </c>
    </row>
    <row r="16" spans="3:39" ht="24.75" customHeight="1" x14ac:dyDescent="0.35">
      <c r="C16" s="783">
        <v>1</v>
      </c>
      <c r="D16" s="784" t="s">
        <v>97</v>
      </c>
      <c r="E16" s="784" t="s">
        <v>168</v>
      </c>
      <c r="F16" s="785">
        <v>0.35525716778196231</v>
      </c>
      <c r="G16" s="786">
        <f t="shared" si="0"/>
        <v>1.4404928895643883E-2</v>
      </c>
      <c r="H16" s="785">
        <v>1.976610732784837</v>
      </c>
      <c r="I16" s="786">
        <f t="shared" si="1"/>
        <v>6.9754862614493554E-2</v>
      </c>
      <c r="J16" s="785">
        <v>2.1726815716690489</v>
      </c>
      <c r="K16" s="786">
        <f t="shared" si="1"/>
        <v>6.899452728312272E-2</v>
      </c>
      <c r="L16" s="785">
        <v>1.3967999999999998</v>
      </c>
      <c r="M16" s="786">
        <f t="shared" si="2"/>
        <v>4.8250298449016044E-2</v>
      </c>
      <c r="N16" s="789">
        <v>3.2548165500972308</v>
      </c>
      <c r="O16" s="792">
        <v>5.1552463530451105</v>
      </c>
      <c r="P16" s="948">
        <v>2.1817246568457125</v>
      </c>
      <c r="Q16" s="790">
        <v>2.1363974696023287</v>
      </c>
      <c r="R16" s="790">
        <v>2.5988013030376749</v>
      </c>
      <c r="S16" s="791">
        <f t="shared" si="5"/>
        <v>8.3440519987093342E-2</v>
      </c>
      <c r="T16" s="792"/>
      <c r="U16" s="785">
        <v>2.7587156784289681</v>
      </c>
      <c r="V16" s="793">
        <f t="shared" si="6"/>
        <v>9.0012416897615105E-2</v>
      </c>
      <c r="W16" s="818">
        <f t="shared" si="3"/>
        <v>0.78210494564413113</v>
      </c>
      <c r="X16" s="799">
        <v>1.4041013268998794</v>
      </c>
      <c r="Y16" s="795">
        <f t="shared" si="7"/>
        <v>4.8385229841353149E-2</v>
      </c>
      <c r="Z16" s="819">
        <f t="shared" si="4"/>
        <v>1.1946999761377954</v>
      </c>
      <c r="AC16" s="780">
        <f>F16-'18 KMP- Tháng (Tâm)'!Q53</f>
        <v>0</v>
      </c>
      <c r="AD16" s="780">
        <f>H16-'18 KMP- Tháng (Tâm)'!AD53</f>
        <v>0</v>
      </c>
      <c r="AE16" s="780">
        <f>J16-'18 KMP- Tháng (Tâm)'!AQ53</f>
        <v>0</v>
      </c>
      <c r="AF16" s="781">
        <f>L16-'18 KMP- Tháng (Tâm)'!BE53</f>
        <v>0</v>
      </c>
      <c r="AG16" s="781">
        <f>N16-'18 KMP- Tháng (Tâm)'!BF53</f>
        <v>0</v>
      </c>
      <c r="AH16" s="781">
        <f>O16-'18 KMP- Tháng (Tâm)'!BG53</f>
        <v>0</v>
      </c>
      <c r="AI16" s="781">
        <f>P16-'18 KMP- Tháng (Tâm)'!BH53</f>
        <v>0</v>
      </c>
      <c r="AJ16" s="781">
        <f>Q16-'18 KMP- Tháng (Tâm)'!BI53</f>
        <v>0</v>
      </c>
      <c r="AK16" s="781">
        <f>R16-'18 KMP- Tháng (Tâm)'!BJ53</f>
        <v>0</v>
      </c>
      <c r="AL16" s="782">
        <f>U16-'18 KMP- Tháng (Tâm)'!BR53</f>
        <v>7.9114320598936416E-2</v>
      </c>
      <c r="AM16" s="782">
        <f>X16-'18 KMP- Tháng (Tâm)'!AW53</f>
        <v>0</v>
      </c>
    </row>
    <row r="17" spans="1:39" ht="24.75" customHeight="1" x14ac:dyDescent="0.35">
      <c r="C17" s="797">
        <v>2</v>
      </c>
      <c r="D17" s="798" t="s">
        <v>97</v>
      </c>
      <c r="E17" s="798" t="s">
        <v>48</v>
      </c>
      <c r="F17" s="799">
        <v>2.0163215022259338</v>
      </c>
      <c r="G17" s="800">
        <f t="shared" si="0"/>
        <v>8.1757584376590739E-2</v>
      </c>
      <c r="H17" s="799">
        <v>2.8576456359988054</v>
      </c>
      <c r="I17" s="800">
        <f t="shared" si="1"/>
        <v>0.10084670463119567</v>
      </c>
      <c r="J17" s="799">
        <v>3.8175230472634105</v>
      </c>
      <c r="K17" s="800">
        <f t="shared" si="1"/>
        <v>0.12122724354679869</v>
      </c>
      <c r="L17" s="799">
        <v>3.9170466316642312</v>
      </c>
      <c r="M17" s="800">
        <f t="shared" si="2"/>
        <v>0.13530832547001159</v>
      </c>
      <c r="N17" s="801">
        <v>5.024001240688194</v>
      </c>
      <c r="O17" s="941">
        <v>7.1171892960079504</v>
      </c>
      <c r="P17" s="949">
        <v>3.2451779803616745</v>
      </c>
      <c r="Q17" s="802">
        <v>3.5580893357674079</v>
      </c>
      <c r="R17" s="802">
        <v>4.0775622476467444</v>
      </c>
      <c r="S17" s="803">
        <f t="shared" si="5"/>
        <v>0.13091955657621626</v>
      </c>
      <c r="T17" s="792"/>
      <c r="U17" s="799">
        <v>4.2186538688181878</v>
      </c>
      <c r="V17" s="804">
        <f t="shared" si="6"/>
        <v>0.13764783147317622</v>
      </c>
      <c r="W17" s="794">
        <f t="shared" si="3"/>
        <v>1.3610082328193824</v>
      </c>
      <c r="X17" s="799">
        <v>3.8221588510717273</v>
      </c>
      <c r="Y17" s="805">
        <f t="shared" si="7"/>
        <v>0.13171131666657473</v>
      </c>
      <c r="Z17" s="796">
        <f t="shared" si="4"/>
        <v>0.25540339657501709</v>
      </c>
      <c r="AC17" s="780">
        <f>F17-'18 KMP- Tháng (Tâm)'!Q54</f>
        <v>0</v>
      </c>
      <c r="AD17" s="780">
        <f>H17-'18 KMP- Tháng (Tâm)'!AD54</f>
        <v>0</v>
      </c>
      <c r="AE17" s="780">
        <f>J17-'18 KMP- Tháng (Tâm)'!AQ54</f>
        <v>0</v>
      </c>
      <c r="AF17" s="781">
        <f>L17-'18 KMP- Tháng (Tâm)'!BE54</f>
        <v>0</v>
      </c>
      <c r="AG17" s="781">
        <f>N17-'18 KMP- Tháng (Tâm)'!BF54</f>
        <v>0</v>
      </c>
      <c r="AH17" s="781">
        <f>O17-'18 KMP- Tháng (Tâm)'!BG54</f>
        <v>0</v>
      </c>
      <c r="AI17" s="781">
        <f>P17-'18 KMP- Tháng (Tâm)'!BH54</f>
        <v>0</v>
      </c>
      <c r="AJ17" s="781">
        <f>Q17-'18 KMP- Tháng (Tâm)'!BI54</f>
        <v>0</v>
      </c>
      <c r="AK17" s="781">
        <f>R17-'18 KMP- Tháng (Tâm)'!BJ54</f>
        <v>0</v>
      </c>
      <c r="AL17" s="782">
        <f>U17-'18 KMP- Tháng (Tâm)'!BR54</f>
        <v>5.1242682767813186E-2</v>
      </c>
      <c r="AM17" s="782">
        <f>X17-'18 KMP- Tháng (Tâm)'!AW54</f>
        <v>0</v>
      </c>
    </row>
    <row r="18" spans="1:39" ht="24.75" customHeight="1" x14ac:dyDescent="0.35">
      <c r="C18" s="797">
        <v>3</v>
      </c>
      <c r="D18" s="798" t="s">
        <v>96</v>
      </c>
      <c r="E18" s="798" t="s">
        <v>16</v>
      </c>
      <c r="F18" s="799">
        <v>0.69993570427820995</v>
      </c>
      <c r="G18" s="800">
        <f t="shared" si="0"/>
        <v>2.8380916603597279E-2</v>
      </c>
      <c r="H18" s="799">
        <v>0.88827791301693937</v>
      </c>
      <c r="I18" s="800">
        <f t="shared" si="1"/>
        <v>3.1347448821492596E-2</v>
      </c>
      <c r="J18" s="799">
        <v>1.0856965759960384</v>
      </c>
      <c r="K18" s="800">
        <f t="shared" si="1"/>
        <v>3.4476806454527116E-2</v>
      </c>
      <c r="L18" s="799">
        <v>1.4046146123609957</v>
      </c>
      <c r="M18" s="800">
        <f t="shared" si="2"/>
        <v>4.8520242162275941E-2</v>
      </c>
      <c r="N18" s="801">
        <v>0.74391400695660381</v>
      </c>
      <c r="O18" s="941">
        <v>1.1611774545856108</v>
      </c>
      <c r="P18" s="949">
        <v>0.49494497076636962</v>
      </c>
      <c r="Q18" s="802">
        <v>0.5212386296327467</v>
      </c>
      <c r="R18" s="802">
        <v>0.64881265778602182</v>
      </c>
      <c r="S18" s="803">
        <f t="shared" si="5"/>
        <v>2.0831629365659462E-2</v>
      </c>
      <c r="T18" s="792"/>
      <c r="U18" s="799">
        <v>0.64791080315610339</v>
      </c>
      <c r="V18" s="804">
        <f t="shared" si="6"/>
        <v>2.1140278348426203E-2</v>
      </c>
      <c r="W18" s="794">
        <f t="shared" si="3"/>
        <v>-0.24036710986083598</v>
      </c>
      <c r="X18" s="799">
        <v>1.4055716687384354</v>
      </c>
      <c r="Y18" s="805">
        <f t="shared" si="7"/>
        <v>4.8435897714419661E-2</v>
      </c>
      <c r="Z18" s="796">
        <f t="shared" si="4"/>
        <v>-0.7567590109524136</v>
      </c>
      <c r="AC18" s="780">
        <f>F18-'18 KMP- Tháng (Tâm)'!Q55</f>
        <v>0</v>
      </c>
      <c r="AD18" s="780">
        <f>H18-'18 KMP- Tháng (Tâm)'!AD55</f>
        <v>0</v>
      </c>
      <c r="AE18" s="780">
        <f>J18-'18 KMP- Tháng (Tâm)'!AQ55</f>
        <v>0</v>
      </c>
      <c r="AF18" s="781">
        <f>L18-'18 KMP- Tháng (Tâm)'!BE55</f>
        <v>0</v>
      </c>
      <c r="AG18" s="781">
        <f>N18-'18 KMP- Tháng (Tâm)'!BF55</f>
        <v>0</v>
      </c>
      <c r="AH18" s="781">
        <f>O18-'18 KMP- Tháng (Tâm)'!BG55</f>
        <v>0</v>
      </c>
      <c r="AI18" s="781">
        <f>P18-'18 KMP- Tháng (Tâm)'!BH55</f>
        <v>0</v>
      </c>
      <c r="AJ18" s="781">
        <f>Q18-'18 KMP- Tháng (Tâm)'!BI55</f>
        <v>0</v>
      </c>
      <c r="AK18" s="781">
        <f>R18-'18 KMP- Tháng (Tâm)'!BJ55</f>
        <v>0</v>
      </c>
      <c r="AL18" s="782">
        <f>U18-'18 KMP- Tháng (Tâm)'!BR55</f>
        <v>1.0179817435475136E-2</v>
      </c>
      <c r="AM18" s="782">
        <f>X18-'18 KMP- Tháng (Tâm)'!AW55</f>
        <v>0</v>
      </c>
    </row>
    <row r="19" spans="1:39" ht="24.75" customHeight="1" x14ac:dyDescent="0.35">
      <c r="C19" s="797">
        <v>4</v>
      </c>
      <c r="D19" s="798" t="s">
        <v>97</v>
      </c>
      <c r="E19" s="798" t="s">
        <v>36</v>
      </c>
      <c r="F19" s="799">
        <v>0.20428741164902431</v>
      </c>
      <c r="G19" s="800">
        <f t="shared" si="0"/>
        <v>8.2834236884009212E-3</v>
      </c>
      <c r="H19" s="799">
        <v>0.81309305486877004</v>
      </c>
      <c r="I19" s="800">
        <f t="shared" si="1"/>
        <v>2.8694164912917045E-2</v>
      </c>
      <c r="J19" s="799">
        <v>1.0043486235017731</v>
      </c>
      <c r="K19" s="800">
        <f t="shared" si="1"/>
        <v>3.1893563884158094E-2</v>
      </c>
      <c r="L19" s="799">
        <v>0.86899982645691332</v>
      </c>
      <c r="M19" s="800">
        <f t="shared" si="2"/>
        <v>3.0018256714410954E-2</v>
      </c>
      <c r="N19" s="801">
        <v>1.2247128152823921</v>
      </c>
      <c r="O19" s="941">
        <v>1.7770846844459167</v>
      </c>
      <c r="P19" s="949">
        <v>0.58153306457850462</v>
      </c>
      <c r="Q19" s="802">
        <v>0.65035303575368331</v>
      </c>
      <c r="R19" s="802">
        <v>0.9339719257089828</v>
      </c>
      <c r="S19" s="803">
        <f t="shared" si="5"/>
        <v>2.9987326481409983E-2</v>
      </c>
      <c r="T19" s="792"/>
      <c r="U19" s="799">
        <v>0.91111535092519513</v>
      </c>
      <c r="V19" s="804">
        <f t="shared" si="6"/>
        <v>2.9728215723919593E-2</v>
      </c>
      <c r="W19" s="794">
        <f t="shared" si="3"/>
        <v>9.8022296056425096E-2</v>
      </c>
      <c r="X19" s="799">
        <v>1.0702419557631782</v>
      </c>
      <c r="Y19" s="805">
        <f t="shared" si="7"/>
        <v>3.6880460137299745E-2</v>
      </c>
      <c r="Z19" s="796">
        <f t="shared" si="4"/>
        <v>-0.13627003005419536</v>
      </c>
      <c r="AC19" s="780">
        <f>F19-'18 KMP- Tháng (Tâm)'!Q56</f>
        <v>0</v>
      </c>
      <c r="AD19" s="780">
        <f>H19-'18 KMP- Tháng (Tâm)'!AD56</f>
        <v>0</v>
      </c>
      <c r="AE19" s="780">
        <f>J19-'18 KMP- Tháng (Tâm)'!AQ56</f>
        <v>0</v>
      </c>
      <c r="AF19" s="781">
        <f>L19-'18 KMP- Tháng (Tâm)'!BE56</f>
        <v>0</v>
      </c>
      <c r="AG19" s="781">
        <f>N19-'18 KMP- Tháng (Tâm)'!BF56</f>
        <v>0</v>
      </c>
      <c r="AH19" s="781">
        <f>O19-'18 KMP- Tháng (Tâm)'!BG56</f>
        <v>0</v>
      </c>
      <c r="AI19" s="781">
        <f>P19-'18 KMP- Tháng (Tâm)'!BH56</f>
        <v>0</v>
      </c>
      <c r="AJ19" s="781">
        <f>Q19-'18 KMP- Tháng (Tâm)'!BI56</f>
        <v>0</v>
      </c>
      <c r="AK19" s="781">
        <f>R19-'18 KMP- Tháng (Tâm)'!BJ56</f>
        <v>0</v>
      </c>
      <c r="AL19" s="782">
        <f>U19-'18 KMP- Tháng (Tâm)'!BR56</f>
        <v>2.9221200438950934E-2</v>
      </c>
      <c r="AM19" s="782">
        <f>X19-'18 KMP- Tháng (Tâm)'!AW56</f>
        <v>0</v>
      </c>
    </row>
    <row r="20" spans="1:39" ht="24.75" customHeight="1" x14ac:dyDescent="0.35">
      <c r="C20" s="797">
        <v>5</v>
      </c>
      <c r="D20" s="798"/>
      <c r="E20" s="798" t="s">
        <v>12</v>
      </c>
      <c r="F20" s="799">
        <v>0.14263415361924967</v>
      </c>
      <c r="G20" s="800">
        <f t="shared" si="0"/>
        <v>5.7835141055807273E-3</v>
      </c>
      <c r="H20" s="799">
        <v>0.23255042210577787</v>
      </c>
      <c r="I20" s="800">
        <f t="shared" si="1"/>
        <v>8.2067361447929581E-3</v>
      </c>
      <c r="J20" s="799">
        <v>0.25359604392146062</v>
      </c>
      <c r="K20" s="800">
        <f t="shared" si="1"/>
        <v>8.0530618933681332E-3</v>
      </c>
      <c r="L20" s="799">
        <v>0.19863491008042142</v>
      </c>
      <c r="M20" s="800">
        <f t="shared" si="2"/>
        <v>6.8615361496089638E-3</v>
      </c>
      <c r="N20" s="801">
        <v>0.20940053756763932</v>
      </c>
      <c r="O20" s="941">
        <v>0.2875632416763293</v>
      </c>
      <c r="P20" s="949">
        <v>0.14167265203859622</v>
      </c>
      <c r="Q20" s="802">
        <v>0.13201920565645439</v>
      </c>
      <c r="R20" s="802">
        <v>0.16986217399703063</v>
      </c>
      <c r="S20" s="803">
        <f t="shared" si="5"/>
        <v>5.4538175380639672E-3</v>
      </c>
      <c r="T20" s="792"/>
      <c r="U20" s="799">
        <v>0.17225936790039134</v>
      </c>
      <c r="V20" s="804">
        <f t="shared" si="6"/>
        <v>5.6205437041629957E-3</v>
      </c>
      <c r="W20" s="794">
        <f t="shared" si="3"/>
        <v>-6.0291054205386524E-2</v>
      </c>
      <c r="X20" s="799">
        <v>0.18992578524853149</v>
      </c>
      <c r="Y20" s="805">
        <f t="shared" si="7"/>
        <v>6.5448287783755844E-3</v>
      </c>
      <c r="Z20" s="796">
        <f t="shared" si="4"/>
        <v>-2.0063611251500857E-2</v>
      </c>
      <c r="AC20" s="780">
        <f>F20-'18 KMP- Tháng (Tâm)'!Q57</f>
        <v>0</v>
      </c>
      <c r="AD20" s="780">
        <f>H20-'18 KMP- Tháng (Tâm)'!AD57</f>
        <v>0</v>
      </c>
      <c r="AE20" s="780">
        <f>J20-'18 KMP- Tháng (Tâm)'!AQ57</f>
        <v>0</v>
      </c>
      <c r="AF20" s="781">
        <f>L20-'18 KMP- Tháng (Tâm)'!BE57</f>
        <v>0</v>
      </c>
      <c r="AG20" s="781">
        <f>N20-'18 KMP- Tháng (Tâm)'!BF57</f>
        <v>0</v>
      </c>
      <c r="AH20" s="781">
        <f>O20-'18 KMP- Tháng (Tâm)'!BG57</f>
        <v>0</v>
      </c>
      <c r="AI20" s="781">
        <f>P20-'18 KMP- Tháng (Tâm)'!BH57</f>
        <v>0</v>
      </c>
      <c r="AJ20" s="781">
        <f>Q20-'18 KMP- Tháng (Tâm)'!BI57</f>
        <v>0</v>
      </c>
      <c r="AK20" s="781">
        <f>R20-'18 KMP- Tháng (Tâm)'!BJ57</f>
        <v>0</v>
      </c>
      <c r="AL20" s="782">
        <f>U20-'18 KMP- Tháng (Tâm)'!BR57</f>
        <v>2.3747610117264839E-3</v>
      </c>
      <c r="AM20" s="782">
        <f>X20-'18 KMP- Tháng (Tâm)'!AW57</f>
        <v>0</v>
      </c>
    </row>
    <row r="21" spans="1:39" ht="24.75" customHeight="1" x14ac:dyDescent="0.35">
      <c r="C21" s="797">
        <v>6</v>
      </c>
      <c r="D21" s="798"/>
      <c r="E21" s="798" t="s">
        <v>51</v>
      </c>
      <c r="F21" s="799">
        <v>0.11402198351550413</v>
      </c>
      <c r="G21" s="800">
        <f t="shared" si="0"/>
        <v>4.6233509525955034E-3</v>
      </c>
      <c r="H21" s="799">
        <v>0.22975674715586125</v>
      </c>
      <c r="I21" s="800">
        <f t="shared" si="1"/>
        <v>8.108146974407128E-3</v>
      </c>
      <c r="J21" s="799">
        <v>0.30611705046950782</v>
      </c>
      <c r="K21" s="800">
        <f t="shared" si="1"/>
        <v>9.7208912092087516E-3</v>
      </c>
      <c r="L21" s="799">
        <v>0.2900394019300272</v>
      </c>
      <c r="M21" s="800">
        <f t="shared" si="2"/>
        <v>1.0018963133661178E-2</v>
      </c>
      <c r="N21" s="801">
        <v>0.33224167448633146</v>
      </c>
      <c r="O21" s="941">
        <v>0.38635958699133122</v>
      </c>
      <c r="P21" s="949">
        <v>0.20188384524414019</v>
      </c>
      <c r="Q21" s="802">
        <v>0.23305708295389591</v>
      </c>
      <c r="R21" s="802">
        <v>0.35118734972925519</v>
      </c>
      <c r="S21" s="803">
        <f t="shared" si="5"/>
        <v>1.1275681230437434E-2</v>
      </c>
      <c r="T21" s="792"/>
      <c r="U21" s="799">
        <v>0.28347409363433013</v>
      </c>
      <c r="V21" s="804">
        <f t="shared" si="6"/>
        <v>9.2492997721381164E-3</v>
      </c>
      <c r="W21" s="794">
        <f t="shared" si="3"/>
        <v>5.3717346478468875E-2</v>
      </c>
      <c r="X21" s="799">
        <v>0.28259735725215612</v>
      </c>
      <c r="Y21" s="805">
        <f t="shared" si="7"/>
        <v>9.7382844252376123E-3</v>
      </c>
      <c r="Z21" s="796">
        <f t="shared" si="4"/>
        <v>6.8589992477099071E-2</v>
      </c>
      <c r="AC21" s="780">
        <f>F21-'18 KMP- Tháng (Tâm)'!Q58</f>
        <v>0</v>
      </c>
      <c r="AD21" s="780">
        <f>H21-'18 KMP- Tháng (Tâm)'!AD58</f>
        <v>0</v>
      </c>
      <c r="AE21" s="780">
        <f>J21-'18 KMP- Tháng (Tâm)'!AQ58</f>
        <v>0</v>
      </c>
      <c r="AF21" s="781">
        <f>L21-'18 KMP- Tháng (Tâm)'!BE58</f>
        <v>5.0000000000005596E-4</v>
      </c>
      <c r="AG21" s="781">
        <f>N21-'18 KMP- Tháng (Tâm)'!BF58</f>
        <v>0</v>
      </c>
      <c r="AH21" s="781">
        <f>O21-'18 KMP- Tháng (Tâm)'!BG58</f>
        <v>0</v>
      </c>
      <c r="AI21" s="781">
        <f>P21-'18 KMP- Tháng (Tâm)'!BH58</f>
        <v>0</v>
      </c>
      <c r="AJ21" s="781">
        <f>Q21-'18 KMP- Tháng (Tâm)'!BI58</f>
        <v>0</v>
      </c>
      <c r="AK21" s="781">
        <f>R21-'18 KMP- Tháng (Tâm)'!BJ58</f>
        <v>0</v>
      </c>
      <c r="AL21" s="782">
        <f>U21-'18 KMP- Tháng (Tâm)'!BR58</f>
        <v>1.7770727717764112E-3</v>
      </c>
      <c r="AM21" s="782">
        <f>X21-'18 KMP- Tháng (Tâm)'!AW58</f>
        <v>0</v>
      </c>
    </row>
    <row r="22" spans="1:39" ht="24.75" customHeight="1" x14ac:dyDescent="0.35">
      <c r="C22" s="797">
        <v>7</v>
      </c>
      <c r="D22" s="806" t="s">
        <v>97</v>
      </c>
      <c r="E22" s="806" t="s">
        <v>40</v>
      </c>
      <c r="F22" s="807">
        <v>2.6333132957288691E-2</v>
      </c>
      <c r="G22" s="808">
        <f t="shared" si="0"/>
        <v>1.0677530033175587E-3</v>
      </c>
      <c r="H22" s="807">
        <v>0.23337928989856116</v>
      </c>
      <c r="I22" s="808">
        <f t="shared" si="1"/>
        <v>8.2359870023605078E-3</v>
      </c>
      <c r="J22" s="807">
        <v>0.31349431329757194</v>
      </c>
      <c r="K22" s="808">
        <f t="shared" si="1"/>
        <v>9.9551596671837647E-3</v>
      </c>
      <c r="L22" s="807">
        <v>0.69131808646801118</v>
      </c>
      <c r="M22" s="808">
        <f t="shared" si="2"/>
        <v>2.3880515460541398E-2</v>
      </c>
      <c r="N22" s="811">
        <v>0.4323113569595714</v>
      </c>
      <c r="O22" s="942">
        <v>0.63844040527855994</v>
      </c>
      <c r="P22" s="950">
        <v>0.2242600843231517</v>
      </c>
      <c r="Q22" s="812">
        <v>0.24302405398970056</v>
      </c>
      <c r="R22" s="812">
        <v>0.23348484252154797</v>
      </c>
      <c r="S22" s="813">
        <f t="shared" si="5"/>
        <v>7.4965703019813099E-3</v>
      </c>
      <c r="T22" s="792"/>
      <c r="U22" s="807">
        <v>0.31066039939255502</v>
      </c>
      <c r="V22" s="814">
        <f t="shared" si="6"/>
        <v>1.0136344822467098E-2</v>
      </c>
      <c r="W22" s="820">
        <f t="shared" si="3"/>
        <v>7.728110949399386E-2</v>
      </c>
      <c r="X22" s="799">
        <v>0.72003953141064891</v>
      </c>
      <c r="Y22" s="816">
        <f t="shared" si="7"/>
        <v>2.4812510005304416E-2</v>
      </c>
      <c r="Z22" s="821">
        <f t="shared" si="4"/>
        <v>-0.48655468888910092</v>
      </c>
      <c r="AC22" s="780">
        <f>F22-'18 KMP- Tháng (Tâm)'!Q59</f>
        <v>0</v>
      </c>
      <c r="AD22" s="780">
        <f>H22-'18 KMP- Tháng (Tâm)'!AD59</f>
        <v>0</v>
      </c>
      <c r="AE22" s="780">
        <f>J22-'18 KMP- Tháng (Tâm)'!AQ59</f>
        <v>0</v>
      </c>
      <c r="AF22" s="781">
        <f>L22-'18 KMP- Tháng (Tâm)'!BE59</f>
        <v>0</v>
      </c>
      <c r="AG22" s="781">
        <f>N22-'18 KMP- Tháng (Tâm)'!BF59</f>
        <v>0</v>
      </c>
      <c r="AH22" s="781">
        <f>O22-'18 KMP- Tháng (Tâm)'!BG59</f>
        <v>0</v>
      </c>
      <c r="AI22" s="781">
        <f>P22-'18 KMP- Tháng (Tâm)'!BH59</f>
        <v>0</v>
      </c>
      <c r="AJ22" s="781">
        <f>Q22-'18 KMP- Tháng (Tâm)'!BI59</f>
        <v>0</v>
      </c>
      <c r="AK22" s="781">
        <f>R22-'18 KMP- Tháng (Tâm)'!BJ59</f>
        <v>0</v>
      </c>
      <c r="AL22" s="782">
        <f>U22-'18 KMP- Tháng (Tâm)'!BR59</f>
        <v>1.736495392500198E-2</v>
      </c>
      <c r="AM22" s="782">
        <f>X22-'18 KMP- Tháng (Tâm)'!AW59</f>
        <v>0</v>
      </c>
    </row>
    <row r="23" spans="1:39" ht="24.75" customHeight="1" x14ac:dyDescent="0.35">
      <c r="C23" s="822" t="s">
        <v>188</v>
      </c>
      <c r="D23" s="823"/>
      <c r="E23" s="822"/>
      <c r="F23" s="824">
        <v>24.662195166363766</v>
      </c>
      <c r="G23" s="825">
        <f t="shared" si="0"/>
        <v>1</v>
      </c>
      <c r="H23" s="824">
        <v>28.336529651111952</v>
      </c>
      <c r="I23" s="825">
        <f t="shared" si="1"/>
        <v>1</v>
      </c>
      <c r="J23" s="824">
        <v>31.490636391395718</v>
      </c>
      <c r="K23" s="825">
        <f t="shared" si="1"/>
        <v>1</v>
      </c>
      <c r="L23" s="824">
        <v>28.949043734432784</v>
      </c>
      <c r="M23" s="825">
        <f t="shared" si="2"/>
        <v>1</v>
      </c>
      <c r="N23" s="826">
        <v>32.995066743875221</v>
      </c>
      <c r="O23" s="829">
        <v>37.141356528449236</v>
      </c>
      <c r="P23" s="951">
        <v>28.469087487311626</v>
      </c>
      <c r="Q23" s="827">
        <v>28.173126148595721</v>
      </c>
      <c r="R23" s="827">
        <v>31.145554982635055</v>
      </c>
      <c r="S23" s="828">
        <f t="shared" si="5"/>
        <v>1</v>
      </c>
      <c r="T23" s="829"/>
      <c r="U23" s="824">
        <v>30.648168036270789</v>
      </c>
      <c r="V23" s="830">
        <f t="shared" si="6"/>
        <v>1</v>
      </c>
      <c r="W23" s="831">
        <f t="shared" si="3"/>
        <v>2.3116383851588367</v>
      </c>
      <c r="X23" s="824">
        <v>29.019213745675827</v>
      </c>
      <c r="Y23" s="832">
        <f t="shared" si="7"/>
        <v>1</v>
      </c>
      <c r="Z23" s="833">
        <f t="shared" si="4"/>
        <v>2.1263412369592274</v>
      </c>
      <c r="AC23" s="780">
        <f>F23-'18 KMP- Tháng (Tâm)'!Q60</f>
        <v>0</v>
      </c>
      <c r="AD23" s="780">
        <f>H23-'18 KMP- Tháng (Tâm)'!AD60</f>
        <v>0</v>
      </c>
      <c r="AE23" s="780">
        <f>J23-'18 KMP- Tháng (Tâm)'!AQ60</f>
        <v>0</v>
      </c>
      <c r="AF23" s="781">
        <f>L23-'18 KMP- Tháng (Tâm)'!BE60</f>
        <v>8.872202380061367E-5</v>
      </c>
      <c r="AG23" s="781">
        <f>N23-'18 KMP- Tháng (Tâm)'!BF60</f>
        <v>0</v>
      </c>
      <c r="AH23" s="781">
        <f>O23-'18 KMP- Tháng (Tâm)'!BG60</f>
        <v>0</v>
      </c>
      <c r="AI23" s="781">
        <f>P23-'18 KMP- Tháng (Tâm)'!BH60</f>
        <v>0</v>
      </c>
      <c r="AJ23" s="781">
        <f>Q23-'18 KMP- Tháng (Tâm)'!BI60</f>
        <v>0</v>
      </c>
      <c r="AK23" s="781">
        <f>R23-'18 KMP- Tháng (Tâm)'!BJ60</f>
        <v>0</v>
      </c>
      <c r="AL23" s="782">
        <f>U23-'18 KMP- Tháng (Tâm)'!BR60</f>
        <v>-7.6877129733787797E-3</v>
      </c>
      <c r="AM23" s="782">
        <f>X23-'18 KMP- Tháng (Tâm)'!AW60</f>
        <v>0</v>
      </c>
    </row>
    <row r="24" spans="1:39" ht="36.75" customHeight="1" x14ac:dyDescent="0.35">
      <c r="C24" s="1002" t="s">
        <v>254</v>
      </c>
      <c r="D24" s="1003"/>
      <c r="E24" s="1004"/>
      <c r="F24" s="824">
        <v>23.607002294303594</v>
      </c>
      <c r="G24" s="825"/>
      <c r="H24" s="824">
        <v>25.471641005310175</v>
      </c>
      <c r="I24" s="825"/>
      <c r="J24" s="824">
        <v>28.23225824373063</v>
      </c>
      <c r="K24" s="825"/>
      <c r="L24" s="824">
        <v>26.147629122071791</v>
      </c>
      <c r="M24" s="825"/>
      <c r="N24" s="826">
        <v>28.996336186821384</v>
      </c>
      <c r="O24" s="829">
        <v>30.824932720818513</v>
      </c>
      <c r="P24" s="951">
        <v>25.792417859699544</v>
      </c>
      <c r="Q24" s="827">
        <v>25.515490049360643</v>
      </c>
      <c r="R24" s="827">
        <v>27.897941021811359</v>
      </c>
      <c r="S24" s="828"/>
      <c r="T24" s="829"/>
      <c r="U24" s="824">
        <v>27.241541554685718</v>
      </c>
      <c r="V24" s="834"/>
      <c r="W24" s="831">
        <f t="shared" si="3"/>
        <v>1.7699005493755422</v>
      </c>
      <c r="X24" s="824">
        <v>26.209540750037512</v>
      </c>
      <c r="Y24" s="467"/>
      <c r="Z24" s="833">
        <f t="shared" si="4"/>
        <v>1.6884002717738475</v>
      </c>
      <c r="AC24" s="780">
        <f>F24-'18 KMP- Tháng (Tâm)'!Q61</f>
        <v>0</v>
      </c>
      <c r="AD24" s="780">
        <f>H24-'18 KMP- Tháng (Tâm)'!AD61</f>
        <v>0</v>
      </c>
      <c r="AE24" s="780">
        <f>J24-'18 KMP- Tháng (Tâm)'!AQ61</f>
        <v>0</v>
      </c>
      <c r="AF24" s="781">
        <f>L24-'18 KMP- Tháng (Tâm)'!BE61</f>
        <v>8.872202380061367E-5</v>
      </c>
      <c r="AG24" s="781">
        <f>N24-'18 KMP- Tháng (Tâm)'!BF61</f>
        <v>0</v>
      </c>
      <c r="AH24" s="781">
        <f>O24-'18 KMP- Tháng (Tâm)'!BG61</f>
        <v>0</v>
      </c>
      <c r="AI24" s="781">
        <f>P24-'18 KMP- Tháng (Tâm)'!BH61</f>
        <v>0</v>
      </c>
      <c r="AJ24" s="781">
        <f>Q24-'18 KMP- Tháng (Tâm)'!BI61</f>
        <v>0</v>
      </c>
      <c r="AK24" s="781">
        <f>R24-'18 KMP- Tháng (Tâm)'!BJ61</f>
        <v>0</v>
      </c>
      <c r="AL24" s="782">
        <f>U24-'18 KMP- Tháng (Tâm)'!BR61</f>
        <v>-9.6981851007789999E-2</v>
      </c>
      <c r="AM24" s="782">
        <f>X24-'18 KMP- Tháng (Tâm)'!AW61</f>
        <v>0</v>
      </c>
    </row>
    <row r="25" spans="1:39" ht="24.75" customHeight="1" x14ac:dyDescent="0.35">
      <c r="C25" s="835" t="s">
        <v>171</v>
      </c>
      <c r="D25" s="835"/>
      <c r="E25" s="835"/>
      <c r="F25" s="836">
        <v>1954.7762499999999</v>
      </c>
      <c r="G25" s="837"/>
      <c r="H25" s="836">
        <v>3688.0240250000002</v>
      </c>
      <c r="I25" s="837"/>
      <c r="J25" s="836">
        <v>3792.1955249999996</v>
      </c>
      <c r="K25" s="837"/>
      <c r="L25" s="838">
        <v>4166.666666666667</v>
      </c>
      <c r="M25" s="839"/>
      <c r="N25" s="840">
        <v>2868.56925</v>
      </c>
      <c r="O25" s="843">
        <v>1811.1000000000001</v>
      </c>
      <c r="P25" s="952">
        <v>4279.4889999999996</v>
      </c>
      <c r="Q25" s="841">
        <v>4370.2853999999998</v>
      </c>
      <c r="R25" s="841">
        <v>3592.6819999999998</v>
      </c>
      <c r="S25" s="842"/>
      <c r="T25" s="843"/>
      <c r="U25" s="836">
        <v>3384.4251300000005</v>
      </c>
      <c r="V25" s="844"/>
      <c r="W25" s="845">
        <f t="shared" si="3"/>
        <v>-303.59889499999963</v>
      </c>
      <c r="X25" s="836">
        <v>4145</v>
      </c>
      <c r="Y25" s="490"/>
      <c r="Z25" s="846">
        <f t="shared" si="4"/>
        <v>-552.31800000000021</v>
      </c>
      <c r="AC25" s="780">
        <f>F25-'18 KMP- Tháng (Tâm)'!Q62</f>
        <v>0</v>
      </c>
      <c r="AD25" s="780">
        <f>H25-'18 KMP- Tháng (Tâm)'!AD62</f>
        <v>0</v>
      </c>
      <c r="AE25" s="780">
        <f>J25-'18 KMP- Tháng (Tâm)'!AQ62</f>
        <v>0</v>
      </c>
      <c r="AF25" s="781">
        <f>L25-'18 KMP- Tháng (Tâm)'!BE62</f>
        <v>0</v>
      </c>
      <c r="AG25" s="781">
        <f>N25-'18 KMP- Tháng (Tâm)'!BF62</f>
        <v>0</v>
      </c>
      <c r="AH25" s="781">
        <f>O25-'18 KMP- Tháng (Tâm)'!BG62</f>
        <v>0</v>
      </c>
      <c r="AI25" s="781">
        <f>P25-'18 KMP- Tháng (Tâm)'!BH62</f>
        <v>0</v>
      </c>
      <c r="AJ25" s="781">
        <f>Q25-'18 KMP- Tháng (Tâm)'!BI62</f>
        <v>0</v>
      </c>
      <c r="AK25" s="781">
        <f>R25-'18 KMP- Tháng (Tâm)'!BJ62</f>
        <v>0</v>
      </c>
      <c r="AL25" s="782">
        <f>U25-'18 KMP- Tháng (Tâm)'!BR62</f>
        <v>-89.816778333332877</v>
      </c>
      <c r="AM25" s="782">
        <f>X25-'18 KMP- Tháng (Tâm)'!AW62</f>
        <v>0</v>
      </c>
    </row>
    <row r="26" spans="1:39" ht="24.75" customHeight="1" x14ac:dyDescent="0.35">
      <c r="A26" t="s">
        <v>371</v>
      </c>
      <c r="B26" s="847" t="s">
        <v>340</v>
      </c>
      <c r="C26" s="1005" t="s">
        <v>341</v>
      </c>
      <c r="D26" s="1006"/>
      <c r="E26" s="1007"/>
      <c r="F26" s="848">
        <f>F4</f>
        <v>19.326224119829444</v>
      </c>
      <c r="G26" s="849">
        <f>IFERROR(F26/F$23,0)</f>
        <v>0.78363762793459935</v>
      </c>
      <c r="H26" s="848">
        <f>H4</f>
        <v>18.507378036232243</v>
      </c>
      <c r="I26" s="849">
        <f>IFERROR(H26/H$23,0)</f>
        <v>0.65312789759722734</v>
      </c>
      <c r="J26" s="848">
        <f>J4</f>
        <v>19.649038096535882</v>
      </c>
      <c r="K26" s="849">
        <f>IFERROR(J26/J$23,0)</f>
        <v>0.62396446525623883</v>
      </c>
      <c r="L26" s="848">
        <f>L4</f>
        <v>17.822332942135915</v>
      </c>
      <c r="M26" s="849">
        <f>IFERROR(L26/L$23,0)</f>
        <v>0.61564496242539246</v>
      </c>
      <c r="N26" s="953">
        <f t="shared" ref="N26:P26" si="8">N4</f>
        <v>18.923355557251615</v>
      </c>
      <c r="O26" s="954">
        <f t="shared" si="8"/>
        <v>18.104205808086963</v>
      </c>
      <c r="P26" s="955">
        <f t="shared" si="8"/>
        <v>18.460638735672415</v>
      </c>
      <c r="Q26" s="956">
        <f>Q4</f>
        <v>17.780534371153539</v>
      </c>
      <c r="R26" s="956">
        <f>R4</f>
        <v>18.757434115061756</v>
      </c>
      <c r="S26" s="850">
        <f t="shared" ref="S26:S31" si="9">IFERROR(R26/R$23,0)</f>
        <v>0.60225075859203048</v>
      </c>
      <c r="T26" s="851"/>
      <c r="U26" s="848">
        <f t="shared" ref="U26" si="10">U4</f>
        <v>18.388297990062355</v>
      </c>
      <c r="V26" s="849">
        <f>IFERROR(U26/U$23,0)</f>
        <v>0.59998033057964817</v>
      </c>
      <c r="W26" s="852">
        <f t="shared" si="3"/>
        <v>-0.11908004616988777</v>
      </c>
      <c r="X26" s="848">
        <f t="shared" ref="X26" si="11">X4</f>
        <v>17.818768695321094</v>
      </c>
      <c r="Y26" s="853">
        <f>IFERROR(X26/X$23,0)</f>
        <v>0.61403347628521743</v>
      </c>
      <c r="Z26" s="854">
        <f t="shared" si="4"/>
        <v>0.93866541974066209</v>
      </c>
    </row>
    <row r="27" spans="1:39" ht="24.75" customHeight="1" x14ac:dyDescent="0.35">
      <c r="A27" t="s">
        <v>371</v>
      </c>
      <c r="B27" s="847" t="s">
        <v>340</v>
      </c>
      <c r="C27" s="1008" t="s">
        <v>342</v>
      </c>
      <c r="D27" s="1009"/>
      <c r="E27" s="1010"/>
      <c r="F27" s="856">
        <f>F7+F9+F11+F14</f>
        <v>0.43424378609531045</v>
      </c>
      <c r="G27" s="857">
        <f>IFERROR(F27/F$23,0)</f>
        <v>1.7607669680903593E-2</v>
      </c>
      <c r="H27" s="856">
        <f>H7+H9+H11+H14</f>
        <v>0.55793795670207613</v>
      </c>
      <c r="I27" s="857">
        <f>IFERROR(H27/H$23,0)</f>
        <v>1.9689706663856846E-2</v>
      </c>
      <c r="J27" s="856">
        <f>J7+J9+J11+J14</f>
        <v>0.67135506477697604</v>
      </c>
      <c r="K27" s="857">
        <f>IFERROR(J27/J$23,0)</f>
        <v>2.1319196488528647E-2</v>
      </c>
      <c r="L27" s="856">
        <f>L7+L9+L11+L14</f>
        <v>0.62158351957903357</v>
      </c>
      <c r="M27" s="857">
        <f>IFERROR(L27/L$23,0)</f>
        <v>2.1471642562054825E-2</v>
      </c>
      <c r="N27" s="957">
        <f t="shared" ref="N27:R27" si="12">N7+N9+N11+N14</f>
        <v>0.65198165252590634</v>
      </c>
      <c r="O27" s="958">
        <f>O7+O9+O11+O14</f>
        <v>0.4173752045718071</v>
      </c>
      <c r="P27" s="959">
        <f>P7+P9+P11+P14</f>
        <v>0.73041183818909228</v>
      </c>
      <c r="Q27" s="960">
        <f t="shared" ref="Q27" si="13">Q7+Q9+Q11+Q14</f>
        <v>0.66580588032076804</v>
      </c>
      <c r="R27" s="960">
        <f t="shared" si="12"/>
        <v>0.83189821587326684</v>
      </c>
      <c r="S27" s="858">
        <f>IFERROR(R27/R$23,0)</f>
        <v>2.6710014200648689E-2</v>
      </c>
      <c r="T27" s="859"/>
      <c r="U27" s="856">
        <f>U7+U9+U11+U14</f>
        <v>0.68847495196325981</v>
      </c>
      <c r="V27" s="857">
        <f>IFERROR(U27/U$23,0)</f>
        <v>2.2463820713475576E-2</v>
      </c>
      <c r="W27" s="860">
        <f t="shared" si="3"/>
        <v>0.13053699526118367</v>
      </c>
      <c r="X27" s="856">
        <f>X7+X9+X11+X14</f>
        <v>0.61986609710477314</v>
      </c>
      <c r="Y27" s="861">
        <f>IFERROR(X27/X$23,0)</f>
        <v>2.1360540727852758E-2</v>
      </c>
      <c r="Z27" s="862">
        <f t="shared" si="4"/>
        <v>0.2120321187684937</v>
      </c>
    </row>
    <row r="28" spans="1:39" ht="24.75" customHeight="1" x14ac:dyDescent="0.35">
      <c r="B28" s="863" t="s">
        <v>343</v>
      </c>
      <c r="C28" s="1011" t="s">
        <v>344</v>
      </c>
      <c r="D28" s="1012"/>
      <c r="E28" s="1013"/>
      <c r="F28" s="864">
        <f>F34-F26-F27</f>
        <v>3.6195248376980103</v>
      </c>
      <c r="G28" s="865">
        <f t="shared" ref="G28:K31" si="14">IFERROR(F28/F$23,0)</f>
        <v>0.14676409838142071</v>
      </c>
      <c r="H28" s="864">
        <f>H34-H26-H27</f>
        <v>6.678908980297102</v>
      </c>
      <c r="I28" s="865">
        <f t="shared" si="14"/>
        <v>0.23569960974508447</v>
      </c>
      <c r="J28" s="864">
        <f>J34-J26-J27</f>
        <v>7.8537216157255001</v>
      </c>
      <c r="K28" s="865">
        <f t="shared" si="14"/>
        <v>0.2493986313300228</v>
      </c>
      <c r="L28" s="864">
        <f>L34-L26-L27</f>
        <v>7.2271605825349923</v>
      </c>
      <c r="M28" s="865">
        <f t="shared" ref="M28:M31" si="15">IFERROR(L28/L$23,0)</f>
        <v>0.24965109897356677</v>
      </c>
      <c r="N28" s="961">
        <f t="shared" ref="N28:R28" si="16">N34-N26-N27</f>
        <v>9.2754693560212989</v>
      </c>
      <c r="O28" s="962">
        <f t="shared" si="16"/>
        <v>12.673245003588976</v>
      </c>
      <c r="P28" s="963">
        <f t="shared" si="16"/>
        <v>5.804400326066971</v>
      </c>
      <c r="Q28" s="964">
        <f t="shared" ref="Q28" si="17">Q34-Q26-Q27</f>
        <v>6.6580628942448463</v>
      </c>
      <c r="R28" s="964">
        <f t="shared" si="16"/>
        <v>8.0844349165887763</v>
      </c>
      <c r="S28" s="866">
        <f t="shared" si="9"/>
        <v>0.25956946091011013</v>
      </c>
      <c r="T28" s="867"/>
      <c r="U28" s="972">
        <f t="shared" ref="U28" si="18">U34-U26-U27</f>
        <v>7.8324762002343373</v>
      </c>
      <c r="V28" s="865">
        <f t="shared" ref="V28:V31" si="19">IFERROR(U28/U$23,0)</f>
        <v>0.2555609911484738</v>
      </c>
      <c r="W28" s="868">
        <f t="shared" si="3"/>
        <v>1.1535672199372353</v>
      </c>
      <c r="X28" s="864">
        <f t="shared" ref="X28" si="20">X34-X26-X27</f>
        <v>7.1458149469061913</v>
      </c>
      <c r="Y28" s="869">
        <f t="shared" ref="Y28:Y31" si="21">IFERROR(X28/X$23,0)</f>
        <v>0.24624426455975204</v>
      </c>
      <c r="Z28" s="870">
        <f t="shared" si="4"/>
        <v>0.93861996968258499</v>
      </c>
    </row>
    <row r="29" spans="1:39" ht="24.75" customHeight="1" x14ac:dyDescent="0.35">
      <c r="A29" t="s">
        <v>371</v>
      </c>
      <c r="B29" s="847" t="s">
        <v>340</v>
      </c>
      <c r="C29" s="1011" t="s">
        <v>345</v>
      </c>
      <c r="D29" s="1012"/>
      <c r="E29" s="1013"/>
      <c r="F29" s="864">
        <v>0.3201439310393141</v>
      </c>
      <c r="G29" s="865">
        <f t="shared" si="14"/>
        <v>1.2981161201576715E-2</v>
      </c>
      <c r="H29" s="864">
        <v>0.69009316169244195</v>
      </c>
      <c r="I29" s="865">
        <f t="shared" si="14"/>
        <v>2.4353481890304871E-2</v>
      </c>
      <c r="J29" s="864">
        <v>0.75564114619725298</v>
      </c>
      <c r="K29" s="865">
        <f t="shared" si="14"/>
        <v>2.3995740727669738E-2</v>
      </c>
      <c r="L29" s="864">
        <v>0.49174288957840828</v>
      </c>
      <c r="M29" s="865">
        <f t="shared" si="15"/>
        <v>1.6986498555512416E-2</v>
      </c>
      <c r="N29" s="961">
        <v>0.74875361918820516</v>
      </c>
      <c r="O29" s="962">
        <v>0.85709104748133158</v>
      </c>
      <c r="P29" s="963">
        <v>0.87289004332543541</v>
      </c>
      <c r="Q29" s="964">
        <v>0.95039969912840749</v>
      </c>
      <c r="R29" s="964">
        <v>0.97236255191942778</v>
      </c>
      <c r="S29" s="866">
        <f t="shared" si="9"/>
        <v>3.1219946231863919E-2</v>
      </c>
      <c r="T29" s="867"/>
      <c r="U29" s="864">
        <v>0.86794335809747869</v>
      </c>
      <c r="V29" s="865">
        <f t="shared" si="19"/>
        <v>2.8319583639397468E-2</v>
      </c>
      <c r="W29" s="868">
        <f t="shared" si="3"/>
        <v>0.17785019640503674</v>
      </c>
      <c r="X29" s="864">
        <v>0.71669593448366464</v>
      </c>
      <c r="Y29" s="869">
        <f t="shared" si="21"/>
        <v>2.4697289897816752E-2</v>
      </c>
      <c r="Z29" s="870">
        <f t="shared" si="4"/>
        <v>0.25566661743576313</v>
      </c>
    </row>
    <row r="30" spans="1:39" ht="24.75" customHeight="1" x14ac:dyDescent="0.35">
      <c r="B30" s="863" t="s">
        <v>343</v>
      </c>
      <c r="C30" s="1011" t="s">
        <v>346</v>
      </c>
      <c r="D30" s="1012"/>
      <c r="E30" s="1013"/>
      <c r="F30" s="864">
        <f>F23-SUM(F26:F29,F31)</f>
        <v>0.93572535874439922</v>
      </c>
      <c r="G30" s="865">
        <f t="shared" si="14"/>
        <v>3.794168979818207E-2</v>
      </c>
      <c r="H30" s="864">
        <f>H23-SUM(H26:H29,H31)</f>
        <v>1.6688322262895277</v>
      </c>
      <c r="I30" s="865">
        <f t="shared" si="14"/>
        <v>5.8893317101165951E-2</v>
      </c>
      <c r="J30" s="864">
        <f>J23-SUM(J26:J29,J31)</f>
        <v>2.2473861548625358</v>
      </c>
      <c r="K30" s="865">
        <f t="shared" si="14"/>
        <v>7.1366806530356305E-2</v>
      </c>
      <c r="L30" s="864">
        <f>L23-SUM(L26:L29,L31)</f>
        <v>2.0949057141364236</v>
      </c>
      <c r="M30" s="865">
        <f t="shared" si="15"/>
        <v>7.236528202293209E-2</v>
      </c>
      <c r="N30" s="961">
        <f t="shared" ref="N30:R30" si="22">N23-SUM(N26:N29,N31)</f>
        <v>2.9631952019286274</v>
      </c>
      <c r="O30" s="962">
        <f t="shared" si="22"/>
        <v>4.4509990594415996</v>
      </c>
      <c r="P30" s="963">
        <f t="shared" si="22"/>
        <v>2.3764864597345614</v>
      </c>
      <c r="Q30" s="964">
        <f t="shared" ref="Q30" si="23">Q23-SUM(Q26:Q29,Q31)</f>
        <v>1.8752992497584593</v>
      </c>
      <c r="R30" s="964">
        <f t="shared" si="22"/>
        <v>2.2659403406702801</v>
      </c>
      <c r="S30" s="866">
        <f t="shared" si="9"/>
        <v>7.2753249763365474E-2</v>
      </c>
      <c r="T30" s="867"/>
      <c r="U30" s="864">
        <f>U23-SUM(U26:U29,U31)</f>
        <v>2.5603151365208028</v>
      </c>
      <c r="V30" s="865">
        <f t="shared" si="19"/>
        <v>8.3538929096537845E-2</v>
      </c>
      <c r="W30" s="868">
        <f t="shared" si="3"/>
        <v>0.89148291023127513</v>
      </c>
      <c r="X30" s="864">
        <f>X23-SUM(X26:X29,X31)</f>
        <v>1.9980285404494573</v>
      </c>
      <c r="Y30" s="869">
        <f t="shared" si="21"/>
        <v>6.8851918524056671E-2</v>
      </c>
      <c r="Z30" s="870">
        <f t="shared" si="4"/>
        <v>0.26791180022082273</v>
      </c>
    </row>
    <row r="31" spans="1:39" ht="24.75" customHeight="1" thickBot="1" x14ac:dyDescent="0.4">
      <c r="A31" t="s">
        <v>371</v>
      </c>
      <c r="B31" s="847" t="s">
        <v>340</v>
      </c>
      <c r="C31" s="999" t="s">
        <v>347</v>
      </c>
      <c r="D31" s="1000"/>
      <c r="E31" s="1001"/>
      <c r="F31" s="871">
        <f>F22</f>
        <v>2.6333132957288691E-2</v>
      </c>
      <c r="G31" s="872">
        <f t="shared" si="14"/>
        <v>1.0677530033175587E-3</v>
      </c>
      <c r="H31" s="871">
        <f>H22</f>
        <v>0.23337928989856116</v>
      </c>
      <c r="I31" s="872">
        <f t="shared" si="14"/>
        <v>8.2359870023605078E-3</v>
      </c>
      <c r="J31" s="871">
        <f>J22</f>
        <v>0.31349431329757194</v>
      </c>
      <c r="K31" s="872">
        <f t="shared" si="14"/>
        <v>9.9551596671837647E-3</v>
      </c>
      <c r="L31" s="871">
        <f>L22</f>
        <v>0.69131808646801118</v>
      </c>
      <c r="M31" s="872">
        <f t="shared" si="15"/>
        <v>2.3880515460541398E-2</v>
      </c>
      <c r="N31" s="965">
        <f>N22</f>
        <v>0.4323113569595714</v>
      </c>
      <c r="O31" s="966">
        <f t="shared" ref="O31:R31" si="24">O22</f>
        <v>0.63844040527855994</v>
      </c>
      <c r="P31" s="967">
        <f t="shared" si="24"/>
        <v>0.2242600843231517</v>
      </c>
      <c r="Q31" s="968">
        <f t="shared" ref="Q31" si="25">Q22</f>
        <v>0.24302405398970056</v>
      </c>
      <c r="R31" s="968">
        <f t="shared" si="24"/>
        <v>0.23348484252154797</v>
      </c>
      <c r="S31" s="873">
        <f t="shared" si="9"/>
        <v>7.4965703019813099E-3</v>
      </c>
      <c r="T31" s="874"/>
      <c r="U31" s="871">
        <f>U22</f>
        <v>0.31066039939255502</v>
      </c>
      <c r="V31" s="872">
        <f t="shared" si="19"/>
        <v>1.0136344822467098E-2</v>
      </c>
      <c r="W31" s="875">
        <f t="shared" si="3"/>
        <v>7.728110949399386E-2</v>
      </c>
      <c r="X31" s="871">
        <f t="shared" ref="X31" si="26">X22</f>
        <v>0.72003953141064891</v>
      </c>
      <c r="Y31" s="876">
        <f t="shared" si="21"/>
        <v>2.4812510005304416E-2</v>
      </c>
      <c r="Z31" s="877">
        <f t="shared" si="4"/>
        <v>-0.48655468888910092</v>
      </c>
    </row>
    <row r="32" spans="1:39" ht="15" thickTop="1" x14ac:dyDescent="0.35"/>
    <row r="33" spans="1:24" x14ac:dyDescent="0.35">
      <c r="F33" s="878"/>
    </row>
    <row r="34" spans="1:24" x14ac:dyDescent="0.35">
      <c r="A34" t="s">
        <v>365</v>
      </c>
      <c r="C34" s="879" t="s">
        <v>348</v>
      </c>
      <c r="F34">
        <v>23.379992743622765</v>
      </c>
      <c r="H34">
        <v>25.744224973231422</v>
      </c>
      <c r="J34">
        <v>28.174114777038358</v>
      </c>
      <c r="L34" s="970">
        <v>25.671077044249941</v>
      </c>
      <c r="N34" s="970">
        <v>28.85080656579882</v>
      </c>
      <c r="O34" s="970">
        <v>31.194826016247745</v>
      </c>
      <c r="P34" s="970">
        <v>24.995450899928478</v>
      </c>
      <c r="Q34" s="970">
        <v>25.104403145719154</v>
      </c>
      <c r="R34" s="880">
        <v>27.673767247523799</v>
      </c>
      <c r="U34" s="880">
        <v>26.909249142259952</v>
      </c>
      <c r="X34" s="881">
        <v>25.584449739332058</v>
      </c>
    </row>
    <row r="35" spans="1:24" x14ac:dyDescent="0.35">
      <c r="H35" s="971" t="s">
        <v>361</v>
      </c>
      <c r="J35" s="971" t="s">
        <v>361</v>
      </c>
      <c r="L35" s="971" t="s">
        <v>361</v>
      </c>
      <c r="N35" s="971" t="s">
        <v>361</v>
      </c>
      <c r="O35" s="971" t="s">
        <v>361</v>
      </c>
      <c r="P35" s="971" t="s">
        <v>361</v>
      </c>
      <c r="Q35" s="971" t="s">
        <v>361</v>
      </c>
      <c r="R35" s="925" t="s">
        <v>361</v>
      </c>
      <c r="U35" s="925" t="s">
        <v>361</v>
      </c>
      <c r="X35" s="969" t="s">
        <v>361</v>
      </c>
    </row>
    <row r="36" spans="1:24" x14ac:dyDescent="0.35">
      <c r="N36" s="882"/>
      <c r="O36" s="882"/>
      <c r="P36" s="882"/>
      <c r="Q36" s="882"/>
      <c r="R36" s="882"/>
    </row>
    <row r="37" spans="1:24" x14ac:dyDescent="0.35">
      <c r="N37" s="878"/>
      <c r="O37" s="878"/>
      <c r="P37" s="878"/>
      <c r="Q37" s="878"/>
      <c r="R37" s="878"/>
    </row>
  </sheetData>
  <mergeCells count="7">
    <mergeCell ref="C31:E31"/>
    <mergeCell ref="C24:E24"/>
    <mergeCell ref="C26:E26"/>
    <mergeCell ref="C27:E27"/>
    <mergeCell ref="C28:E28"/>
    <mergeCell ref="C29:E29"/>
    <mergeCell ref="C30:E30"/>
  </mergeCells>
  <conditionalFormatting sqref="C4:Z14">
    <cfRule type="expression" dxfId="5" priority="12">
      <formula>MOD(ROW($C1048560),2)=0</formula>
    </cfRule>
  </conditionalFormatting>
  <conditionalFormatting sqref="C16:Z22">
    <cfRule type="expression" dxfId="4" priority="1">
      <formula>MOD(ROW($B1048571),2)=0</formula>
    </cfRule>
  </conditionalFormatting>
  <conditionalFormatting sqref="C25:Z31">
    <cfRule type="expression" dxfId="3" priority="13">
      <formula>MOD(ROW($C4),2)=0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CD89A64F-7AB4-4E9E-A616-BD5B755B508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W3</xm:sqref>
        </x14:conditionalFormatting>
        <x14:conditionalFormatting xmlns:xm="http://schemas.microsoft.com/office/excel/2006/main">
          <x14:cfRule type="iconSet" priority="9" id="{7FA99CFA-6380-4CEC-9734-5FC48ACBA0B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W4:W14</xm:sqref>
        </x14:conditionalFormatting>
        <x14:conditionalFormatting xmlns:xm="http://schemas.microsoft.com/office/excel/2006/main">
          <x14:cfRule type="iconSet" priority="10" id="{3D251D69-4EC7-4BD3-9CB3-613A1C9EA91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W15:W22</xm:sqref>
        </x14:conditionalFormatting>
        <x14:conditionalFormatting xmlns:xm="http://schemas.microsoft.com/office/excel/2006/main">
          <x14:cfRule type="iconSet" priority="11" id="{879C78EB-83A5-4990-9599-A75B39D812F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W25</xm:sqref>
        </x14:conditionalFormatting>
        <x14:conditionalFormatting xmlns:xm="http://schemas.microsoft.com/office/excel/2006/main">
          <x14:cfRule type="iconSet" priority="8" id="{9E53918A-381F-4871-AA1A-D3A2D51C9949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W26:W31</xm:sqref>
        </x14:conditionalFormatting>
        <x14:conditionalFormatting xmlns:xm="http://schemas.microsoft.com/office/excel/2006/main">
          <x14:cfRule type="iconSet" priority="2" id="{8361D2D7-88BE-4611-8185-802824BDAD1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Z3</xm:sqref>
        </x14:conditionalFormatting>
        <x14:conditionalFormatting xmlns:xm="http://schemas.microsoft.com/office/excel/2006/main">
          <x14:cfRule type="iconSet" priority="4" id="{55F61896-CD57-4CA8-B98E-DDC6AF68460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Z4:Z14</xm:sqref>
        </x14:conditionalFormatting>
        <x14:conditionalFormatting xmlns:xm="http://schemas.microsoft.com/office/excel/2006/main">
          <x14:cfRule type="iconSet" priority="5" id="{9F2B516A-C569-4518-BF01-9CFC1C142358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Z15:Z22</xm:sqref>
        </x14:conditionalFormatting>
        <x14:conditionalFormatting xmlns:xm="http://schemas.microsoft.com/office/excel/2006/main">
          <x14:cfRule type="iconSet" priority="6" id="{02E3CFDA-2472-415E-80CD-58D9410FA5F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Z25</xm:sqref>
        </x14:conditionalFormatting>
        <x14:conditionalFormatting xmlns:xm="http://schemas.microsoft.com/office/excel/2006/main">
          <x14:cfRule type="iconSet" priority="3" id="{C00F233F-89D5-4F3C-AFAE-F9D7234C7CC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Z26:Z31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D71CB629-A1C2-4CAD-A348-99D5240A7F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C00000"/>
          <x14:sparklines>
            <x14:sparkline>
              <xm:f>'Chụp hình'!N25:R25</xm:f>
              <xm:sqref>T25</xm:sqref>
            </x14:sparkline>
            <x14:sparkline>
              <xm:f>'Chụp hình'!N26:R26</xm:f>
              <xm:sqref>T26</xm:sqref>
            </x14:sparkline>
          </x14:sparklines>
        </x14:sparklineGroup>
        <x14:sparklineGroup type="column" displayEmptyCellsAs="gap" high="1" low="1" first="1" xr2:uid="{61308A61-E6EA-4D2F-958F-AC171F08C59E}">
          <x14:colorSeries rgb="FF376092"/>
          <x14:colorNegative rgb="FFD00000"/>
          <x14:colorAxis rgb="FF000000"/>
          <x14:colorMarkers rgb="FFD00000"/>
          <x14:colorFirst rgb="FF00B050"/>
          <x14:colorLast rgb="FFD00000"/>
          <x14:colorHigh rgb="FFC00000"/>
          <x14:colorLow rgb="FFC00000"/>
          <x14:sparklines>
            <x14:sparkline>
              <xm:f>'Chụp hình'!N3:R3</xm:f>
              <xm:sqref>T3</xm:sqref>
            </x14:sparkline>
            <x14:sparkline>
              <xm:f>'Chụp hình'!N4:R4</xm:f>
              <xm:sqref>T4</xm:sqref>
            </x14:sparkline>
            <x14:sparkline>
              <xm:f>'Chụp hình'!N5:R5</xm:f>
              <xm:sqref>T5</xm:sqref>
            </x14:sparkline>
            <x14:sparkline>
              <xm:f>'Chụp hình'!N6:R6</xm:f>
              <xm:sqref>T6</xm:sqref>
            </x14:sparkline>
            <x14:sparkline>
              <xm:f>'Chụp hình'!N7:R7</xm:f>
              <xm:sqref>T7</xm:sqref>
            </x14:sparkline>
            <x14:sparkline>
              <xm:f>'Chụp hình'!N8:R8</xm:f>
              <xm:sqref>T8</xm:sqref>
            </x14:sparkline>
            <x14:sparkline>
              <xm:f>'Chụp hình'!N9:R9</xm:f>
              <xm:sqref>T9</xm:sqref>
            </x14:sparkline>
            <x14:sparkline>
              <xm:f>'Chụp hình'!N10:R10</xm:f>
              <xm:sqref>T10</xm:sqref>
            </x14:sparkline>
            <x14:sparkline>
              <xm:f>'Chụp hình'!N11:R11</xm:f>
              <xm:sqref>T11</xm:sqref>
            </x14:sparkline>
            <x14:sparkline>
              <xm:f>'Chụp hình'!N12:R12</xm:f>
              <xm:sqref>T12</xm:sqref>
            </x14:sparkline>
            <x14:sparkline>
              <xm:f>'Chụp hình'!N13:R13</xm:f>
              <xm:sqref>T13</xm:sqref>
            </x14:sparkline>
            <x14:sparkline>
              <xm:f>'Chụp hình'!N14:R14</xm:f>
              <xm:sqref>T14</xm:sqref>
            </x14:sparkline>
            <x14:sparkline>
              <xm:f>'Chụp hình'!N15:R15</xm:f>
              <xm:sqref>T15</xm:sqref>
            </x14:sparkline>
            <x14:sparkline>
              <xm:f>'Chụp hình'!N16:R16</xm:f>
              <xm:sqref>T16</xm:sqref>
            </x14:sparkline>
            <x14:sparkline>
              <xm:f>'Chụp hình'!N17:R17</xm:f>
              <xm:sqref>T17</xm:sqref>
            </x14:sparkline>
            <x14:sparkline>
              <xm:f>'Chụp hình'!N18:R18</xm:f>
              <xm:sqref>T18</xm:sqref>
            </x14:sparkline>
            <x14:sparkline>
              <xm:f>'Chụp hình'!N19:R19</xm:f>
              <xm:sqref>T19</xm:sqref>
            </x14:sparkline>
            <x14:sparkline>
              <xm:f>'Chụp hình'!N20:R20</xm:f>
              <xm:sqref>T20</xm:sqref>
            </x14:sparkline>
            <x14:sparkline>
              <xm:f>'Chụp hình'!N21:R21</xm:f>
              <xm:sqref>T21</xm:sqref>
            </x14:sparkline>
            <x14:sparkline>
              <xm:f>'Chụp hình'!N22:R22</xm:f>
              <xm:sqref>T22</xm:sqref>
            </x14:sparkline>
            <x14:sparkline>
              <xm:f>'Chụp hình'!N23:R23</xm:f>
              <xm:sqref>T23</xm:sqref>
            </x14:sparkline>
            <x14:sparkline>
              <xm:f>'Chụp hình'!N24:R24</xm:f>
              <xm:sqref>T24</xm:sqref>
            </x14:sparkline>
            <x14:sparkline>
              <xm:f>'Chụp hình'!N27:R27</xm:f>
              <xm:sqref>T27</xm:sqref>
            </x14:sparkline>
            <x14:sparkline>
              <xm:f>'Chụp hình'!N28:R28</xm:f>
              <xm:sqref>T28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FC14-20DD-4F22-AE0E-F29AAAD8DA5F}">
  <sheetPr>
    <tabColor rgb="FF00B050"/>
  </sheetPr>
  <dimension ref="B1:AD24"/>
  <sheetViews>
    <sheetView showGridLines="0" zoomScaleNormal="100" workbookViewId="0">
      <pane xSplit="2" ySplit="1" topLeftCell="C2" activePane="bottomRight" state="frozen"/>
      <selection activeCell="L33" sqref="L33"/>
      <selection pane="topRight" activeCell="L33" sqref="L33"/>
      <selection pane="bottomLeft" activeCell="L33" sqref="L33"/>
      <selection pane="bottomRight" activeCell="L33" sqref="L33"/>
    </sheetView>
  </sheetViews>
  <sheetFormatPr defaultRowHeight="14.5" x14ac:dyDescent="0.35"/>
  <cols>
    <col min="1" max="1" width="2" customWidth="1"/>
    <col min="3" max="3" width="26.7265625" bestFit="1" customWidth="1"/>
    <col min="4" max="6" width="10.26953125" customWidth="1"/>
    <col min="7" max="7" width="12.453125" customWidth="1"/>
    <col min="8" max="8" width="3.453125" customWidth="1"/>
    <col min="9" max="9" width="8.7265625" bestFit="1" customWidth="1"/>
    <col min="10" max="13" width="10.26953125" customWidth="1"/>
    <col min="14" max="14" width="3.7265625" customWidth="1"/>
    <col min="15" max="15" width="8.7265625" customWidth="1"/>
    <col min="16" max="16" width="11.54296875" customWidth="1"/>
    <col min="20" max="22" width="7.7265625" style="855" customWidth="1"/>
    <col min="23" max="23" width="10" style="855" customWidth="1"/>
    <col min="24" max="26" width="7.7265625" style="855" customWidth="1"/>
    <col min="30" max="30" width="7.1796875" customWidth="1"/>
  </cols>
  <sheetData>
    <row r="1" spans="2:30" ht="15" thickBot="1" x14ac:dyDescent="0.4">
      <c r="G1" s="749" t="s">
        <v>332</v>
      </c>
      <c r="H1" s="749" t="s">
        <v>349</v>
      </c>
      <c r="I1" s="749"/>
      <c r="J1" s="749" t="s">
        <v>332</v>
      </c>
      <c r="K1" s="749" t="s">
        <v>332</v>
      </c>
      <c r="L1" s="749" t="s">
        <v>332</v>
      </c>
      <c r="M1" s="749"/>
      <c r="N1" s="749" t="s">
        <v>349</v>
      </c>
      <c r="O1" s="749" t="s">
        <v>332</v>
      </c>
      <c r="P1" s="749" t="s">
        <v>332</v>
      </c>
    </row>
    <row r="2" spans="2:30" ht="36.75" customHeight="1" thickTop="1" x14ac:dyDescent="0.35">
      <c r="B2" s="228" t="s">
        <v>57</v>
      </c>
      <c r="C2" s="228" t="s">
        <v>59</v>
      </c>
      <c r="D2" s="370" t="s">
        <v>257</v>
      </c>
      <c r="E2" s="370" t="s">
        <v>174</v>
      </c>
      <c r="F2" s="370" t="s">
        <v>240</v>
      </c>
      <c r="G2" s="883" t="s">
        <v>351</v>
      </c>
      <c r="H2" s="1014" t="s">
        <v>274</v>
      </c>
      <c r="I2" s="1015"/>
      <c r="J2" s="231" t="s">
        <v>262</v>
      </c>
      <c r="K2" s="945" t="s">
        <v>263</v>
      </c>
      <c r="L2" s="945" t="s">
        <v>264</v>
      </c>
      <c r="M2" s="976" t="s">
        <v>364</v>
      </c>
      <c r="N2" s="1016" t="s">
        <v>366</v>
      </c>
      <c r="O2" s="1017"/>
      <c r="P2" s="884" t="s">
        <v>372</v>
      </c>
      <c r="T2" s="766" t="s">
        <v>257</v>
      </c>
      <c r="U2" s="766" t="s">
        <v>174</v>
      </c>
      <c r="V2" s="766" t="s">
        <v>240</v>
      </c>
      <c r="W2" s="766" t="s">
        <v>351</v>
      </c>
      <c r="X2" s="766" t="s">
        <v>274</v>
      </c>
      <c r="Y2" s="766">
        <v>1</v>
      </c>
      <c r="Z2" s="766">
        <v>2</v>
      </c>
      <c r="AA2" s="766">
        <v>3</v>
      </c>
      <c r="AB2" s="766">
        <v>4</v>
      </c>
      <c r="AC2" s="766">
        <v>5</v>
      </c>
      <c r="AD2" s="766" t="s">
        <v>372</v>
      </c>
    </row>
    <row r="3" spans="2:30" ht="24" customHeight="1" x14ac:dyDescent="0.35">
      <c r="B3" s="175" t="s">
        <v>161</v>
      </c>
      <c r="C3" s="177" t="s">
        <v>162</v>
      </c>
      <c r="D3" s="885">
        <v>0.85569852837427351</v>
      </c>
      <c r="E3" s="885">
        <v>0.7448059488983404</v>
      </c>
      <c r="F3" s="886">
        <v>0.71567874606163262</v>
      </c>
      <c r="G3" s="886">
        <v>0.69714186246047427</v>
      </c>
      <c r="H3" s="887">
        <f t="shared" ref="H3:H23" si="0">I3-G3</f>
        <v>-6.7679320237967744E-4</v>
      </c>
      <c r="I3" s="888">
        <v>0.69646506925809459</v>
      </c>
      <c r="J3" s="889">
        <v>0.65990678942569636</v>
      </c>
      <c r="K3" s="889">
        <v>0.55513038385190383</v>
      </c>
      <c r="L3" s="889">
        <v>0.75161840865782203</v>
      </c>
      <c r="M3" s="890">
        <v>0.73470537937697888</v>
      </c>
      <c r="N3" s="891">
        <f>O3-P3</f>
        <v>1.7103426087703544E-2</v>
      </c>
      <c r="O3" s="890">
        <v>0.71059489851913848</v>
      </c>
      <c r="P3" s="892">
        <v>0.69349147243143494</v>
      </c>
      <c r="T3" s="780">
        <f>D3-'18 KMP- Tháng (Tâm)'!Q70</f>
        <v>0</v>
      </c>
      <c r="U3" s="780">
        <f>E3-'18 KMP- Tháng (Tâm)'!AD70</f>
        <v>0</v>
      </c>
      <c r="V3" s="780">
        <f>F3-'18 KMP- Tháng (Tâm)'!AQ70</f>
        <v>0</v>
      </c>
      <c r="W3" s="780">
        <f>G3-'18 KMP- Tháng (Tâm)'!BE70</f>
        <v>-1.6343588668532583E-5</v>
      </c>
      <c r="X3" s="780">
        <f>I3-'18 KMP- Tháng (Tâm)'!BR70</f>
        <v>-6.3155404943928684E-3</v>
      </c>
      <c r="Y3" s="780">
        <f>J3-'18 KMP- Tháng (Tâm)'!BF70</f>
        <v>0</v>
      </c>
      <c r="Z3" s="780">
        <f>K3-'18 KMP- Tháng (Tâm)'!BG70</f>
        <v>0</v>
      </c>
      <c r="AA3" s="780">
        <f>L3-'18 KMP- Tháng (Tâm)'!BH70</f>
        <v>0</v>
      </c>
      <c r="AB3" s="780">
        <f>M3-'18 KMP- Tháng (Tâm)'!BI70</f>
        <v>0</v>
      </c>
      <c r="AC3" s="780">
        <f>O3-'18 KMP- Tháng (Tâm)'!BJ70</f>
        <v>0</v>
      </c>
      <c r="AD3" s="780">
        <f>P3-'18 KMP- Tháng (Tâm)'!AW70</f>
        <v>0</v>
      </c>
    </row>
    <row r="4" spans="2:30" ht="24" customHeight="1" x14ac:dyDescent="0.35">
      <c r="B4" s="181">
        <v>1</v>
      </c>
      <c r="C4" s="182" t="s">
        <v>260</v>
      </c>
      <c r="D4" s="893">
        <v>0.78363762793459935</v>
      </c>
      <c r="E4" s="893">
        <v>0.65312789759722734</v>
      </c>
      <c r="F4" s="894">
        <v>0.62396446525623883</v>
      </c>
      <c r="G4" s="894">
        <v>0.61564496242539246</v>
      </c>
      <c r="H4" s="895">
        <f t="shared" si="0"/>
        <v>-1.5664631845744292E-2</v>
      </c>
      <c r="I4" s="896">
        <v>0.59998033057964817</v>
      </c>
      <c r="J4" s="897">
        <v>0.57352075400072655</v>
      </c>
      <c r="K4" s="897">
        <v>0.4874406187673746</v>
      </c>
      <c r="L4" s="897">
        <v>0.64844504566225136</v>
      </c>
      <c r="M4" s="898">
        <v>0.6311168408281097</v>
      </c>
      <c r="N4" s="899">
        <f t="shared" ref="N4:N22" si="1">O4-P4</f>
        <v>-1.178271769318695E-2</v>
      </c>
      <c r="O4" s="898">
        <v>0.60225075859203048</v>
      </c>
      <c r="P4" s="900">
        <v>0.61403347628521743</v>
      </c>
      <c r="T4" s="780">
        <f>D4-'18 KMP- Tháng (Tâm)'!Q71</f>
        <v>0</v>
      </c>
      <c r="U4" s="780">
        <f>E4-'18 KMP- Tháng (Tâm)'!AD71</f>
        <v>0</v>
      </c>
      <c r="V4" s="780">
        <f>F4-'18 KMP- Tháng (Tâm)'!AQ71</f>
        <v>0</v>
      </c>
      <c r="W4" s="780">
        <f>G4-'18 KMP- Tháng (Tâm)'!BE71</f>
        <v>-1.8868130813309847E-6</v>
      </c>
      <c r="X4" s="780">
        <f>I4-'18 KMP- Tháng (Tâm)'!BR71</f>
        <v>-4.9703341333163786E-3</v>
      </c>
      <c r="Y4" s="780">
        <f>J4-'18 KMP- Tháng (Tâm)'!BF71</f>
        <v>0</v>
      </c>
      <c r="Z4" s="780">
        <f>K4-'18 KMP- Tháng (Tâm)'!BG71</f>
        <v>0</v>
      </c>
      <c r="AA4" s="780">
        <f>L4-'18 KMP- Tháng (Tâm)'!BH71</f>
        <v>0</v>
      </c>
      <c r="AB4" s="780">
        <f>M4-'18 KMP- Tháng (Tâm)'!BI71</f>
        <v>0</v>
      </c>
      <c r="AC4" s="780">
        <f>O4-'18 KMP- Tháng (Tâm)'!BJ71</f>
        <v>0</v>
      </c>
      <c r="AD4" s="780">
        <f>P4-'18 KMP- Tháng (Tâm)'!AW71</f>
        <v>0</v>
      </c>
    </row>
    <row r="5" spans="2:30" ht="24" customHeight="1" x14ac:dyDescent="0.35">
      <c r="B5" s="187">
        <v>2</v>
      </c>
      <c r="C5" s="188" t="s">
        <v>25</v>
      </c>
      <c r="D5" s="901">
        <v>3.152219654025417E-2</v>
      </c>
      <c r="E5" s="901">
        <v>4.7338188666920536E-2</v>
      </c>
      <c r="F5" s="902">
        <v>4.9050406560504273E-2</v>
      </c>
      <c r="G5" s="902">
        <v>4.2189940714590604E-2</v>
      </c>
      <c r="H5" s="903">
        <f t="shared" si="0"/>
        <v>4.0418726893781745E-3</v>
      </c>
      <c r="I5" s="904">
        <v>4.6231813403968779E-2</v>
      </c>
      <c r="J5" s="905">
        <v>4.33306363610972E-2</v>
      </c>
      <c r="K5" s="905">
        <v>3.7267521882112388E-2</v>
      </c>
      <c r="L5" s="905">
        <v>4.6988183733967966E-2</v>
      </c>
      <c r="M5" s="906">
        <v>4.6753665547935953E-2</v>
      </c>
      <c r="N5" s="907">
        <f t="shared" si="1"/>
        <v>1.2294638414500764E-2</v>
      </c>
      <c r="O5" s="906">
        <v>5.2620352620113588E-2</v>
      </c>
      <c r="P5" s="908">
        <v>4.0325714205612824E-2</v>
      </c>
      <c r="T5" s="780">
        <f>D5-'18 KMP- Tháng (Tâm)'!Q72</f>
        <v>0</v>
      </c>
      <c r="U5" s="780">
        <f>E5-'18 KMP- Tháng (Tâm)'!AD72</f>
        <v>0</v>
      </c>
      <c r="V5" s="780">
        <f>F5-'18 KMP- Tháng (Tâm)'!AQ72</f>
        <v>0</v>
      </c>
      <c r="W5" s="780">
        <f>G5-'18 KMP- Tháng (Tâm)'!BE72</f>
        <v>-1.2930266127253454E-7</v>
      </c>
      <c r="X5" s="780">
        <f>I5-'18 KMP- Tháng (Tâm)'!BR72</f>
        <v>-8.4969623421812107E-4</v>
      </c>
      <c r="Y5" s="780">
        <f>J5-'18 KMP- Tháng (Tâm)'!BF72</f>
        <v>0</v>
      </c>
      <c r="Z5" s="780">
        <f>K5-'18 KMP- Tháng (Tâm)'!BG72</f>
        <v>0</v>
      </c>
      <c r="AA5" s="780">
        <f>L5-'18 KMP- Tháng (Tâm)'!BH72</f>
        <v>0</v>
      </c>
      <c r="AB5" s="780">
        <f>M5-'18 KMP- Tháng (Tâm)'!BI72</f>
        <v>0</v>
      </c>
      <c r="AC5" s="780">
        <f>O5-'18 KMP- Tháng (Tâm)'!BJ72</f>
        <v>0</v>
      </c>
      <c r="AD5" s="780">
        <f>P5-'18 KMP- Tháng (Tâm)'!AW72</f>
        <v>0</v>
      </c>
    </row>
    <row r="6" spans="2:30" ht="24" customHeight="1" x14ac:dyDescent="0.35">
      <c r="B6" s="187">
        <v>3</v>
      </c>
      <c r="C6" s="188" t="s">
        <v>165</v>
      </c>
      <c r="D6" s="901">
        <v>9.9911712517858752E-3</v>
      </c>
      <c r="E6" s="901">
        <v>1.2287112452854318E-2</v>
      </c>
      <c r="F6" s="902">
        <v>1.1239803456889734E-2</v>
      </c>
      <c r="G6" s="902">
        <v>5.6088540688688723E-3</v>
      </c>
      <c r="H6" s="903">
        <f t="shared" si="0"/>
        <v>1.1003349042913283E-2</v>
      </c>
      <c r="I6" s="904">
        <v>1.6612203111782155E-2</v>
      </c>
      <c r="J6" s="905">
        <v>1.2023871833951925E-2</v>
      </c>
      <c r="K6" s="905">
        <v>1.0060059478348388E-2</v>
      </c>
      <c r="L6" s="905">
        <v>1.9353336195913281E-2</v>
      </c>
      <c r="M6" s="906">
        <v>2.0992119159449287E-2</v>
      </c>
      <c r="N6" s="907">
        <f t="shared" si="1"/>
        <v>1.2266945232447516E-2</v>
      </c>
      <c r="O6" s="906">
        <v>1.783231376011676E-2</v>
      </c>
      <c r="P6" s="908">
        <v>5.5653685276692445E-3</v>
      </c>
      <c r="T6" s="780">
        <f>D6-'18 KMP- Tháng (Tâm)'!Q73</f>
        <v>0</v>
      </c>
      <c r="U6" s="780">
        <f>E6-'18 KMP- Tháng (Tâm)'!AD73</f>
        <v>0</v>
      </c>
      <c r="V6" s="780">
        <f>F6-'18 KMP- Tháng (Tâm)'!AQ73</f>
        <v>0</v>
      </c>
      <c r="W6" s="780">
        <f>G6-'18 KMP- Tháng (Tâm)'!BE73</f>
        <v>-3.1495976441669148E-5</v>
      </c>
      <c r="X6" s="780">
        <f>I6-'18 KMP- Tháng (Tâm)'!BR73</f>
        <v>1.9357923650702852E-4</v>
      </c>
      <c r="Y6" s="780">
        <f>J6-'18 KMP- Tháng (Tâm)'!BF73</f>
        <v>0</v>
      </c>
      <c r="Z6" s="780">
        <f>K6-'18 KMP- Tháng (Tâm)'!BG73</f>
        <v>0</v>
      </c>
      <c r="AA6" s="780">
        <f>L6-'18 KMP- Tháng (Tâm)'!BH73</f>
        <v>0</v>
      </c>
      <c r="AB6" s="780">
        <f>M6-'18 KMP- Tháng (Tâm)'!BI73</f>
        <v>0</v>
      </c>
      <c r="AC6" s="780">
        <f>O6-'18 KMP- Tháng (Tâm)'!BJ73</f>
        <v>0</v>
      </c>
      <c r="AD6" s="780">
        <f>P6-'18 KMP- Tháng (Tâm)'!AW73</f>
        <v>0</v>
      </c>
    </row>
    <row r="7" spans="2:30" ht="24" customHeight="1" x14ac:dyDescent="0.35">
      <c r="B7" s="187">
        <v>4</v>
      </c>
      <c r="C7" s="188" t="s">
        <v>54</v>
      </c>
      <c r="D7" s="901">
        <v>1.0629588979552355E-2</v>
      </c>
      <c r="E7" s="901">
        <v>1.1369586897380967E-2</v>
      </c>
      <c r="F7" s="902">
        <v>1.2205124413144813E-2</v>
      </c>
      <c r="G7" s="902">
        <v>1.1104840539250704E-2</v>
      </c>
      <c r="H7" s="903">
        <f t="shared" si="0"/>
        <v>7.4307910985646312E-4</v>
      </c>
      <c r="I7" s="904">
        <v>1.1847919649107167E-2</v>
      </c>
      <c r="J7" s="905">
        <v>9.4156386904460324E-3</v>
      </c>
      <c r="K7" s="905">
        <v>4.2898083246667145E-3</v>
      </c>
      <c r="L7" s="905">
        <v>1.4473365025482807E-2</v>
      </c>
      <c r="M7" s="906">
        <v>1.1261732682443872E-2</v>
      </c>
      <c r="N7" s="907">
        <f t="shared" si="1"/>
        <v>5.1163455700185632E-3</v>
      </c>
      <c r="O7" s="906">
        <v>1.6220778582212672E-2</v>
      </c>
      <c r="P7" s="908">
        <v>1.1104433012194109E-2</v>
      </c>
      <c r="T7" s="780">
        <f>D7-'18 KMP- Tháng (Tâm)'!Q74</f>
        <v>0</v>
      </c>
      <c r="U7" s="780">
        <f>E7-'18 KMP- Tháng (Tâm)'!AD74</f>
        <v>0</v>
      </c>
      <c r="V7" s="780">
        <f>F7-'18 KMP- Tháng (Tâm)'!AQ74</f>
        <v>0</v>
      </c>
      <c r="W7" s="780">
        <f>G7-'18 KMP- Tháng (Tâm)'!BE74</f>
        <v>-3.4033833905613986E-8</v>
      </c>
      <c r="X7" s="780">
        <f>I7-'18 KMP- Tháng (Tâm)'!BR74</f>
        <v>-4.4668669932586627E-4</v>
      </c>
      <c r="Y7" s="780">
        <f>J7-'18 KMP- Tháng (Tâm)'!BF74</f>
        <v>0</v>
      </c>
      <c r="Z7" s="780">
        <f>K7-'18 KMP- Tháng (Tâm)'!BG74</f>
        <v>0</v>
      </c>
      <c r="AA7" s="780">
        <f>L7-'18 KMP- Tháng (Tâm)'!BH74</f>
        <v>0</v>
      </c>
      <c r="AB7" s="780">
        <f>M7-'18 KMP- Tháng (Tâm)'!BI74</f>
        <v>0</v>
      </c>
      <c r="AC7" s="780">
        <f>O7-'18 KMP- Tháng (Tâm)'!BJ74</f>
        <v>0</v>
      </c>
      <c r="AD7" s="780">
        <f>P7-'18 KMP- Tháng (Tâm)'!AW74</f>
        <v>0</v>
      </c>
    </row>
    <row r="8" spans="2:30" ht="24" customHeight="1" x14ac:dyDescent="0.35">
      <c r="B8" s="187">
        <v>5</v>
      </c>
      <c r="C8" s="188" t="s">
        <v>49</v>
      </c>
      <c r="D8" s="901">
        <v>6.7462934636062866E-3</v>
      </c>
      <c r="E8" s="901">
        <v>7.2011888967003961E-3</v>
      </c>
      <c r="F8" s="902">
        <v>6.1876369625455657E-3</v>
      </c>
      <c r="G8" s="902">
        <v>7.4477580342536837E-3</v>
      </c>
      <c r="H8" s="903">
        <f t="shared" si="0"/>
        <v>-7.3491980784368399E-4</v>
      </c>
      <c r="I8" s="904">
        <v>6.7128382264099997E-3</v>
      </c>
      <c r="J8" s="905">
        <v>7.6455738288423907E-3</v>
      </c>
      <c r="K8" s="905">
        <v>5.727426410008409E-3</v>
      </c>
      <c r="L8" s="905">
        <v>6.6800419652915388E-3</v>
      </c>
      <c r="M8" s="906">
        <v>7.0961384456261272E-3</v>
      </c>
      <c r="N8" s="907">
        <f t="shared" si="1"/>
        <v>-1.2976955698036034E-3</v>
      </c>
      <c r="O8" s="906">
        <v>6.1219816551365998E-3</v>
      </c>
      <c r="P8" s="908">
        <v>7.4196772249402031E-3</v>
      </c>
      <c r="T8" s="780">
        <f>D8-'18 KMP- Tháng (Tâm)'!Q75</f>
        <v>0</v>
      </c>
      <c r="U8" s="780">
        <f>E8-'18 KMP- Tháng (Tâm)'!AD75</f>
        <v>0</v>
      </c>
      <c r="V8" s="780">
        <f>F8-'18 KMP- Tháng (Tâm)'!AQ75</f>
        <v>0</v>
      </c>
      <c r="W8" s="780">
        <f>G8-'18 KMP- Tháng (Tâm)'!BE75</f>
        <v>1.7248954914620557E-5</v>
      </c>
      <c r="X8" s="780">
        <f>I8-'18 KMP- Tháng (Tâm)'!BR75</f>
        <v>-1.0054755281039759E-5</v>
      </c>
      <c r="Y8" s="780">
        <f>J8-'18 KMP- Tháng (Tâm)'!BF75</f>
        <v>0</v>
      </c>
      <c r="Z8" s="780">
        <f>K8-'18 KMP- Tháng (Tâm)'!BG75</f>
        <v>0</v>
      </c>
      <c r="AA8" s="780">
        <f>L8-'18 KMP- Tháng (Tâm)'!BH75</f>
        <v>0</v>
      </c>
      <c r="AB8" s="780">
        <f>M8-'18 KMP- Tháng (Tâm)'!BI75</f>
        <v>0</v>
      </c>
      <c r="AC8" s="780">
        <f>O8-'18 KMP- Tháng (Tâm)'!BJ75</f>
        <v>0</v>
      </c>
      <c r="AD8" s="780">
        <f>P8-'18 KMP- Tháng (Tâm)'!AW75</f>
        <v>0</v>
      </c>
    </row>
    <row r="9" spans="2:30" ht="24" customHeight="1" x14ac:dyDescent="0.35">
      <c r="B9" s="187">
        <v>6</v>
      </c>
      <c r="C9" s="188" t="s">
        <v>56</v>
      </c>
      <c r="D9" s="901">
        <v>3.9959824769162438E-3</v>
      </c>
      <c r="E9" s="901">
        <v>6.0586076733934128E-3</v>
      </c>
      <c r="F9" s="902">
        <v>5.9250110663598898E-3</v>
      </c>
      <c r="G9" s="902">
        <v>5.9566399929369554E-3</v>
      </c>
      <c r="H9" s="903">
        <f t="shared" si="0"/>
        <v>9.4223373458090284E-4</v>
      </c>
      <c r="I9" s="904">
        <v>6.8988737275178583E-3</v>
      </c>
      <c r="J9" s="905">
        <v>6.4094699864020851E-3</v>
      </c>
      <c r="K9" s="905">
        <v>5.1683065638340681E-3</v>
      </c>
      <c r="L9" s="905">
        <v>6.6804824447623144E-3</v>
      </c>
      <c r="M9" s="906">
        <v>8.320004583665665E-3</v>
      </c>
      <c r="N9" s="907">
        <f t="shared" si="1"/>
        <v>1.1002087238510868E-3</v>
      </c>
      <c r="O9" s="906">
        <v>7.0187779834237152E-3</v>
      </c>
      <c r="P9" s="908">
        <v>5.9185692595726284E-3</v>
      </c>
      <c r="T9" s="780">
        <f>D9-'18 KMP- Tháng (Tâm)'!Q76</f>
        <v>0</v>
      </c>
      <c r="U9" s="780">
        <f>E9-'18 KMP- Tháng (Tâm)'!AD76</f>
        <v>0</v>
      </c>
      <c r="V9" s="780">
        <f>F9-'18 KMP- Tháng (Tâm)'!AQ76</f>
        <v>0</v>
      </c>
      <c r="W9" s="780">
        <f>G9-'18 KMP- Tháng (Tâm)'!BE76</f>
        <v>-1.8255759318304421E-8</v>
      </c>
      <c r="X9" s="780">
        <f>I9-'18 KMP- Tháng (Tâm)'!BR76</f>
        <v>-6.1459990201361697E-5</v>
      </c>
      <c r="Y9" s="780">
        <f>J9-'18 KMP- Tháng (Tâm)'!BF76</f>
        <v>0</v>
      </c>
      <c r="Z9" s="780">
        <f>K9-'18 KMP- Tháng (Tâm)'!BG76</f>
        <v>0</v>
      </c>
      <c r="AA9" s="780">
        <f>L9-'18 KMP- Tháng (Tâm)'!BH76</f>
        <v>0</v>
      </c>
      <c r="AB9" s="780">
        <f>M9-'18 KMP- Tháng (Tâm)'!BI76</f>
        <v>0</v>
      </c>
      <c r="AC9" s="780">
        <f>O9-'18 KMP- Tháng (Tâm)'!BJ76</f>
        <v>0</v>
      </c>
      <c r="AD9" s="780">
        <f>P9-'18 KMP- Tháng (Tâm)'!AW76</f>
        <v>0</v>
      </c>
    </row>
    <row r="10" spans="2:30" ht="24" customHeight="1" x14ac:dyDescent="0.35">
      <c r="B10" s="187">
        <v>7</v>
      </c>
      <c r="C10" s="188" t="s">
        <v>28</v>
      </c>
      <c r="D10" s="901">
        <v>3.5509568741079862E-3</v>
      </c>
      <c r="E10" s="901">
        <v>3.1677199014415107E-3</v>
      </c>
      <c r="F10" s="902">
        <v>1.8948650195759317E-3</v>
      </c>
      <c r="G10" s="902">
        <v>1.9227163601882823E-3</v>
      </c>
      <c r="H10" s="903">
        <f t="shared" si="0"/>
        <v>7.0704480060962828E-4</v>
      </c>
      <c r="I10" s="904">
        <v>2.6297611607979106E-3</v>
      </c>
      <c r="J10" s="905">
        <v>1.7051789488404644E-3</v>
      </c>
      <c r="K10" s="905">
        <v>1.5991008287286248E-3</v>
      </c>
      <c r="L10" s="905">
        <v>2.8106909503469754E-3</v>
      </c>
      <c r="M10" s="906">
        <v>3.2127473304394819E-3</v>
      </c>
      <c r="N10" s="907">
        <f t="shared" si="1"/>
        <v>1.261616673133623E-3</v>
      </c>
      <c r="O10" s="906">
        <v>3.189709887017922E-3</v>
      </c>
      <c r="P10" s="908">
        <v>1.928093213884299E-3</v>
      </c>
      <c r="T10" s="780">
        <f>D10-'18 KMP- Tháng (Tâm)'!Q77</f>
        <v>0</v>
      </c>
      <c r="U10" s="780">
        <f>E10-'18 KMP- Tháng (Tâm)'!AD77</f>
        <v>0</v>
      </c>
      <c r="V10" s="780">
        <f>F10-'18 KMP- Tháng (Tâm)'!AQ77</f>
        <v>0</v>
      </c>
      <c r="W10" s="780">
        <f>G10-'18 KMP- Tháng (Tâm)'!BE77</f>
        <v>-5.8926923820080274E-9</v>
      </c>
      <c r="X10" s="780">
        <f>I10-'18 KMP- Tháng (Tâm)'!BR77</f>
        <v>-3.1782207934673117E-5</v>
      </c>
      <c r="Y10" s="780">
        <f>J10-'18 KMP- Tháng (Tâm)'!BF77</f>
        <v>0</v>
      </c>
      <c r="Z10" s="780">
        <f>K10-'18 KMP- Tháng (Tâm)'!BG77</f>
        <v>0</v>
      </c>
      <c r="AA10" s="780">
        <f>L10-'18 KMP- Tháng (Tâm)'!BH77</f>
        <v>0</v>
      </c>
      <c r="AB10" s="780">
        <f>M10-'18 KMP- Tháng (Tâm)'!BI77</f>
        <v>0</v>
      </c>
      <c r="AC10" s="780">
        <f>O10-'18 KMP- Tháng (Tâm)'!BJ77</f>
        <v>0</v>
      </c>
      <c r="AD10" s="780">
        <f>P10-'18 KMP- Tháng (Tâm)'!AW77</f>
        <v>0</v>
      </c>
    </row>
    <row r="11" spans="2:30" ht="24" customHeight="1" x14ac:dyDescent="0.35">
      <c r="B11" s="187">
        <v>8</v>
      </c>
      <c r="C11" s="188" t="s">
        <v>53</v>
      </c>
      <c r="D11" s="901">
        <v>2.6461697047594811E-3</v>
      </c>
      <c r="E11" s="901">
        <v>2.1295750318425254E-3</v>
      </c>
      <c r="F11" s="902">
        <v>2.6299328380214515E-3</v>
      </c>
      <c r="G11" s="902">
        <v>3.9264625646326361E-3</v>
      </c>
      <c r="H11" s="903">
        <f t="shared" si="0"/>
        <v>-9.8575959110786893E-4</v>
      </c>
      <c r="I11" s="904">
        <v>2.9407029735247672E-3</v>
      </c>
      <c r="J11" s="905">
        <v>2.6661726926221763E-3</v>
      </c>
      <c r="K11" s="905">
        <v>1.1896219249905812E-3</v>
      </c>
      <c r="L11" s="905">
        <v>2.8628169125323659E-3</v>
      </c>
      <c r="M11" s="906">
        <v>3.7223265131715454E-3</v>
      </c>
      <c r="N11" s="907">
        <f t="shared" si="1"/>
        <v>-4.7632009138263553E-4</v>
      </c>
      <c r="O11" s="906">
        <v>3.4467302611473193E-3</v>
      </c>
      <c r="P11" s="908">
        <v>3.9230503525299549E-3</v>
      </c>
      <c r="T11" s="780">
        <f>D11-'18 KMP- Tháng (Tâm)'!Q78</f>
        <v>0</v>
      </c>
      <c r="U11" s="780">
        <f>E11-'18 KMP- Tháng (Tâm)'!AD78</f>
        <v>0</v>
      </c>
      <c r="V11" s="780">
        <f>F11-'18 KMP- Tháng (Tâm)'!AQ78</f>
        <v>0</v>
      </c>
      <c r="W11" s="780">
        <f>G11-'18 KMP- Tháng (Tâm)'!BE78</f>
        <v>-1.2033722977290717E-8</v>
      </c>
      <c r="X11" s="780">
        <f>I11-'18 KMP- Tháng (Tâm)'!BR78</f>
        <v>-8.836078906312517E-5</v>
      </c>
      <c r="Y11" s="780">
        <f>J11-'18 KMP- Tháng (Tâm)'!BF78</f>
        <v>0</v>
      </c>
      <c r="Z11" s="780">
        <f>K11-'18 KMP- Tháng (Tâm)'!BG78</f>
        <v>0</v>
      </c>
      <c r="AA11" s="780">
        <f>L11-'18 KMP- Tháng (Tâm)'!BH78</f>
        <v>0</v>
      </c>
      <c r="AB11" s="780">
        <f>M11-'18 KMP- Tháng (Tâm)'!BI78</f>
        <v>0</v>
      </c>
      <c r="AC11" s="780">
        <f>O11-'18 KMP- Tháng (Tâm)'!BJ78</f>
        <v>0</v>
      </c>
      <c r="AD11" s="780">
        <f>P11-'18 KMP- Tháng (Tâm)'!AW78</f>
        <v>0</v>
      </c>
    </row>
    <row r="12" spans="2:30" ht="24" customHeight="1" x14ac:dyDescent="0.35">
      <c r="B12" s="187">
        <v>9</v>
      </c>
      <c r="C12" s="188" t="s">
        <v>42</v>
      </c>
      <c r="D12" s="901">
        <v>1.2306544023286956E-3</v>
      </c>
      <c r="E12" s="901">
        <v>8.013038195309538E-4</v>
      </c>
      <c r="F12" s="902">
        <v>7.4751031307809346E-4</v>
      </c>
      <c r="G12" s="902">
        <v>1.0399534202296121E-3</v>
      </c>
      <c r="H12" s="903">
        <f t="shared" si="0"/>
        <v>-2.5996740770150792E-4</v>
      </c>
      <c r="I12" s="904">
        <v>7.7998601252810419E-4</v>
      </c>
      <c r="J12" s="905">
        <v>7.3988773151478196E-4</v>
      </c>
      <c r="K12" s="905">
        <v>6.1626771253774808E-4</v>
      </c>
      <c r="L12" s="905">
        <v>8.1513660818689391E-4</v>
      </c>
      <c r="M12" s="906">
        <v>8.9012447818674905E-4</v>
      </c>
      <c r="N12" s="907">
        <f t="shared" si="1"/>
        <v>-2.6533638410575677E-4</v>
      </c>
      <c r="O12" s="906">
        <v>7.5190553534476708E-4</v>
      </c>
      <c r="P12" s="908">
        <v>1.0172419194505239E-3</v>
      </c>
      <c r="T12" s="780">
        <f>D12-'18 KMP- Tháng (Tâm)'!Q79</f>
        <v>0</v>
      </c>
      <c r="U12" s="780">
        <f>E12-'18 KMP- Tháng (Tâm)'!AD79</f>
        <v>0</v>
      </c>
      <c r="V12" s="780">
        <f>F12-'18 KMP- Tháng (Tâm)'!AQ79</f>
        <v>0</v>
      </c>
      <c r="W12" s="780">
        <f>G12-'18 KMP- Tháng (Tâm)'!BE79</f>
        <v>-3.1872228916426243E-9</v>
      </c>
      <c r="X12" s="780">
        <f>I12-'18 KMP- Tháng (Tâm)'!BR79</f>
        <v>-2.4152828419304884E-5</v>
      </c>
      <c r="Y12" s="780">
        <f>J12-'18 KMP- Tháng (Tâm)'!BF79</f>
        <v>0</v>
      </c>
      <c r="Z12" s="780">
        <f>K12-'18 KMP- Tháng (Tâm)'!BG79</f>
        <v>0</v>
      </c>
      <c r="AA12" s="780">
        <f>L12-'18 KMP- Tháng (Tâm)'!BH79</f>
        <v>0</v>
      </c>
      <c r="AB12" s="780">
        <f>M12-'18 KMP- Tháng (Tâm)'!BI79</f>
        <v>0</v>
      </c>
      <c r="AC12" s="780">
        <f>O12-'18 KMP- Tháng (Tâm)'!BJ79</f>
        <v>0</v>
      </c>
      <c r="AD12" s="780">
        <f>P12-'18 KMP- Tháng (Tâm)'!AW79</f>
        <v>0</v>
      </c>
    </row>
    <row r="13" spans="2:30" ht="24" customHeight="1" x14ac:dyDescent="0.35">
      <c r="B13" s="187">
        <v>10</v>
      </c>
      <c r="C13" s="188" t="s">
        <v>52</v>
      </c>
      <c r="D13" s="901">
        <v>1.411958226687444E-3</v>
      </c>
      <c r="E13" s="901">
        <v>1.19283089980862E-3</v>
      </c>
      <c r="F13" s="902">
        <v>1.2748620042716782E-3</v>
      </c>
      <c r="G13" s="902">
        <v>1.8160348748958806E-3</v>
      </c>
      <c r="H13" s="903">
        <f t="shared" si="0"/>
        <v>-7.617188254119521E-4</v>
      </c>
      <c r="I13" s="904">
        <v>1.0543160494839285E-3</v>
      </c>
      <c r="J13" s="905">
        <v>1.1809129771653628E-3</v>
      </c>
      <c r="K13" s="905">
        <v>1.1819100271771817E-3</v>
      </c>
      <c r="L13" s="905">
        <v>8.6965988184137537E-4</v>
      </c>
      <c r="M13" s="906">
        <v>1.011084690627214E-3</v>
      </c>
      <c r="N13" s="907">
        <f t="shared" si="1"/>
        <v>-7.2349805807810693E-4</v>
      </c>
      <c r="O13" s="906">
        <v>1.1178622687296402E-3</v>
      </c>
      <c r="P13" s="908">
        <v>1.8413603268077471E-3</v>
      </c>
      <c r="T13" s="780">
        <f>D13-'18 KMP- Tháng (Tâm)'!Q80</f>
        <v>0</v>
      </c>
      <c r="U13" s="780">
        <f>E13-'18 KMP- Tháng (Tâm)'!AD80</f>
        <v>0</v>
      </c>
      <c r="V13" s="780">
        <f>F13-'18 KMP- Tháng (Tâm)'!AQ80</f>
        <v>0</v>
      </c>
      <c r="W13" s="780">
        <f>G13-'18 KMP- Tháng (Tâm)'!BE80</f>
        <v>-5.565737669138357E-9</v>
      </c>
      <c r="X13" s="780">
        <f>I13-'18 KMP- Tháng (Tâm)'!BR80</f>
        <v>-4.3168802577430408E-5</v>
      </c>
      <c r="Y13" s="780">
        <f>J13-'18 KMP- Tháng (Tâm)'!BF80</f>
        <v>0</v>
      </c>
      <c r="Z13" s="780">
        <f>K13-'18 KMP- Tháng (Tâm)'!BG80</f>
        <v>0</v>
      </c>
      <c r="AA13" s="780">
        <f>L13-'18 KMP- Tháng (Tâm)'!BH80</f>
        <v>0</v>
      </c>
      <c r="AB13" s="780">
        <f>M13-'18 KMP- Tháng (Tâm)'!BI80</f>
        <v>0</v>
      </c>
      <c r="AC13" s="780">
        <f>O13-'18 KMP- Tháng (Tâm)'!BJ80</f>
        <v>0</v>
      </c>
      <c r="AD13" s="780">
        <f>P13-'18 KMP- Tháng (Tâm)'!AW80</f>
        <v>0</v>
      </c>
    </row>
    <row r="14" spans="2:30" ht="24" customHeight="1" x14ac:dyDescent="0.35">
      <c r="B14" s="187">
        <v>11</v>
      </c>
      <c r="C14" s="193" t="s">
        <v>55</v>
      </c>
      <c r="D14" s="909">
        <v>3.3592851967551566E-4</v>
      </c>
      <c r="E14" s="909">
        <v>1.3193706123994128E-4</v>
      </c>
      <c r="F14" s="910">
        <v>5.5912817100249308E-4</v>
      </c>
      <c r="G14" s="910">
        <v>4.8369946523453035E-4</v>
      </c>
      <c r="H14" s="911">
        <f t="shared" si="0"/>
        <v>2.9262489809125459E-4</v>
      </c>
      <c r="I14" s="912">
        <v>7.7632436332578493E-4</v>
      </c>
      <c r="J14" s="913">
        <v>1.2686923740873528E-3</v>
      </c>
      <c r="K14" s="913">
        <v>5.8974193212498111E-4</v>
      </c>
      <c r="L14" s="913">
        <v>1.6396492772451298E-3</v>
      </c>
      <c r="M14" s="914">
        <v>3.285951173232949E-4</v>
      </c>
      <c r="N14" s="915">
        <f t="shared" si="1"/>
        <v>-3.9076072969108114E-4</v>
      </c>
      <c r="O14" s="914">
        <v>2.3727373864983919E-5</v>
      </c>
      <c r="P14" s="916">
        <v>4.1448810355606506E-4</v>
      </c>
      <c r="T14" s="780">
        <f>D14-'18 KMP- Tháng (Tâm)'!Q81</f>
        <v>0</v>
      </c>
      <c r="U14" s="780">
        <f>E14-'18 KMP- Tháng (Tâm)'!AD81</f>
        <v>0</v>
      </c>
      <c r="V14" s="780">
        <f>F14-'18 KMP- Tháng (Tâm)'!AQ81</f>
        <v>0</v>
      </c>
      <c r="W14" s="780">
        <f>G14-'18 KMP- Tháng (Tâm)'!BE81</f>
        <v>-1.48242986489815E-9</v>
      </c>
      <c r="X14" s="780">
        <f>I14-'18 KMP- Tháng (Tâm)'!BR81</f>
        <v>1.6576709437605476E-5</v>
      </c>
      <c r="Y14" s="780">
        <f>J14-'18 KMP- Tháng (Tâm)'!BF81</f>
        <v>0</v>
      </c>
      <c r="Z14" s="780">
        <f>K14-'18 KMP- Tháng (Tâm)'!BG81</f>
        <v>0</v>
      </c>
      <c r="AA14" s="780">
        <f>L14-'18 KMP- Tháng (Tâm)'!BH81</f>
        <v>0</v>
      </c>
      <c r="AB14" s="780">
        <f>M14-'18 KMP- Tháng (Tâm)'!BI81</f>
        <v>0</v>
      </c>
      <c r="AC14" s="780">
        <f>O14-'18 KMP- Tháng (Tâm)'!BJ81</f>
        <v>0</v>
      </c>
      <c r="AD14" s="780">
        <f>P14-'18 KMP- Tháng (Tâm)'!AW81</f>
        <v>0</v>
      </c>
    </row>
    <row r="15" spans="2:30" ht="24" customHeight="1" x14ac:dyDescent="0.35">
      <c r="B15" s="175" t="s">
        <v>163</v>
      </c>
      <c r="C15" s="177" t="s">
        <v>164</v>
      </c>
      <c r="D15" s="885">
        <v>0.1443014716257266</v>
      </c>
      <c r="E15" s="885">
        <v>0.25519405110165944</v>
      </c>
      <c r="F15" s="886">
        <v>0.28432125393836727</v>
      </c>
      <c r="G15" s="886">
        <v>0.30285813753952601</v>
      </c>
      <c r="H15" s="887">
        <f t="shared" si="0"/>
        <v>6.7679320237934437E-4</v>
      </c>
      <c r="I15" s="888">
        <v>0.30353493074190535</v>
      </c>
      <c r="J15" s="889">
        <v>0.34009321057430381</v>
      </c>
      <c r="K15" s="889">
        <v>0.44486961614809645</v>
      </c>
      <c r="L15" s="889">
        <v>0.24838159134217799</v>
      </c>
      <c r="M15" s="890">
        <v>0.26529462062302112</v>
      </c>
      <c r="N15" s="891">
        <f t="shared" si="1"/>
        <v>-1.7103426087703211E-2</v>
      </c>
      <c r="O15" s="890">
        <v>0.28940510148086174</v>
      </c>
      <c r="P15" s="892">
        <v>0.30650852756856495</v>
      </c>
      <c r="T15" s="780">
        <f>D15-'18 KMP- Tháng (Tâm)'!Q82</f>
        <v>0</v>
      </c>
      <c r="U15" s="780">
        <f>E15-'18 KMP- Tháng (Tâm)'!AD82</f>
        <v>0</v>
      </c>
      <c r="V15" s="780">
        <f>F15-'18 KMP- Tháng (Tâm)'!AQ82</f>
        <v>0</v>
      </c>
      <c r="W15" s="780">
        <f>G15-'18 KMP- Tháng (Tâm)'!BE82</f>
        <v>1.6343588668643605E-5</v>
      </c>
      <c r="X15" s="780">
        <f>I15-'18 KMP- Tháng (Tâm)'!BR82</f>
        <v>6.3155404943929794E-3</v>
      </c>
      <c r="Y15" s="780">
        <f>J15-'18 KMP- Tháng (Tâm)'!BF82</f>
        <v>0</v>
      </c>
      <c r="Z15" s="780">
        <f>K15-'18 KMP- Tháng (Tâm)'!BG82</f>
        <v>0</v>
      </c>
      <c r="AA15" s="780">
        <f>L15-'18 KMP- Tháng (Tâm)'!BH82</f>
        <v>0</v>
      </c>
      <c r="AB15" s="780">
        <f>M15-'18 KMP- Tháng (Tâm)'!BI82</f>
        <v>0</v>
      </c>
      <c r="AC15" s="780">
        <f>O15-'18 KMP- Tháng (Tâm)'!BJ82</f>
        <v>0</v>
      </c>
      <c r="AD15" s="780">
        <f>P15-'18 KMP- Tháng (Tâm)'!AW82</f>
        <v>0</v>
      </c>
    </row>
    <row r="16" spans="2:30" ht="24" customHeight="1" x14ac:dyDescent="0.35">
      <c r="B16" s="181">
        <v>1</v>
      </c>
      <c r="C16" s="182" t="s">
        <v>168</v>
      </c>
      <c r="D16" s="893">
        <v>1.4404928895643883E-2</v>
      </c>
      <c r="E16" s="893">
        <v>6.9754862614493554E-2</v>
      </c>
      <c r="F16" s="894">
        <v>6.899452728312272E-2</v>
      </c>
      <c r="G16" s="894">
        <v>4.8250298449016044E-2</v>
      </c>
      <c r="H16" s="895">
        <f t="shared" si="0"/>
        <v>4.1762118448599062E-2</v>
      </c>
      <c r="I16" s="896">
        <v>9.0012416897615105E-2</v>
      </c>
      <c r="J16" s="897">
        <v>9.8645551329318432E-2</v>
      </c>
      <c r="K16" s="897">
        <v>0.13880070182941048</v>
      </c>
      <c r="L16" s="897">
        <v>7.6634864317940796E-2</v>
      </c>
      <c r="M16" s="898">
        <v>7.5831040486389778E-2</v>
      </c>
      <c r="N16" s="899">
        <f t="shared" si="1"/>
        <v>3.5055290145740194E-2</v>
      </c>
      <c r="O16" s="898">
        <v>8.3440519987093342E-2</v>
      </c>
      <c r="P16" s="900">
        <v>4.8385229841353149E-2</v>
      </c>
      <c r="T16" s="780">
        <f>D16-'18 KMP- Tháng (Tâm)'!Q83</f>
        <v>0</v>
      </c>
      <c r="U16" s="780">
        <f>E16-'18 KMP- Tháng (Tâm)'!AD83</f>
        <v>0</v>
      </c>
      <c r="V16" s="780">
        <f>F16-'18 KMP- Tháng (Tâm)'!AQ83</f>
        <v>0</v>
      </c>
      <c r="W16" s="780">
        <f>G16-'18 KMP- Tháng (Tâm)'!BE83</f>
        <v>-1.4787629210033515E-7</v>
      </c>
      <c r="X16" s="780">
        <f>I16-'18 KMP- Tháng (Tâm)'!BR83</f>
        <v>2.6032974214413446E-3</v>
      </c>
      <c r="Y16" s="780">
        <f>J16-'18 KMP- Tháng (Tâm)'!BF83</f>
        <v>0</v>
      </c>
      <c r="Z16" s="780">
        <f>K16-'18 KMP- Tháng (Tâm)'!BG83</f>
        <v>0</v>
      </c>
      <c r="AA16" s="780">
        <f>L16-'18 KMP- Tháng (Tâm)'!BH83</f>
        <v>0</v>
      </c>
      <c r="AB16" s="780">
        <f>M16-'18 KMP- Tháng (Tâm)'!BI83</f>
        <v>0</v>
      </c>
      <c r="AC16" s="780">
        <f>O16-'18 KMP- Tháng (Tâm)'!BJ83</f>
        <v>0</v>
      </c>
      <c r="AD16" s="780">
        <f>P16-'18 KMP- Tháng (Tâm)'!AW83</f>
        <v>0</v>
      </c>
    </row>
    <row r="17" spans="2:30" ht="24" customHeight="1" x14ac:dyDescent="0.35">
      <c r="B17" s="187">
        <v>2</v>
      </c>
      <c r="C17" s="188" t="s">
        <v>48</v>
      </c>
      <c r="D17" s="901">
        <v>8.1757584376590739E-2</v>
      </c>
      <c r="E17" s="901">
        <v>0.10084670463119567</v>
      </c>
      <c r="F17" s="902">
        <v>0.12122724354679869</v>
      </c>
      <c r="G17" s="902">
        <v>0.13530832547001159</v>
      </c>
      <c r="H17" s="903">
        <f t="shared" si="0"/>
        <v>2.3395060031646264E-3</v>
      </c>
      <c r="I17" s="904">
        <v>0.13764783147317622</v>
      </c>
      <c r="J17" s="905">
        <v>0.15226522436481463</v>
      </c>
      <c r="K17" s="905">
        <v>0.19162437673907745</v>
      </c>
      <c r="L17" s="905">
        <v>0.11398953274522819</v>
      </c>
      <c r="M17" s="906">
        <v>0.12629373527810508</v>
      </c>
      <c r="N17" s="907">
        <f t="shared" si="1"/>
        <v>-7.9176009035847317E-4</v>
      </c>
      <c r="O17" s="906">
        <v>0.13091955657621626</v>
      </c>
      <c r="P17" s="908">
        <v>0.13171131666657473</v>
      </c>
      <c r="T17" s="780">
        <f>D17-'18 KMP- Tháng (Tâm)'!Q84</f>
        <v>0</v>
      </c>
      <c r="U17" s="780">
        <f>E17-'18 KMP- Tháng (Tâm)'!AD84</f>
        <v>0</v>
      </c>
      <c r="V17" s="780">
        <f>F17-'18 KMP- Tháng (Tâm)'!AQ84</f>
        <v>0</v>
      </c>
      <c r="W17" s="780">
        <f>G17-'18 KMP- Tháng (Tâm)'!BE84</f>
        <v>-4.1468952741152698E-7</v>
      </c>
      <c r="X17" s="780">
        <f>I17-'18 KMP- Tháng (Tâm)'!BR84</f>
        <v>1.7060649102537684E-3</v>
      </c>
      <c r="Y17" s="780">
        <f>J17-'18 KMP- Tháng (Tâm)'!BF84</f>
        <v>0</v>
      </c>
      <c r="Z17" s="780">
        <f>K17-'18 KMP- Tháng (Tâm)'!BG84</f>
        <v>0</v>
      </c>
      <c r="AA17" s="780">
        <f>L17-'18 KMP- Tháng (Tâm)'!BH84</f>
        <v>0</v>
      </c>
      <c r="AB17" s="780">
        <f>M17-'18 KMP- Tháng (Tâm)'!BI84</f>
        <v>0</v>
      </c>
      <c r="AC17" s="780">
        <f>O17-'18 KMP- Tháng (Tâm)'!BJ84</f>
        <v>0</v>
      </c>
      <c r="AD17" s="780">
        <f>P17-'18 KMP- Tháng (Tâm)'!AW84</f>
        <v>0</v>
      </c>
    </row>
    <row r="18" spans="2:30" ht="24" customHeight="1" x14ac:dyDescent="0.35">
      <c r="B18" s="187">
        <v>3</v>
      </c>
      <c r="C18" s="188" t="s">
        <v>16</v>
      </c>
      <c r="D18" s="901">
        <v>2.8380916603597279E-2</v>
      </c>
      <c r="E18" s="901">
        <v>3.1347448821492596E-2</v>
      </c>
      <c r="F18" s="902">
        <v>3.4476806454527116E-2</v>
      </c>
      <c r="G18" s="902">
        <v>4.8520242162275941E-2</v>
      </c>
      <c r="H18" s="903">
        <f t="shared" si="0"/>
        <v>-2.7379963813849738E-2</v>
      </c>
      <c r="I18" s="904">
        <v>2.1140278348426203E-2</v>
      </c>
      <c r="J18" s="905">
        <v>2.2546219188803261E-2</v>
      </c>
      <c r="K18" s="905">
        <v>3.1263733022141547E-2</v>
      </c>
      <c r="L18" s="905">
        <v>1.7385347211671655E-2</v>
      </c>
      <c r="M18" s="906">
        <v>1.8501270568396885E-2</v>
      </c>
      <c r="N18" s="907">
        <f t="shared" si="1"/>
        <v>-2.7604268348760199E-2</v>
      </c>
      <c r="O18" s="906">
        <v>2.0831629365659462E-2</v>
      </c>
      <c r="P18" s="908">
        <v>4.8435897714419661E-2</v>
      </c>
      <c r="T18" s="780">
        <f>D18-'18 KMP- Tháng (Tâm)'!Q85</f>
        <v>0</v>
      </c>
      <c r="U18" s="780">
        <f>E18-'18 KMP- Tháng (Tâm)'!AD85</f>
        <v>0</v>
      </c>
      <c r="V18" s="780">
        <f>F18-'18 KMP- Tháng (Tâm)'!AQ85</f>
        <v>0</v>
      </c>
      <c r="W18" s="780">
        <f>G18-'18 KMP- Tháng (Tâm)'!BE85</f>
        <v>-1.4870360875302024E-7</v>
      </c>
      <c r="X18" s="780">
        <f>I18-'18 KMP- Tháng (Tâm)'!BR85</f>
        <v>3.3736907924516654E-4</v>
      </c>
      <c r="Y18" s="780">
        <f>J18-'18 KMP- Tháng (Tâm)'!BF85</f>
        <v>0</v>
      </c>
      <c r="Z18" s="780">
        <f>K18-'18 KMP- Tháng (Tâm)'!BG85</f>
        <v>0</v>
      </c>
      <c r="AA18" s="780">
        <f>L18-'18 KMP- Tháng (Tâm)'!BH85</f>
        <v>0</v>
      </c>
      <c r="AB18" s="780">
        <f>M18-'18 KMP- Tháng (Tâm)'!BI85</f>
        <v>0</v>
      </c>
      <c r="AC18" s="780">
        <f>O18-'18 KMP- Tháng (Tâm)'!BJ85</f>
        <v>0</v>
      </c>
      <c r="AD18" s="780">
        <f>P18-'18 KMP- Tháng (Tâm)'!AW85</f>
        <v>0</v>
      </c>
    </row>
    <row r="19" spans="2:30" ht="24" customHeight="1" x14ac:dyDescent="0.35">
      <c r="B19" s="187">
        <v>4</v>
      </c>
      <c r="C19" s="188" t="s">
        <v>36</v>
      </c>
      <c r="D19" s="901">
        <v>8.2834236884009212E-3</v>
      </c>
      <c r="E19" s="901">
        <v>2.8694164912917045E-2</v>
      </c>
      <c r="F19" s="902">
        <v>3.1893563884158094E-2</v>
      </c>
      <c r="G19" s="902">
        <v>3.0018256714410954E-2</v>
      </c>
      <c r="H19" s="903">
        <f t="shared" si="0"/>
        <v>-2.9004099049136089E-4</v>
      </c>
      <c r="I19" s="904">
        <v>2.9728215723919593E-2</v>
      </c>
      <c r="J19" s="905">
        <v>3.7118058429438758E-2</v>
      </c>
      <c r="K19" s="905">
        <v>4.7846520712961027E-2</v>
      </c>
      <c r="L19" s="905">
        <v>2.0426824879360386E-2</v>
      </c>
      <c r="M19" s="906">
        <v>2.3084162982960267E-2</v>
      </c>
      <c r="N19" s="907">
        <f t="shared" si="1"/>
        <v>-6.8931336558897618E-3</v>
      </c>
      <c r="O19" s="906">
        <v>2.9987326481409983E-2</v>
      </c>
      <c r="P19" s="908">
        <v>3.6880460137299745E-2</v>
      </c>
      <c r="T19" s="780">
        <f>D19-'18 KMP- Tháng (Tâm)'!Q86</f>
        <v>0</v>
      </c>
      <c r="U19" s="780">
        <f>E19-'18 KMP- Tháng (Tâm)'!AD86</f>
        <v>0</v>
      </c>
      <c r="V19" s="780">
        <f>F19-'18 KMP- Tháng (Tâm)'!AQ86</f>
        <v>0</v>
      </c>
      <c r="W19" s="780">
        <f>G19-'18 KMP- Tháng (Tâm)'!BE86</f>
        <v>-9.1999192562697285E-8</v>
      </c>
      <c r="X19" s="780">
        <f>I19-'18 KMP- Tháng (Tâm)'!BR86</f>
        <v>9.6065634799228153E-4</v>
      </c>
      <c r="Y19" s="780">
        <f>J19-'18 KMP- Tháng (Tâm)'!BF86</f>
        <v>0</v>
      </c>
      <c r="Z19" s="780">
        <f>K19-'18 KMP- Tháng (Tâm)'!BG86</f>
        <v>0</v>
      </c>
      <c r="AA19" s="780">
        <f>L19-'18 KMP- Tháng (Tâm)'!BH86</f>
        <v>0</v>
      </c>
      <c r="AB19" s="780">
        <f>M19-'18 KMP- Tháng (Tâm)'!BI86</f>
        <v>0</v>
      </c>
      <c r="AC19" s="780">
        <f>O19-'18 KMP- Tháng (Tâm)'!BJ86</f>
        <v>0</v>
      </c>
      <c r="AD19" s="780">
        <f>P19-'18 KMP- Tháng (Tâm)'!AW86</f>
        <v>0</v>
      </c>
    </row>
    <row r="20" spans="2:30" ht="24" customHeight="1" x14ac:dyDescent="0.35">
      <c r="B20" s="187">
        <v>5</v>
      </c>
      <c r="C20" s="188" t="s">
        <v>12</v>
      </c>
      <c r="D20" s="901">
        <v>5.7835141055807273E-3</v>
      </c>
      <c r="E20" s="901">
        <v>8.2067361447929581E-3</v>
      </c>
      <c r="F20" s="902">
        <v>8.0530618933681332E-3</v>
      </c>
      <c r="G20" s="902">
        <v>6.8615361496089638E-3</v>
      </c>
      <c r="H20" s="903">
        <f t="shared" si="0"/>
        <v>-1.2409924454459681E-3</v>
      </c>
      <c r="I20" s="904">
        <v>5.6205437041629957E-3</v>
      </c>
      <c r="J20" s="905">
        <v>6.3464195782089077E-3</v>
      </c>
      <c r="K20" s="905">
        <v>7.7424000778233268E-3</v>
      </c>
      <c r="L20" s="905">
        <v>4.9763678622203201E-3</v>
      </c>
      <c r="M20" s="906">
        <v>4.6859977469356851E-3</v>
      </c>
      <c r="N20" s="907">
        <f t="shared" si="1"/>
        <v>-1.0910112403116172E-3</v>
      </c>
      <c r="O20" s="906">
        <v>5.4538175380639672E-3</v>
      </c>
      <c r="P20" s="908">
        <v>6.5448287783755844E-3</v>
      </c>
      <c r="T20" s="780">
        <f>D20-'18 KMP- Tháng (Tâm)'!Q87</f>
        <v>0</v>
      </c>
      <c r="U20" s="780">
        <f>E20-'18 KMP- Tháng (Tâm)'!AD87</f>
        <v>0</v>
      </c>
      <c r="V20" s="780">
        <f>F20-'18 KMP- Tháng (Tâm)'!AQ87</f>
        <v>0</v>
      </c>
      <c r="W20" s="780">
        <f>G20-'18 KMP- Tháng (Tâm)'!BE87</f>
        <v>-2.1029062130528686E-8</v>
      </c>
      <c r="X20" s="780">
        <f>I20-'18 KMP- Tháng (Tâm)'!BR87</f>
        <v>7.8874658018249742E-5</v>
      </c>
      <c r="Y20" s="780">
        <f>J20-'18 KMP- Tháng (Tâm)'!BF87</f>
        <v>0</v>
      </c>
      <c r="Z20" s="780">
        <f>K20-'18 KMP- Tháng (Tâm)'!BG87</f>
        <v>0</v>
      </c>
      <c r="AA20" s="780">
        <f>L20-'18 KMP- Tháng (Tâm)'!BH87</f>
        <v>0</v>
      </c>
      <c r="AB20" s="780">
        <f>M20-'18 KMP- Tháng (Tâm)'!BI87</f>
        <v>0</v>
      </c>
      <c r="AC20" s="780">
        <f>O20-'18 KMP- Tháng (Tâm)'!BJ87</f>
        <v>0</v>
      </c>
      <c r="AD20" s="780">
        <f>P20-'18 KMP- Tháng (Tâm)'!AW87</f>
        <v>0</v>
      </c>
    </row>
    <row r="21" spans="2:30" ht="24" customHeight="1" x14ac:dyDescent="0.35">
      <c r="B21" s="187">
        <v>6</v>
      </c>
      <c r="C21" s="188" t="s">
        <v>51</v>
      </c>
      <c r="D21" s="901">
        <v>4.6233509525955034E-3</v>
      </c>
      <c r="E21" s="901">
        <v>8.108146974407128E-3</v>
      </c>
      <c r="F21" s="902">
        <v>9.7208912092087516E-3</v>
      </c>
      <c r="G21" s="902">
        <v>1.0018963133661178E-2</v>
      </c>
      <c r="H21" s="903">
        <f t="shared" si="0"/>
        <v>-7.6966336152306178E-4</v>
      </c>
      <c r="I21" s="904">
        <v>9.2492997721381164E-3</v>
      </c>
      <c r="J21" s="905">
        <v>1.0069434835982095E-2</v>
      </c>
      <c r="K21" s="905">
        <v>1.0402409149902498E-2</v>
      </c>
      <c r="L21" s="905">
        <v>7.0913353065537388E-3</v>
      </c>
      <c r="M21" s="906">
        <v>8.2723188660237673E-3</v>
      </c>
      <c r="N21" s="907">
        <f t="shared" si="1"/>
        <v>1.5373968051998217E-3</v>
      </c>
      <c r="O21" s="906">
        <v>1.1275681230437434E-2</v>
      </c>
      <c r="P21" s="908">
        <v>9.7382844252376123E-3</v>
      </c>
      <c r="T21" s="780">
        <f>D21-'18 KMP- Tháng (Tâm)'!Q88</f>
        <v>0</v>
      </c>
      <c r="U21" s="780">
        <f>E21-'18 KMP- Tháng (Tâm)'!AD88</f>
        <v>0</v>
      </c>
      <c r="V21" s="780">
        <f>F21-'18 KMP- Tháng (Tâm)'!AQ88</f>
        <v>0</v>
      </c>
      <c r="W21" s="780">
        <f>G21-'18 KMP- Tháng (Tâm)'!BE88</f>
        <v>1.7241074750384139E-5</v>
      </c>
      <c r="X21" s="780">
        <f>I21-'18 KMP- Tháng (Tâm)'!BR88</f>
        <v>6.0287951142087848E-5</v>
      </c>
      <c r="Y21" s="780">
        <f>J21-'18 KMP- Tháng (Tâm)'!BF88</f>
        <v>0</v>
      </c>
      <c r="Z21" s="780">
        <f>K21-'18 KMP- Tháng (Tâm)'!BG88</f>
        <v>0</v>
      </c>
      <c r="AA21" s="780">
        <f>L21-'18 KMP- Tháng (Tâm)'!BH88</f>
        <v>0</v>
      </c>
      <c r="AB21" s="780">
        <f>M21-'18 KMP- Tháng (Tâm)'!BI88</f>
        <v>0</v>
      </c>
      <c r="AC21" s="780">
        <f>O21-'18 KMP- Tháng (Tâm)'!BJ88</f>
        <v>0</v>
      </c>
      <c r="AD21" s="780">
        <f>P21-'18 KMP- Tháng (Tâm)'!AW88</f>
        <v>0</v>
      </c>
    </row>
    <row r="22" spans="2:30" ht="24" customHeight="1" x14ac:dyDescent="0.35">
      <c r="B22" s="187">
        <v>7</v>
      </c>
      <c r="C22" s="193" t="s">
        <v>40</v>
      </c>
      <c r="D22" s="909">
        <v>1.0677530033175587E-3</v>
      </c>
      <c r="E22" s="909">
        <v>8.2359870023605078E-3</v>
      </c>
      <c r="F22" s="910">
        <v>9.9551596671837647E-3</v>
      </c>
      <c r="G22" s="910">
        <v>2.3880515460541398E-2</v>
      </c>
      <c r="H22" s="911">
        <f t="shared" si="0"/>
        <v>-1.37441706380743E-2</v>
      </c>
      <c r="I22" s="912">
        <v>1.0136344822467098E-2</v>
      </c>
      <c r="J22" s="913">
        <v>1.3102302847737689E-2</v>
      </c>
      <c r="K22" s="913">
        <v>1.7189474616780151E-2</v>
      </c>
      <c r="L22" s="913">
        <v>7.8773190192029195E-3</v>
      </c>
      <c r="M22" s="914">
        <v>8.6260946942096454E-3</v>
      </c>
      <c r="N22" s="915">
        <f t="shared" si="1"/>
        <v>-1.7315939703323107E-2</v>
      </c>
      <c r="O22" s="914">
        <v>7.4965703019813099E-3</v>
      </c>
      <c r="P22" s="916">
        <v>2.4812510005304416E-2</v>
      </c>
      <c r="T22" s="780">
        <f>D22-'18 KMP- Tháng (Tâm)'!Q89</f>
        <v>0</v>
      </c>
      <c r="U22" s="780">
        <f>E22-'18 KMP- Tháng (Tâm)'!AD89</f>
        <v>0</v>
      </c>
      <c r="V22" s="780">
        <f>F22-'18 KMP- Tháng (Tâm)'!AQ89</f>
        <v>0</v>
      </c>
      <c r="W22" s="780">
        <f>G22-'18 KMP- Tháng (Tâm)'!BE89</f>
        <v>-7.3188398688750489E-8</v>
      </c>
      <c r="X22" s="780">
        <f>I22-'18 KMP- Tháng (Tâm)'!BR89</f>
        <v>5.6899012629997754E-4</v>
      </c>
      <c r="Y22" s="780">
        <f>J22-'18 KMP- Tháng (Tâm)'!BF89</f>
        <v>0</v>
      </c>
      <c r="Z22" s="780">
        <f>K22-'18 KMP- Tháng (Tâm)'!BG89</f>
        <v>0</v>
      </c>
      <c r="AA22" s="780">
        <f>L22-'18 KMP- Tháng (Tâm)'!BH89</f>
        <v>0</v>
      </c>
      <c r="AB22" s="780">
        <f>M22-'18 KMP- Tháng (Tâm)'!BI89</f>
        <v>0</v>
      </c>
      <c r="AC22" s="780">
        <f>O22-'18 KMP- Tháng (Tâm)'!BJ89</f>
        <v>0</v>
      </c>
      <c r="AD22" s="780">
        <f>P22-'18 KMP- Tháng (Tâm)'!AW89</f>
        <v>0</v>
      </c>
    </row>
    <row r="23" spans="2:30" ht="24" customHeight="1" thickBot="1" x14ac:dyDescent="0.4">
      <c r="B23" s="463" t="s">
        <v>350</v>
      </c>
      <c r="C23" s="463"/>
      <c r="D23" s="917">
        <v>1</v>
      </c>
      <c r="E23" s="917">
        <v>0.99999999999999978</v>
      </c>
      <c r="F23" s="918">
        <v>0.99999999999999989</v>
      </c>
      <c r="G23" s="918">
        <v>1.0000000000000002</v>
      </c>
      <c r="H23" s="919">
        <f t="shared" si="0"/>
        <v>0</v>
      </c>
      <c r="I23" s="920">
        <v>1</v>
      </c>
      <c r="J23" s="921">
        <v>1.0000000000000002</v>
      </c>
      <c r="K23" s="921">
        <v>1.0000000000000002</v>
      </c>
      <c r="L23" s="921">
        <v>1</v>
      </c>
      <c r="M23" s="977">
        <v>1</v>
      </c>
      <c r="N23" s="922" t="b">
        <f t="shared" ref="N23" si="2">O23=P23</f>
        <v>1</v>
      </c>
      <c r="O23" s="923">
        <v>1.0000000000000002</v>
      </c>
      <c r="P23" s="924">
        <v>0.99999999999999989</v>
      </c>
      <c r="T23" s="780">
        <f>D23-'18 KMP- Tháng (Tâm)'!Q90</f>
        <v>0</v>
      </c>
      <c r="U23" s="780">
        <f>E23-'18 KMP- Tháng (Tâm)'!AD90</f>
        <v>0</v>
      </c>
      <c r="V23" s="780">
        <f>F23-'18 KMP- Tháng (Tâm)'!AQ90</f>
        <v>0</v>
      </c>
      <c r="W23" s="780">
        <f>G23-'18 KMP- Tháng (Tâm)'!BE90</f>
        <v>0</v>
      </c>
      <c r="X23" s="780">
        <f>I23-'18 KMP- Tháng (Tâm)'!BR90</f>
        <v>0</v>
      </c>
      <c r="Y23" s="780">
        <f>J23-'18 KMP- Tháng (Tâm)'!BF90</f>
        <v>0</v>
      </c>
      <c r="Z23" s="780">
        <f>K23-'18 KMP- Tháng (Tâm)'!BG90</f>
        <v>0</v>
      </c>
      <c r="AA23" s="780">
        <f>L23-'18 KMP- Tháng (Tâm)'!BH90</f>
        <v>0</v>
      </c>
      <c r="AB23" s="780">
        <f>M23-'18 KMP- Tháng (Tâm)'!BI90</f>
        <v>0</v>
      </c>
      <c r="AC23" s="780">
        <f>O23-'18 KMP- Tháng (Tâm)'!BJ90</f>
        <v>0</v>
      </c>
      <c r="AD23" s="780">
        <f>P23-'18 KMP- Tháng (Tâm)'!AW90</f>
        <v>0</v>
      </c>
    </row>
    <row r="24" spans="2:30" ht="15" thickTop="1" x14ac:dyDescent="0.35"/>
  </sheetData>
  <mergeCells count="2">
    <mergeCell ref="H2:I2"/>
    <mergeCell ref="N2:O2"/>
  </mergeCells>
  <conditionalFormatting sqref="H3:H22">
    <cfRule type="iconSet" priority="2">
      <iconSet showValue="0" reverse="1">
        <cfvo type="percent" val="0"/>
        <cfvo type="num" val="0"/>
        <cfvo type="num" val="0" gte="0"/>
      </iconSet>
    </cfRule>
  </conditionalFormatting>
  <conditionalFormatting sqref="N3:N22">
    <cfRule type="iconSet" priority="1">
      <iconSet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B398-5493-4E0F-BAF9-7ACAB1A9BC89}">
  <sheetPr>
    <tabColor rgb="FFBE3455"/>
  </sheetPr>
  <dimension ref="A1:Y41"/>
  <sheetViews>
    <sheetView showGridLines="0" zoomScale="115" zoomScaleNormal="115" workbookViewId="0">
      <pane xSplit="5" ySplit="4" topLeftCell="F12" activePane="bottomRight" state="frozen"/>
      <selection activeCell="L33" sqref="L33"/>
      <selection pane="topRight" activeCell="L33" sqref="L33"/>
      <selection pane="bottomLeft" activeCell="L33" sqref="L33"/>
      <selection pane="bottomRight" activeCell="L33" sqref="L33"/>
    </sheetView>
  </sheetViews>
  <sheetFormatPr defaultColWidth="9.26953125" defaultRowHeight="14.5" outlineLevelCol="1" x14ac:dyDescent="0.35"/>
  <cols>
    <col min="1" max="1" width="3.453125" style="619" hidden="1" customWidth="1" outlineLevel="1"/>
    <col min="2" max="2" width="6.54296875" style="620" customWidth="1" collapsed="1"/>
    <col min="3" max="3" width="9.453125" style="620" hidden="1" customWidth="1"/>
    <col min="4" max="4" width="52.7265625" style="620" customWidth="1"/>
    <col min="5" max="5" width="1" style="620" customWidth="1"/>
    <col min="6" max="6" width="11.453125" style="620" customWidth="1"/>
    <col min="7" max="7" width="7.7265625" style="620" customWidth="1"/>
    <col min="8" max="8" width="12.26953125" style="620" customWidth="1"/>
    <col min="9" max="9" width="8.7265625" style="620" customWidth="1"/>
    <col min="10" max="10" width="11.453125" style="620" customWidth="1"/>
    <col min="11" max="11" width="1" style="620" customWidth="1"/>
    <col min="12" max="12" width="11.453125" style="620" customWidth="1"/>
    <col min="13" max="13" width="8.54296875" style="620" customWidth="1"/>
    <col min="14" max="14" width="11.453125" style="620" customWidth="1"/>
    <col min="15" max="15" width="9" style="620" customWidth="1"/>
    <col min="16" max="17" width="11.453125" style="620" customWidth="1"/>
    <col min="18" max="18" width="7.7265625" style="620" customWidth="1"/>
    <col min="19" max="19" width="1" style="620" customWidth="1"/>
    <col min="20" max="20" width="29.7265625" style="620" bestFit="1" customWidth="1"/>
    <col min="21" max="21" width="9.26953125" style="620"/>
    <col min="22" max="22" width="18.26953125" style="620" bestFit="1" customWidth="1"/>
    <col min="23" max="23" width="13.54296875" style="620" bestFit="1" customWidth="1"/>
    <col min="24" max="16384" width="9.26953125" style="620"/>
  </cols>
  <sheetData>
    <row r="1" spans="1:25" x14ac:dyDescent="0.35">
      <c r="D1" s="621">
        <v>5</v>
      </c>
    </row>
    <row r="3" spans="1:25" s="623" customFormat="1" ht="22.5" customHeight="1" x14ac:dyDescent="0.35">
      <c r="A3" s="622"/>
      <c r="B3" s="1018" t="s">
        <v>57</v>
      </c>
      <c r="C3" s="1018" t="s">
        <v>58</v>
      </c>
      <c r="D3" s="1019" t="s">
        <v>313</v>
      </c>
      <c r="F3" s="1020" t="str">
        <f>"THÁNG "&amp;TEXT($D$1,"00")</f>
        <v>THÁNG 05</v>
      </c>
      <c r="G3" s="1020"/>
      <c r="H3" s="1020"/>
      <c r="I3" s="1020"/>
      <c r="J3" s="1020"/>
      <c r="L3" s="1021" t="s">
        <v>314</v>
      </c>
      <c r="M3" s="1021"/>
      <c r="N3" s="1021"/>
      <c r="O3" s="1021"/>
      <c r="P3" s="1021"/>
      <c r="Q3" s="1021"/>
      <c r="R3" s="1021"/>
    </row>
    <row r="4" spans="1:25" s="623" customFormat="1" ht="19.5" customHeight="1" x14ac:dyDescent="0.35">
      <c r="A4" s="622"/>
      <c r="B4" s="1018"/>
      <c r="C4" s="1018"/>
      <c r="D4" s="1019"/>
      <c r="F4" s="624" t="s">
        <v>315</v>
      </c>
      <c r="G4" s="625" t="s">
        <v>316</v>
      </c>
      <c r="H4" s="626" t="s">
        <v>317</v>
      </c>
      <c r="I4" s="625" t="s">
        <v>318</v>
      </c>
      <c r="J4" s="626" t="s">
        <v>319</v>
      </c>
      <c r="K4" s="627"/>
      <c r="L4" s="628" t="s">
        <v>315</v>
      </c>
      <c r="M4" s="629" t="s">
        <v>316</v>
      </c>
      <c r="N4" s="630" t="s">
        <v>317</v>
      </c>
      <c r="O4" s="631" t="s">
        <v>318</v>
      </c>
      <c r="P4" s="632" t="s">
        <v>319</v>
      </c>
      <c r="Q4" s="628" t="s">
        <v>320</v>
      </c>
      <c r="R4" s="633" t="s">
        <v>321</v>
      </c>
    </row>
    <row r="5" spans="1:25" s="645" customFormat="1" ht="18.649999999999999" customHeight="1" x14ac:dyDescent="0.35">
      <c r="A5" s="634">
        <v>2</v>
      </c>
      <c r="B5" s="635" t="s">
        <v>161</v>
      </c>
      <c r="C5" s="635"/>
      <c r="D5" s="636" t="s">
        <v>162</v>
      </c>
      <c r="E5" s="623"/>
      <c r="F5" s="637">
        <f>SUM(F6:F16)</f>
        <v>80287.263667368316</v>
      </c>
      <c r="G5" s="638">
        <f>IFERROR(F5/F$25,0)</f>
        <v>0.71258423413781591</v>
      </c>
      <c r="H5" s="639">
        <f t="shared" ref="H5:J5" si="0">SUM(H6:H16)</f>
        <v>83498.325095054359</v>
      </c>
      <c r="I5" s="638">
        <f>IFERROR(H5/H$25,0)</f>
        <v>0.69370016059282646</v>
      </c>
      <c r="J5" s="640">
        <f t="shared" si="0"/>
        <v>-3211.0614276860597</v>
      </c>
      <c r="K5" s="623"/>
      <c r="L5" s="637">
        <f>SUM(L6:L16)</f>
        <v>364354.6163154777</v>
      </c>
      <c r="M5" s="638">
        <f>IFERROR(L5/L$25,0)</f>
        <v>0.69829487346774732</v>
      </c>
      <c r="N5" s="641">
        <f t="shared" ref="N5" si="1">SUM(N6:N16)</f>
        <v>396296.14966951672</v>
      </c>
      <c r="O5" s="642">
        <f>IFERROR(N5/N$25,0)</f>
        <v>0.69062869117138392</v>
      </c>
      <c r="P5" s="643">
        <f t="shared" ref="P5" si="2">SUM(P6:P16)</f>
        <v>-31941.533354039129</v>
      </c>
      <c r="Q5" s="637">
        <f t="shared" ref="Q5" si="3">SUM(Q6:Q16)</f>
        <v>411515.39732322283</v>
      </c>
      <c r="R5" s="644">
        <f>IFERROR(Q5/Q$25,0)</f>
        <v>0.72812340156753841</v>
      </c>
      <c r="S5" s="623"/>
      <c r="U5" s="646">
        <f t="shared" ref="U5:U24" si="4">J5/H5</f>
        <v>-3.8456596872219799E-2</v>
      </c>
    </row>
    <row r="6" spans="1:25" ht="18.649999999999999" customHeight="1" x14ac:dyDescent="0.35">
      <c r="A6" s="619">
        <v>3</v>
      </c>
      <c r="B6" s="647">
        <v>1</v>
      </c>
      <c r="C6" s="648" t="s">
        <v>96</v>
      </c>
      <c r="D6" s="648" t="s">
        <v>322</v>
      </c>
      <c r="E6" s="649"/>
      <c r="F6" s="650" cm="1">
        <f t="array" ref="F6">SUMPRODUCT('18 KMP- Tháng (Tâm)'!$BF$9:$BQ$34*('18 KMP- Tháng (Tâm)'!$BF$7:$BQ$7=$D$1)*('18 KMP- Tháng (Tâm)'!$A$9:$A$34=$A6))</f>
        <v>67389.4959113683</v>
      </c>
      <c r="G6" s="651">
        <f t="shared" ref="G6:I25" si="5">IFERROR(F6/F$25,0)</f>
        <v>0.59811095981408102</v>
      </c>
      <c r="H6" s="652" cm="1">
        <f t="array" ref="H6">SUMPRODUCT('18 KMP- Tháng (Tâm)'!$AS$9:$BD$34*('18 KMP- Tháng (Tâm)'!$AS$7:$BD$7=$D$1)*('18 KMP- Tháng (Tâm)'!$A$9:$A$34=$A6))</f>
        <v>73858.796242105935</v>
      </c>
      <c r="I6" s="651">
        <f t="shared" ref="I6:I16" si="6">IFERROR(H6/H$25,0)</f>
        <v>0.6136154079260262</v>
      </c>
      <c r="J6" s="653">
        <f>F6-H6</f>
        <v>-6469.3003307376348</v>
      </c>
      <c r="K6" s="649"/>
      <c r="L6" s="650" cm="1">
        <f t="array" ref="L6">SUMPRODUCT('18 KMP- Tháng (Tâm)'!$BF$9:$BQ$34*('18 KMP- Tháng (Tâm)'!$BF$7:$BQ$7&lt;=$D$1)*('18 KMP- Tháng (Tâm)'!$A$9:$A$34=$A6))</f>
        <v>311169.08907747769</v>
      </c>
      <c r="M6" s="651">
        <f t="shared" ref="M6:O21" si="7">IFERROR(L6/L$25,0)</f>
        <v>0.596363460086621</v>
      </c>
      <c r="N6" s="654" cm="1">
        <f t="array" ref="N6">SUMPRODUCT('18 KMP- Tháng (Tâm)'!$AS$9:$BD$34*('18 KMP- Tháng (Tâm)'!$AS$7:$BD$7&lt;=$D$1)*('18 KMP- Tháng (Tâm)'!$A$9:$A$34=$A6))</f>
        <v>350037.6425628218</v>
      </c>
      <c r="O6" s="655">
        <f t="shared" ref="O6:O16" si="8">IFERROR(N6/N$25,0)</f>
        <v>0.61001359499828001</v>
      </c>
      <c r="P6" s="656">
        <f>L6-N6</f>
        <v>-38868.553485344106</v>
      </c>
      <c r="Q6" s="650" cm="1">
        <f t="array" ref="Q6">SUMPRODUCT('18 KMP- Tháng (Tâm)'!$AE$9:$AP$34*('18 KMP- Tháng (Tâm)'!$AE$7:$AP$7&lt;=$D$1)*('18 KMP- Tháng (Tâm)'!$A$9:$A$34=$A6))</f>
        <v>361216.47388922278</v>
      </c>
      <c r="R6" s="651">
        <f t="shared" ref="R6:R25" si="9">IFERROR(Q6/Q$25,0)</f>
        <v>0.63912594615232032</v>
      </c>
      <c r="S6" s="649"/>
      <c r="U6" s="657">
        <f t="shared" si="4"/>
        <v>-8.7590113295802283E-2</v>
      </c>
      <c r="W6" s="658"/>
      <c r="X6" s="658"/>
      <c r="Y6" s="659"/>
    </row>
    <row r="7" spans="1:25" ht="18.649999999999999" customHeight="1" x14ac:dyDescent="0.35">
      <c r="A7" s="619">
        <v>4</v>
      </c>
      <c r="B7" s="660">
        <f>B6+1</f>
        <v>2</v>
      </c>
      <c r="C7" s="661" t="s">
        <v>96</v>
      </c>
      <c r="D7" s="661" t="s">
        <v>25</v>
      </c>
      <c r="E7" s="649"/>
      <c r="F7" s="662" cm="1">
        <f t="array" ref="F7">SUMPRODUCT('18 KMP- Tháng (Tâm)'!$BF$9:$BQ$34*('18 KMP- Tháng (Tâm)'!$BF$7:$BQ$7=$D$1)*('18 KMP- Tháng (Tâm)'!$A$9:$A$34=$A7))</f>
        <v>5888.0109110000003</v>
      </c>
      <c r="G7" s="651">
        <f t="shared" si="5"/>
        <v>5.2258646688881076E-2</v>
      </c>
      <c r="H7" s="652" cm="1">
        <f t="array" ref="H7">SUMPRODUCT('18 KMP- Tháng (Tâm)'!$AS$9:$BD$34*('18 KMP- Tháng (Tâm)'!$AS$7:$BD$7=$D$1)*('18 KMP- Tháng (Tâm)'!$A$9:$A$34=$A7))</f>
        <v>4850.5640553159174</v>
      </c>
      <c r="I7" s="651">
        <f t="shared" si="6"/>
        <v>4.0298258202280321E-2</v>
      </c>
      <c r="J7" s="663">
        <f t="shared" ref="J7:J16" si="10">F7-H7</f>
        <v>1037.4468556840829</v>
      </c>
      <c r="K7" s="649"/>
      <c r="L7" s="662" cm="1">
        <f t="array" ref="L7">SUMPRODUCT('18 KMP- Tháng (Tâm)'!$BF$9:$BQ$34*('18 KMP- Tháng (Tâm)'!$BF$7:$BQ$7&lt;=$D$1)*('18 KMP- Tháng (Tâm)'!$A$9:$A$34=$A7))</f>
        <v>23977.304805</v>
      </c>
      <c r="M7" s="651">
        <f t="shared" si="7"/>
        <v>4.5953113464625085E-2</v>
      </c>
      <c r="N7" s="654" cm="1">
        <f t="array" ref="N7">SUMPRODUCT('18 KMP- Tháng (Tâm)'!$AS$9:$BD$34*('18 KMP- Tháng (Tâm)'!$AS$7:$BD$7&lt;=$D$1)*('18 KMP- Tháng (Tâm)'!$A$9:$A$34=$A7))</f>
        <v>23170.541171297653</v>
      </c>
      <c r="O7" s="655">
        <f t="shared" si="8"/>
        <v>4.0379500371655677E-2</v>
      </c>
      <c r="P7" s="664">
        <f t="shared" ref="P7:P16" si="11">L7-N7</f>
        <v>806.76363370234685</v>
      </c>
      <c r="Q7" s="662" cm="1">
        <f t="array" ref="Q7">SUMPRODUCT('18 KMP- Tháng (Tâm)'!$AE$9:$AP$34*('18 KMP- Tháng (Tâm)'!$AE$7:$AP$7&lt;=$D$1)*('18 KMP- Tháng (Tâm)'!$A$9:$A$34=$A7))</f>
        <v>26810.600633999999</v>
      </c>
      <c r="R7" s="651">
        <f t="shared" si="9"/>
        <v>4.7437898699969831E-2</v>
      </c>
      <c r="S7" s="649"/>
      <c r="U7" s="657">
        <f t="shared" si="4"/>
        <v>0.21388169372737292</v>
      </c>
      <c r="W7" s="658"/>
      <c r="X7" s="658"/>
      <c r="Y7" s="659"/>
    </row>
    <row r="8" spans="1:25" ht="18.649999999999999" customHeight="1" x14ac:dyDescent="0.35">
      <c r="A8" s="619">
        <v>6</v>
      </c>
      <c r="B8" s="660">
        <f t="shared" ref="B8:B16" si="12">B7+1</f>
        <v>3</v>
      </c>
      <c r="C8" s="661" t="s">
        <v>96</v>
      </c>
      <c r="D8" s="661" t="s">
        <v>165</v>
      </c>
      <c r="E8" s="649"/>
      <c r="F8" s="662" cm="1">
        <f t="array" ref="F8">SUMPRODUCT('18 KMP- Tháng (Tâm)'!$BF$9:$BQ$34*('18 KMP- Tháng (Tâm)'!$BF$7:$BQ$7=$D$1)*('18 KMP- Tháng (Tâm)'!$A$9:$A$34=$A8))</f>
        <v>2769.8496880000002</v>
      </c>
      <c r="G8" s="651">
        <f t="shared" si="5"/>
        <v>2.4583615488225356E-2</v>
      </c>
      <c r="H8" s="652" cm="1">
        <f t="array" ref="H8">SUMPRODUCT('18 KMP- Tháng (Tâm)'!$AS$9:$BD$34*('18 KMP- Tháng (Tâm)'!$AS$7:$BD$7=$D$1)*('18 KMP- Tháng (Tâm)'!$A$9:$A$34=$A8))</f>
        <v>751.38066909090912</v>
      </c>
      <c r="I8" s="651">
        <f t="shared" si="6"/>
        <v>6.2424352850352187E-3</v>
      </c>
      <c r="J8" s="663">
        <f t="shared" si="10"/>
        <v>2018.4690189090911</v>
      </c>
      <c r="K8" s="649"/>
      <c r="L8" s="662" cm="1">
        <f t="array" ref="L8">SUMPRODUCT('18 KMP- Tháng (Tâm)'!$BF$9:$BQ$34*('18 KMP- Tháng (Tâm)'!$BF$7:$BQ$7&lt;=$D$1)*('18 KMP- Tháng (Tâm)'!$A$9:$A$34=$A8))</f>
        <v>11761.062355</v>
      </c>
      <c r="M8" s="651">
        <f t="shared" si="7"/>
        <v>2.2540374627557966E-2</v>
      </c>
      <c r="N8" s="654" cm="1">
        <f t="array" ref="N8">SUMPRODUCT('18 KMP- Tháng (Tâm)'!$AS$9:$BD$34*('18 KMP- Tháng (Tâm)'!$AS$7:$BD$7&lt;=$D$1)*('18 KMP- Tháng (Tâm)'!$A$9:$A$34=$A8))</f>
        <v>3646.7706454545455</v>
      </c>
      <c r="O8" s="655">
        <f t="shared" si="8"/>
        <v>6.3552584095828398E-3</v>
      </c>
      <c r="P8" s="664">
        <f t="shared" si="11"/>
        <v>8114.2917095454541</v>
      </c>
      <c r="Q8" s="662" cm="1">
        <f t="array" ref="Q8">SUMPRODUCT('18 KMP- Tháng (Tâm)'!$AE$9:$AP$34*('18 KMP- Tháng (Tâm)'!$AE$7:$AP$7&lt;=$D$1)*('18 KMP- Tháng (Tâm)'!$A$9:$A$34=$A8))</f>
        <v>6577.8191450000004</v>
      </c>
      <c r="R8" s="651">
        <f t="shared" si="9"/>
        <v>1.1638602302386308E-2</v>
      </c>
      <c r="S8" s="649"/>
      <c r="U8" s="657">
        <f t="shared" si="4"/>
        <v>2.6863467506440171</v>
      </c>
      <c r="W8" s="658"/>
      <c r="X8" s="658"/>
      <c r="Y8" s="659"/>
    </row>
    <row r="9" spans="1:25" ht="18.649999999999999" customHeight="1" x14ac:dyDescent="0.35">
      <c r="A9" s="619">
        <v>7</v>
      </c>
      <c r="B9" s="660">
        <f t="shared" si="12"/>
        <v>4</v>
      </c>
      <c r="C9" s="661" t="s">
        <v>96</v>
      </c>
      <c r="D9" s="661" t="s">
        <v>54</v>
      </c>
      <c r="E9" s="649"/>
      <c r="F9" s="662" cm="1">
        <f t="array" ref="F9">SUMPRODUCT('18 KMP- Tháng (Tâm)'!$BF$9:$BQ$34*('18 KMP- Tháng (Tâm)'!$BF$7:$BQ$7=$D$1)*('18 KMP- Tháng (Tâm)'!$A$9:$A$34=$A9))</f>
        <v>1815.041453</v>
      </c>
      <c r="G9" s="651">
        <f t="shared" si="5"/>
        <v>1.6109278914683781E-2</v>
      </c>
      <c r="H9" s="652" cm="1">
        <f t="array" ref="H9">SUMPRODUCT('18 KMP- Tháng (Tâm)'!$AS$9:$BD$34*('18 KMP- Tháng (Tâm)'!$AS$7:$BD$7=$D$1)*('18 KMP- Tháng (Tâm)'!$A$9:$A$34=$A9))</f>
        <v>1335.6927381118819</v>
      </c>
      <c r="I9" s="651">
        <f t="shared" si="6"/>
        <v>1.1096872492664714E-2</v>
      </c>
      <c r="J9" s="663">
        <f t="shared" si="10"/>
        <v>479.34871488811814</v>
      </c>
      <c r="K9" s="649"/>
      <c r="L9" s="662" cm="1">
        <f t="array" ref="L9">SUMPRODUCT('18 KMP- Tháng (Tâm)'!$BF$9:$BQ$34*('18 KMP- Tháng (Tâm)'!$BF$7:$BQ$7&lt;=$D$1)*('18 KMP- Tháng (Tâm)'!$A$9:$A$34=$A9))</f>
        <v>6144.7120459999996</v>
      </c>
      <c r="M9" s="651">
        <f t="shared" si="7"/>
        <v>1.1776496656054689E-2</v>
      </c>
      <c r="N9" s="654" cm="1">
        <f t="array" ref="N9">SUMPRODUCT('18 KMP- Tháng (Tâm)'!$AS$9:$BD$34*('18 KMP- Tháng (Tâm)'!$AS$7:$BD$7&lt;=$D$1)*('18 KMP- Tháng (Tâm)'!$A$9:$A$34=$A9))</f>
        <v>6329.9797509933196</v>
      </c>
      <c r="O9" s="655">
        <f t="shared" si="8"/>
        <v>1.1031309878270437E-2</v>
      </c>
      <c r="P9" s="664">
        <f t="shared" si="11"/>
        <v>-185.26770499331997</v>
      </c>
      <c r="Q9" s="662" cm="1">
        <f t="array" ref="Q9">SUMPRODUCT('18 KMP- Tháng (Tâm)'!$AE$9:$AP$34*('18 KMP- Tháng (Tâm)'!$AE$7:$AP$7&lt;=$D$1)*('18 KMP- Tháng (Tâm)'!$A$9:$A$34=$A9))</f>
        <v>6382.9852339999998</v>
      </c>
      <c r="R9" s="651">
        <f t="shared" si="9"/>
        <v>1.129386883447526E-2</v>
      </c>
      <c r="S9" s="649"/>
      <c r="U9" s="657">
        <f t="shared" si="4"/>
        <v>0.35887648499588259</v>
      </c>
      <c r="W9" s="658"/>
      <c r="X9" s="658"/>
      <c r="Y9" s="659"/>
    </row>
    <row r="10" spans="1:25" ht="18.649999999999999" customHeight="1" x14ac:dyDescent="0.35">
      <c r="A10" s="619">
        <v>8</v>
      </c>
      <c r="B10" s="660">
        <f t="shared" si="12"/>
        <v>5</v>
      </c>
      <c r="C10" s="661" t="s">
        <v>96</v>
      </c>
      <c r="D10" s="661" t="s">
        <v>49</v>
      </c>
      <c r="E10" s="649"/>
      <c r="F10" s="662" cm="1">
        <f t="array" ref="F10">SUMPRODUCT('18 KMP- Tháng (Tâm)'!$BF$9:$BQ$34*('18 KMP- Tháng (Tâm)'!$BF$7:$BQ$7=$D$1)*('18 KMP- Tháng (Tâm)'!$A$9:$A$34=$A10))</f>
        <v>685.02571699999999</v>
      </c>
      <c r="G10" s="651">
        <f t="shared" si="5"/>
        <v>6.0798998946522895E-3</v>
      </c>
      <c r="H10" s="652" cm="1">
        <f t="array" ref="H10">SUMPRODUCT('18 KMP- Tháng (Tâm)'!$AS$9:$BD$34*('18 KMP- Tháng (Tâm)'!$AS$7:$BD$7=$D$1)*('18 KMP- Tháng (Tâm)'!$A$9:$A$34=$A10))</f>
        <v>892.47321115844761</v>
      </c>
      <c r="I10" s="651">
        <f t="shared" si="6"/>
        <v>7.4146254933930488E-3</v>
      </c>
      <c r="J10" s="663">
        <f t="shared" si="10"/>
        <v>-207.44749415844763</v>
      </c>
      <c r="K10" s="649"/>
      <c r="L10" s="662" cm="1">
        <f t="array" ref="L10">SUMPRODUCT('18 KMP- Tháng (Tâm)'!$BF$9:$BQ$34*('18 KMP- Tháng (Tâm)'!$BF$7:$BQ$7&lt;=$D$1)*('18 KMP- Tháng (Tâm)'!$A$9:$A$34=$A10))</f>
        <v>3481.4937249999998</v>
      </c>
      <c r="M10" s="651">
        <f t="shared" si="7"/>
        <v>6.6723711222932518E-3</v>
      </c>
      <c r="N10" s="654" cm="1">
        <f t="array" ref="N10">SUMPRODUCT('18 KMP- Tháng (Tâm)'!$AS$9:$BD$34*('18 KMP- Tháng (Tâm)'!$AS$7:$BD$7&lt;=$D$1)*('18 KMP- Tháng (Tâm)'!$A$9:$A$34=$A10))</f>
        <v>4411.0131579352001</v>
      </c>
      <c r="O10" s="655">
        <f t="shared" si="8"/>
        <v>7.6871103757757972E-3</v>
      </c>
      <c r="P10" s="664">
        <f t="shared" si="11"/>
        <v>-929.51943293520026</v>
      </c>
      <c r="Q10" s="662" cm="1">
        <f t="array" ref="Q10">SUMPRODUCT('18 KMP- Tháng (Tâm)'!$AE$9:$AP$34*('18 KMP- Tháng (Tâm)'!$AE$7:$AP$7&lt;=$D$1)*('18 KMP- Tháng (Tâm)'!$A$9:$A$34=$A10))</f>
        <v>3734.9116330000002</v>
      </c>
      <c r="R10" s="651">
        <f t="shared" si="9"/>
        <v>6.6084442537593067E-3</v>
      </c>
      <c r="S10" s="649"/>
      <c r="U10" s="657">
        <f t="shared" si="4"/>
        <v>-0.23244114396349974</v>
      </c>
      <c r="W10" s="658"/>
      <c r="X10" s="658"/>
      <c r="Y10" s="659"/>
    </row>
    <row r="11" spans="1:25" ht="18.649999999999999" customHeight="1" x14ac:dyDescent="0.35">
      <c r="A11" s="619">
        <v>9</v>
      </c>
      <c r="B11" s="660">
        <f t="shared" si="12"/>
        <v>6</v>
      </c>
      <c r="C11" s="661" t="s">
        <v>96</v>
      </c>
      <c r="D11" s="661" t="s">
        <v>56</v>
      </c>
      <c r="E11" s="649"/>
      <c r="F11" s="662" cm="1">
        <f t="array" ref="F11">SUMPRODUCT('18 KMP- Tháng (Tâm)'!$BF$9:$BQ$34*('18 KMP- Tháng (Tâm)'!$BF$7:$BQ$7=$D$1)*('18 KMP- Tháng (Tâm)'!$A$9:$A$34=$A11))</f>
        <v>785.37370599999997</v>
      </c>
      <c r="G11" s="651">
        <f t="shared" si="5"/>
        <v>6.9705317535868191E-3</v>
      </c>
      <c r="H11" s="652" cm="1">
        <f t="array" ref="H11">SUMPRODUCT('18 KMP- Tháng (Tâm)'!$AS$9:$BD$34*('18 KMP- Tháng (Tâm)'!$AS$7:$BD$7=$D$1)*('18 KMP- Tháng (Tâm)'!$A$9:$A$34=$A11))</f>
        <v>711.9129784782557</v>
      </c>
      <c r="I11" s="651">
        <f t="shared" si="6"/>
        <v>5.9145395663479546E-3</v>
      </c>
      <c r="J11" s="663">
        <f t="shared" si="10"/>
        <v>73.460727521744275</v>
      </c>
      <c r="K11" s="649"/>
      <c r="L11" s="662" cm="1">
        <f t="array" ref="L11">SUMPRODUCT('18 KMP- Tháng (Tâm)'!$BF$9:$BQ$34*('18 KMP- Tháng (Tâm)'!$BF$7:$BQ$7&lt;=$D$1)*('18 KMP- Tháng (Tâm)'!$A$9:$A$34=$A11))</f>
        <v>3577.9777169999998</v>
      </c>
      <c r="M11" s="651">
        <f t="shared" si="7"/>
        <v>6.8572851427786321E-3</v>
      </c>
      <c r="N11" s="654" cm="1">
        <f t="array" ref="N11">SUMPRODUCT('18 KMP- Tháng (Tâm)'!$AS$9:$BD$34*('18 KMP- Tháng (Tâm)'!$AS$7:$BD$7&lt;=$D$1)*('18 KMP- Tháng (Tâm)'!$A$9:$A$34=$A11))</f>
        <v>3380.3508317795631</v>
      </c>
      <c r="O11" s="655">
        <f t="shared" si="8"/>
        <v>5.89096632051279E-3</v>
      </c>
      <c r="P11" s="664">
        <f t="shared" si="11"/>
        <v>197.62688522043663</v>
      </c>
      <c r="Q11" s="662" cm="1">
        <f t="array" ref="Q11">SUMPRODUCT('18 KMP- Tháng (Tâm)'!$AE$9:$AP$34*('18 KMP- Tháng (Tâm)'!$AE$7:$AP$7&lt;=$D$1)*('18 KMP- Tháng (Tâm)'!$A$9:$A$34=$A11))</f>
        <v>3216.4253389999999</v>
      </c>
      <c r="R11" s="651">
        <f t="shared" si="9"/>
        <v>5.6910496519799129E-3</v>
      </c>
      <c r="S11" s="649"/>
      <c r="U11" s="657">
        <f t="shared" si="4"/>
        <v>0.10318779084315854</v>
      </c>
      <c r="W11" s="658"/>
      <c r="X11" s="658"/>
      <c r="Y11" s="659"/>
    </row>
    <row r="12" spans="1:25" ht="18.649999999999999" customHeight="1" x14ac:dyDescent="0.35">
      <c r="A12" s="619">
        <v>10</v>
      </c>
      <c r="B12" s="660">
        <f t="shared" si="12"/>
        <v>7</v>
      </c>
      <c r="C12" s="661" t="s">
        <v>96</v>
      </c>
      <c r="D12" s="661" t="s">
        <v>28</v>
      </c>
      <c r="E12" s="649"/>
      <c r="F12" s="662" cm="1">
        <f t="array" ref="F12">SUMPRODUCT('18 KMP- Tháng (Tâm)'!$BF$9:$BQ$34*('18 KMP- Tháng (Tâm)'!$BF$7:$BQ$7=$D$1)*('18 KMP- Tháng (Tâm)'!$A$9:$A$34=$A12))</f>
        <v>356.91601600000001</v>
      </c>
      <c r="G12" s="651">
        <f t="shared" si="5"/>
        <v>3.167784207549853E-3</v>
      </c>
      <c r="H12" s="652" cm="1">
        <f t="array" ref="H12">SUMPRODUCT('18 KMP- Tháng (Tâm)'!$AS$9:$BD$34*('18 KMP- Tháng (Tâm)'!$AS$7:$BD$7=$D$1)*('18 KMP- Tháng (Tâm)'!$A$9:$A$34=$A12))</f>
        <v>231.92</v>
      </c>
      <c r="I12" s="651">
        <f t="shared" si="6"/>
        <v>1.92678046010551E-3</v>
      </c>
      <c r="J12" s="663">
        <f t="shared" si="10"/>
        <v>124.99601600000003</v>
      </c>
      <c r="K12" s="649"/>
      <c r="L12" s="662" cm="1">
        <f t="array" ref="L12">SUMPRODUCT('18 KMP- Tháng (Tâm)'!$BF$9:$BQ$34*('18 KMP- Tháng (Tâm)'!$BF$7:$BQ$7&lt;=$D$1)*('18 KMP- Tháng (Tâm)'!$A$9:$A$34=$A12))</f>
        <v>1363.878686</v>
      </c>
      <c r="M12" s="651">
        <f t="shared" si="7"/>
        <v>2.6139081318544287E-3</v>
      </c>
      <c r="N12" s="654" cm="1">
        <f t="array" ref="N12">SUMPRODUCT('18 KMP- Tháng (Tâm)'!$AS$9:$BD$34*('18 KMP- Tháng (Tâm)'!$AS$7:$BD$7&lt;=$D$1)*('18 KMP- Tháng (Tâm)'!$A$9:$A$34=$A12))</f>
        <v>1159.5999999999999</v>
      </c>
      <c r="O12" s="655">
        <f t="shared" si="8"/>
        <v>2.0208448428030205E-3</v>
      </c>
      <c r="P12" s="664">
        <f t="shared" si="11"/>
        <v>204.27868600000011</v>
      </c>
      <c r="Q12" s="662" cm="1">
        <f t="array" ref="Q12">SUMPRODUCT('18 KMP- Tháng (Tâm)'!$AE$9:$AP$34*('18 KMP- Tháng (Tâm)'!$AE$7:$AP$7&lt;=$D$1)*('18 KMP- Tháng (Tâm)'!$A$9:$A$34=$A12))</f>
        <v>1164.3456169999999</v>
      </c>
      <c r="R12" s="651">
        <f t="shared" si="9"/>
        <v>2.0601593446196225E-3</v>
      </c>
      <c r="S12" s="649"/>
      <c r="U12" s="657">
        <f t="shared" si="4"/>
        <v>0.53896177992411187</v>
      </c>
      <c r="W12" s="658"/>
      <c r="X12" s="658"/>
      <c r="Y12" s="659"/>
    </row>
    <row r="13" spans="1:25" ht="18.649999999999999" customHeight="1" x14ac:dyDescent="0.35">
      <c r="A13" s="619">
        <v>11</v>
      </c>
      <c r="B13" s="660">
        <f t="shared" si="12"/>
        <v>8</v>
      </c>
      <c r="C13" s="661" t="s">
        <v>96</v>
      </c>
      <c r="D13" s="661" t="s">
        <v>53</v>
      </c>
      <c r="E13" s="649"/>
      <c r="F13" s="662" cm="1">
        <f t="array" ref="F13">SUMPRODUCT('18 KMP- Tháng (Tâm)'!$BF$9:$BQ$34*('18 KMP- Tháng (Tâm)'!$BF$7:$BQ$7=$D$1)*('18 KMP- Tháng (Tâm)'!$A$9:$A$34=$A13))</f>
        <v>385.67558700000001</v>
      </c>
      <c r="G13" s="651">
        <f t="shared" si="5"/>
        <v>3.4230378547543787E-3</v>
      </c>
      <c r="H13" s="652" cm="1">
        <f t="array" ref="H13">SUMPRODUCT('18 KMP- Tháng (Tâm)'!$AS$9:$BD$34*('18 KMP- Tháng (Tâm)'!$AS$7:$BD$7=$D$1)*('18 KMP- Tháng (Tâm)'!$A$9:$A$34=$A13))</f>
        <v>471.88270318415442</v>
      </c>
      <c r="I13" s="651">
        <f t="shared" si="6"/>
        <v>3.9203793202699077E-3</v>
      </c>
      <c r="J13" s="663">
        <f t="shared" si="10"/>
        <v>-86.207116184154415</v>
      </c>
      <c r="K13" s="649"/>
      <c r="L13" s="662" cm="1">
        <f t="array" ref="L13">SUMPRODUCT('18 KMP- Tháng (Tâm)'!$BF$9:$BQ$34*('18 KMP- Tháng (Tâm)'!$BF$7:$BQ$7&lt;=$D$1)*('18 KMP- Tháng (Tâm)'!$A$9:$A$34=$A13))</f>
        <v>1525.1431070000001</v>
      </c>
      <c r="M13" s="651">
        <f t="shared" si="7"/>
        <v>2.9229754893530385E-3</v>
      </c>
      <c r="N13" s="654" cm="1">
        <f t="array" ref="N13">SUMPRODUCT('18 KMP- Tháng (Tâm)'!$AS$9:$BD$34*('18 KMP- Tháng (Tâm)'!$AS$7:$BD$7&lt;=$D$1)*('18 KMP- Tháng (Tâm)'!$A$9:$A$34=$A13))</f>
        <v>2230.1305835415519</v>
      </c>
      <c r="O13" s="655">
        <f t="shared" si="8"/>
        <v>3.8864676513687786E-3</v>
      </c>
      <c r="P13" s="664">
        <f t="shared" si="11"/>
        <v>-704.98747654155181</v>
      </c>
      <c r="Q13" s="662" cm="1">
        <f t="array" ref="Q13">SUMPRODUCT('18 KMP- Tháng (Tâm)'!$AE$9:$AP$34*('18 KMP- Tháng (Tâm)'!$AE$7:$AP$7&lt;=$D$1)*('18 KMP- Tháng (Tâm)'!$A$9:$A$34=$A13))</f>
        <v>1172.2512200000001</v>
      </c>
      <c r="R13" s="651">
        <f t="shared" si="9"/>
        <v>2.0741472891418573E-3</v>
      </c>
      <c r="S13" s="649"/>
      <c r="U13" s="657">
        <f t="shared" si="4"/>
        <v>-0.1826875950367515</v>
      </c>
      <c r="W13" s="658"/>
      <c r="X13" s="658"/>
      <c r="Y13" s="659"/>
    </row>
    <row r="14" spans="1:25" ht="18.649999999999999" customHeight="1" x14ac:dyDescent="0.35">
      <c r="A14" s="619">
        <v>12</v>
      </c>
      <c r="B14" s="660">
        <f t="shared" si="12"/>
        <v>9</v>
      </c>
      <c r="C14" s="661" t="s">
        <v>96</v>
      </c>
      <c r="D14" s="661" t="s">
        <v>42</v>
      </c>
      <c r="E14" s="649"/>
      <c r="F14" s="662" cm="1">
        <f t="array" ref="F14">SUMPRODUCT('18 KMP- Tháng (Tâm)'!$BF$9:$BQ$34*('18 KMP- Tháng (Tâm)'!$BF$7:$BQ$7=$D$1)*('18 KMP- Tháng (Tâm)'!$A$9:$A$34=$A14))</f>
        <v>84.135278</v>
      </c>
      <c r="G14" s="651">
        <f t="shared" si="5"/>
        <v>7.4673702775561793E-4</v>
      </c>
      <c r="H14" s="652" cm="1">
        <f t="array" ref="H14">SUMPRODUCT('18 KMP- Tháng (Tâm)'!$AS$9:$BD$34*('18 KMP- Tháng (Tâm)'!$AS$7:$BD$7=$D$1)*('18 KMP- Tháng (Tâm)'!$A$9:$A$34=$A14))</f>
        <v>122.35857906666668</v>
      </c>
      <c r="I14" s="651">
        <f t="shared" si="6"/>
        <v>1.0165493242149382E-3</v>
      </c>
      <c r="J14" s="663">
        <f t="shared" si="10"/>
        <v>-38.223301066666679</v>
      </c>
      <c r="K14" s="649"/>
      <c r="L14" s="662" cm="1">
        <f t="array" ref="L14">SUMPRODUCT('18 KMP- Tháng (Tâm)'!$BF$9:$BQ$34*('18 KMP- Tháng (Tâm)'!$BF$7:$BQ$7&lt;=$D$1)*('18 KMP- Tháng (Tâm)'!$A$9:$A$34=$A14))</f>
        <v>404.52582300000006</v>
      </c>
      <c r="M14" s="651">
        <f t="shared" si="7"/>
        <v>7.7528401106255387E-4</v>
      </c>
      <c r="N14" s="654" cm="1">
        <f t="array" ref="N14">SUMPRODUCT('18 KMP- Tháng (Tâm)'!$AS$9:$BD$34*('18 KMP- Tháng (Tâm)'!$AS$7:$BD$7&lt;=$D$1)*('18 KMP- Tháng (Tâm)'!$A$9:$A$34=$A14))</f>
        <v>617.51686773333336</v>
      </c>
      <c r="O14" s="655">
        <f t="shared" si="8"/>
        <v>1.0761519295470693E-3</v>
      </c>
      <c r="P14" s="664">
        <f t="shared" si="11"/>
        <v>-212.9910447333333</v>
      </c>
      <c r="Q14" s="662" cm="1">
        <f t="array" ref="Q14">SUMPRODUCT('18 KMP- Tháng (Tâm)'!$AE$9:$AP$34*('18 KMP- Tháng (Tâm)'!$AE$7:$AP$7&lt;=$D$1)*('18 KMP- Tháng (Tâm)'!$A$9:$A$34=$A14))</f>
        <v>351.53636399999999</v>
      </c>
      <c r="R14" s="651">
        <f t="shared" si="9"/>
        <v>6.2199824063768948E-4</v>
      </c>
      <c r="S14" s="649"/>
      <c r="U14" s="657">
        <f t="shared" si="4"/>
        <v>-0.31238758539228245</v>
      </c>
      <c r="W14" s="658"/>
      <c r="X14" s="658"/>
      <c r="Y14" s="659"/>
    </row>
    <row r="15" spans="1:25" ht="18.649999999999999" customHeight="1" x14ac:dyDescent="0.35">
      <c r="A15" s="619">
        <v>13</v>
      </c>
      <c r="B15" s="660">
        <f t="shared" si="12"/>
        <v>10</v>
      </c>
      <c r="C15" s="661" t="s">
        <v>96</v>
      </c>
      <c r="D15" s="661" t="s">
        <v>52</v>
      </c>
      <c r="E15" s="649"/>
      <c r="F15" s="662" cm="1">
        <f t="array" ref="F15">SUMPRODUCT('18 KMP- Tháng (Tâm)'!$BF$9:$BQ$34*('18 KMP- Tháng (Tâm)'!$BF$7:$BQ$7=$D$1)*('18 KMP- Tháng (Tâm)'!$A$9:$A$34=$A15))</f>
        <v>125.0844</v>
      </c>
      <c r="G15" s="651">
        <f t="shared" si="5"/>
        <v>1.1101782188750219E-3</v>
      </c>
      <c r="H15" s="652" cm="1">
        <f t="array" ref="H15">SUMPRODUCT('18 KMP- Tháng (Tâm)'!$AS$9:$BD$34*('18 KMP- Tháng (Tâm)'!$AS$7:$BD$7=$D$1)*('18 KMP- Tháng (Tâm)'!$A$9:$A$34=$A15))</f>
        <v>221.48736581720004</v>
      </c>
      <c r="I15" s="651">
        <f t="shared" si="6"/>
        <v>1.8401066256330725E-3</v>
      </c>
      <c r="J15" s="663">
        <f t="shared" si="10"/>
        <v>-96.402965817200041</v>
      </c>
      <c r="K15" s="649"/>
      <c r="L15" s="662" cm="1">
        <f t="array" ref="L15">SUMPRODUCT('18 KMP- Tháng (Tâm)'!$BF$9:$BQ$34*('18 KMP- Tháng (Tâm)'!$BF$7:$BQ$7&lt;=$D$1)*('18 KMP- Tháng (Tâm)'!$A$9:$A$34=$A15))</f>
        <v>546.80219999999997</v>
      </c>
      <c r="M15" s="651">
        <f t="shared" si="7"/>
        <v>1.0479603001112459E-3</v>
      </c>
      <c r="N15" s="654" cm="1">
        <f t="array" ref="N15">SUMPRODUCT('18 KMP- Tháng (Tâm)'!$AS$9:$BD$34*('18 KMP- Tháng (Tâm)'!$AS$7:$BD$7&lt;=$D$1)*('18 KMP- Tháng (Tâm)'!$A$9:$A$34=$A15))</f>
        <v>1052.8954531704003</v>
      </c>
      <c r="O15" s="655">
        <f t="shared" si="8"/>
        <v>1.8348899159625325E-3</v>
      </c>
      <c r="P15" s="664">
        <f t="shared" si="11"/>
        <v>-506.09325317040032</v>
      </c>
      <c r="Q15" s="662" cm="1">
        <f t="array" ref="Q15">SUMPRODUCT('18 KMP- Tháng (Tâm)'!$AE$9:$AP$34*('18 KMP- Tháng (Tâm)'!$AE$7:$AP$7&lt;=$D$1)*('18 KMP- Tháng (Tâm)'!$A$9:$A$34=$A15))</f>
        <v>642.66579999999999</v>
      </c>
      <c r="R15" s="651">
        <f t="shared" si="9"/>
        <v>1.1371142159222346E-3</v>
      </c>
      <c r="S15" s="649"/>
      <c r="U15" s="657">
        <f t="shared" si="4"/>
        <v>-0.43525266311020289</v>
      </c>
      <c r="W15" s="658"/>
      <c r="X15" s="658"/>
      <c r="Y15" s="659"/>
    </row>
    <row r="16" spans="1:25" ht="18.649999999999999" customHeight="1" x14ac:dyDescent="0.35">
      <c r="A16" s="619">
        <v>14</v>
      </c>
      <c r="B16" s="660">
        <f t="shared" si="12"/>
        <v>11</v>
      </c>
      <c r="C16" s="661" t="s">
        <v>96</v>
      </c>
      <c r="D16" s="661" t="s">
        <v>55</v>
      </c>
      <c r="E16" s="649"/>
      <c r="F16" s="662" cm="1">
        <f t="array" ref="F16">SUMPRODUCT('18 KMP- Tháng (Tâm)'!$BF$9:$BQ$34*('18 KMP- Tháng (Tâm)'!$BF$7:$BQ$7=$D$1)*('18 KMP- Tháng (Tâm)'!$A$9:$A$34=$A16))</f>
        <v>2.6549999999999998</v>
      </c>
      <c r="G16" s="651">
        <f t="shared" si="5"/>
        <v>2.356427477058037E-5</v>
      </c>
      <c r="H16" s="652" cm="1">
        <f t="array" ref="H16">SUMPRODUCT('18 KMP- Tháng (Tâm)'!$AS$9:$BD$34*('18 KMP- Tháng (Tâm)'!$AS$7:$BD$7=$D$1)*('18 KMP- Tháng (Tâm)'!$A$9:$A$34=$A16))</f>
        <v>49.856552724992397</v>
      </c>
      <c r="I16" s="651">
        <f t="shared" si="6"/>
        <v>4.1420589685553413E-4</v>
      </c>
      <c r="J16" s="663">
        <f t="shared" si="10"/>
        <v>-47.201552724992396</v>
      </c>
      <c r="K16" s="649"/>
      <c r="L16" s="662" cm="1">
        <f t="array" ref="L16">SUMPRODUCT('18 KMP- Tháng (Tâm)'!$BF$9:$BQ$34*('18 KMP- Tháng (Tâm)'!$BF$7:$BQ$7&lt;=$D$1)*('18 KMP- Tháng (Tâm)'!$A$9:$A$34=$A16))</f>
        <v>402.62677400000001</v>
      </c>
      <c r="M16" s="651">
        <f t="shared" si="7"/>
        <v>7.7164443543545141E-4</v>
      </c>
      <c r="N16" s="654" cm="1">
        <f t="array" ref="N16">SUMPRODUCT('18 KMP- Tháng (Tâm)'!$AS$9:$BD$34*('18 KMP- Tháng (Tâm)'!$AS$7:$BD$7&lt;=$D$1)*('18 KMP- Tháng (Tâm)'!$A$9:$A$34=$A16))</f>
        <v>259.70864478944969</v>
      </c>
      <c r="O16" s="655">
        <f t="shared" si="8"/>
        <v>4.5259647762514743E-4</v>
      </c>
      <c r="P16" s="664">
        <f t="shared" si="11"/>
        <v>142.91812921055032</v>
      </c>
      <c r="Q16" s="662" cm="1">
        <f t="array" ref="Q16">SUMPRODUCT('18 KMP- Tháng (Tâm)'!$AE$9:$AP$34*('18 KMP- Tháng (Tâm)'!$AE$7:$AP$7&lt;=$D$1)*('18 KMP- Tháng (Tâm)'!$A$9:$A$34=$A16))</f>
        <v>245.38244800000001</v>
      </c>
      <c r="R16" s="651">
        <f t="shared" si="9"/>
        <v>4.3417258232599041E-4</v>
      </c>
      <c r="S16" s="649"/>
      <c r="U16" s="657">
        <f t="shared" si="4"/>
        <v>-0.94674722067839467</v>
      </c>
      <c r="W16" s="658"/>
      <c r="X16" s="658"/>
      <c r="Y16" s="659"/>
    </row>
    <row r="17" spans="1:21" s="645" customFormat="1" ht="18.649999999999999" customHeight="1" x14ac:dyDescent="0.35">
      <c r="A17" s="634">
        <v>15</v>
      </c>
      <c r="B17" s="635" t="s">
        <v>163</v>
      </c>
      <c r="C17" s="635"/>
      <c r="D17" s="636" t="s">
        <v>164</v>
      </c>
      <c r="E17" s="623"/>
      <c r="F17" s="665">
        <f>SUM(F18:F24)</f>
        <v>32383.294873000003</v>
      </c>
      <c r="G17" s="666">
        <f t="shared" si="5"/>
        <v>0.28741576586218404</v>
      </c>
      <c r="H17" s="667">
        <f t="shared" ref="H17:J17" si="13">SUM(H18:H24)</f>
        <v>36868.268194613993</v>
      </c>
      <c r="I17" s="666">
        <f t="shared" si="5"/>
        <v>0.30629983940717359</v>
      </c>
      <c r="J17" s="668">
        <f t="shared" si="13"/>
        <v>-4484.9733216139875</v>
      </c>
      <c r="K17" s="623"/>
      <c r="L17" s="665">
        <f>SUM(L18:L24)</f>
        <v>157422.973868</v>
      </c>
      <c r="M17" s="666">
        <f t="shared" si="7"/>
        <v>0.30170512653225262</v>
      </c>
      <c r="N17" s="669">
        <f t="shared" ref="N17" si="14">SUM(N18:N24)</f>
        <v>177523.26260736666</v>
      </c>
      <c r="O17" s="670">
        <f t="shared" si="7"/>
        <v>0.30937130882861608</v>
      </c>
      <c r="P17" s="671">
        <f t="shared" ref="P17:Q17" si="15">SUM(P18:P24)</f>
        <v>-20100.288739366646</v>
      </c>
      <c r="Q17" s="665">
        <f t="shared" si="15"/>
        <v>153657.20451499999</v>
      </c>
      <c r="R17" s="666">
        <f t="shared" si="9"/>
        <v>0.27187659843246154</v>
      </c>
      <c r="S17" s="623"/>
      <c r="U17" s="646">
        <f t="shared" si="4"/>
        <v>-0.12164860301925404</v>
      </c>
    </row>
    <row r="18" spans="1:21" ht="18.649999999999999" customHeight="1" x14ac:dyDescent="0.35">
      <c r="A18" s="619">
        <v>17</v>
      </c>
      <c r="B18" s="647">
        <v>1</v>
      </c>
      <c r="C18" s="648" t="s">
        <v>97</v>
      </c>
      <c r="D18" s="648" t="s">
        <v>48</v>
      </c>
      <c r="E18" s="649"/>
      <c r="F18" s="662" cm="1">
        <f t="array" ref="F18">SUMPRODUCT('18 KMP- Tháng (Tâm)'!$BF$9:$BQ$34*('18 KMP- Tháng (Tâm)'!$BF$7:$BQ$7=$D$1)*('18 KMP- Tháng (Tâm)'!$A$9:$A$34=$A18))</f>
        <v>14649.384491000001</v>
      </c>
      <c r="G18" s="651">
        <f t="shared" si="5"/>
        <v>0.13001963139954903</v>
      </c>
      <c r="H18" s="652" cm="1">
        <f t="array" ref="H18">SUMPRODUCT('18 KMP- Tháng (Tâm)'!$AS$9:$BD$34*('18 KMP- Tháng (Tâm)'!$AS$7:$BD$7=$D$1)*('18 KMP- Tháng (Tâm)'!$A$9:$A$34=$A18))</f>
        <v>15842.84843769231</v>
      </c>
      <c r="I18" s="651">
        <f t="shared" si="5"/>
        <v>0.13162164023007353</v>
      </c>
      <c r="J18" s="663">
        <f t="shared" ref="J18:J29" si="16">F18-H18</f>
        <v>-1193.463946692309</v>
      </c>
      <c r="K18" s="649"/>
      <c r="L18" s="662" cm="1">
        <f t="array" ref="L18">SUMPRODUCT('18 KMP- Tháng (Tâm)'!$BF$9:$BQ$34*('18 KMP- Tháng (Tâm)'!$BF$7:$BQ$7&lt;=$D$1)*('18 KMP- Tháng (Tâm)'!$A$9:$A$34=$A18))</f>
        <v>71388.590842000005</v>
      </c>
      <c r="M18" s="651">
        <f t="shared" si="7"/>
        <v>0.13681804697073505</v>
      </c>
      <c r="N18" s="654" cm="1">
        <f t="array" ref="N18">SUMPRODUCT('18 KMP- Tháng (Tâm)'!$AS$9:$BD$34*('18 KMP- Tháng (Tâm)'!$AS$7:$BD$7&lt;=$D$1)*('18 KMP- Tháng (Tâm)'!$A$9:$A$34=$A18))</f>
        <v>79058.475571557705</v>
      </c>
      <c r="O18" s="655">
        <f t="shared" si="7"/>
        <v>0.13777588188914364</v>
      </c>
      <c r="P18" s="664">
        <f t="shared" ref="P18:P29" si="17">L18-N18</f>
        <v>-7669.8847295576998</v>
      </c>
      <c r="Q18" s="662" cm="1">
        <f t="array" ref="Q18">SUMPRODUCT('18 KMP- Tháng (Tâm)'!$AE$9:$AP$34*('18 KMP- Tháng (Tâm)'!$AE$7:$AP$7&lt;=$D$1)*('18 KMP- Tháng (Tâm)'!$A$9:$A$34=$A18))</f>
        <v>64984.484068999998</v>
      </c>
      <c r="R18" s="651">
        <f t="shared" si="9"/>
        <v>0.11498166021784864</v>
      </c>
      <c r="S18" s="649"/>
      <c r="U18" s="657">
        <f t="shared" si="4"/>
        <v>-7.5331399614534889E-2</v>
      </c>
    </row>
    <row r="19" spans="1:21" ht="18.649999999999999" customHeight="1" x14ac:dyDescent="0.35">
      <c r="A19" s="619">
        <v>5</v>
      </c>
      <c r="B19" s="660">
        <f t="shared" ref="B19:B24" si="18">B18+1</f>
        <v>2</v>
      </c>
      <c r="C19" s="661" t="s">
        <v>97</v>
      </c>
      <c r="D19" s="661" t="s">
        <v>16</v>
      </c>
      <c r="E19" s="649"/>
      <c r="F19" s="662" cm="1">
        <f t="array" ref="F19">SUMPRODUCT('18 KMP- Tháng (Tâm)'!$BF$9:$BQ$34*('18 KMP- Tháng (Tâm)'!$BF$7:$BQ$7=$D$1)*('18 KMP- Tháng (Tâm)'!$A$9:$A$34=$A19))</f>
        <v>2330.9775570000002</v>
      </c>
      <c r="G19" s="651">
        <f t="shared" si="5"/>
        <v>2.068843526825016E-2</v>
      </c>
      <c r="H19" s="652" cm="1">
        <f t="array" ref="H19">SUMPRODUCT('18 KMP- Tháng (Tâm)'!$AS$9:$BD$34*('18 KMP- Tháng (Tâm)'!$AS$7:$BD$7=$D$1)*('18 KMP- Tháng (Tâm)'!$A$9:$A$34=$A19))</f>
        <v>5826.0945669208149</v>
      </c>
      <c r="I19" s="651">
        <f t="shared" si="5"/>
        <v>4.8402919844213091E-2</v>
      </c>
      <c r="J19" s="663">
        <f t="shared" si="16"/>
        <v>-3495.1170099208148</v>
      </c>
      <c r="K19" s="649"/>
      <c r="L19" s="662" cm="1">
        <f t="array" ref="L19">SUMPRODUCT('18 KMP- Tháng (Tâm)'!$BF$9:$BQ$34*('18 KMP- Tháng (Tâm)'!$BF$7:$BQ$7&lt;=$D$1)*('18 KMP- Tháng (Tâm)'!$A$9:$A$34=$A19))</f>
        <v>10964.028021</v>
      </c>
      <c r="M19" s="651">
        <f t="shared" si="7"/>
        <v>2.1012838089011474E-2</v>
      </c>
      <c r="N19" s="654" cm="1">
        <f t="array" ref="N19">SUMPRODUCT('18 KMP- Tháng (Tâm)'!$AS$9:$BD$34*('18 KMP- Tháng (Tâm)'!$AS$7:$BD$7&lt;=$D$1)*('18 KMP- Tháng (Tâm)'!$A$9:$A$34=$A19))</f>
        <v>28403.509384604073</v>
      </c>
      <c r="O19" s="655">
        <f t="shared" si="7"/>
        <v>4.949903885597131E-2</v>
      </c>
      <c r="P19" s="664">
        <f t="shared" si="17"/>
        <v>-17439.481363604071</v>
      </c>
      <c r="Q19" s="662" cm="1">
        <f t="array" ref="Q19">SUMPRODUCT('18 KMP- Tháng (Tâm)'!$AE$9:$AP$34*('18 KMP- Tháng (Tâm)'!$AE$7:$AP$7&lt;=$D$1)*('18 KMP- Tháng (Tâm)'!$A$9:$A$34=$A19))</f>
        <v>19607.537670999998</v>
      </c>
      <c r="R19" s="651">
        <f t="shared" si="9"/>
        <v>3.469300813101435E-2</v>
      </c>
      <c r="S19" s="649"/>
      <c r="U19" s="657">
        <f t="shared" si="4"/>
        <v>-0.59990735985736676</v>
      </c>
    </row>
    <row r="20" spans="1:21" ht="18.649999999999999" customHeight="1" x14ac:dyDescent="0.35">
      <c r="A20" s="619">
        <v>18</v>
      </c>
      <c r="B20" s="660">
        <f t="shared" si="18"/>
        <v>3</v>
      </c>
      <c r="C20" s="661" t="s">
        <v>96</v>
      </c>
      <c r="D20" s="661" t="s">
        <v>36</v>
      </c>
      <c r="E20" s="649"/>
      <c r="F20" s="662" cm="1">
        <f t="array" ref="F20">SUMPRODUCT('18 KMP- Tháng (Tâm)'!$BF$9:$BQ$34*('18 KMP- Tháng (Tâm)'!$BF$7:$BQ$7=$D$1)*('18 KMP- Tháng (Tâm)'!$A$9:$A$34=$A20))</f>
        <v>3355.4641259999994</v>
      </c>
      <c r="G20" s="651">
        <f t="shared" si="5"/>
        <v>2.9781197230843427E-2</v>
      </c>
      <c r="H20" s="652" cm="1">
        <f t="array" ref="H20">SUMPRODUCT('18 KMP- Tháng (Tâm)'!$AS$9:$BD$34*('18 KMP- Tháng (Tâm)'!$AS$7:$BD$7=$D$1)*('18 KMP- Tháng (Tâm)'!$A$9:$A$34=$A20))</f>
        <v>4436.1529066383737</v>
      </c>
      <c r="I20" s="651">
        <f t="shared" si="5"/>
        <v>3.6855349855773899E-2</v>
      </c>
      <c r="J20" s="663">
        <f t="shared" si="16"/>
        <v>-1080.6887806383743</v>
      </c>
      <c r="K20" s="649"/>
      <c r="L20" s="662" cm="1">
        <f t="array" ref="L20">SUMPRODUCT('18 KMP- Tháng (Tâm)'!$BF$9:$BQ$34*('18 KMP- Tháng (Tâm)'!$BF$7:$BQ$7&lt;=$D$1)*('18 KMP- Tháng (Tâm)'!$A$9:$A$34=$A20))</f>
        <v>15418.008449999998</v>
      </c>
      <c r="M20" s="651">
        <f t="shared" si="7"/>
        <v>2.954900467185341E-2</v>
      </c>
      <c r="N20" s="654" cm="1">
        <f t="array" ref="N20">SUMPRODUCT('18 KMP- Tháng (Tâm)'!$AS$9:$BD$34*('18 KMP- Tháng (Tâm)'!$AS$7:$BD$7&lt;=$D$1)*('18 KMP- Tháng (Tâm)'!$A$9:$A$34=$A20))</f>
        <v>18983.182344774039</v>
      </c>
      <c r="O20" s="655">
        <f t="shared" si="7"/>
        <v>3.3082154313061371E-2</v>
      </c>
      <c r="P20" s="664">
        <f t="shared" si="17"/>
        <v>-3565.1738947740414</v>
      </c>
      <c r="Q20" s="662" cm="1">
        <f t="array" ref="Q20">SUMPRODUCT('18 KMP- Tháng (Tâm)'!$AE$9:$AP$34*('18 KMP- Tháng (Tâm)'!$AE$7:$AP$7&lt;=$D$1)*('18 KMP- Tháng (Tâm)'!$A$9:$A$34=$A20))</f>
        <v>16032.809311000001</v>
      </c>
      <c r="R20" s="651">
        <f t="shared" si="9"/>
        <v>2.8367987511873929E-2</v>
      </c>
      <c r="S20" s="649"/>
      <c r="U20" s="657">
        <f t="shared" si="4"/>
        <v>-0.24360945246526641</v>
      </c>
    </row>
    <row r="21" spans="1:21" ht="18.649999999999999" customHeight="1" x14ac:dyDescent="0.35">
      <c r="A21" s="619">
        <v>19</v>
      </c>
      <c r="B21" s="660">
        <f t="shared" si="18"/>
        <v>4</v>
      </c>
      <c r="C21" s="661" t="s">
        <v>97</v>
      </c>
      <c r="D21" s="661" t="s">
        <v>12</v>
      </c>
      <c r="E21" s="649"/>
      <c r="F21" s="662" cm="1">
        <f t="array" ref="F21">SUMPRODUCT('18 KMP- Tháng (Tâm)'!$BF$9:$BQ$34*('18 KMP- Tháng (Tâm)'!$BF$7:$BQ$7=$D$1)*('18 KMP- Tháng (Tâm)'!$A$9:$A$34=$A21))</f>
        <v>610.26077499999997</v>
      </c>
      <c r="G21" s="651">
        <f t="shared" si="5"/>
        <v>5.416328656801252E-3</v>
      </c>
      <c r="H21" s="652" cm="1">
        <f t="array" ref="H21">SUMPRODUCT('18 KMP- Tháng (Tâm)'!$AS$9:$BD$34*('18 KMP- Tháng (Tâm)'!$AS$7:$BD$7=$D$1)*('18 KMP- Tháng (Tâm)'!$A$9:$A$34=$A21))</f>
        <v>787.24237985516299</v>
      </c>
      <c r="I21" s="651">
        <f t="shared" si="5"/>
        <v>6.5403726926176603E-3</v>
      </c>
      <c r="J21" s="663">
        <f t="shared" si="16"/>
        <v>-176.98160485516303</v>
      </c>
      <c r="K21" s="649"/>
      <c r="L21" s="662" cm="1">
        <f t="array" ref="L21">SUMPRODUCT('18 KMP- Tháng (Tâm)'!$BF$9:$BQ$34*('18 KMP- Tháng (Tâm)'!$BF$7:$BQ$7&lt;=$D$1)*('18 KMP- Tháng (Tâm)'!$A$9:$A$34=$A21))</f>
        <v>2914.9946679999994</v>
      </c>
      <c r="M21" s="651">
        <f t="shared" si="7"/>
        <v>5.586661295620173E-3</v>
      </c>
      <c r="N21" s="654" cm="1">
        <f t="array" ref="N21">SUMPRODUCT('18 KMP- Tháng (Tâm)'!$AS$9:$BD$34*('18 KMP- Tháng (Tâm)'!$AS$7:$BD$7&lt;=$D$1)*('18 KMP- Tháng (Tâm)'!$A$9:$A$34=$A21))</f>
        <v>4428.7838739981471</v>
      </c>
      <c r="O21" s="655">
        <f t="shared" si="7"/>
        <v>7.7180795547243343E-3</v>
      </c>
      <c r="P21" s="664">
        <f t="shared" si="17"/>
        <v>-1513.7892059981477</v>
      </c>
      <c r="Q21" s="662" cm="1">
        <f t="array" ref="Q21">SUMPRODUCT('18 KMP- Tháng (Tâm)'!$AE$9:$AP$34*('18 KMP- Tháng (Tâm)'!$AE$7:$AP$7&lt;=$D$1)*('18 KMP- Tháng (Tâm)'!$A$9:$A$34=$A21))</f>
        <v>4976.7734810000002</v>
      </c>
      <c r="R21" s="651">
        <f t="shared" si="9"/>
        <v>8.8057585679366859E-3</v>
      </c>
      <c r="S21" s="649"/>
      <c r="U21" s="657">
        <f t="shared" si="4"/>
        <v>-0.22481209013128095</v>
      </c>
    </row>
    <row r="22" spans="1:21" ht="18.649999999999999" customHeight="1" x14ac:dyDescent="0.35">
      <c r="A22" s="619">
        <v>20</v>
      </c>
      <c r="B22" s="660">
        <f t="shared" si="18"/>
        <v>5</v>
      </c>
      <c r="C22" s="661" t="s">
        <v>97</v>
      </c>
      <c r="D22" s="661" t="s">
        <v>51</v>
      </c>
      <c r="E22" s="649"/>
      <c r="F22" s="662" cm="1">
        <f t="array" ref="F22">SUMPRODUCT('18 KMP- Tháng (Tâm)'!$BF$9:$BQ$34*('18 KMP- Tháng (Tâm)'!$BF$7:$BQ$7=$D$1)*('18 KMP- Tháng (Tâm)'!$A$9:$A$34=$A22))</f>
        <v>1261.7044699999999</v>
      </c>
      <c r="G22" s="651">
        <f t="shared" si="5"/>
        <v>1.1198173563220141E-2</v>
      </c>
      <c r="H22" s="652" cm="1">
        <f t="array" ref="H22">SUMPRODUCT('18 KMP- Tháng (Tâm)'!$AS$9:$BD$34*('18 KMP- Tháng (Tâm)'!$AS$7:$BD$7=$D$1)*('18 KMP- Tháng (Tâm)'!$A$9:$A$34=$A22))</f>
        <v>1171.3660458101872</v>
      </c>
      <c r="I22" s="651">
        <f t="shared" si="5"/>
        <v>9.7316540561319612E-3</v>
      </c>
      <c r="J22" s="663">
        <f t="shared" si="16"/>
        <v>90.338424189812713</v>
      </c>
      <c r="K22" s="649"/>
      <c r="L22" s="662" cm="1">
        <f t="array" ref="L22">SUMPRODUCT('18 KMP- Tháng (Tâm)'!$BF$9:$BQ$34*('18 KMP- Tháng (Tâm)'!$BF$7:$BQ$7&lt;=$D$1)*('18 KMP- Tháng (Tâm)'!$A$9:$A$34=$A22))</f>
        <v>4796.9842310000004</v>
      </c>
      <c r="M22" s="651">
        <f t="shared" ref="M22:O25" si="19">IFERROR(L22/L$25,0)</f>
        <v>9.1935420785572448E-3</v>
      </c>
      <c r="N22" s="654" cm="1">
        <f t="array" ref="N22">SUMPRODUCT('18 KMP- Tháng (Tâm)'!$AS$9:$BD$34*('18 KMP- Tháng (Tâm)'!$AS$7:$BD$7&lt;=$D$1)*('18 KMP- Tháng (Tâm)'!$A$9:$A$34=$A22))</f>
        <v>5395.7978052252711</v>
      </c>
      <c r="O22" s="655">
        <f t="shared" ref="O22:O24" si="20">IFERROR(N22/N$25,0)</f>
        <v>9.403303007500299E-3</v>
      </c>
      <c r="P22" s="664">
        <f t="shared" si="17"/>
        <v>-598.81357422527071</v>
      </c>
      <c r="Q22" s="662" cm="1">
        <f t="array" ref="Q22">SUMPRODUCT('18 KMP- Tháng (Tâm)'!$AE$9:$AP$34*('18 KMP- Tháng (Tâm)'!$AE$7:$AP$7&lt;=$D$1)*('18 KMP- Tháng (Tâm)'!$A$9:$A$34=$A22))</f>
        <v>5337.6017109999993</v>
      </c>
      <c r="R22" s="651">
        <f t="shared" si="9"/>
        <v>9.4441975666185157E-3</v>
      </c>
      <c r="S22" s="649"/>
      <c r="U22" s="657">
        <f t="shared" si="4"/>
        <v>7.7122283433893823E-2</v>
      </c>
    </row>
    <row r="23" spans="1:21" ht="18.649999999999999" customHeight="1" x14ac:dyDescent="0.35">
      <c r="A23" s="619">
        <v>21</v>
      </c>
      <c r="B23" s="660">
        <f t="shared" si="18"/>
        <v>6</v>
      </c>
      <c r="C23" s="661" t="s">
        <v>97</v>
      </c>
      <c r="D23" s="661" t="s">
        <v>40</v>
      </c>
      <c r="E23" s="649"/>
      <c r="F23" s="662" cm="1">
        <f t="array" ref="F23">SUMPRODUCT('18 KMP- Tháng (Tâm)'!$BF$9:$BQ$34*('18 KMP- Tháng (Tâm)'!$BF$7:$BQ$7=$D$1)*('18 KMP- Tháng (Tâm)'!$A$9:$A$34=$A23))</f>
        <v>838.83679099999995</v>
      </c>
      <c r="G23" s="651">
        <f t="shared" si="5"/>
        <v>7.4450397856105077E-3</v>
      </c>
      <c r="H23" s="652" cm="1">
        <f t="array" ref="H23">SUMPRODUCT('18 KMP- Tháng (Tâm)'!$AS$9:$BD$34*('18 KMP- Tháng (Tâm)'!$AS$7:$BD$7=$D$1)*('18 KMP- Tháng (Tâm)'!$A$9:$A$34=$A23))</f>
        <v>2984.5638576971396</v>
      </c>
      <c r="I23" s="651">
        <f t="shared" si="5"/>
        <v>2.4795616259692874E-2</v>
      </c>
      <c r="J23" s="663">
        <f t="shared" si="16"/>
        <v>-2145.7270666971399</v>
      </c>
      <c r="K23" s="649"/>
      <c r="L23" s="662" cm="1">
        <f t="array" ref="L23">SUMPRODUCT('18 KMP- Tháng (Tâm)'!$BF$9:$BQ$34*('18 KMP- Tháng (Tâm)'!$BF$7:$BQ$7&lt;=$D$1)*('18 KMP- Tháng (Tâm)'!$A$9:$A$34=$A23))</f>
        <v>5257.0343130000001</v>
      </c>
      <c r="M23" s="651">
        <f t="shared" si="19"/>
        <v>1.0075239741805351E-2</v>
      </c>
      <c r="N23" s="654" cm="1">
        <f t="array" ref="N23">SUMPRODUCT('18 KMP- Tháng (Tâm)'!$AS$9:$BD$34*('18 KMP- Tháng (Tâm)'!$AS$7:$BD$7&lt;=$D$1)*('18 KMP- Tháng (Tâm)'!$A$9:$A$34=$A23))</f>
        <v>12153.513627207421</v>
      </c>
      <c r="O23" s="655">
        <f t="shared" si="20"/>
        <v>2.1180032196859561E-2</v>
      </c>
      <c r="P23" s="664">
        <f t="shared" si="17"/>
        <v>-6896.4793142074213</v>
      </c>
      <c r="Q23" s="662" cm="1">
        <f t="array" ref="Q23">SUMPRODUCT('18 KMP- Tháng (Tâm)'!$AE$9:$AP$34*('18 KMP- Tháng (Tâm)'!$AE$7:$AP$7&lt;=$D$1)*('18 KMP- Tháng (Tâm)'!$A$9:$A$34=$A23))</f>
        <v>4794.6942570000001</v>
      </c>
      <c r="R23" s="651">
        <f t="shared" si="9"/>
        <v>8.4835928730537646E-3</v>
      </c>
      <c r="S23" s="649"/>
      <c r="U23" s="657">
        <f t="shared" si="4"/>
        <v>-0.7189415837638542</v>
      </c>
    </row>
    <row r="24" spans="1:21" ht="18.649999999999999" customHeight="1" thickBot="1" x14ac:dyDescent="0.4">
      <c r="A24" s="619">
        <v>16</v>
      </c>
      <c r="B24" s="672">
        <f t="shared" si="18"/>
        <v>7</v>
      </c>
      <c r="C24" s="673" t="s">
        <v>97</v>
      </c>
      <c r="D24" s="673" t="s">
        <v>168</v>
      </c>
      <c r="E24" s="649"/>
      <c r="F24" s="674" cm="1">
        <f t="array" ref="F24">SUMPRODUCT('18 KMP- Tháng (Tâm)'!$BF$9:$BQ$34*('18 KMP- Tháng (Tâm)'!$BF$7:$BQ$7=$D$1)*('18 KMP- Tháng (Tâm)'!$A$9:$A$34=$A24))</f>
        <v>9336.666663</v>
      </c>
      <c r="G24" s="675">
        <f t="shared" si="5"/>
        <v>8.2866959957909506E-2</v>
      </c>
      <c r="H24" s="676" cm="1">
        <f t="array" ref="H24">SUMPRODUCT('18 KMP- Tháng (Tâm)'!$AS$9:$BD$34*('18 KMP- Tháng (Tâm)'!$AS$7:$BD$7=$D$1)*('18 KMP- Tháng (Tâm)'!$A$9:$A$34=$A24))</f>
        <v>5820</v>
      </c>
      <c r="I24" s="675">
        <f t="shared" si="5"/>
        <v>4.8352286468670527E-2</v>
      </c>
      <c r="J24" s="677">
        <f t="shared" si="16"/>
        <v>3516.666663</v>
      </c>
      <c r="K24" s="649"/>
      <c r="L24" s="674" cm="1">
        <f t="array" ref="L24">SUMPRODUCT('18 KMP- Tháng (Tâm)'!$BF$9:$BQ$34*('18 KMP- Tháng (Tâm)'!$BF$7:$BQ$7&lt;=$D$1)*('18 KMP- Tháng (Tâm)'!$A$9:$A$34=$A24))</f>
        <v>46683.333343000006</v>
      </c>
      <c r="M24" s="675">
        <f t="shared" si="19"/>
        <v>8.9469793684669924E-2</v>
      </c>
      <c r="N24" s="678" cm="1">
        <f t="array" ref="N24">SUMPRODUCT('18 KMP- Tháng (Tâm)'!$AS$9:$BD$34*('18 KMP- Tháng (Tâm)'!$AS$7:$BD$7&lt;=$D$1)*('18 KMP- Tháng (Tâm)'!$A$9:$A$34=$A24))</f>
        <v>29100</v>
      </c>
      <c r="O24" s="679">
        <f t="shared" si="20"/>
        <v>5.0712819011355548E-2</v>
      </c>
      <c r="P24" s="680">
        <f t="shared" si="17"/>
        <v>17583.333343000006</v>
      </c>
      <c r="Q24" s="674" cm="1">
        <f t="array" ref="Q24">SUMPRODUCT('18 KMP- Tháng (Tâm)'!$AE$9:$AP$34*('18 KMP- Tháng (Tâm)'!$AE$7:$AP$7&lt;=$D$1)*('18 KMP- Tháng (Tâm)'!$A$9:$A$34=$A24))</f>
        <v>37923.304015000002</v>
      </c>
      <c r="R24" s="675">
        <f t="shared" si="9"/>
        <v>6.7100393564115679E-2</v>
      </c>
      <c r="S24" s="649"/>
      <c r="U24" s="657">
        <f t="shared" si="4"/>
        <v>0.60423825824742272</v>
      </c>
    </row>
    <row r="25" spans="1:21" s="693" customFormat="1" ht="18.649999999999999" customHeight="1" x14ac:dyDescent="0.35">
      <c r="A25" s="634">
        <v>22</v>
      </c>
      <c r="B25" s="681" t="s">
        <v>172</v>
      </c>
      <c r="C25" s="682"/>
      <c r="D25" s="682"/>
      <c r="E25" s="683"/>
      <c r="F25" s="684">
        <f>F5+F17</f>
        <v>112670.55854036832</v>
      </c>
      <c r="G25" s="685">
        <f t="shared" si="5"/>
        <v>1</v>
      </c>
      <c r="H25" s="686">
        <f>H5+H17</f>
        <v>120366.59328966835</v>
      </c>
      <c r="I25" s="685">
        <f t="shared" si="5"/>
        <v>1</v>
      </c>
      <c r="J25" s="687">
        <f t="shared" si="16"/>
        <v>-7696.0347493000299</v>
      </c>
      <c r="K25" s="683"/>
      <c r="L25" s="684">
        <f>L5+L17</f>
        <v>521777.59018347773</v>
      </c>
      <c r="M25" s="685">
        <f t="shared" si="19"/>
        <v>1</v>
      </c>
      <c r="N25" s="688">
        <f>N5+N17</f>
        <v>573819.41227688338</v>
      </c>
      <c r="O25" s="689">
        <f t="shared" si="19"/>
        <v>1</v>
      </c>
      <c r="P25" s="690">
        <f t="shared" si="17"/>
        <v>-52041.822093405644</v>
      </c>
      <c r="Q25" s="684">
        <f>Q5+Q17</f>
        <v>565172.60183822282</v>
      </c>
      <c r="R25" s="691">
        <f t="shared" si="9"/>
        <v>1</v>
      </c>
      <c r="S25" s="692"/>
    </row>
    <row r="26" spans="1:21" s="694" customFormat="1" ht="18.649999999999999" customHeight="1" x14ac:dyDescent="0.35">
      <c r="A26" s="694">
        <v>27</v>
      </c>
      <c r="B26" s="695" t="s">
        <v>323</v>
      </c>
      <c r="C26" s="696"/>
      <c r="D26" s="696"/>
      <c r="E26" s="697"/>
      <c r="F26" s="698">
        <f>F25-F24-F19</f>
        <v>101002.91432036832</v>
      </c>
      <c r="G26" s="698"/>
      <c r="H26" s="699">
        <f>H25-H24-H19</f>
        <v>108720.49872274754</v>
      </c>
      <c r="I26" s="700"/>
      <c r="J26" s="701">
        <f t="shared" si="16"/>
        <v>-7717.584402379216</v>
      </c>
      <c r="K26" s="697"/>
      <c r="L26" s="700">
        <f>L25-L24-L19</f>
        <v>464130.22881947772</v>
      </c>
      <c r="M26" s="702"/>
      <c r="N26" s="703">
        <f>N25-N24-N19</f>
        <v>516315.90289227932</v>
      </c>
      <c r="O26" s="704"/>
      <c r="P26" s="705">
        <f t="shared" si="17"/>
        <v>-52185.674072801601</v>
      </c>
      <c r="Q26" s="700">
        <f>Q25-Q24-Q19</f>
        <v>507641.76015222282</v>
      </c>
      <c r="R26" s="706"/>
      <c r="S26" s="697"/>
    </row>
    <row r="27" spans="1:21" s="645" customFormat="1" ht="18.649999999999999" customHeight="1" x14ac:dyDescent="0.35">
      <c r="A27" s="634">
        <v>23</v>
      </c>
      <c r="B27" s="707" t="s">
        <v>171</v>
      </c>
      <c r="C27" s="708"/>
      <c r="D27" s="708"/>
      <c r="E27" s="623"/>
      <c r="F27" s="709" cm="1">
        <f t="array" ref="F27">SUMPRODUCT('18 KMP- Tháng (Tâm)'!$BF$9:$BQ$34*('18 KMP- Tháng (Tâm)'!$BF$7:$BQ$7=$D$1)*('18 KMP- Tháng (Tâm)'!$A$9:$A$34=$A27))</f>
        <v>3592.6819999999998</v>
      </c>
      <c r="G27" s="709"/>
      <c r="H27" s="710" cm="1">
        <f t="array" ref="H27">SUMPRODUCT('18 KMP- Tháng (Tâm)'!$AS$9:$BD$34*('18 KMP- Tháng (Tâm)'!$AS$7:$BD$7=$D$1)*('18 KMP- Tháng (Tâm)'!$A$9:$A$34=$A27))</f>
        <v>4145</v>
      </c>
      <c r="I27" s="709"/>
      <c r="J27" s="711">
        <f t="shared" si="16"/>
        <v>-552.31800000000021</v>
      </c>
      <c r="K27" s="712"/>
      <c r="L27" s="709" cm="1">
        <f t="array" ref="L27">SUMPRODUCT('18 KMP- Tháng (Tâm)'!$BF$9:$BQ$34*('18 KMP- Tháng (Tâm)'!$BF$7:$BQ$7&lt;=$D$1)*('18 KMP- Tháng (Tâm)'!$A$9:$A$34=$A27))</f>
        <v>16922.125650000002</v>
      </c>
      <c r="M27" s="713"/>
      <c r="N27" s="714" cm="1">
        <f t="array" ref="N27">SUMPRODUCT('18 KMP- Tháng (Tâm)'!$AS$9:$BD$34*('18 KMP- Tháng (Tâm)'!$AS$7:$BD$7&lt;=$D$1)*('18 KMP- Tháng (Tâm)'!$A$9:$A$34=$A27))</f>
        <v>19645</v>
      </c>
      <c r="O27" s="715"/>
      <c r="P27" s="716">
        <f t="shared" si="17"/>
        <v>-2722.8743499999982</v>
      </c>
      <c r="Q27" s="709" cm="1">
        <f t="array" ref="Q27">SUMPRODUCT('18 KMP- Tháng (Tâm)'!$AE$9:$AP$34*('18 KMP- Tháng (Tâm)'!$AE$7:$AP$7&lt;=$D$1)*('18 KMP- Tháng (Tâm)'!$A$9:$A$34=$A27))</f>
        <v>18536.136999999999</v>
      </c>
      <c r="R27" s="717"/>
      <c r="S27" s="623"/>
      <c r="U27" s="646">
        <f>J27/H27</f>
        <v>-0.13324921592279859</v>
      </c>
    </row>
    <row r="28" spans="1:21" s="645" customFormat="1" ht="18.649999999999999" customHeight="1" x14ac:dyDescent="0.35">
      <c r="A28" s="634"/>
      <c r="B28" s="707" t="s">
        <v>324</v>
      </c>
      <c r="C28" s="718"/>
      <c r="D28" s="718"/>
      <c r="E28" s="623"/>
      <c r="F28" s="719">
        <f>(F25-F8)/F27+F8/F34</f>
        <v>31.145554982635065</v>
      </c>
      <c r="G28" s="719"/>
      <c r="H28" s="720">
        <f>(H25-H8)/H27+H8/H34</f>
        <v>29.019213745675824</v>
      </c>
      <c r="I28" s="719"/>
      <c r="J28" s="721">
        <f t="shared" si="16"/>
        <v>2.1263412369592416</v>
      </c>
      <c r="K28" s="623"/>
      <c r="L28" s="719">
        <f>(L25-L8)/L27+L8/L34</f>
        <v>30.648168036270796</v>
      </c>
      <c r="M28" s="722"/>
      <c r="N28" s="723">
        <f>(N25-N8)/N27+N8/N34</f>
        <v>29.187684068254221</v>
      </c>
      <c r="O28" s="724"/>
      <c r="P28" s="725">
        <f t="shared" si="17"/>
        <v>1.4604839680165753</v>
      </c>
      <c r="Q28" s="719">
        <f>(Q25-Q8)/Q27+Q8/Q34</f>
        <v>30.434733443871462</v>
      </c>
      <c r="R28" s="726"/>
      <c r="S28" s="623"/>
    </row>
    <row r="29" spans="1:21" s="694" customFormat="1" ht="18.649999999999999" customHeight="1" thickBot="1" x14ac:dyDescent="0.4">
      <c r="B29" s="727" t="s">
        <v>325</v>
      </c>
      <c r="C29" s="728"/>
      <c r="D29" s="728"/>
      <c r="E29" s="729"/>
      <c r="F29" s="730">
        <f>(F25-F19-F24-F8)/F27+F8/F34</f>
        <v>27.89794102181137</v>
      </c>
      <c r="G29" s="730"/>
      <c r="H29" s="731">
        <f>(H25-H19-H24-H8)/H27+H8/H34</f>
        <v>26.209540750037508</v>
      </c>
      <c r="I29" s="730"/>
      <c r="J29" s="732">
        <f t="shared" si="16"/>
        <v>1.6884002717738618</v>
      </c>
      <c r="K29" s="729"/>
      <c r="L29" s="730">
        <f>(L25-L19-L24-L8)/L27+L8/L34</f>
        <v>27.241541554685721</v>
      </c>
      <c r="M29" s="733"/>
      <c r="N29" s="734">
        <f>(N25-N19-N24-N8)/N27+N8/N34</f>
        <v>26.260552004899473</v>
      </c>
      <c r="O29" s="735"/>
      <c r="P29" s="736">
        <f t="shared" si="17"/>
        <v>0.98098954978624775</v>
      </c>
      <c r="Q29" s="730">
        <f>(Q25-Q19-Q24-Q8)/Q27+Q8/Q34</f>
        <v>27.331020858773496</v>
      </c>
      <c r="R29" s="737"/>
      <c r="S29" s="697"/>
    </row>
    <row r="30" spans="1:21" x14ac:dyDescent="0.35">
      <c r="D30" s="738" t="s">
        <v>326</v>
      </c>
    </row>
    <row r="31" spans="1:21" x14ac:dyDescent="0.35">
      <c r="D31" s="738" t="s">
        <v>327</v>
      </c>
    </row>
    <row r="32" spans="1:21" x14ac:dyDescent="0.35">
      <c r="D32" s="738"/>
    </row>
    <row r="33" spans="1:18" x14ac:dyDescent="0.35">
      <c r="A33" s="619">
        <v>26</v>
      </c>
      <c r="D33" s="620" t="s">
        <v>169</v>
      </c>
      <c r="F33" s="739" cm="1">
        <f t="array" ref="F33">SUMPRODUCT('18 KMP- Tháng (Tâm)'!$BF$9:$BQ$34*('18 KMP- Tháng (Tâm)'!$BF$7:$BQ$7=$D$1)*('18 KMP- Tháng (Tâm)'!$A$9:$A$34=$A33))</f>
        <v>0</v>
      </c>
      <c r="G33" s="739"/>
      <c r="H33" s="739" cm="1">
        <f t="array" ref="H33">SUMPRODUCT('18 KMP- Tháng (Tâm)'!$AS$9:$BD$34*('18 KMP- Tháng (Tâm)'!$AS$7:$BD$7=$D$1)*('18 KMP- Tháng (Tâm)'!$A$9:$A$34=$A33))</f>
        <v>0</v>
      </c>
      <c r="I33" s="739"/>
      <c r="J33" s="739">
        <f t="shared" ref="J33:J34" si="21">F33-H33</f>
        <v>0</v>
      </c>
      <c r="L33" s="739" cm="1">
        <f t="array" ref="L33">SUMPRODUCT('18 KMP- Tháng (Tâm)'!$BF$9:$BQ$34*('18 KMP- Tháng (Tâm)'!$BF$7:$BQ$7&lt;=$D$1)*('18 KMP- Tháng (Tâm)'!$A$9:$A$34=$A33))</f>
        <v>0</v>
      </c>
      <c r="M33" s="739"/>
      <c r="N33" s="739" cm="1">
        <f t="array" ref="N33">SUMPRODUCT('18 KMP- Tháng (Tâm)'!$AS$9:$BD$34*('18 KMP- Tháng (Tâm)'!$AS$7:$BD$7&lt;=$D$1)*('18 KMP- Tháng (Tâm)'!$A$9:$A$34=$A33))</f>
        <v>0</v>
      </c>
      <c r="O33" s="739"/>
      <c r="P33" s="739">
        <f t="shared" ref="P33:P34" si="22">L33-N33</f>
        <v>0</v>
      </c>
      <c r="Q33" s="739" cm="1">
        <f t="array" ref="Q33">SUMPRODUCT('18 KMP- Tháng (Tâm)'!$AE$9:$AP$34*('18 KMP- Tháng (Tâm)'!$AE$7:$AP$7&lt;=$D$1)*('18 KMP- Tháng (Tâm)'!$A$9:$A$34=$A33))</f>
        <v>10950</v>
      </c>
      <c r="R33" s="739"/>
    </row>
    <row r="34" spans="1:18" x14ac:dyDescent="0.35">
      <c r="D34" s="620" t="s">
        <v>259</v>
      </c>
      <c r="F34" s="739" cm="1">
        <f t="array" ref="F34">SUMPRODUCT('18 KMP- Tháng (Tâm)'!$BF$37:$BQ$37*('18 KMP- Tháng (Tâm)'!$BF$7:$BQ$7=$D$1))</f>
        <v>4987.1499999999996</v>
      </c>
      <c r="G34" s="739"/>
      <c r="H34" s="739" cm="1">
        <f t="array" ref="H34">SUMPRODUCT('18 KMP- Tháng (Tâm)'!$AS$37:$BD$37*('18 KMP- Tháng (Tâm)'!$AS$7:$BD$7=$D$1))</f>
        <v>4652.4364391825347</v>
      </c>
      <c r="I34" s="739"/>
      <c r="J34" s="739">
        <f t="shared" si="21"/>
        <v>334.7135608174649</v>
      </c>
      <c r="L34" s="739" cm="1">
        <f t="array" ref="L34">SUMPRODUCT('18 KMP- Tháng (Tâm)'!$BF$37:$BQ$37*('18 KMP- Tháng (Tâm)'!$BF$7:$BQ$7&lt;=$D$1))</f>
        <v>23100.15</v>
      </c>
      <c r="M34" s="739"/>
      <c r="N34" s="739" cm="1">
        <f t="array" ref="N34">SUMPRODUCT('18 KMP- Tháng (Tâm)'!$AS$37:$BD$37*('18 KMP- Tháng (Tâm)'!$AS$7:$BD$7&lt;=$D$1))</f>
        <v>22252.762861835166</v>
      </c>
      <c r="O34" s="739"/>
      <c r="P34" s="739">
        <f t="shared" si="22"/>
        <v>847.38713816483505</v>
      </c>
      <c r="Q34" s="739" cm="1">
        <f t="array" ref="Q34">SUMPRODUCT('18 KMP- Tháng (Tâm)'!$AE$37:$AP$37*('18 KMP- Tháng (Tâm)'!$AE$7:$AP$7&lt;=$D$1))</f>
        <v>21978.373599999999</v>
      </c>
      <c r="R34" s="739"/>
    </row>
    <row r="37" spans="1:18" s="740" customFormat="1" x14ac:dyDescent="0.35">
      <c r="D37" s="740" t="s">
        <v>328</v>
      </c>
      <c r="F37" s="741">
        <f>F25-(INDEX('18 KMP- Tháng (Tâm)'!$BF$29:$BQ$29,MATCH($D$1,'18 KMP- Tháng (Tâm)'!$BF$7:$BQ$7,0)))</f>
        <v>0</v>
      </c>
      <c r="G37" s="741"/>
      <c r="H37" s="741">
        <f>H25-(INDEX('18 KMP- Tháng (Tâm)'!$AS$29:$BD$29,MATCH($D$1,'18 KMP- Tháng (Tâm)'!$AS$7:$BD$7,0)))</f>
        <v>0</v>
      </c>
      <c r="I37" s="741"/>
      <c r="L37" s="742" cm="1">
        <f t="array" ref="L37">L25-(SUMPRODUCT('18 KMP- Tháng (Tâm)'!$BF$29:$BQ$29*('18 KMP- Tháng (Tâm)'!$BF$7:$BQ$7&lt;=$D$1)))</f>
        <v>0</v>
      </c>
      <c r="M37" s="742"/>
      <c r="N37" s="742" cm="1">
        <f t="array" ref="N37">N25-(SUMPRODUCT('18 KMP- Tháng (Tâm)'!$AS$29:$BD$29*('18 KMP- Tháng (Tâm)'!$AS$6:$BD$7&lt;=$D$1)))</f>
        <v>0</v>
      </c>
      <c r="O37" s="742"/>
      <c r="Q37" s="742" cm="1">
        <f t="array" ref="Q37">Q25-(SUMPRODUCT('18 KMP- Tháng (Tâm)'!$AE$29:$AP$29*('18 KMP- Tháng (Tâm)'!$AE$7:$AP$7&lt;=$D$1)))</f>
        <v>0</v>
      </c>
      <c r="R37" s="742"/>
    </row>
    <row r="38" spans="1:18" x14ac:dyDescent="0.35">
      <c r="D38" s="740" t="s">
        <v>329</v>
      </c>
      <c r="F38" s="741">
        <f>F27-INDEX('18 KMP- Tháng (Tâm)'!$BF$31:$BQ$31,MATCH($D$1,'18 KMP- Tháng (Tâm)'!$BF$7:$BQ$7,0))</f>
        <v>0</v>
      </c>
      <c r="G38" s="741"/>
      <c r="H38" s="741">
        <f>H27-INDEX('18 KMP- Tháng (Tâm)'!$AS$31:$BD$31,MATCH($D$1,'18 KMP- Tháng (Tâm)'!$AS$7:$BD$7,0))</f>
        <v>0</v>
      </c>
      <c r="I38" s="741"/>
      <c r="J38" s="740"/>
      <c r="K38" s="740"/>
      <c r="L38" s="742" cm="1">
        <f t="array" ref="L38">L27-SUMPRODUCT('18 KMP- Tháng (Tâm)'!$BF$31:$BQ$31*('18 KMP- Tháng (Tâm)'!$BF$7:$BQ$7&lt;=$D$1))</f>
        <v>0</v>
      </c>
      <c r="M38" s="742"/>
      <c r="N38" s="742" cm="1">
        <f t="array" ref="N38">N27-SUMPRODUCT('18 KMP- Tháng (Tâm)'!$AS$31:$BD$31*('18 KMP- Tháng (Tâm)'!$AS$7:$BD$7&lt;=$D$1))</f>
        <v>0</v>
      </c>
      <c r="O38" s="742"/>
      <c r="P38" s="740"/>
      <c r="Q38" s="742" cm="1">
        <f t="array" ref="Q38">Q27-SUMPRODUCT('18 KMP- Tháng (Tâm)'!$AE$31:$AP$31*('18 KMP- Tháng (Tâm)'!$AE$7:$AP$7&lt;=$D$1))</f>
        <v>0</v>
      </c>
      <c r="R38" s="742"/>
    </row>
    <row r="39" spans="1:18" x14ac:dyDescent="0.35">
      <c r="D39" s="740" t="s">
        <v>330</v>
      </c>
      <c r="F39" s="741">
        <f>F28-INDEX('18 KMP- Tháng (Tâm)'!$BF$60:$BQ$60,MATCH($D$1,'18 KMP- Tháng (Tâm)'!$BF$7:$BQ$7,0))</f>
        <v>0</v>
      </c>
      <c r="G39" s="741"/>
      <c r="H39" s="741">
        <f>H28-INDEX('18 KMP- Tháng (Tâm)'!$AS$60:$BD$60,MATCH($D$1,'18 KMP- Tháng (Tâm)'!$AS$7:$BD$7,0))</f>
        <v>0</v>
      </c>
      <c r="I39" s="741"/>
      <c r="J39" s="740"/>
      <c r="K39" s="740"/>
      <c r="L39" s="742"/>
      <c r="M39" s="742"/>
      <c r="N39" s="742"/>
      <c r="O39" s="742"/>
      <c r="P39" s="740"/>
      <c r="Q39" s="742"/>
      <c r="R39" s="742"/>
    </row>
    <row r="40" spans="1:18" x14ac:dyDescent="0.35">
      <c r="D40" s="740" t="s">
        <v>331</v>
      </c>
      <c r="F40" s="741">
        <f>F29-INDEX('18 KMP- Tháng (Tâm)'!$BF$61:$BQ$61,MATCH($D$1,'18 KMP- Tháng (Tâm)'!$BF$7:$BQ$7,0))</f>
        <v>0</v>
      </c>
      <c r="G40" s="741"/>
      <c r="H40" s="741">
        <f>H29-INDEX('18 KMP- Tháng (Tâm)'!$AS$61:$BD$61,MATCH($D$1,'18 KMP- Tháng (Tâm)'!$AS$7:$BD$7,0))</f>
        <v>0</v>
      </c>
      <c r="I40" s="741"/>
      <c r="J40" s="740"/>
      <c r="K40" s="740"/>
      <c r="L40" s="742"/>
      <c r="M40" s="742"/>
      <c r="N40" s="742"/>
      <c r="O40" s="742"/>
      <c r="P40" s="740"/>
      <c r="Q40" s="742"/>
      <c r="R40" s="742"/>
    </row>
    <row r="41" spans="1:18" x14ac:dyDescent="0.35">
      <c r="F41" s="659"/>
      <c r="G41" s="659"/>
      <c r="H41" s="659"/>
      <c r="I41" s="659"/>
    </row>
  </sheetData>
  <mergeCells count="5">
    <mergeCell ref="B3:B4"/>
    <mergeCell ref="D3:D4"/>
    <mergeCell ref="F3:J3"/>
    <mergeCell ref="L3:R3"/>
    <mergeCell ref="C3:C4"/>
  </mergeCells>
  <conditionalFormatting sqref="J5:J26 J28:J29">
    <cfRule type="iconSet" priority="3">
      <iconSet reverse="1">
        <cfvo type="percent" val="0"/>
        <cfvo type="num" val="0"/>
        <cfvo type="num" val="0" gte="0"/>
      </iconSet>
    </cfRule>
  </conditionalFormatting>
  <conditionalFormatting sqref="J27">
    <cfRule type="iconSet" priority="2">
      <iconSet>
        <cfvo type="percent" val="0"/>
        <cfvo type="num" val="0"/>
        <cfvo type="num" val="0" gte="0"/>
      </iconSet>
    </cfRule>
  </conditionalFormatting>
  <conditionalFormatting sqref="P5:P26 P28:P29">
    <cfRule type="iconSet" priority="4">
      <iconSet reverse="1">
        <cfvo type="percent" val="0"/>
        <cfvo type="num" val="0"/>
        <cfvo type="num" val="0" gte="0"/>
      </iconSet>
    </cfRule>
  </conditionalFormatting>
  <conditionalFormatting sqref="P27">
    <cfRule type="iconSet" priority="1">
      <iconSet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4C4D-9AE7-4950-B5E5-659D85A25534}">
  <sheetPr>
    <tabColor rgb="FF00B050"/>
  </sheetPr>
  <dimension ref="A1:CN91"/>
  <sheetViews>
    <sheetView showGridLines="0" tabSelected="1" zoomScale="80" zoomScaleNormal="80" workbookViewId="0">
      <pane xSplit="4" ySplit="8" topLeftCell="BH9" activePane="bottomRight" state="frozen"/>
      <selection activeCell="AG51" sqref="AG51"/>
      <selection pane="topRight" activeCell="AG51" sqref="AG51"/>
      <selection pane="bottomLeft" activeCell="AG51" sqref="AG51"/>
      <selection pane="bottomRight" activeCell="BK2" sqref="BK2"/>
    </sheetView>
  </sheetViews>
  <sheetFormatPr defaultColWidth="8.54296875" defaultRowHeight="16" outlineLevelRow="1" outlineLevelCol="1" x14ac:dyDescent="0.4"/>
  <cols>
    <col min="1" max="2" width="4.453125" style="158" customWidth="1"/>
    <col min="3" max="3" width="10.453125" style="158" hidden="1" customWidth="1"/>
    <col min="4" max="4" width="54.54296875" style="158" customWidth="1"/>
    <col min="5" max="16" width="11.54296875" style="158" hidden="1" customWidth="1" outlineLevel="1"/>
    <col min="17" max="17" width="11.54296875" style="158" customWidth="1" collapsed="1"/>
    <col min="18" max="29" width="11.54296875" style="158" hidden="1" customWidth="1" outlineLevel="1"/>
    <col min="30" max="30" width="11.54296875" style="158" customWidth="1" collapsed="1"/>
    <col min="31" max="39" width="11.7265625" style="158" hidden="1" customWidth="1" outlineLevel="1"/>
    <col min="40" max="40" width="11" style="158" hidden="1" customWidth="1" outlineLevel="1"/>
    <col min="41" max="41" width="10.453125" style="158" hidden="1" customWidth="1" outlineLevel="1"/>
    <col min="42" max="42" width="13.26953125" style="158" hidden="1" customWidth="1" outlineLevel="1"/>
    <col min="43" max="43" width="13.7265625" style="158" bestFit="1" customWidth="1" collapsed="1"/>
    <col min="44" max="44" width="14.26953125" style="158" hidden="1" customWidth="1"/>
    <col min="45" max="56" width="11.54296875" style="158" hidden="1" customWidth="1" outlineLevel="1"/>
    <col min="57" max="57" width="11.54296875" style="158" bestFit="1" customWidth="1" collapsed="1"/>
    <col min="58" max="58" width="11.7265625" style="158" bestFit="1" customWidth="1"/>
    <col min="59" max="59" width="11.7265625" style="158" customWidth="1"/>
    <col min="60" max="66" width="11.7265625" style="158" customWidth="1" outlineLevel="1"/>
    <col min="67" max="67" width="11" style="158" customWidth="1" outlineLevel="1"/>
    <col min="68" max="68" width="10.453125" style="158" customWidth="1" outlineLevel="1"/>
    <col min="69" max="69" width="13.26953125" style="158" customWidth="1" outlineLevel="1"/>
    <col min="70" max="70" width="11.26953125" style="158" customWidth="1"/>
    <col min="71" max="71" width="14.26953125" style="158" customWidth="1"/>
    <col min="72" max="72" width="10.54296875" style="158" customWidth="1"/>
    <col min="73" max="73" width="11.54296875" style="158" customWidth="1"/>
    <col min="74" max="76" width="10.54296875" style="160" customWidth="1"/>
    <col min="77" max="77" width="11" style="158" customWidth="1"/>
    <col min="78" max="78" width="11.453125" style="158" customWidth="1"/>
    <col min="79" max="79" width="13.54296875" style="158" customWidth="1"/>
    <col min="80" max="80" width="15.26953125" style="158" customWidth="1"/>
    <col min="81" max="81" width="19.54296875" style="158" customWidth="1"/>
    <col min="82" max="82" width="25.26953125" style="158" customWidth="1"/>
    <col min="83" max="89" width="7.54296875" style="158" customWidth="1"/>
    <col min="90" max="90" width="2.54296875" style="158" customWidth="1"/>
    <col min="91" max="91" width="11.453125" style="158" customWidth="1"/>
    <col min="92" max="92" width="26.54296875" style="158" customWidth="1"/>
    <col min="93" max="16384" width="8.54296875" style="158"/>
  </cols>
  <sheetData>
    <row r="1" spans="1:92" outlineLevel="1" x14ac:dyDescent="0.4">
      <c r="E1" s="159"/>
      <c r="F1" s="159"/>
      <c r="G1" s="159"/>
      <c r="H1" s="159"/>
      <c r="R1" s="566">
        <f>R22-R34</f>
        <v>4414.0456516666673</v>
      </c>
      <c r="S1" s="566">
        <f t="shared" ref="S1:AC1" si="0">S22-S34</f>
        <v>4414.0456516666673</v>
      </c>
      <c r="T1" s="566">
        <f t="shared" si="0"/>
        <v>7664.0456316666678</v>
      </c>
      <c r="U1" s="566">
        <f t="shared" si="0"/>
        <v>6100.2274696666673</v>
      </c>
      <c r="V1" s="567">
        <f t="shared" si="0"/>
        <v>6026.2274696666673</v>
      </c>
      <c r="W1" s="567">
        <f t="shared" si="0"/>
        <v>6026.2274696666673</v>
      </c>
      <c r="X1" s="567">
        <f t="shared" si="0"/>
        <v>6026.2274696666673</v>
      </c>
      <c r="Y1" s="567">
        <f t="shared" si="0"/>
        <v>6026.2274696666673</v>
      </c>
      <c r="Z1" s="567">
        <f t="shared" si="0"/>
        <v>6026.2274696666673</v>
      </c>
      <c r="AA1" s="567">
        <f t="shared" si="0"/>
        <v>5426.2274696666673</v>
      </c>
      <c r="AB1" s="567">
        <f t="shared" si="0"/>
        <v>5276.2274696666673</v>
      </c>
      <c r="AC1" s="567">
        <f t="shared" si="0"/>
        <v>1449.1666666666697</v>
      </c>
    </row>
    <row r="2" spans="1:92" ht="21" outlineLevel="1" x14ac:dyDescent="0.5">
      <c r="D2" s="161" t="s">
        <v>173</v>
      </c>
      <c r="E2" s="162"/>
      <c r="F2" s="162"/>
      <c r="G2" s="162"/>
      <c r="H2" s="162"/>
      <c r="S2" s="162"/>
      <c r="T2" s="162"/>
      <c r="U2" s="162"/>
      <c r="AF2" s="163"/>
      <c r="AH2" s="163"/>
      <c r="AR2" s="163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G2" s="163"/>
      <c r="BI2" s="163"/>
      <c r="BT2" s="562"/>
      <c r="BU2" s="163"/>
    </row>
    <row r="3" spans="1:92" ht="21" outlineLevel="1" x14ac:dyDescent="0.5">
      <c r="D3" s="162" t="s">
        <v>187</v>
      </c>
      <c r="AR3" s="163"/>
      <c r="BS3" s="163"/>
      <c r="BU3" s="163"/>
      <c r="CC3" s="163"/>
    </row>
    <row r="4" spans="1:92" ht="21" outlineLevel="1" x14ac:dyDescent="0.5">
      <c r="D4" s="537">
        <v>6</v>
      </c>
      <c r="F4" s="165"/>
      <c r="G4" s="165"/>
      <c r="H4" s="165"/>
      <c r="I4" s="165"/>
      <c r="J4" s="165"/>
      <c r="K4" s="166"/>
      <c r="S4" s="165"/>
      <c r="T4" s="165"/>
      <c r="U4" s="165"/>
      <c r="V4" s="165"/>
      <c r="W4" s="165"/>
      <c r="X4" s="166"/>
      <c r="AP4" s="158">
        <f>COUNTIFS($AE$10:$AP$10,"&lt;&gt;"&amp;0)</f>
        <v>12</v>
      </c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V4" s="167"/>
      <c r="BW4" s="167"/>
      <c r="BX4" s="167"/>
    </row>
    <row r="5" spans="1:92" s="389" customFormat="1" outlineLevel="1" x14ac:dyDescent="0.4">
      <c r="D5" s="935"/>
      <c r="E5" s="389">
        <v>2024</v>
      </c>
      <c r="F5" s="389">
        <v>2024</v>
      </c>
      <c r="G5" s="389">
        <v>2024</v>
      </c>
      <c r="H5" s="389">
        <v>2024</v>
      </c>
      <c r="I5" s="389">
        <v>2024</v>
      </c>
      <c r="J5" s="389">
        <v>2024</v>
      </c>
      <c r="K5" s="389">
        <v>2024</v>
      </c>
      <c r="L5" s="389">
        <v>2024</v>
      </c>
      <c r="M5" s="389">
        <v>2024</v>
      </c>
      <c r="N5" s="389">
        <v>2024</v>
      </c>
      <c r="O5" s="389">
        <v>2024</v>
      </c>
      <c r="P5" s="389">
        <v>2024</v>
      </c>
      <c r="R5" s="389">
        <v>2024</v>
      </c>
      <c r="S5" s="389">
        <v>2024</v>
      </c>
      <c r="T5" s="389">
        <v>2024</v>
      </c>
      <c r="U5" s="389">
        <v>2024</v>
      </c>
      <c r="V5" s="389">
        <v>2024</v>
      </c>
      <c r="W5" s="389">
        <v>2024</v>
      </c>
      <c r="X5" s="389">
        <v>2024</v>
      </c>
      <c r="Y5" s="389">
        <v>2024</v>
      </c>
      <c r="Z5" s="389">
        <v>2024</v>
      </c>
      <c r="AA5" s="389">
        <v>2024</v>
      </c>
      <c r="AB5" s="389">
        <v>2024</v>
      </c>
      <c r="AC5" s="389">
        <v>2024</v>
      </c>
      <c r="AD5" s="389">
        <v>2024</v>
      </c>
      <c r="AE5" s="389">
        <v>2025</v>
      </c>
      <c r="AF5" s="389">
        <v>2025</v>
      </c>
      <c r="AG5" s="389">
        <v>2025</v>
      </c>
      <c r="AH5" s="389">
        <v>2025</v>
      </c>
      <c r="AI5" s="389">
        <v>2025</v>
      </c>
      <c r="AJ5" s="389">
        <v>2025</v>
      </c>
      <c r="AK5" s="389">
        <v>2025</v>
      </c>
      <c r="AL5" s="389">
        <v>2025</v>
      </c>
      <c r="AM5" s="389">
        <v>2025</v>
      </c>
      <c r="AN5" s="389">
        <v>2025</v>
      </c>
      <c r="AO5" s="389">
        <v>2025</v>
      </c>
      <c r="AP5" s="389">
        <v>2025</v>
      </c>
      <c r="AQ5" s="389">
        <v>2025</v>
      </c>
      <c r="AS5" s="389">
        <v>2026</v>
      </c>
      <c r="AT5" s="389">
        <v>2026</v>
      </c>
      <c r="AU5" s="389">
        <v>2026</v>
      </c>
      <c r="AV5" s="389">
        <v>2026</v>
      </c>
      <c r="AW5" s="389">
        <v>2026</v>
      </c>
      <c r="AX5" s="389">
        <v>2026</v>
      </c>
      <c r="AY5" s="389">
        <v>2026</v>
      </c>
      <c r="AZ5" s="389">
        <v>2026</v>
      </c>
      <c r="BA5" s="389">
        <v>2026</v>
      </c>
      <c r="BB5" s="389">
        <v>2026</v>
      </c>
      <c r="BC5" s="389">
        <v>2026</v>
      </c>
      <c r="BD5" s="389">
        <v>2026</v>
      </c>
      <c r="BE5" s="389">
        <v>2026</v>
      </c>
      <c r="BF5" s="389">
        <v>2026</v>
      </c>
      <c r="BG5" s="389">
        <v>2026</v>
      </c>
      <c r="BH5" s="389">
        <v>2026</v>
      </c>
      <c r="BI5" s="389">
        <v>2026</v>
      </c>
      <c r="BJ5" s="389">
        <v>2026</v>
      </c>
      <c r="BK5" s="389">
        <v>2026</v>
      </c>
      <c r="BL5" s="389">
        <v>2026</v>
      </c>
      <c r="BM5" s="389">
        <v>2026</v>
      </c>
      <c r="BN5" s="389">
        <v>2026</v>
      </c>
      <c r="BO5" s="389">
        <v>2026</v>
      </c>
      <c r="BP5" s="389">
        <v>2026</v>
      </c>
      <c r="BQ5" s="389">
        <v>2026</v>
      </c>
      <c r="BR5" s="389">
        <v>2026</v>
      </c>
      <c r="BU5" s="390"/>
      <c r="BV5" s="388"/>
      <c r="BW5" s="388"/>
      <c r="BX5" s="388"/>
    </row>
    <row r="6" spans="1:92" s="389" customFormat="1" outlineLevel="1" x14ac:dyDescent="0.4">
      <c r="D6" s="935"/>
      <c r="E6" s="389" t="s">
        <v>251</v>
      </c>
      <c r="F6" s="389" t="s">
        <v>251</v>
      </c>
      <c r="G6" s="389" t="s">
        <v>251</v>
      </c>
      <c r="H6" s="389" t="s">
        <v>251</v>
      </c>
      <c r="I6" s="389" t="s">
        <v>251</v>
      </c>
      <c r="J6" s="389" t="s">
        <v>251</v>
      </c>
      <c r="K6" s="389" t="s">
        <v>251</v>
      </c>
      <c r="L6" s="389" t="s">
        <v>251</v>
      </c>
      <c r="M6" s="389" t="s">
        <v>251</v>
      </c>
      <c r="N6" s="389" t="s">
        <v>251</v>
      </c>
      <c r="O6" s="389" t="s">
        <v>251</v>
      </c>
      <c r="P6" s="389" t="s">
        <v>251</v>
      </c>
      <c r="R6" s="389" t="s">
        <v>251</v>
      </c>
      <c r="S6" s="389" t="s">
        <v>251</v>
      </c>
      <c r="T6" s="389" t="s">
        <v>251</v>
      </c>
      <c r="U6" s="389" t="s">
        <v>251</v>
      </c>
      <c r="V6" s="389" t="s">
        <v>251</v>
      </c>
      <c r="W6" s="389" t="s">
        <v>251</v>
      </c>
      <c r="X6" s="389" t="s">
        <v>251</v>
      </c>
      <c r="Y6" s="389" t="s">
        <v>251</v>
      </c>
      <c r="Z6" s="389" t="s">
        <v>251</v>
      </c>
      <c r="AA6" s="389" t="s">
        <v>251</v>
      </c>
      <c r="AB6" s="389" t="s">
        <v>251</v>
      </c>
      <c r="AC6" s="389" t="s">
        <v>251</v>
      </c>
      <c r="AF6" s="389" t="s">
        <v>251</v>
      </c>
      <c r="AG6" s="389" t="s">
        <v>251</v>
      </c>
      <c r="AH6" s="389" t="s">
        <v>251</v>
      </c>
      <c r="AI6" s="389" t="s">
        <v>251</v>
      </c>
      <c r="AJ6" s="389" t="s">
        <v>251</v>
      </c>
      <c r="AK6" s="389" t="s">
        <v>251</v>
      </c>
      <c r="AL6" s="389" t="s">
        <v>251</v>
      </c>
      <c r="AM6" s="389" t="s">
        <v>251</v>
      </c>
      <c r="AN6" s="389" t="s">
        <v>251</v>
      </c>
      <c r="AO6" s="389" t="s">
        <v>251</v>
      </c>
      <c r="AP6" s="389" t="s">
        <v>251</v>
      </c>
      <c r="AQ6" s="389" t="s">
        <v>251</v>
      </c>
      <c r="AS6" s="389" t="s">
        <v>252</v>
      </c>
      <c r="AT6" s="389" t="s">
        <v>252</v>
      </c>
      <c r="AU6" s="389" t="s">
        <v>252</v>
      </c>
      <c r="AV6" s="389" t="s">
        <v>252</v>
      </c>
      <c r="AW6" s="389" t="s">
        <v>252</v>
      </c>
      <c r="AX6" s="389" t="s">
        <v>252</v>
      </c>
      <c r="AY6" s="389" t="s">
        <v>252</v>
      </c>
      <c r="AZ6" s="389" t="s">
        <v>252</v>
      </c>
      <c r="BA6" s="389" t="s">
        <v>252</v>
      </c>
      <c r="BB6" s="389" t="s">
        <v>252</v>
      </c>
      <c r="BC6" s="389" t="s">
        <v>252</v>
      </c>
      <c r="BD6" s="389" t="s">
        <v>252</v>
      </c>
      <c r="BE6" s="389" t="s">
        <v>252</v>
      </c>
      <c r="BG6" s="389" t="s">
        <v>251</v>
      </c>
      <c r="BH6" s="389" t="s">
        <v>251</v>
      </c>
      <c r="BI6" s="389" t="s">
        <v>251</v>
      </c>
      <c r="BJ6" s="389" t="s">
        <v>251</v>
      </c>
      <c r="BK6" s="389" t="s">
        <v>251</v>
      </c>
      <c r="BL6" s="389" t="s">
        <v>251</v>
      </c>
      <c r="BM6" s="389" t="s">
        <v>251</v>
      </c>
      <c r="BN6" s="389" t="s">
        <v>251</v>
      </c>
      <c r="BO6" s="389" t="s">
        <v>251</v>
      </c>
      <c r="BP6" s="389" t="s">
        <v>251</v>
      </c>
      <c r="BQ6" s="389" t="s">
        <v>251</v>
      </c>
      <c r="BR6" s="389" t="s">
        <v>251</v>
      </c>
      <c r="BV6" s="388"/>
      <c r="BW6" s="388"/>
      <c r="BX6" s="388"/>
    </row>
    <row r="7" spans="1:92" s="385" customFormat="1" ht="16.5" outlineLevel="1" thickBot="1" x14ac:dyDescent="0.45">
      <c r="D7" s="935"/>
      <c r="E7" s="386">
        <v>1</v>
      </c>
      <c r="F7" s="386">
        <v>2</v>
      </c>
      <c r="G7" s="386">
        <v>3</v>
      </c>
      <c r="H7" s="386">
        <v>4</v>
      </c>
      <c r="I7" s="386">
        <v>5</v>
      </c>
      <c r="J7" s="386">
        <v>6</v>
      </c>
      <c r="K7" s="386">
        <v>7</v>
      </c>
      <c r="L7" s="386">
        <v>8</v>
      </c>
      <c r="M7" s="386">
        <v>9</v>
      </c>
      <c r="N7" s="386">
        <v>10</v>
      </c>
      <c r="O7" s="386">
        <v>11</v>
      </c>
      <c r="P7" s="386">
        <v>12</v>
      </c>
      <c r="Q7" s="387"/>
      <c r="R7" s="386">
        <v>1</v>
      </c>
      <c r="S7" s="386">
        <v>2</v>
      </c>
      <c r="T7" s="386">
        <v>3</v>
      </c>
      <c r="U7" s="386">
        <v>4</v>
      </c>
      <c r="V7" s="386">
        <v>5</v>
      </c>
      <c r="W7" s="386">
        <v>6</v>
      </c>
      <c r="X7" s="386">
        <v>7</v>
      </c>
      <c r="Y7" s="386">
        <v>8</v>
      </c>
      <c r="Z7" s="386">
        <v>9</v>
      </c>
      <c r="AA7" s="386">
        <v>10</v>
      </c>
      <c r="AB7" s="386">
        <v>11</v>
      </c>
      <c r="AC7" s="386">
        <v>12</v>
      </c>
      <c r="AD7" s="387"/>
      <c r="AE7" s="387">
        <v>1</v>
      </c>
      <c r="AF7" s="387">
        <v>2</v>
      </c>
      <c r="AG7" s="387">
        <v>3</v>
      </c>
      <c r="AH7" s="387">
        <v>4</v>
      </c>
      <c r="AI7" s="387">
        <v>5</v>
      </c>
      <c r="AJ7" s="387">
        <v>6</v>
      </c>
      <c r="AK7" s="387">
        <v>7</v>
      </c>
      <c r="AL7" s="387">
        <v>8</v>
      </c>
      <c r="AM7" s="387">
        <v>9</v>
      </c>
      <c r="AN7" s="387">
        <v>10</v>
      </c>
      <c r="AO7" s="387">
        <v>11</v>
      </c>
      <c r="AP7" s="387">
        <v>12</v>
      </c>
      <c r="AQ7" s="387"/>
      <c r="AS7" s="385">
        <v>1</v>
      </c>
      <c r="AT7" s="385">
        <v>2</v>
      </c>
      <c r="AU7" s="385">
        <v>3</v>
      </c>
      <c r="AV7" s="385">
        <v>4</v>
      </c>
      <c r="AW7" s="385">
        <v>5</v>
      </c>
      <c r="AX7" s="385">
        <v>6</v>
      </c>
      <c r="AY7" s="385">
        <v>7</v>
      </c>
      <c r="AZ7" s="385">
        <v>8</v>
      </c>
      <c r="BA7" s="385">
        <v>9</v>
      </c>
      <c r="BB7" s="385">
        <v>10</v>
      </c>
      <c r="BC7" s="385">
        <v>11</v>
      </c>
      <c r="BD7" s="385">
        <v>12</v>
      </c>
      <c r="BF7" s="387">
        <v>1</v>
      </c>
      <c r="BG7" s="387">
        <v>2</v>
      </c>
      <c r="BH7" s="387">
        <v>3</v>
      </c>
      <c r="BI7" s="387">
        <v>4</v>
      </c>
      <c r="BJ7" s="387">
        <v>5</v>
      </c>
      <c r="BK7" s="387">
        <v>6</v>
      </c>
      <c r="BL7" s="387">
        <v>7</v>
      </c>
      <c r="BM7" s="387">
        <v>8</v>
      </c>
      <c r="BN7" s="387">
        <v>9</v>
      </c>
      <c r="BO7" s="387">
        <v>10</v>
      </c>
      <c r="BP7" s="387">
        <v>11</v>
      </c>
      <c r="BQ7" s="387">
        <v>12</v>
      </c>
      <c r="BR7" s="387"/>
      <c r="BV7" s="561"/>
      <c r="BW7" s="388"/>
      <c r="BX7" s="388"/>
    </row>
    <row r="8" spans="1:92" s="173" customFormat="1" ht="48.5" thickTop="1" x14ac:dyDescent="0.4">
      <c r="A8" s="170">
        <v>1</v>
      </c>
      <c r="B8" s="228" t="s">
        <v>57</v>
      </c>
      <c r="C8" s="228" t="s">
        <v>58</v>
      </c>
      <c r="D8" s="229" t="s">
        <v>205</v>
      </c>
      <c r="E8" s="743" t="s">
        <v>115</v>
      </c>
      <c r="F8" s="743" t="s">
        <v>118</v>
      </c>
      <c r="G8" s="743" t="s">
        <v>119</v>
      </c>
      <c r="H8" s="743" t="s">
        <v>120</v>
      </c>
      <c r="I8" s="743" t="s">
        <v>121</v>
      </c>
      <c r="J8" s="743" t="s">
        <v>122</v>
      </c>
      <c r="K8" s="743" t="s">
        <v>123</v>
      </c>
      <c r="L8" s="743" t="s">
        <v>258</v>
      </c>
      <c r="M8" s="743" t="s">
        <v>124</v>
      </c>
      <c r="N8" s="743" t="s">
        <v>69</v>
      </c>
      <c r="O8" s="743" t="s">
        <v>70</v>
      </c>
      <c r="P8" s="744" t="s">
        <v>71</v>
      </c>
      <c r="Q8" s="618" t="s">
        <v>257</v>
      </c>
      <c r="R8" s="745" t="s">
        <v>72</v>
      </c>
      <c r="S8" s="745" t="s">
        <v>73</v>
      </c>
      <c r="T8" s="745" t="s">
        <v>74</v>
      </c>
      <c r="U8" s="745" t="s">
        <v>75</v>
      </c>
      <c r="V8" s="745" t="s">
        <v>76</v>
      </c>
      <c r="W8" s="745" t="s">
        <v>77</v>
      </c>
      <c r="X8" s="745" t="s">
        <v>78</v>
      </c>
      <c r="Y8" s="745" t="s">
        <v>79</v>
      </c>
      <c r="Z8" s="745" t="s">
        <v>80</v>
      </c>
      <c r="AA8" s="745" t="s">
        <v>81</v>
      </c>
      <c r="AB8" s="745" t="s">
        <v>82</v>
      </c>
      <c r="AC8" s="746" t="s">
        <v>83</v>
      </c>
      <c r="AD8" s="617" t="s">
        <v>174</v>
      </c>
      <c r="AE8" s="747" t="s">
        <v>228</v>
      </c>
      <c r="AF8" s="536" t="s">
        <v>229</v>
      </c>
      <c r="AG8" s="536" t="s">
        <v>230</v>
      </c>
      <c r="AH8" s="536" t="s">
        <v>231</v>
      </c>
      <c r="AI8" s="536" t="s">
        <v>232</v>
      </c>
      <c r="AJ8" s="536" t="s">
        <v>233</v>
      </c>
      <c r="AK8" s="536" t="s">
        <v>234</v>
      </c>
      <c r="AL8" s="536" t="s">
        <v>235</v>
      </c>
      <c r="AM8" s="536" t="s">
        <v>236</v>
      </c>
      <c r="AN8" s="536" t="s">
        <v>237</v>
      </c>
      <c r="AO8" s="536" t="s">
        <v>238</v>
      </c>
      <c r="AP8" s="535" t="s">
        <v>239</v>
      </c>
      <c r="AQ8" s="370" t="s">
        <v>240</v>
      </c>
      <c r="AR8" s="748" t="s">
        <v>241</v>
      </c>
      <c r="AS8" s="350" t="s">
        <v>277</v>
      </c>
      <c r="AT8" s="339" t="s">
        <v>278</v>
      </c>
      <c r="AU8" s="339" t="s">
        <v>279</v>
      </c>
      <c r="AV8" s="339" t="s">
        <v>280</v>
      </c>
      <c r="AW8" s="339" t="s">
        <v>281</v>
      </c>
      <c r="AX8" s="339" t="s">
        <v>282</v>
      </c>
      <c r="AY8" s="339" t="s">
        <v>283</v>
      </c>
      <c r="AZ8" s="339" t="s">
        <v>284</v>
      </c>
      <c r="BA8" s="339" t="s">
        <v>285</v>
      </c>
      <c r="BB8" s="339" t="s">
        <v>286</v>
      </c>
      <c r="BC8" s="339" t="s">
        <v>287</v>
      </c>
      <c r="BD8" s="376" t="s">
        <v>288</v>
      </c>
      <c r="BE8" s="379" t="s">
        <v>289</v>
      </c>
      <c r="BF8" s="367" t="s">
        <v>262</v>
      </c>
      <c r="BG8" s="231" t="s">
        <v>263</v>
      </c>
      <c r="BH8" s="231" t="s">
        <v>264</v>
      </c>
      <c r="BI8" s="231" t="s">
        <v>265</v>
      </c>
      <c r="BJ8" s="231" t="s">
        <v>266</v>
      </c>
      <c r="BK8" s="231" t="s">
        <v>267</v>
      </c>
      <c r="BL8" s="231" t="s">
        <v>268</v>
      </c>
      <c r="BM8" s="231" t="s">
        <v>269</v>
      </c>
      <c r="BN8" s="231" t="s">
        <v>270</v>
      </c>
      <c r="BO8" s="231" t="s">
        <v>271</v>
      </c>
      <c r="BP8" s="231" t="s">
        <v>272</v>
      </c>
      <c r="BQ8" s="340" t="s">
        <v>273</v>
      </c>
      <c r="BR8" s="358" t="s">
        <v>274</v>
      </c>
      <c r="BS8" s="367" t="s">
        <v>275</v>
      </c>
      <c r="BT8" s="536" t="str">
        <f>"% +/- "&amp;"T"&amp;$D$4&amp;".26"&amp;" sv KH T"&amp;$D$4&amp;".26"</f>
        <v>% +/- T6.26 sv KH T6.26</v>
      </c>
      <c r="BU8" s="231" t="s">
        <v>276</v>
      </c>
      <c r="BV8" s="995" t="s">
        <v>176</v>
      </c>
      <c r="BW8" s="996"/>
      <c r="BX8" s="996"/>
      <c r="BY8" s="996"/>
      <c r="BZ8" s="996"/>
      <c r="CA8" s="996"/>
      <c r="CB8" s="996"/>
      <c r="CC8" s="172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</row>
    <row r="9" spans="1:92" s="176" customFormat="1" x14ac:dyDescent="0.4">
      <c r="A9" s="174">
        <v>2</v>
      </c>
      <c r="B9" s="175" t="s">
        <v>161</v>
      </c>
      <c r="D9" s="177" t="s">
        <v>162</v>
      </c>
      <c r="E9" s="178">
        <f t="shared" ref="E9:Q9" si="1">SUM(E10:E20)</f>
        <v>21899.781848089286</v>
      </c>
      <c r="F9" s="178">
        <f t="shared" si="1"/>
        <v>33453.411245292285</v>
      </c>
      <c r="G9" s="178">
        <f t="shared" si="1"/>
        <v>42421.457937049287</v>
      </c>
      <c r="H9" s="178">
        <f t="shared" si="1"/>
        <v>36738.301150914282</v>
      </c>
      <c r="I9" s="178">
        <f t="shared" si="1"/>
        <v>45685.663846103285</v>
      </c>
      <c r="J9" s="178">
        <f t="shared" si="1"/>
        <v>39025.692962714289</v>
      </c>
      <c r="K9" s="178">
        <f t="shared" si="1"/>
        <v>46671.953855214277</v>
      </c>
      <c r="L9" s="178">
        <f t="shared" si="1"/>
        <v>48424.68627150001</v>
      </c>
      <c r="M9" s="178">
        <f t="shared" si="1"/>
        <v>42816.308945559998</v>
      </c>
      <c r="N9" s="178">
        <f t="shared" si="1"/>
        <v>49762.037586999999</v>
      </c>
      <c r="O9" s="178">
        <f t="shared" si="1"/>
        <v>37760.119328999994</v>
      </c>
      <c r="P9" s="341">
        <f t="shared" si="1"/>
        <v>81792.339352917581</v>
      </c>
      <c r="Q9" s="359">
        <f t="shared" si="1"/>
        <v>43870.979527612872</v>
      </c>
      <c r="R9" s="178">
        <f t="shared" ref="R9:BS9" si="2">SUM(R10:R20)</f>
        <v>92900.746016934019</v>
      </c>
      <c r="S9" s="178">
        <f t="shared" si="2"/>
        <v>62242.188936643084</v>
      </c>
      <c r="T9" s="178">
        <f t="shared" si="2"/>
        <v>102093.02881497817</v>
      </c>
      <c r="U9" s="178">
        <f t="shared" si="2"/>
        <v>99247.19779312663</v>
      </c>
      <c r="V9" s="178">
        <f t="shared" si="2"/>
        <v>92560.127506874298</v>
      </c>
      <c r="W9" s="178">
        <f t="shared" si="2"/>
        <v>72891.450257188131</v>
      </c>
      <c r="X9" s="178">
        <f t="shared" si="2"/>
        <v>40604.622640293535</v>
      </c>
      <c r="Y9" s="178">
        <f t="shared" si="2"/>
        <v>47419.511207084703</v>
      </c>
      <c r="Z9" s="178">
        <f t="shared" si="2"/>
        <v>61887.591937125275</v>
      </c>
      <c r="AA9" s="178">
        <f t="shared" si="2"/>
        <v>90838.322691258494</v>
      </c>
      <c r="AB9" s="178">
        <f t="shared" si="2"/>
        <v>98422.857939716079</v>
      </c>
      <c r="AC9" s="341">
        <f t="shared" si="2"/>
        <v>69697.765737679685</v>
      </c>
      <c r="AD9" s="359">
        <f t="shared" si="2"/>
        <v>77567.117623241837</v>
      </c>
      <c r="AE9" s="351">
        <f t="shared" ref="AE9:AR9" si="3">SUM(AE10:AE20)</f>
        <v>40193.881747729931</v>
      </c>
      <c r="AF9" s="178">
        <f t="shared" si="3"/>
        <v>63751.892555730272</v>
      </c>
      <c r="AG9" s="178">
        <f t="shared" si="3"/>
        <v>104900.0506043499</v>
      </c>
      <c r="AH9" s="178">
        <f t="shared" si="3"/>
        <v>93198.181434512822</v>
      </c>
      <c r="AI9" s="178">
        <f t="shared" si="3"/>
        <v>109471.39098089983</v>
      </c>
      <c r="AJ9" s="178">
        <f t="shared" si="3"/>
        <v>96461.872700998691</v>
      </c>
      <c r="AK9" s="178">
        <f t="shared" si="3"/>
        <v>107102.05830794359</v>
      </c>
      <c r="AL9" s="178">
        <f t="shared" si="3"/>
        <v>107590.35716538981</v>
      </c>
      <c r="AM9" s="178">
        <f t="shared" si="3"/>
        <v>105403.53589251022</v>
      </c>
      <c r="AN9" s="178">
        <f t="shared" si="3"/>
        <v>72023.780867082911</v>
      </c>
      <c r="AO9" s="178">
        <f t="shared" si="3"/>
        <v>50146.385631524012</v>
      </c>
      <c r="AP9" s="341">
        <f t="shared" si="3"/>
        <v>75717.46532118271</v>
      </c>
      <c r="AQ9" s="359">
        <f t="shared" si="3"/>
        <v>85496.737767487895</v>
      </c>
      <c r="AR9" s="351">
        <f t="shared" si="3"/>
        <v>1025960.8532098547</v>
      </c>
      <c r="AS9" s="351">
        <f t="shared" ref="AS9:BE9" si="4">SUM(AS10:AS20)</f>
        <v>79743.383573753439</v>
      </c>
      <c r="AT9" s="178">
        <f t="shared" si="4"/>
        <v>65837.242574666176</v>
      </c>
      <c r="AU9" s="178">
        <f t="shared" si="4"/>
        <v>83481.646586313582</v>
      </c>
      <c r="AV9" s="178">
        <f t="shared" si="4"/>
        <v>83735.551839729174</v>
      </c>
      <c r="AW9" s="178">
        <f t="shared" si="4"/>
        <v>83498.325095054359</v>
      </c>
      <c r="AX9" s="178">
        <f t="shared" si="4"/>
        <v>85314.330452474664</v>
      </c>
      <c r="AY9" s="178">
        <f t="shared" si="4"/>
        <v>87461.029466110325</v>
      </c>
      <c r="AZ9" s="178">
        <f t="shared" si="4"/>
        <v>88307.810660553485</v>
      </c>
      <c r="BA9" s="178">
        <f t="shared" si="4"/>
        <v>87983.214204458229</v>
      </c>
      <c r="BB9" s="178">
        <f t="shared" si="4"/>
        <v>88698.7655097768</v>
      </c>
      <c r="BC9" s="178">
        <f t="shared" si="4"/>
        <v>87440.727014848104</v>
      </c>
      <c r="BD9" s="341">
        <f t="shared" si="4"/>
        <v>88392.908137975377</v>
      </c>
      <c r="BE9" s="359">
        <f t="shared" si="4"/>
        <v>84157.911259642817</v>
      </c>
      <c r="BF9" s="351">
        <f t="shared" si="2"/>
        <v>62950.537303348603</v>
      </c>
      <c r="BG9" s="178">
        <f t="shared" ref="BG9:BQ9" si="5">SUM(BG10:BG20)</f>
        <v>37848.325827026303</v>
      </c>
      <c r="BH9" s="178">
        <f t="shared" si="5"/>
        <v>92373.499322284013</v>
      </c>
      <c r="BI9" s="178">
        <f t="shared" si="5"/>
        <v>90894.990195450489</v>
      </c>
      <c r="BJ9" s="178">
        <f t="shared" si="5"/>
        <v>80287.263667368316</v>
      </c>
      <c r="BK9" s="178">
        <f t="shared" si="5"/>
        <v>87771.639849678133</v>
      </c>
      <c r="BL9" s="178">
        <f t="shared" si="5"/>
        <v>0</v>
      </c>
      <c r="BM9" s="178">
        <f t="shared" si="5"/>
        <v>0</v>
      </c>
      <c r="BN9" s="178">
        <f t="shared" si="5"/>
        <v>0</v>
      </c>
      <c r="BO9" s="178">
        <f t="shared" si="5"/>
        <v>0</v>
      </c>
      <c r="BP9" s="178">
        <f t="shared" si="5"/>
        <v>0</v>
      </c>
      <c r="BQ9" s="341">
        <f t="shared" si="5"/>
        <v>0</v>
      </c>
      <c r="BR9" s="359">
        <f t="shared" si="2"/>
        <v>75354.376027525956</v>
      </c>
      <c r="BS9" s="351">
        <f t="shared" si="2"/>
        <v>452126.25616515585</v>
      </c>
      <c r="BT9" s="179">
        <f>IFERROR(BK9/AX9-1,"-")</f>
        <v>2.880300864076224E-2</v>
      </c>
      <c r="BU9" s="180">
        <f>BS9/$BS$29</f>
        <v>0.70418080925776572</v>
      </c>
      <c r="BV9" s="987"/>
      <c r="BW9" s="987"/>
      <c r="BX9" s="987"/>
      <c r="BY9" s="987"/>
      <c r="BZ9" s="987"/>
      <c r="CA9" s="987"/>
      <c r="CB9" s="987"/>
      <c r="CD9" s="158"/>
      <c r="CE9" s="158"/>
      <c r="CF9" s="158"/>
      <c r="CG9" s="158"/>
      <c r="CH9" s="158"/>
      <c r="CI9" s="158"/>
      <c r="CJ9" s="158"/>
      <c r="CK9" s="158"/>
      <c r="CL9" s="158"/>
      <c r="CM9" s="158"/>
      <c r="CN9" s="158"/>
    </row>
    <row r="10" spans="1:92" s="186" customFormat="1" x14ac:dyDescent="0.4">
      <c r="A10" s="174">
        <v>3</v>
      </c>
      <c r="B10" s="181">
        <v>1</v>
      </c>
      <c r="C10" s="182" t="s">
        <v>96</v>
      </c>
      <c r="D10" s="182" t="s">
        <v>260</v>
      </c>
      <c r="E10" s="183">
        <f>INDEX('18 KMP- Tháng'!$E$6:$Q$29,MATCH($A10,'18 KMP- Tháng'!$A$6:$A$29,0),MATCH(E$7,'18 KMP- Tháng'!$E$2:$P$2,0))</f>
        <v>19184.787461375003</v>
      </c>
      <c r="F10" s="183">
        <f>INDEX('18 KMP- Tháng'!$E$6:$Q$29,MATCH($A10,'18 KMP- Tháng'!$A$6:$A$29,0),MATCH(F$7,'18 KMP- Tháng'!$E$2:$P$2,0))</f>
        <v>29413.012996578</v>
      </c>
      <c r="G10" s="183">
        <f>INDEX('18 KMP- Tháng'!$E$6:$Q$29,MATCH($A10,'18 KMP- Tháng'!$A$6:$A$29,0),MATCH(G$7,'18 KMP- Tháng'!$E$2:$P$2,0))</f>
        <v>36905.746250334996</v>
      </c>
      <c r="H10" s="183">
        <f>INDEX('18 KMP- Tháng'!$E$6:$Q$29,MATCH($A10,'18 KMP- Tháng'!$A$6:$A$29,0),MATCH(H$7,'18 KMP- Tháng'!$E$2:$P$2,0))</f>
        <v>31466.940888199999</v>
      </c>
      <c r="I10" s="183">
        <f>INDEX('18 KMP- Tháng'!$E$6:$Q$29,MATCH($A10,'18 KMP- Tháng'!$A$6:$A$29,0),MATCH(I$7,'18 KMP- Tháng'!$E$2:$P$2,0))</f>
        <v>39521.728139389001</v>
      </c>
      <c r="J10" s="183">
        <f>INDEX('18 KMP- Tháng'!$E$6:$Q$29,MATCH($A10,'18 KMP- Tháng'!$A$6:$A$29,0),MATCH(J$7,'18 KMP- Tháng'!$E$2:$P$2,0))</f>
        <v>33022.700401999995</v>
      </c>
      <c r="K10" s="183">
        <f>INDEX('18 KMP- Tháng'!$E$6:$Q$29,MATCH($A10,'18 KMP- Tháng'!$A$6:$A$29,0),MATCH(K$7,'18 KMP- Tháng'!$E$2:$P$2,0))</f>
        <v>40067.114833499996</v>
      </c>
      <c r="L10" s="183">
        <f>INDEX('18 KMP- Tháng'!$E$6:$Q$29,MATCH($A10,'18 KMP- Tháng'!$A$6:$A$29,0),MATCH(L$7,'18 KMP- Tháng'!$E$2:$P$2,0))</f>
        <v>41710.886442499999</v>
      </c>
      <c r="M10" s="183">
        <f>INDEX('18 KMP- Tháng'!$E$6:$Q$29,MATCH($A10,'18 KMP- Tháng'!$A$6:$A$29,0),MATCH(M$7,'18 KMP- Tháng'!$E$2:$P$2,0))</f>
        <v>36846.996591559997</v>
      </c>
      <c r="N10" s="183">
        <f>INDEX('18 KMP- Tháng'!$E$6:$Q$29,MATCH($A10,'18 KMP- Tháng'!$A$6:$A$29,0),MATCH(N$7,'18 KMP- Tháng'!$E$2:$P$2,0))</f>
        <v>42104.203841000002</v>
      </c>
      <c r="O10" s="183">
        <f>INDEX('18 KMP- Tháng'!$E$6:$Q$29,MATCH($A10,'18 KMP- Tháng'!$A$6:$A$29,0),MATCH(O$7,'18 KMP- Tháng'!$E$2:$P$2,0))</f>
        <v>31330.078206999995</v>
      </c>
      <c r="P10" s="342">
        <f>INDEX('18 KMP- Tháng'!$E$6:$Q$29,MATCH($A10,'18 KMP- Tháng'!$A$6:$A$29,0),MATCH(P$7,'18 KMP- Tháng'!$E$2:$P$2,0))</f>
        <v>71767.130885999999</v>
      </c>
      <c r="Q10" s="360">
        <f t="shared" ref="Q10:Q20" si="6">AVERAGE(E10:P10)</f>
        <v>37778.443911619746</v>
      </c>
      <c r="R10" s="183">
        <f>INDEX('18 KMP- Tháng'!$R$6:$AC$24,MATCH($A10,'18 KMP- Tháng'!$A$6:$A$24,0),MATCH(R$7,'18 KMP- Tháng'!$R$2:$AC$2,0))</f>
        <v>82388.013511614045</v>
      </c>
      <c r="S10" s="183">
        <f>INDEX('18 KMP- Tháng'!$R$6:$AC$24,MATCH($A10,'18 KMP- Tháng'!$A$6:$A$24,0),MATCH(S$7,'18 KMP- Tháng'!$R$2:$AC$2,0))</f>
        <v>54679.33930764308</v>
      </c>
      <c r="T10" s="183">
        <f>INDEX('18 KMP- Tháng'!$R$6:$AC$24,MATCH($A10,'18 KMP- Tháng'!$A$6:$A$24,0),MATCH(T$7,'18 KMP- Tháng'!$R$2:$AC$2,0))</f>
        <v>92225.012386978167</v>
      </c>
      <c r="U10" s="183">
        <f>INDEX('18 KMP- Tháng'!$R$6:$AC$24,MATCH($A10,'18 KMP- Tháng'!$A$6:$A$24,0),MATCH(U$7,'18 KMP- Tháng'!$R$2:$AC$2,0))+3500</f>
        <v>88305.10524012665</v>
      </c>
      <c r="V10" s="183">
        <f>INDEX('18 KMP- Tháng'!$R$6:$AC$24,MATCH($A10,'18 KMP- Tháng'!$A$6:$A$24,0),MATCH(V$7,'18 KMP- Tháng'!$R$2:$AC$2,0))-3500</f>
        <v>82512.811292874307</v>
      </c>
      <c r="W10" s="183">
        <f>INDEX('18 KMP- Tháng'!$R$6:$AC$24,MATCH($A10,'18 KMP- Tháng'!$A$6:$A$24,0),MATCH(W$7,'18 KMP- Tháng'!$R$2:$AC$2,0))</f>
        <v>63429.137098188141</v>
      </c>
      <c r="X10" s="183">
        <f>INDEX('18 KMP- Tháng'!$R$6:$AC$24,MATCH($A10,'18 KMP- Tháng'!$A$6:$A$24,0),MATCH(X$7,'18 KMP- Tháng'!$R$2:$AC$2,0))</f>
        <v>34124.938092043485</v>
      </c>
      <c r="Y10" s="183">
        <f>INDEX('18 KMP- Tháng'!$R$6:$AC$24,MATCH($A10,'18 KMP- Tháng'!$A$6:$A$24,0),MATCH(Y$7,'18 KMP- Tháng'!$R$2:$AC$2,0))</f>
        <v>39820.045517334758</v>
      </c>
      <c r="Z10" s="183">
        <f>INDEX('18 KMP- Tháng'!$R$6:$AC$24,MATCH($A10,'18 KMP- Tháng'!$A$6:$A$24,0),MATCH(Z$7,'18 KMP- Tháng'!$R$2:$AC$2,0))</f>
        <v>53180.748441125281</v>
      </c>
      <c r="AA10" s="183">
        <f>INDEX('18 KMP- Tháng'!$R$6:$AC$24,MATCH($A10,'18 KMP- Tháng'!$A$6:$A$24,0),MATCH(AA$7,'18 KMP- Tháng'!$R$2:$AC$2,0))</f>
        <v>80242.8457912585</v>
      </c>
      <c r="AB10" s="183">
        <f>INDEX('18 KMP- Tháng'!$R$6:$AC$24,MATCH($A10,'18 KMP- Tháng'!$A$6:$A$24,0),MATCH(AB$7,'18 KMP- Tháng'!$R$2:$AC$2,0))</f>
        <v>87480.523861716094</v>
      </c>
      <c r="AC10" s="342">
        <f>INDEX('18 KMP- Tháng'!$R$6:$AC$24,MATCH($A10,'18 KMP- Tháng'!$A$6:$A$24,0),MATCH(AC$7,'18 KMP- Tháng'!$R$2:$AC$2,0))</f>
        <v>60679.337507679702</v>
      </c>
      <c r="AD10" s="360">
        <f>AVERAGE(R10:AC10)</f>
        <v>68255.654837381837</v>
      </c>
      <c r="AE10" s="352">
        <f>INDEX('18 KMP- Tháng'!$AF$6:$AQ$29,MATCH($A10,'18 KMP- Tháng'!$A$6:$A$29,0),MATCH(AE$7,'18 KMP- Tháng'!$AF$2:$AQ$2,0))</f>
        <v>33690.153681729942</v>
      </c>
      <c r="AF10" s="183">
        <f>INDEX('18 KMP- Tháng'!$AF$6:$AQ$29,MATCH($A10,'18 KMP- Tháng'!$A$6:$A$29,0),MATCH(AF$7,'18 KMP- Tháng'!$AF$2:$AQ$2,0))</f>
        <v>54984.762966730275</v>
      </c>
      <c r="AG10" s="183">
        <f>INDEX('18 KMP- Tháng'!$AF$6:$AQ$29,MATCH($A10,'18 KMP- Tháng'!$A$6:$A$29,0),MATCH(AG$7,'18 KMP- Tháng'!$AF$2:$AQ$2,0))</f>
        <v>93493.565616349893</v>
      </c>
      <c r="AH10" s="183">
        <f>INDEX('18 KMP- Tháng'!$AF$6:$AQ$29,MATCH($A10,'18 KMP- Tháng'!$A$6:$A$29,0),MATCH(AH$7,'18 KMP- Tháng'!$AF$2:$AQ$2,0))</f>
        <v>81794.17166151281</v>
      </c>
      <c r="AI10" s="183">
        <f>INDEX('18 KMP- Tháng'!$AF$6:$AQ$29,MATCH($A10,'18 KMP- Tháng'!$A$6:$A$29,0),MATCH(AI$7,'18 KMP- Tháng'!$AF$2:$AQ$2,0))</f>
        <v>97253.819962899841</v>
      </c>
      <c r="AJ10" s="183">
        <f>INDEX('18 KMP- Tháng'!$AF$6:$AQ$29,MATCH($A10,'18 KMP- Tháng'!$A$6:$A$29,0),MATCH(AJ$7,'18 KMP- Tháng'!$AF$2:$AQ$2,0))</f>
        <v>84746.443805998701</v>
      </c>
      <c r="AK10" s="183">
        <f>INDEX('18 KMP- Tháng'!$AF$6:$AQ$29,MATCH($A10,'18 KMP- Tháng'!$A$6:$A$29,0),MATCH(AK$7,'18 KMP- Tháng'!$AF$2:$AQ$2,0))</f>
        <v>93606.744682943565</v>
      </c>
      <c r="AL10" s="183">
        <f>INDEX('18 KMP- Tháng'!$AF$6:$AQ$29,MATCH($A10,'18 KMP- Tháng'!$A$6:$A$29,0),MATCH(AL$7,'18 KMP- Tháng'!$AF$2:$AQ$2,0))</f>
        <v>93602.194561389799</v>
      </c>
      <c r="AM10" s="183">
        <f>INDEX('18 KMP- Tháng'!$AF$6:$AQ$29,MATCH($A10,'18 KMP- Tháng'!$A$6:$A$29,0),MATCH(AM$7,'18 KMP- Tháng'!$AF$2:$AQ$2,0))</f>
        <v>92225.640568510207</v>
      </c>
      <c r="AN10" s="183">
        <f>INDEX('18 KMP- Tháng'!$AF$6:$AQ$29,MATCH($A10,'18 KMP- Tháng'!$A$6:$A$29,0),MATCH(AN$7,'18 KMP- Tháng'!$AF$2:$AQ$2,0))</f>
        <v>60589.830985082903</v>
      </c>
      <c r="AO10" s="183">
        <f>INDEX('18 KMP- Tháng'!$AF$6:$AQ$29,MATCH($A10,'18 KMP- Tháng'!$A$6:$A$29,0),MATCH(AO$7,'18 KMP- Tháng'!$AF$2:$AQ$2,0))</f>
        <v>41785.637411524003</v>
      </c>
      <c r="AP10" s="342">
        <f>INDEX('18 KMP- Tháng'!$AF$6:$AQ$29,MATCH($A10,'18 KMP- Tháng'!$A$6:$A$29,0),MATCH(AP$7,'18 KMP- Tháng'!$AF$2:$AQ$2,0))</f>
        <v>66382.966178182702</v>
      </c>
      <c r="AQ10" s="360">
        <f>SUM(AE10:AP10)/COUNTIFS($AE$29:$AP$29,"&lt;&gt;"&amp;0)</f>
        <v>74512.994340237885</v>
      </c>
      <c r="AR10" s="352">
        <f>SUM(AE10:AP10)</f>
        <v>894155.93208285468</v>
      </c>
      <c r="AS10" s="352">
        <f>INDEX('18 KMP- Tháng'!$BH$6:$BS$29,MATCH($A10,'18 KMP- Tháng'!$A$6:$A$29,0),MATCH(AS$7,'18 KMP- Tháng'!$BH$2:$BS$2,0))</f>
        <v>70449.79433851775</v>
      </c>
      <c r="AT10" s="183">
        <f>INDEX('18 KMP- Tháng'!$BH$6:$BS$29,MATCH($A10,'18 KMP- Tháng'!$A$6:$A$29,0),MATCH(AT$7,'18 KMP- Tháng'!$BH$2:$BS$2,0))</f>
        <v>57841.876465266527</v>
      </c>
      <c r="AU10" s="183">
        <f>INDEX('18 KMP- Tháng'!$BH$6:$BS$29,MATCH($A10,'18 KMP- Tháng'!$A$6:$A$29,0),MATCH(AU$7,'18 KMP- Tháng'!$BH$2:$BS$2,0))</f>
        <v>73858.796242105935</v>
      </c>
      <c r="AV10" s="183">
        <f>INDEX('18 KMP- Tháng'!$BH$6:$BS$29,MATCH($A10,'18 KMP- Tháng'!$A$6:$A$29,0),MATCH(AV$7,'18 KMP- Tháng'!$BH$2:$BS$2,0))</f>
        <v>74028.379274825609</v>
      </c>
      <c r="AW10" s="183">
        <f>INDEX('18 KMP- Tháng'!$BH$6:$BS$29,MATCH($A10,'18 KMP- Tháng'!$A$6:$A$29,0),MATCH(AW$7,'18 KMP- Tháng'!$BH$2:$BS$2,0))</f>
        <v>73858.796242105935</v>
      </c>
      <c r="AX10" s="183">
        <f>INDEX('18 KMP- Tháng'!$BH$6:$BS$29,MATCH($A10,'18 KMP- Tháng'!$A$6:$A$29,0),MATCH(AX$7,'18 KMP- Tháng'!$BH$2:$BS$2,0))</f>
        <v>75365.564327104483</v>
      </c>
      <c r="AY10" s="183">
        <f>INDEX('18 KMP- Tháng'!$BH$6:$BS$29,MATCH($A10,'18 KMP- Tháng'!$A$6:$A$29,0),MATCH(AY$7,'18 KMP- Tháng'!$BH$2:$BS$2,0))</f>
        <v>77176.424886965047</v>
      </c>
      <c r="AZ10" s="183">
        <f>INDEX('18 KMP- Tháng'!$BH$6:$BS$29,MATCH($A10,'18 KMP- Tháng'!$A$6:$A$29,0),MATCH(AZ$7,'18 KMP- Tháng'!$BH$2:$BS$2,0))</f>
        <v>77920.06932472506</v>
      </c>
      <c r="BA10" s="183">
        <f>INDEX('18 KMP- Tháng'!$BH$6:$BS$29,MATCH($A10,'18 KMP- Tháng'!$A$6:$A$29,0),MATCH(BA$7,'18 KMP- Tháng'!$BH$2:$BS$2,0))</f>
        <v>77600.382468764248</v>
      </c>
      <c r="BB10" s="183">
        <f>INDEX('18 KMP- Tháng'!$BH$6:$BS$29,MATCH($A10,'18 KMP- Tháng'!$A$6:$A$29,0),MATCH(BB$7,'18 KMP- Tháng'!$BH$2:$BS$2,0))</f>
        <v>78089.652357444735</v>
      </c>
      <c r="BC10" s="183">
        <f>INDEX('18 KMP- Tháng'!$BH$6:$BS$29,MATCH($A10,'18 KMP- Tháng'!$A$6:$A$29,0),MATCH(BC$7,'18 KMP- Tháng'!$BH$2:$BS$2,0))</f>
        <v>77006.841854245373</v>
      </c>
      <c r="BD10" s="342">
        <f>INDEX('18 KMP- Tháng'!$BH$6:$BS$29,MATCH($A10,'18 KMP- Tháng'!$A$6:$A$29,0),MATCH(BD$7,'18 KMP- Tháng'!$BH$2:$BS$2,0))</f>
        <v>77920.06932472506</v>
      </c>
      <c r="BE10" s="360">
        <f t="shared" ref="BE10:BE20" si="7">AVERAGE(AS10:BD10)</f>
        <v>74259.720592232989</v>
      </c>
      <c r="BF10" s="352">
        <f>INDEX('18 KMP- Tháng'!$AS$6:$BD$29,MATCH($A10,'18 KMP- Tháng'!$A$6:$A$29,0),MATCH(BF$7,'18 KMP- Tháng'!$AS$2:$BD$2,0))</f>
        <v>54282.9558583486</v>
      </c>
      <c r="BG10" s="183">
        <f>INDEX('18 KMP- Tháng'!$AS$6:$BD$29,MATCH($A10,'18 KMP- Tháng'!$A$6:$A$29,0),MATCH(BG$7,'18 KMP- Tháng'!$AS$2:$BD$2,0))</f>
        <v>32788.527139026301</v>
      </c>
      <c r="BH10" s="183">
        <f>INDEX('18 KMP- Tháng'!$AS$6:$BD$29,MATCH($A10,'18 KMP- Tháng'!$A$6:$A$29,0),MATCH(BH$7,'18 KMP- Tháng'!$AS$2:$BD$2,0))</f>
        <v>79002.100402284006</v>
      </c>
      <c r="BI10" s="183">
        <f>INDEX('18 KMP- Tháng'!$AS$6:$BD$29,MATCH($A10,'18 KMP- Tháng'!$A$6:$A$29,0),MATCH(BI$7,'18 KMP- Tháng'!$AS$2:$BD$2,0))</f>
        <v>77706.009766450486</v>
      </c>
      <c r="BJ10" s="183">
        <f>INDEX('18 KMP- Tháng'!$AS$6:$BD$29,MATCH($A10,'18 KMP- Tháng'!$A$6:$A$29,0),MATCH(BJ$7,'18 KMP- Tháng'!$AS$2:$BD$2,0))</f>
        <v>67389.4959113683</v>
      </c>
      <c r="BK10" s="183">
        <f>INDEX('18 KMP- Tháng'!$AS$6:$BD$29,MATCH($A10,'18 KMP- Tháng'!$A$6:$A$29,0),MATCH(BK$7,'18 KMP- Tháng'!$AS$2:$BD$2,0))</f>
        <v>75415.651310678106</v>
      </c>
      <c r="BL10" s="183">
        <f>INDEX('18 KMP- Tháng'!$AS$6:$BD$29,MATCH($A10,'18 KMP- Tháng'!$A$6:$A$29,0),MATCH(BL$7,'18 KMP- Tháng'!$AS$2:$BD$2,0))</f>
        <v>0</v>
      </c>
      <c r="BM10" s="183">
        <f>INDEX('18 KMP- Tháng'!$AS$6:$BD$29,MATCH($A10,'18 KMP- Tháng'!$A$6:$A$29,0),MATCH(BM$7,'18 KMP- Tháng'!$AS$2:$BD$2,0))</f>
        <v>0</v>
      </c>
      <c r="BN10" s="183">
        <f>INDEX('18 KMP- Tháng'!$AS$6:$BD$29,MATCH($A10,'18 KMP- Tháng'!$A$6:$A$29,0),MATCH(BN$7,'18 KMP- Tháng'!$AS$2:$BD$2,0))</f>
        <v>0</v>
      </c>
      <c r="BO10" s="183">
        <f>INDEX('18 KMP- Tháng'!$AS$6:$BD$29,MATCH($A10,'18 KMP- Tháng'!$A$6:$A$29,0),MATCH(BO$7,'18 KMP- Tháng'!$AS$2:$BD$2,0))</f>
        <v>0</v>
      </c>
      <c r="BP10" s="183">
        <f>INDEX('18 KMP- Tháng'!$AS$6:$BD$29,MATCH($A10,'18 KMP- Tháng'!$A$6:$A$29,0),MATCH(BP$7,'18 KMP- Tháng'!$AS$2:$BD$2,0))</f>
        <v>0</v>
      </c>
      <c r="BQ10" s="342">
        <f>INDEX('18 KMP- Tháng'!$AS$6:$BD$29,MATCH($A10,'18 KMP- Tháng'!$A$6:$A$29,0),MATCH(BQ$7,'18 KMP- Tháng'!$AS$2:$BD$2,0))</f>
        <v>0</v>
      </c>
      <c r="BR10" s="360">
        <f>SUM(BF10:BQ10)/COUNTIFS($BF$29:$BQ$29,"&lt;&gt;"&amp;0)</f>
        <v>64430.790064692635</v>
      </c>
      <c r="BS10" s="352">
        <f>SUM(BF10:BQ10)</f>
        <v>386584.7403881558</v>
      </c>
      <c r="BT10" s="184">
        <f t="shared" ref="BT10:BT31" si="8">IFERROR(BK10/AX10-1,"-")</f>
        <v>6.6458712305572654E-4</v>
      </c>
      <c r="BU10" s="185">
        <f t="shared" ref="BU10:BU28" si="9">BS10/$BS$29</f>
        <v>0.60210074425271676</v>
      </c>
      <c r="BV10" s="997"/>
      <c r="BW10" s="997"/>
      <c r="BX10" s="997"/>
      <c r="BY10" s="998"/>
      <c r="BZ10" s="998"/>
      <c r="CA10" s="998"/>
      <c r="CB10" s="998"/>
      <c r="CC10" s="191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</row>
    <row r="11" spans="1:92" s="186" customFormat="1" x14ac:dyDescent="0.4">
      <c r="A11" s="174">
        <v>4</v>
      </c>
      <c r="B11" s="187">
        <f>B10+1</f>
        <v>2</v>
      </c>
      <c r="C11" s="188" t="s">
        <v>96</v>
      </c>
      <c r="D11" s="188" t="s">
        <v>25</v>
      </c>
      <c r="E11" s="189">
        <f>INDEX('18 KMP- Tháng'!$E$6:$Q$29,MATCH($A11,'18 KMP- Tháng'!$A$6:$A$29,0),MATCH(E$7,'18 KMP- Tháng'!$E$2:$P$2,0))</f>
        <v>1376.9572000000001</v>
      </c>
      <c r="F11" s="189">
        <f>INDEX('18 KMP- Tháng'!$E$6:$Q$29,MATCH($A11,'18 KMP- Tháng'!$A$6:$A$29,0),MATCH(F$7,'18 KMP- Tháng'!$E$2:$P$2,0))</f>
        <v>2218.3915000000002</v>
      </c>
      <c r="G11" s="189">
        <f>INDEX('18 KMP- Tháng'!$E$6:$Q$29,MATCH($A11,'18 KMP- Tháng'!$A$6:$A$29,0),MATCH(G$7,'18 KMP- Tháng'!$E$2:$P$2,0))</f>
        <v>2574.9328999999998</v>
      </c>
      <c r="H11" s="189">
        <f>INDEX('18 KMP- Tháng'!$E$6:$Q$29,MATCH($A11,'18 KMP- Tháng'!$A$6:$A$29,0),MATCH(H$7,'18 KMP- Tháng'!$E$2:$P$2,0))</f>
        <v>2388.6837479999999</v>
      </c>
      <c r="I11" s="189">
        <f>INDEX('18 KMP- Tháng'!$E$6:$Q$29,MATCH($A11,'18 KMP- Tháng'!$A$6:$A$29,0),MATCH(I$7,'18 KMP- Tháng'!$E$2:$P$2,0))</f>
        <v>2787.5241000000001</v>
      </c>
      <c r="J11" s="189">
        <f>INDEX('18 KMP- Tháng'!$E$6:$Q$29,MATCH($A11,'18 KMP- Tháng'!$A$6:$A$29,0),MATCH(J$7,'18 KMP- Tháng'!$E$2:$P$2,0))</f>
        <v>2655.8263000000002</v>
      </c>
      <c r="K11" s="189">
        <f>INDEX('18 KMP- Tháng'!$E$6:$Q$29,MATCH($A11,'18 KMP- Tháng'!$A$6:$A$29,0),MATCH(K$7,'18 KMP- Tháng'!$E$2:$P$2,0))</f>
        <v>3135.2610890000001</v>
      </c>
      <c r="L11" s="189">
        <f>INDEX('18 KMP- Tháng'!$E$6:$Q$29,MATCH($A11,'18 KMP- Tháng'!$A$6:$A$29,0),MATCH(L$7,'18 KMP- Tháng'!$E$2:$P$2,0))</f>
        <v>2978.8600099999999</v>
      </c>
      <c r="M11" s="189">
        <f>INDEX('18 KMP- Tháng'!$E$6:$Q$29,MATCH($A11,'18 KMP- Tháng'!$A$6:$A$29,0),MATCH(M$7,'18 KMP- Tháng'!$E$2:$P$2,0))</f>
        <v>2915.5076250000002</v>
      </c>
      <c r="N11" s="189">
        <f>INDEX('18 KMP- Tháng'!$E$6:$Q$29,MATCH($A11,'18 KMP- Tháng'!$A$6:$A$29,0),MATCH(N$7,'18 KMP- Tháng'!$E$2:$P$2,0))</f>
        <v>3337.1480000000001</v>
      </c>
      <c r="O11" s="189">
        <f>INDEX('18 KMP- Tháng'!$E$6:$Q$29,MATCH($A11,'18 KMP- Tháng'!$A$6:$A$29,0),MATCH(O$7,'18 KMP- Tháng'!$E$2:$P$2,0))</f>
        <v>2812.7750129999999</v>
      </c>
      <c r="P11" s="344">
        <f>INDEX('18 KMP- Tháng'!$E$6:$Q$29,MATCH($A11,'18 KMP- Tháng'!$A$6:$A$29,0),MATCH(P$7,'18 KMP- Tháng'!$E$2:$P$2,0))</f>
        <v>5223.2614999999996</v>
      </c>
      <c r="Q11" s="361">
        <f t="shared" si="6"/>
        <v>2867.0940820833334</v>
      </c>
      <c r="R11" s="189">
        <f>INDEX('18 KMP- Tháng'!$R$6:$AC$24,MATCH($A11,'18 KMP- Tháng'!$A$6:$A$24,0),MATCH(R$7,'18 KMP- Tháng'!$R$2:$AC$2,0))</f>
        <v>5518.9031000000004</v>
      </c>
      <c r="S11" s="189">
        <f>INDEX('18 KMP- Tháng'!$R$6:$AC$24,MATCH($A11,'18 KMP- Tháng'!$A$6:$A$24,0),MATCH(S$7,'18 KMP- Tháng'!$R$2:$AC$2,0))</f>
        <v>4150.3450000000003</v>
      </c>
      <c r="T11" s="189">
        <f>INDEX('18 KMP- Tháng'!$R$6:$AC$24,MATCH($A11,'18 KMP- Tháng'!$A$6:$A$24,0),MATCH(T$7,'18 KMP- Tháng'!$R$2:$AC$2,0))</f>
        <v>5118.0938999999998</v>
      </c>
      <c r="U11" s="189">
        <f>INDEX('18 KMP- Tháng'!$R$6:$AC$24,MATCH($A11,'18 KMP- Tháng'!$A$6:$A$24,0),MATCH(U$7,'18 KMP- Tháng'!$R$2:$AC$2,0))+380</f>
        <v>5923.6525650000003</v>
      </c>
      <c r="V11" s="189">
        <f>INDEX('18 KMP- Tháng'!$R$6:$AC$24,MATCH($A11,'18 KMP- Tháng'!$A$6:$A$24,0),MATCH(V$7,'18 KMP- Tháng'!$R$2:$AC$2,0))-380</f>
        <v>5640.5653000000002</v>
      </c>
      <c r="W11" s="189">
        <f>INDEX('18 KMP- Tháng'!$R$6:$AC$24,MATCH($A11,'18 KMP- Tháng'!$A$6:$A$24,0),MATCH(W$7,'18 KMP- Tháng'!$R$2:$AC$2,0))</f>
        <v>4842.9948999999997</v>
      </c>
      <c r="X11" s="189">
        <f>INDEX('18 KMP- Tháng'!$R$6:$AC$24,MATCH($A11,'18 KMP- Tháng'!$A$6:$A$24,0),MATCH(X$7,'18 KMP- Tháng'!$R$2:$AC$2,0))</f>
        <v>3062.5014999999999</v>
      </c>
      <c r="Y11" s="189">
        <f>INDEX('18 KMP- Tháng'!$R$6:$AC$24,MATCH($A11,'18 KMP- Tháng'!$A$6:$A$24,0),MATCH(Y$7,'18 KMP- Tháng'!$R$2:$AC$2,0))</f>
        <v>3545.0221999999999</v>
      </c>
      <c r="Z11" s="189">
        <f>INDEX('18 KMP- Tháng'!$R$6:$AC$24,MATCH($A11,'18 KMP- Tháng'!$A$6:$A$24,0),MATCH(Z$7,'18 KMP- Tháng'!$R$2:$AC$2,0))</f>
        <v>4668.9910060000002</v>
      </c>
      <c r="AA11" s="189">
        <f>INDEX('18 KMP- Tháng'!$R$6:$AC$24,MATCH($A11,'18 KMP- Tháng'!$A$6:$A$24,0),MATCH(AA$7,'18 KMP- Tháng'!$R$2:$AC$2,0))</f>
        <v>5571.9984999999997</v>
      </c>
      <c r="AB11" s="189">
        <f>INDEX('18 KMP- Tháng'!$R$6:$AC$24,MATCH($A11,'18 KMP- Tháng'!$A$6:$A$24,0),MATCH(AB$7,'18 KMP- Tháng'!$R$2:$AC$2,0))</f>
        <v>6435.3993</v>
      </c>
      <c r="AC11" s="344">
        <f>INDEX('18 KMP- Tháng'!$R$6:$AC$24,MATCH($A11,'18 KMP- Tháng'!$A$6:$A$24,0),MATCH(AC$7,'18 KMP- Tháng'!$R$2:$AC$2,0))</f>
        <v>4886.9172699999999</v>
      </c>
      <c r="AD11" s="361">
        <f t="shared" ref="AD11:AD31" si="10">AVERAGE(R11:AC11)</f>
        <v>4947.1153784166663</v>
      </c>
      <c r="AE11" s="368">
        <f>INDEX('18 KMP- Tháng'!$AF$6:$AQ$29,MATCH($A11,'18 KMP- Tháng'!$A$6:$A$29,0),MATCH(AE$7,'18 KMP- Tháng'!$AF$2:$AQ$2,0))</f>
        <v>3220.4870150000002</v>
      </c>
      <c r="AF11" s="337">
        <f>INDEX('18 KMP- Tháng'!$AF$6:$AQ$29,MATCH($A11,'18 KMP- Tháng'!$A$6:$A$29,0),MATCH(AF$7,'18 KMP- Tháng'!$AF$2:$AQ$2,0))</f>
        <v>4203.9981429999998</v>
      </c>
      <c r="AG11" s="337">
        <f>INDEX('18 KMP- Tháng'!$AF$6:$AQ$29,MATCH($A11,'18 KMP- Tháng'!$A$6:$A$29,0),MATCH(AG$7,'18 KMP- Tháng'!$AF$2:$AQ$2,0))</f>
        <v>6561.5858079999998</v>
      </c>
      <c r="AH11" s="337">
        <f>INDEX('18 KMP- Tháng'!$AF$6:$AQ$29,MATCH($A11,'18 KMP- Tháng'!$A$6:$A$29,0),MATCH(AH$7,'18 KMP- Tháng'!$AF$2:$AQ$2,0))</f>
        <v>6195.0632750000004</v>
      </c>
      <c r="AI11" s="337">
        <f>INDEX('18 KMP- Tháng'!$AF$6:$AQ$29,MATCH($A11,'18 KMP- Tháng'!$A$6:$A$29,0),MATCH(AI$7,'18 KMP- Tháng'!$AF$2:$AQ$2,0))</f>
        <v>6629.4663929999997</v>
      </c>
      <c r="AJ11" s="337">
        <f>INDEX('18 KMP- Tháng'!$AF$6:$AQ$29,MATCH($A11,'18 KMP- Tháng'!$A$6:$A$29,0),MATCH(AJ$7,'18 KMP- Tháng'!$AF$2:$AQ$2,0))</f>
        <v>6427.1763199999996</v>
      </c>
      <c r="AK11" s="337">
        <f>INDEX('18 KMP- Tháng'!$AF$6:$AQ$29,MATCH($A11,'18 KMP- Tháng'!$A$6:$A$29,0),MATCH(AK$7,'18 KMP- Tháng'!$AF$2:$AQ$2,0))</f>
        <v>7133.675279</v>
      </c>
      <c r="AL11" s="337">
        <f>INDEX('18 KMP- Tháng'!$AF$6:$AQ$29,MATCH($A11,'18 KMP- Tháng'!$A$6:$A$29,0),MATCH(AL$7,'18 KMP- Tháng'!$AF$2:$AQ$2,0))</f>
        <v>7283.683376</v>
      </c>
      <c r="AM11" s="337">
        <f>INDEX('18 KMP- Tháng'!$AF$6:$AQ$29,MATCH($A11,'18 KMP- Tháng'!$A$6:$A$29,0),MATCH(AM$7,'18 KMP- Tháng'!$AF$2:$AQ$2,0))</f>
        <v>7082.0269870000002</v>
      </c>
      <c r="AN11" s="337">
        <f>INDEX('18 KMP- Tháng'!$AF$6:$AQ$29,MATCH($A11,'18 KMP- Tháng'!$A$6:$A$29,0),MATCH(AN$7,'18 KMP- Tháng'!$AF$2:$AQ$2,0))</f>
        <v>6265.143298</v>
      </c>
      <c r="AO11" s="337">
        <f>INDEX('18 KMP- Tháng'!$AF$6:$AQ$29,MATCH($A11,'18 KMP- Tháng'!$A$6:$A$29,0),MATCH(AO$7,'18 KMP- Tháng'!$AF$2:$AQ$2,0))</f>
        <v>4353.0271210000001</v>
      </c>
      <c r="AP11" s="343">
        <f>INDEX('18 KMP- Tháng'!$AF$6:$AQ$29,MATCH($A11,'18 KMP- Tháng'!$A$6:$A$29,0),MATCH(AP$7,'18 KMP- Tháng'!$AF$2:$AQ$2,0))</f>
        <v>4935.067223</v>
      </c>
      <c r="AQ11" s="361">
        <f t="shared" ref="AQ11:AQ20" si="11">SUM(AE11:AP11)/COUNTIFS($AE$29:$AP$29,"&lt;&gt;"&amp;0)</f>
        <v>5857.5333531666665</v>
      </c>
      <c r="AR11" s="353">
        <f t="shared" ref="AR11:AR20" si="12">SUM(AE11:AP11)</f>
        <v>70290.400238000002</v>
      </c>
      <c r="AS11" s="353">
        <f>INDEX('18 KMP- Tháng'!$BH$6:$BS$29,MATCH($A11,'18 KMP- Tháng'!$A$6:$A$29,0),MATCH(AS$7,'18 KMP- Tháng'!$BH$2:$BS$2,0))</f>
        <v>4697.3396017444875</v>
      </c>
      <c r="AT11" s="189">
        <f>INDEX('18 KMP- Tháng'!$BH$6:$BS$29,MATCH($A11,'18 KMP- Tháng'!$A$6:$A$29,0),MATCH(AT$7,'18 KMP- Tháng'!$BH$2:$BS$2,0))</f>
        <v>3893.9971987592303</v>
      </c>
      <c r="AU11" s="189">
        <f>INDEX('18 KMP- Tháng'!$BH$6:$BS$29,MATCH($A11,'18 KMP- Tháng'!$A$6:$A$29,0),MATCH(AU$7,'18 KMP- Tháng'!$BH$2:$BS$2,0))</f>
        <v>4842.3796267444886</v>
      </c>
      <c r="AV11" s="189">
        <f>INDEX('18 KMP- Tháng'!$BH$6:$BS$29,MATCH($A11,'18 KMP- Tháng'!$A$6:$A$29,0),MATCH(AV$7,'18 KMP- Tháng'!$BH$2:$BS$2,0))</f>
        <v>4886.2606887335287</v>
      </c>
      <c r="AW11" s="189">
        <f>INDEX('18 KMP- Tháng'!$BH$6:$BS$29,MATCH($A11,'18 KMP- Tháng'!$A$6:$A$29,0),MATCH(AW$7,'18 KMP- Tháng'!$BH$2:$BS$2,0))</f>
        <v>4850.5640553159174</v>
      </c>
      <c r="AX11" s="189">
        <f>INDEX('18 KMP- Tháng'!$BH$6:$BS$29,MATCH($A11,'18 KMP- Tháng'!$A$6:$A$29,0),MATCH(AX$7,'18 KMP- Tháng'!$BH$2:$BS$2,0))</f>
        <v>5015.6919387335292</v>
      </c>
      <c r="AY11" s="189">
        <f>INDEX('18 KMP- Tháng'!$BH$6:$BS$29,MATCH($A11,'18 KMP- Tháng'!$A$6:$A$29,0),MATCH(AY$7,'18 KMP- Tháng'!$BH$2:$BS$2,0))</f>
        <v>5356.1384432390805</v>
      </c>
      <c r="AZ11" s="189">
        <f>INDEX('18 KMP- Tháng'!$BH$6:$BS$29,MATCH($A11,'18 KMP- Tháng'!$A$6:$A$29,0),MATCH(AZ$7,'18 KMP- Tháng'!$BH$2:$BS$2,0))</f>
        <v>5423.0816702390803</v>
      </c>
      <c r="BA11" s="189">
        <f>INDEX('18 KMP- Tháng'!$BH$6:$BS$29,MATCH($A11,'18 KMP- Tháng'!$A$6:$A$29,0),MATCH(BA$7,'18 KMP- Tháng'!$BH$2:$BS$2,0))</f>
        <v>5431.5689632035965</v>
      </c>
      <c r="BB11" s="189">
        <f>INDEX('18 KMP- Tháng'!$BH$6:$BS$29,MATCH($A11,'18 KMP- Tháng'!$A$6:$A$29,0),MATCH(BB$7,'18 KMP- Tháng'!$BH$2:$BS$2,0))</f>
        <v>5581.5463002948245</v>
      </c>
      <c r="BC11" s="189">
        <f>INDEX('18 KMP- Tháng'!$BH$6:$BS$29,MATCH($A11,'18 KMP- Tháng'!$A$6:$A$29,0),MATCH(BC$7,'18 KMP- Tháng'!$BH$2:$BS$2,0))</f>
        <v>5527.4359356879104</v>
      </c>
      <c r="BD11" s="344">
        <f>INDEX('18 KMP- Tháng'!$BH$6:$BS$29,MATCH($A11,'18 KMP- Tháng'!$A$6:$A$29,0),MATCH(BD$7,'18 KMP- Tháng'!$BH$2:$BS$2,0))</f>
        <v>5561.9175222948243</v>
      </c>
      <c r="BE11" s="362">
        <f t="shared" si="7"/>
        <v>5088.9934954158743</v>
      </c>
      <c r="BF11" s="368">
        <f>INDEX('18 KMP- Tháng'!$AS$6:$BD$29,MATCH($A11,'18 KMP- Tháng'!$A$6:$A$29,0),MATCH(BF$7,'18 KMP- Tháng'!$AS$2:$BD$2,0))</f>
        <v>4101.185536</v>
      </c>
      <c r="BG11" s="337">
        <f>INDEX('18 KMP- Tháng'!$AS$6:$BD$29,MATCH($A11,'18 KMP- Tháng'!$A$6:$A$29,0),MATCH(BG$7,'18 KMP- Tháng'!$AS$2:$BD$2,0))</f>
        <v>2506.863617</v>
      </c>
      <c r="BH11" s="337">
        <f>INDEX('18 KMP- Tháng'!$AS$6:$BD$29,MATCH($A11,'18 KMP- Tháng'!$A$6:$A$29,0),MATCH(BH$7,'18 KMP- Tháng'!$AS$2:$BD$2,0))</f>
        <v>5724.7182839999996</v>
      </c>
      <c r="BI11" s="337">
        <f>INDEX('18 KMP- Tháng'!$AS$6:$BD$29,MATCH($A11,'18 KMP- Tháng'!$A$6:$A$29,0),MATCH(BI$7,'18 KMP- Tháng'!$AS$2:$BD$2,0))</f>
        <v>5756.5264569999999</v>
      </c>
      <c r="BJ11" s="337">
        <f>INDEX('18 KMP- Tháng'!$AS$6:$BD$29,MATCH($A11,'18 KMP- Tháng'!$A$6:$A$29,0),MATCH(BJ$7,'18 KMP- Tháng'!$AS$2:$BD$2,0))</f>
        <v>5888.0109110000003</v>
      </c>
      <c r="BK11" s="337">
        <f>INDEX('18 KMP- Tháng'!$AS$6:$BD$29,MATCH($A11,'18 KMP- Tháng'!$A$6:$A$29,0),MATCH(BK$7,'18 KMP- Tháng'!$AS$2:$BD$2,0))</f>
        <v>6109.4348950000003</v>
      </c>
      <c r="BL11" s="337">
        <f>INDEX('18 KMP- Tháng'!$AS$6:$BD$29,MATCH($A11,'18 KMP- Tháng'!$A$6:$A$29,0),MATCH(BL$7,'18 KMP- Tháng'!$AS$2:$BD$2,0))</f>
        <v>0</v>
      </c>
      <c r="BM11" s="337">
        <f>INDEX('18 KMP- Tháng'!$AS$6:$BD$29,MATCH($A11,'18 KMP- Tháng'!$A$6:$A$29,0),MATCH(BM$7,'18 KMP- Tháng'!$AS$2:$BD$2,0))</f>
        <v>0</v>
      </c>
      <c r="BN11" s="337">
        <f>INDEX('18 KMP- Tháng'!$AS$6:$BD$29,MATCH($A11,'18 KMP- Tháng'!$A$6:$A$29,0),MATCH(BN$7,'18 KMP- Tháng'!$AS$2:$BD$2,0))</f>
        <v>0</v>
      </c>
      <c r="BO11" s="337">
        <f>INDEX('18 KMP- Tháng'!$AS$6:$BD$29,MATCH($A11,'18 KMP- Tháng'!$A$6:$A$29,0),MATCH(BO$7,'18 KMP- Tháng'!$AS$2:$BD$2,0))</f>
        <v>0</v>
      </c>
      <c r="BP11" s="337">
        <f>INDEX('18 KMP- Tháng'!$AS$6:$BD$29,MATCH($A11,'18 KMP- Tháng'!$A$6:$A$29,0),MATCH(BP$7,'18 KMP- Tháng'!$AS$2:$BD$2,0))</f>
        <v>0</v>
      </c>
      <c r="BQ11" s="343">
        <f>INDEX('18 KMP- Tháng'!$AS$6:$BD$29,MATCH($A11,'18 KMP- Tháng'!$A$6:$A$29,0),MATCH(BQ$7,'18 KMP- Tháng'!$AS$2:$BD$2,0))</f>
        <v>0</v>
      </c>
      <c r="BR11" s="361">
        <f t="shared" ref="BR11:BR20" si="13">SUM(BF11:BQ11)/COUNTIFS($BF$29:$BQ$29,"&lt;&gt;"&amp;0)</f>
        <v>5014.4566166666664</v>
      </c>
      <c r="BS11" s="353">
        <f t="shared" ref="BS11:BS20" si="14">SUM(BF11:BQ11)</f>
        <v>30086.739699999998</v>
      </c>
      <c r="BT11" s="184">
        <f t="shared" si="8"/>
        <v>0.21806422117356816</v>
      </c>
      <c r="BU11" s="190">
        <f t="shared" si="9"/>
        <v>4.6859708811369256E-2</v>
      </c>
      <c r="BV11" s="989"/>
      <c r="BW11" s="989"/>
      <c r="BX11" s="989"/>
      <c r="BY11" s="983"/>
      <c r="BZ11" s="983"/>
      <c r="CA11" s="983"/>
      <c r="CB11" s="983"/>
      <c r="CC11" s="33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</row>
    <row r="12" spans="1:92" s="186" customFormat="1" x14ac:dyDescent="0.4">
      <c r="A12" s="174">
        <v>6</v>
      </c>
      <c r="B12" s="187">
        <f t="shared" ref="B12:B20" si="15">B11+1</f>
        <v>3</v>
      </c>
      <c r="C12" s="188" t="s">
        <v>96</v>
      </c>
      <c r="D12" s="188" t="s">
        <v>165</v>
      </c>
      <c r="E12" s="189">
        <f>INDEX('18 KMP- Tháng'!$E$6:$Q$29,MATCH($A12,'18 KMP- Tháng'!$A$6:$A$29,0),MATCH(E$7,'18 KMP- Tháng'!$E$2:$P$2,0))</f>
        <v>0</v>
      </c>
      <c r="F12" s="189">
        <f>INDEX('18 KMP- Tháng'!$E$6:$Q$29,MATCH($A12,'18 KMP- Tháng'!$A$6:$A$29,0),MATCH(F$7,'18 KMP- Tháng'!$E$2:$P$2,0))</f>
        <v>0</v>
      </c>
      <c r="G12" s="189">
        <f>INDEX('18 KMP- Tháng'!$E$6:$Q$29,MATCH($A12,'18 KMP- Tháng'!$A$6:$A$29,0),MATCH(G$7,'18 KMP- Tháng'!$E$2:$P$2,0))</f>
        <v>505.50536</v>
      </c>
      <c r="H12" s="189">
        <f>INDEX('18 KMP- Tháng'!$E$6:$Q$29,MATCH($A12,'18 KMP- Tháng'!$A$6:$A$29,0),MATCH(H$7,'18 KMP- Tháng'!$E$2:$P$2,0))</f>
        <v>384.26619499999998</v>
      </c>
      <c r="I12" s="189">
        <f>INDEX('18 KMP- Tháng'!$E$6:$Q$29,MATCH($A12,'18 KMP- Tháng'!$A$6:$A$29,0),MATCH(I$7,'18 KMP- Tháng'!$E$2:$P$2,0))</f>
        <v>373.597216</v>
      </c>
      <c r="J12" s="189">
        <f>INDEX('18 KMP- Tháng'!$E$6:$Q$29,MATCH($A12,'18 KMP- Tháng'!$A$6:$A$29,0),MATCH(J$7,'18 KMP- Tháng'!$E$2:$P$2,0))</f>
        <v>646.86600199999998</v>
      </c>
      <c r="K12" s="189">
        <f>INDEX('18 KMP- Tháng'!$E$6:$Q$29,MATCH($A12,'18 KMP- Tháng'!$A$6:$A$29,0),MATCH(K$7,'18 KMP- Tháng'!$E$2:$P$2,0))</f>
        <v>461.83937800000001</v>
      </c>
      <c r="L12" s="189">
        <f>INDEX('18 KMP- Tháng'!$E$6:$Q$29,MATCH($A12,'18 KMP- Tháng'!$A$6:$A$29,0),MATCH(L$7,'18 KMP- Tháng'!$E$2:$P$2,0))</f>
        <v>712.82108499999993</v>
      </c>
      <c r="M12" s="189">
        <f>INDEX('18 KMP- Tháng'!$E$6:$Q$29,MATCH($A12,'18 KMP- Tháng'!$A$6:$A$29,0),MATCH(M$7,'18 KMP- Tháng'!$E$2:$P$2,0))</f>
        <v>372.68747999999999</v>
      </c>
      <c r="N12" s="189">
        <f>INDEX('18 KMP- Tháng'!$E$6:$Q$29,MATCH($A12,'18 KMP- Tháng'!$A$6:$A$29,0),MATCH(N$7,'18 KMP- Tháng'!$E$2:$P$2,0))</f>
        <v>746.39963999999998</v>
      </c>
      <c r="O12" s="189">
        <f>INDEX('18 KMP- Tháng'!$E$6:$Q$29,MATCH($A12,'18 KMP- Tháng'!$A$6:$A$29,0),MATCH(O$7,'18 KMP- Tháng'!$E$2:$P$2,0))</f>
        <v>626.33642800000007</v>
      </c>
      <c r="P12" s="344">
        <f>INDEX('18 KMP- Tháng'!$E$6:$Q$29,MATCH($A12,'18 KMP- Tháng'!$A$6:$A$29,0),MATCH(P$7,'18 KMP- Tháng'!$E$2:$P$2,0))</f>
        <v>533.65458000000001</v>
      </c>
      <c r="Q12" s="362">
        <f t="shared" si="6"/>
        <v>446.99778033333331</v>
      </c>
      <c r="R12" s="189">
        <f>INDEX('18 KMP- Tháng'!$R$6:$AC$24,MATCH($A12,'18 KMP- Tháng'!$A$6:$A$24,0),MATCH(R$7,'18 KMP- Tháng'!$R$2:$AC$2,0))</f>
        <v>526.29274399999997</v>
      </c>
      <c r="S12" s="189">
        <f>INDEX('18 KMP- Tháng'!$R$6:$AC$24,MATCH($A12,'18 KMP- Tháng'!$A$6:$A$24,0),MATCH(S$7,'18 KMP- Tháng'!$R$2:$AC$2,0))</f>
        <v>369.82350000000002</v>
      </c>
      <c r="T12" s="189">
        <f>INDEX('18 KMP- Tháng'!$R$6:$AC$24,MATCH($A12,'18 KMP- Tháng'!$A$6:$A$24,0),MATCH(T$7,'18 KMP- Tháng'!$R$2:$AC$2,0))</f>
        <v>588.72288000000003</v>
      </c>
      <c r="U12" s="189">
        <f>INDEX('18 KMP- Tháng'!$R$6:$AC$24,MATCH($A12,'18 KMP- Tháng'!$A$6:$A$24,0),MATCH(U$7,'18 KMP- Tháng'!$R$2:$AC$2,0))</f>
        <v>1053.4593620000001</v>
      </c>
      <c r="V12" s="189">
        <f>INDEX('18 KMP- Tháng'!$R$6:$AC$24,MATCH($A12,'18 KMP- Tháng'!$A$6:$A$24,0),MATCH(V$7,'18 KMP- Tháng'!$R$2:$AC$2,0))</f>
        <v>832.33068000000014</v>
      </c>
      <c r="W12" s="189">
        <f>INDEX('18 KMP- Tháng'!$R$6:$AC$24,MATCH($A12,'18 KMP- Tháng'!$A$6:$A$24,0),MATCH(W$7,'18 KMP- Tháng'!$R$2:$AC$2,0))</f>
        <v>1456.5019600000001</v>
      </c>
      <c r="X12" s="189">
        <f>INDEX('18 KMP- Tháng'!$R$6:$AC$24,MATCH($A12,'18 KMP- Tháng'!$A$6:$A$24,0),MATCH(X$7,'18 KMP- Tháng'!$R$2:$AC$2,0))</f>
        <v>799.54674</v>
      </c>
      <c r="Y12" s="189">
        <f>INDEX('18 KMP- Tháng'!$R$6:$AC$24,MATCH($A12,'18 KMP- Tháng'!$A$6:$A$24,0),MATCH(Y$7,'18 KMP- Tháng'!$R$2:$AC$2,0))</f>
        <v>1860.7676060000001</v>
      </c>
      <c r="Z12" s="189">
        <f>INDEX('18 KMP- Tháng'!$R$6:$AC$24,MATCH($A12,'18 KMP- Tháng'!$A$6:$A$24,0),MATCH(Z$7,'18 KMP- Tháng'!$R$2:$AC$2,0))</f>
        <v>1285.0191810000001</v>
      </c>
      <c r="AA12" s="189">
        <f>INDEX('18 KMP- Tháng'!$R$6:$AC$24,MATCH($A12,'18 KMP- Tháng'!$A$6:$A$24,0),MATCH(AA$7,'18 KMP- Tháng'!$R$2:$AC$2,0))</f>
        <v>967.32580800000005</v>
      </c>
      <c r="AB12" s="189">
        <f>INDEX('18 KMP- Tháng'!$R$6:$AC$24,MATCH($A12,'18 KMP- Tháng'!$A$6:$A$24,0),MATCH(AB$7,'18 KMP- Tháng'!$R$2:$AC$2,0))</f>
        <v>754.04340200000001</v>
      </c>
      <c r="AC12" s="344">
        <f>INDEX('18 KMP- Tháng'!$R$6:$AC$24,MATCH($A12,'18 KMP- Tháng'!$A$6:$A$24,0),MATCH(AC$7,'18 KMP- Tháng'!$R$2:$AC$2,0))</f>
        <v>1681.9546049999999</v>
      </c>
      <c r="AD12" s="362">
        <f t="shared" si="10"/>
        <v>1014.6490389999999</v>
      </c>
      <c r="AE12" s="353">
        <f>INDEX('18 KMP- Tháng'!$AF$6:$AQ$29,MATCH($A12,'18 KMP- Tháng'!$A$6:$A$29,0),MATCH(AE$7,'18 KMP- Tháng'!$AF$2:$AQ$2,0))</f>
        <v>1406.3768719999998</v>
      </c>
      <c r="AF12" s="189">
        <f>INDEX('18 KMP- Tháng'!$AF$6:$AQ$29,MATCH($A12,'18 KMP- Tháng'!$A$6:$A$29,0),MATCH(AF$7,'18 KMP- Tháng'!$AF$2:$AQ$2,0))</f>
        <v>1896.4950260000001</v>
      </c>
      <c r="AG12" s="189">
        <f>INDEX('18 KMP- Tháng'!$AF$6:$AQ$29,MATCH($A12,'18 KMP- Tháng'!$A$6:$A$29,0),MATCH(AG$7,'18 KMP- Tháng'!$AF$2:$AQ$2,0))</f>
        <v>1011.337654</v>
      </c>
      <c r="AH12" s="189">
        <f>INDEX('18 KMP- Tháng'!$AF$6:$AQ$29,MATCH($A12,'18 KMP- Tháng'!$A$6:$A$29,0),MATCH(AH$7,'18 KMP- Tháng'!$AF$2:$AQ$2,0))</f>
        <v>1192.1012270000001</v>
      </c>
      <c r="AI12" s="189">
        <f>INDEX('18 KMP- Tháng'!$AF$6:$AQ$29,MATCH($A12,'18 KMP- Tháng'!$A$6:$A$29,0),MATCH(AI$7,'18 KMP- Tháng'!$AF$2:$AQ$2,0))</f>
        <v>1071.508366</v>
      </c>
      <c r="AJ12" s="189">
        <f>INDEX('18 KMP- Tháng'!$AF$6:$AQ$29,MATCH($A12,'18 KMP- Tháng'!$A$6:$A$29,0),MATCH(AJ$7,'18 KMP- Tháng'!$AF$2:$AQ$2,0))</f>
        <v>1011.863016</v>
      </c>
      <c r="AK12" s="189">
        <f>INDEX('18 KMP- Tháng'!$AF$6:$AQ$29,MATCH($A12,'18 KMP- Tháng'!$A$6:$A$29,0),MATCH(AK$7,'18 KMP- Tháng'!$AF$2:$AQ$2,0))</f>
        <v>1178.8014470000001</v>
      </c>
      <c r="AL12" s="189">
        <f>INDEX('18 KMP- Tháng'!$AF$6:$AQ$29,MATCH($A12,'18 KMP- Tháng'!$A$6:$A$29,0),MATCH(AL$7,'18 KMP- Tháng'!$AF$2:$AQ$2,0))</f>
        <v>1744.837137</v>
      </c>
      <c r="AM12" s="189">
        <f>INDEX('18 KMP- Tháng'!$AF$6:$AQ$29,MATCH($A12,'18 KMP- Tháng'!$A$6:$A$29,0),MATCH(AM$7,'18 KMP- Tháng'!$AF$2:$AQ$2,0))</f>
        <v>1262.250933</v>
      </c>
      <c r="AN12" s="189">
        <f>INDEX('18 KMP- Tháng'!$AF$6:$AQ$29,MATCH($A12,'18 KMP- Tháng'!$A$6:$A$29,0),MATCH(AN$7,'18 KMP- Tháng'!$AF$2:$AQ$2,0))</f>
        <v>2172.3496660000001</v>
      </c>
      <c r="AO12" s="189">
        <f>INDEX('18 KMP- Tháng'!$AF$6:$AQ$29,MATCH($A12,'18 KMP- Tháng'!$A$6:$A$29,0),MATCH(AO$7,'18 KMP- Tháng'!$AF$2:$AQ$2,0))</f>
        <v>1528.6454290000001</v>
      </c>
      <c r="AP12" s="344">
        <f>INDEX('18 KMP- Tháng'!$AF$6:$AQ$29,MATCH($A12,'18 KMP- Tháng'!$A$6:$A$29,0),MATCH(AP$7,'18 KMP- Tháng'!$AF$2:$AQ$2,0))</f>
        <v>1006.5126320000001</v>
      </c>
      <c r="AQ12" s="582">
        <f t="shared" si="11"/>
        <v>1373.5899504166666</v>
      </c>
      <c r="AR12" s="353">
        <f t="shared" si="12"/>
        <v>16483.079405</v>
      </c>
      <c r="AS12" s="353">
        <f>INDEX('18 KMP- Tháng'!$BH$6:$BS$29,MATCH($A12,'18 KMP- Tháng'!$A$6:$A$29,0),MATCH(AS$7,'18 KMP- Tháng'!$BH$2:$BS$2,0))</f>
        <v>725.33604409090913</v>
      </c>
      <c r="AT12" s="189">
        <f>INDEX('18 KMP- Tháng'!$BH$6:$BS$29,MATCH($A12,'18 KMP- Tháng'!$A$6:$A$29,0),MATCH(AT$7,'18 KMP- Tháng'!$BH$2:$BS$2,0))</f>
        <v>691.18604409090904</v>
      </c>
      <c r="AU12" s="189">
        <f>INDEX('18 KMP- Tháng'!$BH$6:$BS$29,MATCH($A12,'18 KMP- Tháng'!$A$6:$A$29,0),MATCH(AU$7,'18 KMP- Tháng'!$BH$2:$BS$2,0))</f>
        <v>720.33604409090913</v>
      </c>
      <c r="AV12" s="189">
        <f>INDEX('18 KMP- Tháng'!$BH$6:$BS$29,MATCH($A12,'18 KMP- Tháng'!$A$6:$A$29,0),MATCH(AV$7,'18 KMP- Tháng'!$BH$2:$BS$2,0))</f>
        <v>758.53184409090909</v>
      </c>
      <c r="AW12" s="189">
        <f>INDEX('18 KMP- Tháng'!$BH$6:$BS$29,MATCH($A12,'18 KMP- Tháng'!$A$6:$A$29,0),MATCH(AW$7,'18 KMP- Tháng'!$BH$2:$BS$2,0))</f>
        <v>751.38066909090912</v>
      </c>
      <c r="AX12" s="189">
        <f>INDEX('18 KMP- Tháng'!$BH$6:$BS$29,MATCH($A12,'18 KMP- Tháng'!$A$6:$A$29,0),MATCH(AX$7,'18 KMP- Tháng'!$BH$2:$BS$2,0))</f>
        <v>770.63066909090912</v>
      </c>
      <c r="AY12" s="189">
        <f>INDEX('18 KMP- Tháng'!$BH$6:$BS$29,MATCH($A12,'18 KMP- Tháng'!$A$6:$A$29,0),MATCH(AY$7,'18 KMP- Tháng'!$BH$2:$BS$2,0))</f>
        <v>756.38066909090912</v>
      </c>
      <c r="AZ12" s="189">
        <f>INDEX('18 KMP- Tháng'!$BH$6:$BS$29,MATCH($A12,'18 KMP- Tháng'!$A$6:$A$29,0),MATCH(AZ$7,'18 KMP- Tháng'!$BH$2:$BS$2,0))</f>
        <v>770.63066909090912</v>
      </c>
      <c r="BA12" s="189">
        <f>INDEX('18 KMP- Tháng'!$BH$6:$BS$29,MATCH($A12,'18 KMP- Tháng'!$A$6:$A$29,0),MATCH(BA$7,'18 KMP- Tháng'!$BH$2:$BS$2,0))</f>
        <v>751.38066909090912</v>
      </c>
      <c r="BB12" s="189">
        <f>INDEX('18 KMP- Tháng'!$BH$6:$BS$29,MATCH($A12,'18 KMP- Tháng'!$A$6:$A$29,0),MATCH(BB$7,'18 KMP- Tháng'!$BH$2:$BS$2,0))</f>
        <v>775.63066909090912</v>
      </c>
      <c r="BC12" s="189">
        <f>INDEX('18 KMP- Tháng'!$BH$6:$BS$29,MATCH($A12,'18 KMP- Tháng'!$A$6:$A$29,0),MATCH(BC$7,'18 KMP- Tháng'!$BH$2:$BS$2,0))</f>
        <v>753.34236909090919</v>
      </c>
      <c r="BD12" s="344">
        <f>INDEX('18 KMP- Tháng'!$BH$6:$BS$29,MATCH($A12,'18 KMP- Tháng'!$A$6:$A$29,0),MATCH(BD$7,'18 KMP- Tháng'!$BH$2:$BS$2,0))</f>
        <v>734.20356909090924</v>
      </c>
      <c r="BE12" s="362">
        <f t="shared" si="7"/>
        <v>746.58082742424256</v>
      </c>
      <c r="BF12" s="353">
        <f>INDEX('18 KMP- Tháng'!$AS$6:$BD$29,MATCH($A12,'18 KMP- Tháng'!$A$6:$A$29,0),MATCH(BF$7,'18 KMP- Tháng'!$AS$2:$BD$2,0))</f>
        <v>1629.3042500000001</v>
      </c>
      <c r="BG12" s="189">
        <f>INDEX('18 KMP- Tháng'!$AS$6:$BD$29,MATCH($A12,'18 KMP- Tháng'!$A$6:$A$29,0),MATCH(BG$7,'18 KMP- Tháng'!$AS$2:$BD$2,0))</f>
        <v>1183.2379470000001</v>
      </c>
      <c r="BH12" s="189">
        <f>INDEX('18 KMP- Tháng'!$AS$6:$BD$29,MATCH($A12,'18 KMP- Tháng'!$A$6:$A$29,0),MATCH(BH$7,'18 KMP- Tháng'!$AS$2:$BD$2,0))</f>
        <v>3159.3412949999997</v>
      </c>
      <c r="BI12" s="189">
        <f>INDEX('18 KMP- Tháng'!$AS$6:$BD$29,MATCH($A12,'18 KMP- Tháng'!$A$6:$A$29,0),MATCH(BI$7,'18 KMP- Tháng'!$AS$2:$BD$2,0))</f>
        <v>3019.3291749999999</v>
      </c>
      <c r="BJ12" s="189">
        <f>INDEX('18 KMP- Tháng'!$AS$6:$BD$29,MATCH($A12,'18 KMP- Tháng'!$A$6:$A$29,0),MATCH(BJ$7,'18 KMP- Tháng'!$AS$2:$BD$2,0))</f>
        <v>2769.8496880000002</v>
      </c>
      <c r="BK12" s="189">
        <f>INDEX('18 KMP- Tháng'!$AS$6:$BD$29,MATCH($A12,'18 KMP- Tháng'!$A$6:$A$29,0),MATCH(BK$7,'18 KMP- Tháng'!$AS$2:$BD$2,0))</f>
        <v>1755.757372</v>
      </c>
      <c r="BL12" s="189">
        <f>INDEX('18 KMP- Tháng'!$AS$6:$BD$29,MATCH($A12,'18 KMP- Tháng'!$A$6:$A$29,0),MATCH(BL$7,'18 KMP- Tháng'!$AS$2:$BD$2,0))</f>
        <v>0</v>
      </c>
      <c r="BM12" s="189">
        <f>INDEX('18 KMP- Tháng'!$AS$6:$BD$29,MATCH($A12,'18 KMP- Tháng'!$A$6:$A$29,0),MATCH(BM$7,'18 KMP- Tháng'!$AS$2:$BD$2,0))</f>
        <v>0</v>
      </c>
      <c r="BN12" s="189">
        <f>INDEX('18 KMP- Tháng'!$AS$6:$BD$29,MATCH($A12,'18 KMP- Tháng'!$A$6:$A$29,0),MATCH(BN$7,'18 KMP- Tháng'!$AS$2:$BD$2,0))</f>
        <v>0</v>
      </c>
      <c r="BO12" s="189">
        <f>INDEX('18 KMP- Tháng'!$AS$6:$BD$29,MATCH($A12,'18 KMP- Tháng'!$A$6:$A$29,0),MATCH(BO$7,'18 KMP- Tháng'!$AS$2:$BD$2,0))</f>
        <v>0</v>
      </c>
      <c r="BP12" s="189">
        <f>INDEX('18 KMP- Tháng'!$AS$6:$BD$29,MATCH($A12,'18 KMP- Tháng'!$A$6:$A$29,0),MATCH(BP$7,'18 KMP- Tháng'!$AS$2:$BD$2,0))</f>
        <v>0</v>
      </c>
      <c r="BQ12" s="344">
        <f>INDEX('18 KMP- Tháng'!$AS$6:$BD$29,MATCH($A12,'18 KMP- Tháng'!$A$6:$A$29,0),MATCH(BQ$7,'18 KMP- Tháng'!$AS$2:$BD$2,0))</f>
        <v>0</v>
      </c>
      <c r="BR12" s="582">
        <f t="shared" si="13"/>
        <v>2252.8032878333333</v>
      </c>
      <c r="BS12" s="353">
        <f t="shared" si="14"/>
        <v>13516.819727</v>
      </c>
      <c r="BT12" s="184">
        <f t="shared" si="8"/>
        <v>1.2783383044840617</v>
      </c>
      <c r="BU12" s="190">
        <f t="shared" si="9"/>
        <v>2.1052272289343192E-2</v>
      </c>
      <c r="BV12" s="990"/>
      <c r="BW12" s="990"/>
      <c r="BX12" s="990"/>
      <c r="BY12" s="991"/>
      <c r="BZ12" s="991"/>
      <c r="CA12" s="991"/>
      <c r="CB12" s="991"/>
      <c r="CC12" s="191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</row>
    <row r="13" spans="1:92" s="186" customFormat="1" x14ac:dyDescent="0.4">
      <c r="A13" s="174">
        <v>7</v>
      </c>
      <c r="B13" s="187">
        <f t="shared" si="15"/>
        <v>4</v>
      </c>
      <c r="C13" s="188" t="s">
        <v>96</v>
      </c>
      <c r="D13" s="188" t="s">
        <v>54</v>
      </c>
      <c r="E13" s="189">
        <f>INDEX('18 KMP- Tháng'!$E$6:$Q$29,MATCH($A13,'18 KMP- Tháng'!$A$6:$A$29,0),MATCH(E$7,'18 KMP- Tháng'!$E$2:$P$2,0))</f>
        <v>67.509566000000007</v>
      </c>
      <c r="F13" s="189">
        <f>INDEX('18 KMP- Tháng'!$E$6:$Q$29,MATCH($A13,'18 KMP- Tháng'!$A$6:$A$29,0),MATCH(F$7,'18 KMP- Tháng'!$E$2:$P$2,0))</f>
        <v>146.57459200000002</v>
      </c>
      <c r="G13" s="189">
        <f>INDEX('18 KMP- Tháng'!$E$6:$Q$29,MATCH($A13,'18 KMP- Tháng'!$A$6:$A$29,0),MATCH(G$7,'18 KMP- Tháng'!$E$2:$P$2,0))</f>
        <v>512.58851200000004</v>
      </c>
      <c r="H13" s="189">
        <f>INDEX('18 KMP- Tháng'!$E$6:$Q$29,MATCH($A13,'18 KMP- Tháng'!$A$6:$A$29,0),MATCH(H$7,'18 KMP- Tháng'!$E$2:$P$2,0))</f>
        <v>669.23911199999998</v>
      </c>
      <c r="I13" s="189">
        <f>INDEX('18 KMP- Tháng'!$E$6:$Q$29,MATCH($A13,'18 KMP- Tháng'!$A$6:$A$29,0),MATCH(I$7,'18 KMP- Tháng'!$E$2:$P$2,0))</f>
        <v>986.13165299999991</v>
      </c>
      <c r="J13" s="189">
        <f>INDEX('18 KMP- Tháng'!$E$6:$Q$29,MATCH($A13,'18 KMP- Tháng'!$A$6:$A$29,0),MATCH(J$7,'18 KMP- Tháng'!$E$2:$P$2,0))</f>
        <v>456.94687799999997</v>
      </c>
      <c r="K13" s="192">
        <f>INDEX('18 KMP- Tháng'!$E$6:$Q$29,MATCH($A13,'18 KMP- Tháng'!$A$6:$A$29,0),MATCH(K$7,'18 KMP- Tháng'!$E$2:$P$2,0))</f>
        <v>1054.6790510000001</v>
      </c>
      <c r="L13" s="189">
        <f>INDEX('18 KMP- Tháng'!$E$6:$Q$29,MATCH($A13,'18 KMP- Tháng'!$A$6:$A$29,0),MATCH(L$7,'18 KMP- Tháng'!$E$2:$P$2,0))</f>
        <v>1179.6289380000001</v>
      </c>
      <c r="M13" s="189">
        <f>INDEX('18 KMP- Tháng'!$E$6:$Q$29,MATCH($A13,'18 KMP- Tháng'!$A$6:$A$29,0),MATCH(M$7,'18 KMP- Tháng'!$E$2:$P$2,0))</f>
        <v>1152.5309690000001</v>
      </c>
      <c r="N13" s="189">
        <f>INDEX('18 KMP- Tháng'!$E$6:$Q$29,MATCH($A13,'18 KMP- Tháng'!$A$6:$A$29,0),MATCH(N$7,'18 KMP- Tháng'!$E$2:$P$2,0))</f>
        <v>1779.200458</v>
      </c>
      <c r="O13" s="189">
        <f>INDEX('18 KMP- Tháng'!$E$6:$Q$29,MATCH($A13,'18 KMP- Tháng'!$A$6:$A$29,0),MATCH(O$7,'18 KMP- Tháng'!$E$2:$P$2,0))</f>
        <v>1553.5872850000001</v>
      </c>
      <c r="P13" s="344">
        <f>INDEX('18 KMP- Tháng'!$E$6:$Q$29,MATCH($A13,'18 KMP- Tháng'!$A$6:$A$29,0),MATCH(P$7,'18 KMP- Tháng'!$E$2:$P$2,0))</f>
        <v>2043.1246169175902</v>
      </c>
      <c r="Q13" s="362">
        <f t="shared" si="6"/>
        <v>966.81180257646599</v>
      </c>
      <c r="R13" s="189">
        <f>INDEX('18 KMP- Tháng'!$R$6:$AC$24,MATCH($A13,'18 KMP- Tháng'!$A$6:$A$24,0),MATCH(R$7,'18 KMP- Tháng'!$R$2:$AC$2,0))</f>
        <v>1729.6174993199998</v>
      </c>
      <c r="S13" s="189">
        <f>INDEX('18 KMP- Tháng'!$R$6:$AC$24,MATCH($A13,'18 KMP- Tháng'!$A$6:$A$24,0),MATCH(S$7,'18 KMP- Tháng'!$R$2:$AC$2,0))</f>
        <v>1517.450685</v>
      </c>
      <c r="T13" s="189">
        <f>INDEX('18 KMP- Tháng'!$R$6:$AC$24,MATCH($A13,'18 KMP- Tháng'!$A$6:$A$24,0),MATCH(T$7,'18 KMP- Tháng'!$R$2:$AC$2,0))</f>
        <v>1767.7928019999999</v>
      </c>
      <c r="U13" s="189">
        <f>INDEX('18 KMP- Tháng'!$R$6:$AC$24,MATCH($A13,'18 KMP- Tháng'!$A$6:$A$24,0),MATCH(U$7,'18 KMP- Tháng'!$R$2:$AC$2,0))</f>
        <v>1045.8530069999999</v>
      </c>
      <c r="V13" s="189">
        <f>INDEX('18 KMP- Tháng'!$R$6:$AC$24,MATCH($A13,'18 KMP- Tháng'!$A$6:$A$24,0),MATCH(V$7,'18 KMP- Tháng'!$R$2:$AC$2,0))</f>
        <v>972.024225</v>
      </c>
      <c r="W13" s="189">
        <f>INDEX('18 KMP- Tháng'!$R$6:$AC$24,MATCH($A13,'18 KMP- Tháng'!$A$6:$A$24,0),MATCH(W$7,'18 KMP- Tháng'!$R$2:$AC$2,0))</f>
        <v>591.19552299999998</v>
      </c>
      <c r="X13" s="192">
        <f>INDEX('18 KMP- Tháng'!$R$6:$AC$24,MATCH($A13,'18 KMP- Tháng'!$A$6:$A$24,0),MATCH(X$7,'18 KMP- Tháng'!$R$2:$AC$2,0))</f>
        <v>1077.291879250055</v>
      </c>
      <c r="Y13" s="189">
        <f>INDEX('18 KMP- Tháng'!$R$6:$AC$24,MATCH($A13,'18 KMP- Tháng'!$A$6:$A$24,0),MATCH(Y$7,'18 KMP- Tháng'!$R$2:$AC$2,0))</f>
        <v>549.30051674994502</v>
      </c>
      <c r="Z13" s="189">
        <f>INDEX('18 KMP- Tháng'!$R$6:$AC$24,MATCH($A13,'18 KMP- Tháng'!$A$6:$A$24,0),MATCH(Z$7,'18 KMP- Tháng'!$R$2:$AC$2,0))</f>
        <v>1071.8952039999999</v>
      </c>
      <c r="AA13" s="189">
        <f>INDEX('18 KMP- Tháng'!$R$6:$AC$24,MATCH($A13,'18 KMP- Tháng'!$A$6:$A$24,0),MATCH(AA$7,'18 KMP- Tháng'!$R$2:$AC$2,0))</f>
        <v>1893.504713</v>
      </c>
      <c r="AB13" s="189">
        <f>INDEX('18 KMP- Tháng'!$R$6:$AC$24,MATCH($A13,'18 KMP- Tháng'!$A$6:$A$24,0),MATCH(AB$7,'18 KMP- Tháng'!$R$2:$AC$2,0))</f>
        <v>1720.675248</v>
      </c>
      <c r="AC13" s="344">
        <f>INDEX('18 KMP- Tháng'!$R$6:$AC$24,MATCH($A13,'18 KMP- Tháng'!$A$6:$A$24,0),MATCH(AC$7,'18 KMP- Tháng'!$R$2:$AC$2,0))</f>
        <v>321.65228200000001</v>
      </c>
      <c r="AD13" s="362">
        <f t="shared" si="10"/>
        <v>1188.1877986933332</v>
      </c>
      <c r="AE13" s="353">
        <f>INDEX('18 KMP- Tháng'!$AF$6:$AQ$29,MATCH($A13,'18 KMP- Tháng'!$A$6:$A$29,0),MATCH(AE$7,'18 KMP- Tháng'!$AF$2:$AQ$2,0))</f>
        <v>333.00160199999999</v>
      </c>
      <c r="AF13" s="189">
        <f>INDEX('18 KMP- Tháng'!$AF$6:$AQ$29,MATCH($A13,'18 KMP- Tháng'!$A$6:$A$29,0),MATCH(AF$7,'18 KMP- Tháng'!$AF$2:$AQ$2,0))</f>
        <v>880.94690900000001</v>
      </c>
      <c r="AG13" s="189">
        <f>INDEX('18 KMP- Tháng'!$AF$6:$AQ$29,MATCH($A13,'18 KMP- Tháng'!$A$6:$A$29,0),MATCH(AG$7,'18 KMP- Tháng'!$AF$2:$AQ$2,0))</f>
        <v>1570.44211</v>
      </c>
      <c r="AH13" s="189">
        <f>INDEX('18 KMP- Tháng'!$AF$6:$AQ$29,MATCH($A13,'18 KMP- Tháng'!$A$6:$A$29,0),MATCH(AH$7,'18 KMP- Tháng'!$AF$2:$AQ$2,0))</f>
        <v>1637.622398</v>
      </c>
      <c r="AI13" s="189">
        <f>INDEX('18 KMP- Tháng'!$AF$6:$AQ$29,MATCH($A13,'18 KMP- Tháng'!$A$6:$A$29,0),MATCH(AI$7,'18 KMP- Tháng'!$AF$2:$AQ$2,0))</f>
        <v>1960.972215</v>
      </c>
      <c r="AJ13" s="189">
        <f>INDEX('18 KMP- Tháng'!$AF$6:$AQ$29,MATCH($A13,'18 KMP- Tháng'!$A$6:$A$29,0),MATCH(AJ$7,'18 KMP- Tháng'!$AF$2:$AQ$2,0))</f>
        <v>1965.8736960000001</v>
      </c>
      <c r="AK13" s="189">
        <f>INDEX('18 KMP- Tháng'!$AF$6:$AQ$29,MATCH($A13,'18 KMP- Tháng'!$A$6:$A$29,0),MATCH(AK$7,'18 KMP- Tháng'!$AF$2:$AQ$2,0))</f>
        <v>2547.1120740000001</v>
      </c>
      <c r="AL13" s="189">
        <f>INDEX('18 KMP- Tháng'!$AF$6:$AQ$29,MATCH($A13,'18 KMP- Tháng'!$A$6:$A$29,0),MATCH(AL$7,'18 KMP- Tháng'!$AF$2:$AQ$2,0))</f>
        <v>2288.513414</v>
      </c>
      <c r="AM13" s="189">
        <f>INDEX('18 KMP- Tháng'!$AF$6:$AQ$29,MATCH($A13,'18 KMP- Tháng'!$A$6:$A$29,0),MATCH(AM$7,'18 KMP- Tháng'!$AF$2:$AQ$2,0))</f>
        <v>1962.463364</v>
      </c>
      <c r="AN13" s="189">
        <f>INDEX('18 KMP- Tháng'!$AF$6:$AQ$29,MATCH($A13,'18 KMP- Tháng'!$A$6:$A$29,0),MATCH(AN$7,'18 KMP- Tháng'!$AF$2:$AQ$2,0))</f>
        <v>621.36740599999996</v>
      </c>
      <c r="AO13" s="189">
        <f>INDEX('18 KMP- Tháng'!$AF$6:$AQ$29,MATCH($A13,'18 KMP- Tháng'!$A$6:$A$29,0),MATCH(AO$7,'18 KMP- Tháng'!$AF$2:$AQ$2,0))</f>
        <v>578.64556600000003</v>
      </c>
      <c r="AP13" s="344">
        <f>INDEX('18 KMP- Tháng'!$AF$6:$AQ$29,MATCH($A13,'18 KMP- Tháng'!$A$6:$A$29,0),MATCH(AP$7,'18 KMP- Tháng'!$AF$2:$AQ$2,0))</f>
        <v>1143.2730710000001</v>
      </c>
      <c r="AQ13" s="582">
        <f t="shared" si="11"/>
        <v>1457.5194854166666</v>
      </c>
      <c r="AR13" s="353">
        <f t="shared" si="12"/>
        <v>17490.233824999999</v>
      </c>
      <c r="AS13" s="353">
        <f>INDEX('18 KMP- Tháng'!$BH$6:$BS$29,MATCH($A13,'18 KMP- Tháng'!$A$6:$A$29,0),MATCH(AS$7,'18 KMP- Tháng'!$BH$2:$BS$2,0))</f>
        <v>1261.1159216334902</v>
      </c>
      <c r="AT13" s="189">
        <f>INDEX('18 KMP- Tháng'!$BH$6:$BS$29,MATCH($A13,'18 KMP- Tháng'!$A$6:$A$29,0),MATCH(AT$7,'18 KMP- Tháng'!$BH$2:$BS$2,0))</f>
        <v>1061.7856150241835</v>
      </c>
      <c r="AU13" s="189">
        <f>INDEX('18 KMP- Tháng'!$BH$6:$BS$29,MATCH($A13,'18 KMP- Tháng'!$A$6:$A$29,0),MATCH(AU$7,'18 KMP- Tháng'!$BH$2:$BS$2,0))</f>
        <v>1335.6927381118819</v>
      </c>
      <c r="AV13" s="189">
        <f>INDEX('18 KMP- Tháng'!$BH$6:$BS$29,MATCH($A13,'18 KMP- Tháng'!$A$6:$A$29,0),MATCH(AV$7,'18 KMP- Tháng'!$BH$2:$BS$2,0))</f>
        <v>1335.6927381118819</v>
      </c>
      <c r="AW13" s="189">
        <f>INDEX('18 KMP- Tháng'!$BH$6:$BS$29,MATCH($A13,'18 KMP- Tháng'!$A$6:$A$29,0),MATCH(AW$7,'18 KMP- Tháng'!$BH$2:$BS$2,0))</f>
        <v>1335.6927381118819</v>
      </c>
      <c r="AX13" s="189">
        <f>INDEX('18 KMP- Tháng'!$BH$6:$BS$29,MATCH($A13,'18 KMP- Tháng'!$A$6:$A$29,0),MATCH(AX$7,'18 KMP- Tháng'!$BH$2:$BS$2,0))</f>
        <v>1367.5559174597081</v>
      </c>
      <c r="AY13" s="189">
        <f>INDEX('18 KMP- Tháng'!$BH$6:$BS$29,MATCH($A13,'18 KMP- Tháng'!$A$6:$A$29,0),MATCH(AY$7,'18 KMP- Tháng'!$BH$2:$BS$2,0))</f>
        <v>1380.1000858728389</v>
      </c>
      <c r="AZ13" s="189">
        <f>INDEX('18 KMP- Tháng'!$BH$6:$BS$29,MATCH($A13,'18 KMP- Tháng'!$A$6:$A$29,0),MATCH(AZ$7,'18 KMP- Tháng'!$BH$2:$BS$2,0))</f>
        <v>1411.9632652206651</v>
      </c>
      <c r="BA13" s="189">
        <f>INDEX('18 KMP- Tháng'!$BH$6:$BS$29,MATCH($A13,'18 KMP- Tháng'!$A$6:$A$29,0),MATCH(BA$7,'18 KMP- Tháng'!$BH$2:$BS$2,0))</f>
        <v>1380.1000858728389</v>
      </c>
      <c r="BB13" s="189">
        <f>INDEX('18 KMP- Tháng'!$BH$6:$BS$29,MATCH($A13,'18 KMP- Tháng'!$A$6:$A$29,0),MATCH(BB$7,'18 KMP- Tháng'!$BH$2:$BS$2,0))</f>
        <v>1411.9632652206651</v>
      </c>
      <c r="BC13" s="189">
        <f>INDEX('18 KMP- Tháng'!$BH$6:$BS$29,MATCH($A13,'18 KMP- Tháng'!$A$6:$A$29,0),MATCH(BC$7,'18 KMP- Tháng'!$BH$2:$BS$2,0))</f>
        <v>1380.1000858728389</v>
      </c>
      <c r="BD13" s="344">
        <f>INDEX('18 KMP- Tháng'!$BH$6:$BS$29,MATCH($A13,'18 KMP- Tháng'!$A$6:$A$29,0),MATCH(BD$7,'18 KMP- Tháng'!$BH$2:$BS$2,0))</f>
        <v>1411.9632652206651</v>
      </c>
      <c r="BE13" s="362">
        <f t="shared" si="7"/>
        <v>1339.4771434777952</v>
      </c>
      <c r="BF13" s="353">
        <f>INDEX('18 KMP- Tháng'!$AS$6:$BD$29,MATCH($A13,'18 KMP- Tháng'!$A$6:$A$29,0),MATCH(BF$7,'18 KMP- Tháng'!$AS$2:$BD$2,0))</f>
        <v>891.17733899999996</v>
      </c>
      <c r="BG13" s="189">
        <f>INDEX('18 KMP- Tháng'!$AS$6:$BD$29,MATCH($A13,'18 KMP- Tháng'!$A$6:$A$29,0),MATCH(BG$7,'18 KMP- Tháng'!$AS$2:$BD$2,0))</f>
        <v>288.56129600000003</v>
      </c>
      <c r="BH13" s="189">
        <f>INDEX('18 KMP- Tháng'!$AS$6:$BD$29,MATCH($A13,'18 KMP- Tháng'!$A$6:$A$29,0),MATCH(BH$7,'18 KMP- Tháng'!$AS$2:$BD$2,0))</f>
        <v>1763.335605</v>
      </c>
      <c r="BI13" s="189">
        <f>INDEX('18 KMP- Tháng'!$AS$6:$BD$29,MATCH($A13,'18 KMP- Tháng'!$A$6:$A$29,0),MATCH(BI$7,'18 KMP- Tháng'!$AS$2:$BD$2,0))</f>
        <v>1386.5963529999999</v>
      </c>
      <c r="BJ13" s="189">
        <f>INDEX('18 KMP- Tháng'!$AS$6:$BD$29,MATCH($A13,'18 KMP- Tháng'!$A$6:$A$29,0),MATCH(BJ$7,'18 KMP- Tháng'!$AS$2:$BD$2,0))</f>
        <v>1815.041453</v>
      </c>
      <c r="BK13" s="189">
        <f>INDEX('18 KMP- Tháng'!$AS$6:$BD$29,MATCH($A13,'18 KMP- Tháng'!$A$6:$A$29,0),MATCH(BK$7,'18 KMP- Tháng'!$AS$2:$BD$2,0))</f>
        <v>1711.9735989999999</v>
      </c>
      <c r="BL13" s="189">
        <f>INDEX('18 KMP- Tháng'!$AS$6:$BD$29,MATCH($A13,'18 KMP- Tháng'!$A$6:$A$29,0),MATCH(BL$7,'18 KMP- Tháng'!$AS$2:$BD$2,0))</f>
        <v>0</v>
      </c>
      <c r="BM13" s="189">
        <f>INDEX('18 KMP- Tháng'!$AS$6:$BD$29,MATCH($A13,'18 KMP- Tháng'!$A$6:$A$29,0),MATCH(BM$7,'18 KMP- Tháng'!$AS$2:$BD$2,0))</f>
        <v>0</v>
      </c>
      <c r="BN13" s="189">
        <f>INDEX('18 KMP- Tháng'!$AS$6:$BD$29,MATCH($A13,'18 KMP- Tháng'!$A$6:$A$29,0),MATCH(BN$7,'18 KMP- Tháng'!$AS$2:$BD$2,0))</f>
        <v>0</v>
      </c>
      <c r="BO13" s="189">
        <f>INDEX('18 KMP- Tháng'!$AS$6:$BD$29,MATCH($A13,'18 KMP- Tháng'!$A$6:$A$29,0),MATCH(BO$7,'18 KMP- Tháng'!$AS$2:$BD$2,0))</f>
        <v>0</v>
      </c>
      <c r="BP13" s="189">
        <f>INDEX('18 KMP- Tháng'!$AS$6:$BD$29,MATCH($A13,'18 KMP- Tháng'!$A$6:$A$29,0),MATCH(BP$7,'18 KMP- Tháng'!$AS$2:$BD$2,0))</f>
        <v>0</v>
      </c>
      <c r="BQ13" s="344">
        <f>INDEX('18 KMP- Tháng'!$AS$6:$BD$29,MATCH($A13,'18 KMP- Tháng'!$A$6:$A$29,0),MATCH(BQ$7,'18 KMP- Tháng'!$AS$2:$BD$2,0))</f>
        <v>0</v>
      </c>
      <c r="BR13" s="582">
        <f>SUM(BF13:BQ13)/COUNTIFS($BF$29:$BQ$29,"&lt;&gt;"&amp;0)</f>
        <v>1309.4476075</v>
      </c>
      <c r="BS13" s="353">
        <f t="shared" si="14"/>
        <v>7856.6856449999996</v>
      </c>
      <c r="BT13" s="184">
        <f t="shared" si="8"/>
        <v>0.25184906674972529</v>
      </c>
      <c r="BU13" s="190">
        <f t="shared" si="9"/>
        <v>1.2236686501035697E-2</v>
      </c>
      <c r="BV13" s="983"/>
      <c r="BW13" s="983"/>
      <c r="BX13" s="983"/>
      <c r="BY13" s="983"/>
      <c r="BZ13" s="983"/>
      <c r="CA13" s="983"/>
      <c r="CB13" s="983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</row>
    <row r="14" spans="1:92" s="186" customFormat="1" ht="16.399999999999999" customHeight="1" x14ac:dyDescent="0.4">
      <c r="A14" s="174">
        <v>8</v>
      </c>
      <c r="B14" s="187">
        <f t="shared" si="15"/>
        <v>5</v>
      </c>
      <c r="C14" s="188" t="s">
        <v>96</v>
      </c>
      <c r="D14" s="188" t="s">
        <v>49</v>
      </c>
      <c r="E14" s="189">
        <f>INDEX('18 KMP- Tháng'!$E$6:$Q$29,MATCH($A14,'18 KMP- Tháng'!$A$6:$A$29,0),MATCH(E$7,'18 KMP- Tháng'!$E$2:$P$2,0))</f>
        <v>506.18997171428572</v>
      </c>
      <c r="F14" s="189">
        <f>INDEX('18 KMP- Tháng'!$E$6:$Q$29,MATCH($A14,'18 KMP- Tháng'!$A$6:$A$29,0),MATCH(F$7,'18 KMP- Tháng'!$E$2:$P$2,0))</f>
        <v>672.82795971428573</v>
      </c>
      <c r="G14" s="189">
        <f>INDEX('18 KMP- Tháng'!$E$6:$Q$29,MATCH($A14,'18 KMP- Tháng'!$A$6:$A$29,0),MATCH(G$7,'18 KMP- Tháng'!$E$2:$P$2,0))</f>
        <v>560.09279471428579</v>
      </c>
      <c r="H14" s="189">
        <f>INDEX('18 KMP- Tháng'!$E$6:$Q$29,MATCH($A14,'18 KMP- Tháng'!$A$6:$A$29,0),MATCH(H$7,'18 KMP- Tháng'!$E$2:$P$2,0))</f>
        <v>560.44612071428571</v>
      </c>
      <c r="I14" s="189">
        <f>INDEX('18 KMP- Tháng'!$E$6:$Q$29,MATCH($A14,'18 KMP- Tháng'!$A$6:$A$29,0),MATCH(I$7,'18 KMP- Tháng'!$E$2:$P$2,0))</f>
        <v>799.14080971428575</v>
      </c>
      <c r="J14" s="189">
        <f>INDEX('18 KMP- Tháng'!$E$6:$Q$29,MATCH($A14,'18 KMP- Tháng'!$A$6:$A$29,0),MATCH(J$7,'18 KMP- Tháng'!$E$2:$P$2,0))</f>
        <v>873.28510571428558</v>
      </c>
      <c r="K14" s="189">
        <f>INDEX('18 KMP- Tháng'!$E$6:$Q$29,MATCH($A14,'18 KMP- Tháng'!$A$6:$A$29,0),MATCH(K$7,'18 KMP- Tháng'!$E$2:$P$2,0))</f>
        <v>761.8325617142857</v>
      </c>
      <c r="L14" s="189">
        <f>INDEX('18 KMP- Tháng'!$E$6:$Q$29,MATCH($A14,'18 KMP- Tháng'!$A$6:$A$29,0),MATCH(L$7,'18 KMP- Tháng'!$E$2:$P$2,0))</f>
        <v>645.47633700000006</v>
      </c>
      <c r="M14" s="189">
        <f>INDEX('18 KMP- Tháng'!$E$6:$Q$29,MATCH($A14,'18 KMP- Tháng'!$A$6:$A$29,0),MATCH(M$7,'18 KMP- Tháng'!$E$2:$P$2,0))</f>
        <v>350.176649</v>
      </c>
      <c r="N14" s="189">
        <f>INDEX('18 KMP- Tháng'!$E$6:$Q$29,MATCH($A14,'18 KMP- Tháng'!$A$6:$A$29,0),MATCH(N$7,'18 KMP- Tháng'!$E$2:$P$2,0))</f>
        <v>630.18526300000008</v>
      </c>
      <c r="O14" s="189">
        <f>INDEX('18 KMP- Tháng'!$E$6:$Q$29,MATCH($A14,'18 KMP- Tháng'!$A$6:$A$29,0),MATCH(O$7,'18 KMP- Tháng'!$E$2:$P$2,0))</f>
        <v>343.90646400000003</v>
      </c>
      <c r="P14" s="344">
        <f>INDEX('18 KMP- Tháng'!$E$6:$Q$29,MATCH($A14,'18 KMP- Tháng'!$A$6:$A$29,0),MATCH(P$7,'18 KMP- Tháng'!$E$2:$P$2,0))</f>
        <v>659.73066800000004</v>
      </c>
      <c r="Q14" s="362">
        <f t="shared" si="6"/>
        <v>613.60755875000007</v>
      </c>
      <c r="R14" s="189">
        <f>INDEX('18 KMP- Tháng'!$R$6:$AC$24,MATCH($A14,'18 KMP- Tháng'!$A$6:$A$24,0),MATCH(R$7,'18 KMP- Tháng'!$R$2:$AC$2,0))</f>
        <v>1049.5836839999999</v>
      </c>
      <c r="S14" s="189">
        <f>INDEX('18 KMP- Tháng'!$R$6:$AC$24,MATCH($A14,'18 KMP- Tháng'!$A$6:$A$24,0),MATCH(S$7,'18 KMP- Tháng'!$R$2:$AC$2,0))</f>
        <v>509.616218</v>
      </c>
      <c r="T14" s="189">
        <f>INDEX('18 KMP- Tháng'!$R$6:$AC$24,MATCH($A14,'18 KMP- Tháng'!$A$6:$A$24,0),MATCH(T$7,'18 KMP- Tháng'!$R$2:$AC$2,0))</f>
        <v>853.83649100000014</v>
      </c>
      <c r="U14" s="189">
        <f>INDEX('18 KMP- Tháng'!$R$6:$AC$24,MATCH($A14,'18 KMP- Tháng'!$A$6:$A$24,0),MATCH(U$7,'18 KMP- Tháng'!$R$2:$AC$2,0))</f>
        <v>1335.8144870000001</v>
      </c>
      <c r="V14" s="189">
        <f>INDEX('18 KMP- Tháng'!$R$6:$AC$24,MATCH($A14,'18 KMP- Tháng'!$A$6:$A$24,0),MATCH(V$7,'18 KMP- Tháng'!$R$2:$AC$2,0))</f>
        <v>966.32636600000001</v>
      </c>
      <c r="W14" s="189">
        <f>INDEX('18 KMP- Tháng'!$R$6:$AC$24,MATCH($A14,'18 KMP- Tháng'!$A$6:$A$24,0),MATCH(W$7,'18 KMP- Tháng'!$R$2:$AC$2,0))</f>
        <v>912.85520700000006</v>
      </c>
      <c r="X14" s="189">
        <f>INDEX('18 KMP- Tháng'!$R$6:$AC$24,MATCH($A14,'18 KMP- Tháng'!$A$6:$A$24,0),MATCH(X$7,'18 KMP- Tháng'!$R$2:$AC$2,0))</f>
        <v>520.75816499999996</v>
      </c>
      <c r="Y14" s="189">
        <f>INDEX('18 KMP- Tháng'!$R$6:$AC$24,MATCH($A14,'18 KMP- Tháng'!$A$6:$A$24,0),MATCH(Y$7,'18 KMP- Tháng'!$R$2:$AC$2,0))</f>
        <v>564.89229</v>
      </c>
      <c r="Z14" s="189">
        <f>INDEX('18 KMP- Tháng'!$R$6:$AC$24,MATCH($A14,'18 KMP- Tháng'!$A$6:$A$24,0),MATCH(Z$7,'18 KMP- Tháng'!$R$2:$AC$2,0))</f>
        <v>595.12693999999999</v>
      </c>
      <c r="AA14" s="189">
        <f>INDEX('18 KMP- Tháng'!$R$6:$AC$24,MATCH($A14,'18 KMP- Tháng'!$A$6:$A$24,0),MATCH(AA$7,'18 KMP- Tháng'!$R$2:$AC$2,0))</f>
        <v>617.46688100000006</v>
      </c>
      <c r="AB14" s="189">
        <f>INDEX('18 KMP- Tháng'!$R$6:$AC$24,MATCH($A14,'18 KMP- Tháng'!$A$6:$A$24,0),MATCH(AB$7,'18 KMP- Tháng'!$R$2:$AC$2,0))</f>
        <v>391.55066700000009</v>
      </c>
      <c r="AC14" s="344">
        <f>INDEX('18 KMP- Tháng'!$R$6:$AC$24,MATCH($A14,'18 KMP- Tháng'!$A$6:$A$24,0),MATCH(AC$7,'18 KMP- Tháng'!$R$2:$AC$2,0))</f>
        <v>712.96486799999991</v>
      </c>
      <c r="AD14" s="362">
        <f t="shared" si="10"/>
        <v>752.56602199999998</v>
      </c>
      <c r="AE14" s="353">
        <f>INDEX('18 KMP- Tháng'!$AF$6:$AQ$29,MATCH($A14,'18 KMP- Tháng'!$A$6:$A$29,0),MATCH(AE$7,'18 KMP- Tháng'!$AF$2:$AQ$2,0))</f>
        <v>651.92658599999993</v>
      </c>
      <c r="AF14" s="189">
        <f>INDEX('18 KMP- Tháng'!$AF$6:$AQ$29,MATCH($A14,'18 KMP- Tháng'!$A$6:$A$29,0),MATCH(AF$7,'18 KMP- Tháng'!$AF$2:$AQ$2,0))</f>
        <v>650.03934099999992</v>
      </c>
      <c r="AG14" s="189">
        <f>INDEX('18 KMP- Tháng'!$AF$6:$AQ$29,MATCH($A14,'18 KMP- Tháng'!$A$6:$A$29,0),MATCH(AG$7,'18 KMP- Tháng'!$AF$2:$AQ$2,0))</f>
        <v>690.69229599999994</v>
      </c>
      <c r="AH14" s="189">
        <f>INDEX('18 KMP- Tháng'!$AF$6:$AQ$29,MATCH($A14,'18 KMP- Tháng'!$A$6:$A$29,0),MATCH(AH$7,'18 KMP- Tháng'!$AF$2:$AQ$2,0))</f>
        <v>1001.1216220000001</v>
      </c>
      <c r="AI14" s="189">
        <f>INDEX('18 KMP- Tháng'!$AF$6:$AQ$29,MATCH($A14,'18 KMP- Tháng'!$A$6:$A$29,0),MATCH(AI$7,'18 KMP- Tháng'!$AF$2:$AQ$2,0))</f>
        <v>741.13178800000003</v>
      </c>
      <c r="AJ14" s="189">
        <f>INDEX('18 KMP- Tháng'!$AF$6:$AQ$29,MATCH($A14,'18 KMP- Tháng'!$A$6:$A$29,0),MATCH(AJ$7,'18 KMP- Tháng'!$AF$2:$AQ$2,0))</f>
        <v>729.99674899999991</v>
      </c>
      <c r="AK14" s="189">
        <f>INDEX('18 KMP- Tháng'!$AF$6:$AQ$29,MATCH($A14,'18 KMP- Tháng'!$A$6:$A$29,0),MATCH(AK$7,'18 KMP- Tháng'!$AF$2:$AQ$2,0))</f>
        <v>740.56924600000002</v>
      </c>
      <c r="AL14" s="189">
        <f>INDEX('18 KMP- Tháng'!$AF$6:$AQ$29,MATCH($A14,'18 KMP- Tháng'!$A$6:$A$29,0),MATCH(AL$7,'18 KMP- Tháng'!$AF$2:$AQ$2,0))</f>
        <v>843.21874899999989</v>
      </c>
      <c r="AM14" s="189">
        <f>INDEX('18 KMP- Tháng'!$AF$6:$AQ$29,MATCH($A14,'18 KMP- Tháng'!$A$6:$A$29,0),MATCH(AM$7,'18 KMP- Tháng'!$AF$2:$AQ$2,0))</f>
        <v>835.662372</v>
      </c>
      <c r="AN14" s="189">
        <f>INDEX('18 KMP- Tháng'!$AF$6:$AQ$29,MATCH($A14,'18 KMP- Tháng'!$A$6:$A$29,0),MATCH(AN$7,'18 KMP- Tháng'!$AF$2:$AQ$2,0))</f>
        <v>583.21540899999991</v>
      </c>
      <c r="AO14" s="189">
        <f>INDEX('18 KMP- Tháng'!$AF$6:$AQ$29,MATCH($A14,'18 KMP- Tháng'!$A$6:$A$29,0),MATCH(AO$7,'18 KMP- Tháng'!$AF$2:$AQ$2,0))</f>
        <v>697.80455400000005</v>
      </c>
      <c r="AP14" s="344">
        <f>INDEX('18 KMP- Tháng'!$AF$6:$AQ$29,MATCH($A14,'18 KMP- Tháng'!$A$6:$A$29,0),MATCH(AP$7,'18 KMP- Tháng'!$AF$2:$AQ$2,0))</f>
        <v>701.65235099999995</v>
      </c>
      <c r="AQ14" s="582">
        <f t="shared" si="11"/>
        <v>738.91925524999999</v>
      </c>
      <c r="AR14" s="353">
        <f t="shared" si="12"/>
        <v>8867.0310630000004</v>
      </c>
      <c r="AS14" s="353">
        <f>INDEX('18 KMP- Tháng'!$BH$6:$BS$29,MATCH($A14,'18 KMP- Tháng'!$A$6:$A$29,0),MATCH(AS$7,'18 KMP- Tháng'!$BH$2:$BS$2,0))</f>
        <v>853.34915904919683</v>
      </c>
      <c r="AT14" s="189">
        <f>INDEX('18 KMP- Tháng'!$BH$6:$BS$29,MATCH($A14,'18 KMP- Tháng'!$A$6:$A$29,0),MATCH(AT$7,'18 KMP- Tháng'!$BH$2:$BS$2,0))</f>
        <v>844.22219137886339</v>
      </c>
      <c r="AU14" s="189">
        <f>INDEX('18 KMP- Tháng'!$BH$6:$BS$29,MATCH($A14,'18 KMP- Tháng'!$A$6:$A$29,0),MATCH(AU$7,'18 KMP- Tháng'!$BH$2:$BS$2,0))</f>
        <v>912.84713600910391</v>
      </c>
      <c r="AV14" s="189">
        <f>INDEX('18 KMP- Tháng'!$BH$6:$BS$29,MATCH($A14,'18 KMP- Tháng'!$A$6:$A$29,0),MATCH(AV$7,'18 KMP- Tháng'!$BH$2:$BS$2,0))</f>
        <v>908.12146033958811</v>
      </c>
      <c r="AW14" s="189">
        <f>INDEX('18 KMP- Tháng'!$BH$6:$BS$29,MATCH($A14,'18 KMP- Tháng'!$A$6:$A$29,0),MATCH(AW$7,'18 KMP- Tháng'!$BH$2:$BS$2,0))</f>
        <v>892.47321115844761</v>
      </c>
      <c r="AX14" s="189">
        <f>INDEX('18 KMP- Tháng'!$BH$6:$BS$29,MATCH($A14,'18 KMP- Tháng'!$A$6:$A$29,0),MATCH(AX$7,'18 KMP- Tháng'!$BH$2:$BS$2,0))</f>
        <v>920.52322520138603</v>
      </c>
      <c r="AY14" s="189">
        <f>INDEX('18 KMP- Tháng'!$BH$6:$BS$29,MATCH($A14,'18 KMP- Tháng'!$A$6:$A$29,0),MATCH(AY$7,'18 KMP- Tháng'!$BH$2:$BS$2,0))</f>
        <v>907.35152134407076</v>
      </c>
      <c r="AZ14" s="189">
        <f>INDEX('18 KMP- Tháng'!$BH$6:$BS$29,MATCH($A14,'18 KMP- Tháng'!$A$6:$A$29,0),MATCH(AZ$7,'18 KMP- Tháng'!$BH$2:$BS$2,0))</f>
        <v>886.29096087982316</v>
      </c>
      <c r="BA14" s="189">
        <f>INDEX('18 KMP- Tháng'!$BH$6:$BS$29,MATCH($A14,'18 KMP- Tháng'!$A$6:$A$29,0),MATCH(BA$7,'18 KMP- Tháng'!$BH$2:$BS$2,0))</f>
        <v>909.78949122726772</v>
      </c>
      <c r="BB14" s="189">
        <f>INDEX('18 KMP- Tháng'!$BH$6:$BS$29,MATCH($A14,'18 KMP- Tháng'!$A$6:$A$29,0),MATCH(BB$7,'18 KMP- Tháng'!$BH$2:$BS$2,0))</f>
        <v>932.98912161133831</v>
      </c>
      <c r="BC14" s="189">
        <f>INDEX('18 KMP- Tháng'!$BH$6:$BS$29,MATCH($A14,'18 KMP- Tháng'!$A$6:$A$29,0),MATCH(BC$7,'18 KMP- Tháng'!$BH$2:$BS$2,0))</f>
        <v>902.5899625090899</v>
      </c>
      <c r="BD14" s="344">
        <f>INDEX('18 KMP- Tháng'!$BH$6:$BS$29,MATCH($A14,'18 KMP- Tháng'!$A$6:$A$29,0),MATCH(BD$7,'18 KMP- Tháng'!$BH$2:$BS$2,0))</f>
        <v>884.72621214597655</v>
      </c>
      <c r="BE14" s="362">
        <f t="shared" si="7"/>
        <v>896.27280440451261</v>
      </c>
      <c r="BF14" s="353">
        <f>INDEX('18 KMP- Tháng'!$AS$6:$BD$29,MATCH($A14,'18 KMP- Tháng'!$A$6:$A$29,0),MATCH(BF$7,'18 KMP- Tháng'!$AS$2:$BD$2,0))</f>
        <v>723.64311799999996</v>
      </c>
      <c r="BG14" s="189">
        <f>INDEX('18 KMP- Tháng'!$AS$6:$BD$29,MATCH($A14,'18 KMP- Tháng'!$A$6:$A$29,0),MATCH(BG$7,'18 KMP- Tháng'!$AS$2:$BD$2,0))</f>
        <v>385.26513599999998</v>
      </c>
      <c r="BH14" s="189">
        <f>INDEX('18 KMP- Tháng'!$AS$6:$BD$29,MATCH($A14,'18 KMP- Tháng'!$A$6:$A$29,0),MATCH(BH$7,'18 KMP- Tháng'!$AS$2:$BD$2,0))</f>
        <v>813.85053300000015</v>
      </c>
      <c r="BI14" s="189">
        <f>INDEX('18 KMP- Tháng'!$AS$6:$BD$29,MATCH($A14,'18 KMP- Tháng'!$A$6:$A$29,0),MATCH(BI$7,'18 KMP- Tháng'!$AS$2:$BD$2,0))</f>
        <v>873.70922099999984</v>
      </c>
      <c r="BJ14" s="189">
        <f>INDEX('18 KMP- Tháng'!$AS$6:$BD$29,MATCH($A14,'18 KMP- Tháng'!$A$6:$A$29,0),MATCH(BJ$7,'18 KMP- Tháng'!$AS$2:$BD$2,0))</f>
        <v>685.02571699999999</v>
      </c>
      <c r="BK14" s="189">
        <f>INDEX('18 KMP- Tháng'!$AS$6:$BD$29,MATCH($A14,'18 KMP- Tháng'!$A$6:$A$29,0),MATCH(BK$7,'18 KMP- Tháng'!$AS$2:$BD$2,0))</f>
        <v>814.67121800000007</v>
      </c>
      <c r="BL14" s="189">
        <f>INDEX('18 KMP- Tháng'!$AS$6:$BD$29,MATCH($A14,'18 KMP- Tháng'!$A$6:$A$29,0),MATCH(BL$7,'18 KMP- Tháng'!$AS$2:$BD$2,0))</f>
        <v>0</v>
      </c>
      <c r="BM14" s="189">
        <f>INDEX('18 KMP- Tháng'!$AS$6:$BD$29,MATCH($A14,'18 KMP- Tháng'!$A$6:$A$29,0),MATCH(BM$7,'18 KMP- Tháng'!$AS$2:$BD$2,0))</f>
        <v>0</v>
      </c>
      <c r="BN14" s="189">
        <f>INDEX('18 KMP- Tháng'!$AS$6:$BD$29,MATCH($A14,'18 KMP- Tháng'!$A$6:$A$29,0),MATCH(BN$7,'18 KMP- Tháng'!$AS$2:$BD$2,0))</f>
        <v>0</v>
      </c>
      <c r="BO14" s="189">
        <f>INDEX('18 KMP- Tháng'!$AS$6:$BD$29,MATCH($A14,'18 KMP- Tháng'!$A$6:$A$29,0),MATCH(BO$7,'18 KMP- Tháng'!$AS$2:$BD$2,0))</f>
        <v>0</v>
      </c>
      <c r="BP14" s="189">
        <f>INDEX('18 KMP- Tháng'!$AS$6:$BD$29,MATCH($A14,'18 KMP- Tháng'!$A$6:$A$29,0),MATCH(BP$7,'18 KMP- Tháng'!$AS$2:$BD$2,0))</f>
        <v>0</v>
      </c>
      <c r="BQ14" s="344">
        <f>INDEX('18 KMP- Tháng'!$AS$6:$BD$29,MATCH($A14,'18 KMP- Tháng'!$A$6:$A$29,0),MATCH(BQ$7,'18 KMP- Tháng'!$AS$2:$BD$2,0))</f>
        <v>0</v>
      </c>
      <c r="BR14" s="582">
        <f t="shared" si="13"/>
        <v>716.0274905</v>
      </c>
      <c r="BS14" s="353">
        <f t="shared" si="14"/>
        <v>4296.1649429999998</v>
      </c>
      <c r="BT14" s="184">
        <f t="shared" si="8"/>
        <v>-0.11499113146029349</v>
      </c>
      <c r="BU14" s="190">
        <f t="shared" si="9"/>
        <v>6.6912214564276229E-3</v>
      </c>
      <c r="BV14" s="983"/>
      <c r="BW14" s="983"/>
      <c r="BX14" s="983"/>
      <c r="BY14" s="983"/>
      <c r="BZ14" s="983"/>
      <c r="CA14" s="983"/>
      <c r="CB14" s="983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</row>
    <row r="15" spans="1:92" s="186" customFormat="1" x14ac:dyDescent="0.4">
      <c r="A15" s="174">
        <v>9</v>
      </c>
      <c r="B15" s="187">
        <f t="shared" si="15"/>
        <v>6</v>
      </c>
      <c r="C15" s="188" t="s">
        <v>96</v>
      </c>
      <c r="D15" s="188" t="s">
        <v>56</v>
      </c>
      <c r="E15" s="189">
        <f>INDEX('18 KMP- Tháng'!$E$6:$Q$29,MATCH($A15,'18 KMP- Tháng'!$A$6:$A$29,0),MATCH(E$7,'18 KMP- Tháng'!$E$2:$P$2,0))</f>
        <v>152.05214899999999</v>
      </c>
      <c r="F15" s="189">
        <f>INDEX('18 KMP- Tháng'!$E$6:$Q$29,MATCH($A15,'18 KMP- Tháng'!$A$6:$A$29,0),MATCH(F$7,'18 KMP- Tháng'!$E$2:$P$2,0))</f>
        <v>295.56509199999999</v>
      </c>
      <c r="G15" s="189">
        <f>INDEX('18 KMP- Tháng'!$E$6:$Q$29,MATCH($A15,'18 KMP- Tháng'!$A$6:$A$29,0),MATCH(G$7,'18 KMP- Tháng'!$E$2:$P$2,0))</f>
        <v>305.73982000000001</v>
      </c>
      <c r="H15" s="189">
        <f>INDEX('18 KMP- Tháng'!$E$6:$Q$29,MATCH($A15,'18 KMP- Tháng'!$A$6:$A$29,0),MATCH(H$7,'18 KMP- Tháng'!$E$2:$P$2,0))</f>
        <v>277.99661799999996</v>
      </c>
      <c r="I15" s="189">
        <f>INDEX('18 KMP- Tháng'!$E$6:$Q$29,MATCH($A15,'18 KMP- Tháng'!$A$6:$A$29,0),MATCH(I$7,'18 KMP- Tháng'!$E$2:$P$2,0))</f>
        <v>375.61647699999997</v>
      </c>
      <c r="J15" s="189">
        <f>INDEX('18 KMP- Tháng'!$E$6:$Q$29,MATCH($A15,'18 KMP- Tháng'!$A$6:$A$29,0),MATCH(J$7,'18 KMP- Tháng'!$E$2:$P$2,0))</f>
        <v>369.88611800000001</v>
      </c>
      <c r="K15" s="189">
        <f>INDEX('18 KMP- Tháng'!$E$6:$Q$29,MATCH($A15,'18 KMP- Tháng'!$A$6:$A$29,0),MATCH(K$7,'18 KMP- Tháng'!$E$2:$P$2,0))</f>
        <v>387.17141699999996</v>
      </c>
      <c r="L15" s="189">
        <f>INDEX('18 KMP- Tháng'!$E$6:$Q$29,MATCH($A15,'18 KMP- Tháng'!$A$6:$A$29,0),MATCH(L$7,'18 KMP- Tháng'!$E$2:$P$2,0))</f>
        <v>391.41397599999993</v>
      </c>
      <c r="M15" s="189">
        <f>INDEX('18 KMP- Tháng'!$E$6:$Q$29,MATCH($A15,'18 KMP- Tháng'!$A$6:$A$29,0),MATCH(M$7,'18 KMP- Tháng'!$E$2:$P$2,0))</f>
        <v>380.972599</v>
      </c>
      <c r="N15" s="189">
        <f>INDEX('18 KMP- Tháng'!$E$6:$Q$29,MATCH($A15,'18 KMP- Tháng'!$A$6:$A$29,0),MATCH(N$7,'18 KMP- Tháng'!$E$2:$P$2,0))</f>
        <v>419.34907600000003</v>
      </c>
      <c r="O15" s="189">
        <f>INDEX('18 KMP- Tháng'!$E$6:$Q$29,MATCH($A15,'18 KMP- Tháng'!$A$6:$A$29,0),MATCH(O$7,'18 KMP- Tháng'!$E$2:$P$2,0))</f>
        <v>320.70876299999998</v>
      </c>
      <c r="P15" s="344">
        <f>INDEX('18 KMP- Tháng'!$E$6:$Q$29,MATCH($A15,'18 KMP- Tháng'!$A$6:$A$29,0),MATCH(P$7,'18 KMP- Tháng'!$E$2:$P$2,0))</f>
        <v>684.97181799999998</v>
      </c>
      <c r="Q15" s="362">
        <f t="shared" si="6"/>
        <v>363.45366024999998</v>
      </c>
      <c r="R15" s="189">
        <f>INDEX('18 KMP- Tháng'!$R$6:$AC$24,MATCH($A15,'18 KMP- Tháng'!$A$6:$A$24,0),MATCH(R$7,'18 KMP- Tháng'!$R$2:$AC$2,0))</f>
        <v>914.03018499999996</v>
      </c>
      <c r="S15" s="189">
        <f>INDEX('18 KMP- Tháng'!$R$6:$AC$24,MATCH($A15,'18 KMP- Tháng'!$A$6:$A$24,0),MATCH(S$7,'18 KMP- Tháng'!$R$2:$AC$2,0))</f>
        <v>427.32569400000011</v>
      </c>
      <c r="T15" s="189">
        <f>INDEX('18 KMP- Tháng'!$R$6:$AC$24,MATCH($A15,'18 KMP- Tháng'!$A$6:$A$24,0),MATCH(T$7,'18 KMP- Tháng'!$R$2:$AC$2,0))</f>
        <v>761.12916300000006</v>
      </c>
      <c r="U15" s="189">
        <f>INDEX('18 KMP- Tháng'!$R$6:$AC$24,MATCH($A15,'18 KMP- Tháng'!$A$6:$A$24,0),MATCH(U$7,'18 KMP- Tháng'!$R$2:$AC$2,0))</f>
        <v>676.13008899999988</v>
      </c>
      <c r="V15" s="189">
        <f>INDEX('18 KMP- Tháng'!$R$6:$AC$24,MATCH($A15,'18 KMP- Tháng'!$A$6:$A$24,0),MATCH(V$7,'18 KMP- Tháng'!$R$2:$AC$2,0))</f>
        <v>693.03544600000009</v>
      </c>
      <c r="W15" s="189">
        <f>INDEX('18 KMP- Tháng'!$R$6:$AC$24,MATCH($A15,'18 KMP- Tháng'!$A$6:$A$24,0),MATCH(W$7,'18 KMP- Tháng'!$R$2:$AC$2,0))</f>
        <v>782.97129899999982</v>
      </c>
      <c r="X15" s="189">
        <f>INDEX('18 KMP- Tháng'!$R$6:$AC$24,MATCH($A15,'18 KMP- Tháng'!$A$6:$A$24,0),MATCH(X$7,'18 KMP- Tháng'!$R$2:$AC$2,0))</f>
        <v>321.45073600000001</v>
      </c>
      <c r="Y15" s="189">
        <f>INDEX('18 KMP- Tháng'!$R$6:$AC$24,MATCH($A15,'18 KMP- Tháng'!$A$6:$A$24,0),MATCH(Y$7,'18 KMP- Tháng'!$R$2:$AC$2,0))</f>
        <v>361.48229300000003</v>
      </c>
      <c r="Z15" s="189">
        <f>INDEX('18 KMP- Tháng'!$R$6:$AC$24,MATCH($A15,'18 KMP- Tháng'!$A$6:$A$24,0),MATCH(Z$7,'18 KMP- Tháng'!$R$2:$AC$2,0))</f>
        <v>516.38720899999998</v>
      </c>
      <c r="AA15" s="189">
        <f>INDEX('18 KMP- Tháng'!$R$6:$AC$24,MATCH($A15,'18 KMP- Tháng'!$A$6:$A$24,0),MATCH(AA$7,'18 KMP- Tháng'!$R$2:$AC$2,0))</f>
        <v>707.21815000000004</v>
      </c>
      <c r="AB15" s="189">
        <f>INDEX('18 KMP- Tháng'!$R$6:$AC$24,MATCH($A15,'18 KMP- Tháng'!$A$6:$A$24,0),MATCH(AB$7,'18 KMP- Tháng'!$R$2:$AC$2,0))</f>
        <v>824.52075600000001</v>
      </c>
      <c r="AC15" s="344">
        <f>INDEX('18 KMP- Tháng'!$R$6:$AC$24,MATCH($A15,'18 KMP- Tháng'!$A$6:$A$24,0),MATCH(AC$7,'18 KMP- Tháng'!$R$2:$AC$2,0))</f>
        <v>612.23483699999997</v>
      </c>
      <c r="AD15" s="362">
        <f t="shared" si="10"/>
        <v>633.15965474999996</v>
      </c>
      <c r="AE15" s="353">
        <f>INDEX('18 KMP- Tháng'!$AF$6:$AQ$29,MATCH($A15,'18 KMP- Tháng'!$A$6:$A$29,0),MATCH(AE$7,'18 KMP- Tháng'!$AF$2:$AQ$2,0))</f>
        <v>300.54102</v>
      </c>
      <c r="AF15" s="189">
        <f>INDEX('18 KMP- Tháng'!$AF$6:$AQ$29,MATCH($A15,'18 KMP- Tháng'!$A$6:$A$29,0),MATCH(AF$7,'18 KMP- Tháng'!$AF$2:$AQ$2,0))</f>
        <v>507.62118800000002</v>
      </c>
      <c r="AG15" s="189">
        <f>INDEX('18 KMP- Tháng'!$AF$6:$AQ$29,MATCH($A15,'18 KMP- Tháng'!$A$6:$A$29,0),MATCH(AG$7,'18 KMP- Tháng'!$AF$2:$AQ$2,0))</f>
        <v>790.04556200000002</v>
      </c>
      <c r="AH15" s="189">
        <f>INDEX('18 KMP- Tháng'!$AF$6:$AQ$29,MATCH($A15,'18 KMP- Tháng'!$A$6:$A$29,0),MATCH(AH$7,'18 KMP- Tháng'!$AF$2:$AQ$2,0))</f>
        <v>662.42186100000004</v>
      </c>
      <c r="AI15" s="189">
        <f>INDEX('18 KMP- Tháng'!$AF$6:$AQ$29,MATCH($A15,'18 KMP- Tháng'!$A$6:$A$29,0),MATCH(AI$7,'18 KMP- Tháng'!$AF$2:$AQ$2,0))</f>
        <v>955.79570799999999</v>
      </c>
      <c r="AJ15" s="189">
        <f>INDEX('18 KMP- Tháng'!$AF$6:$AQ$29,MATCH($A15,'18 KMP- Tháng'!$A$6:$A$29,0),MATCH(AJ$7,'18 KMP- Tháng'!$AF$2:$AQ$2,0))</f>
        <v>756.01673500000004</v>
      </c>
      <c r="AK15" s="189">
        <f>INDEX('18 KMP- Tháng'!$AF$6:$AQ$29,MATCH($A15,'18 KMP- Tháng'!$A$6:$A$29,0),MATCH(AK$7,'18 KMP- Tháng'!$AF$2:$AQ$2,0))</f>
        <v>856.03756999999996</v>
      </c>
      <c r="AL15" s="189">
        <f>INDEX('18 KMP- Tháng'!$AF$6:$AQ$29,MATCH($A15,'18 KMP- Tháng'!$A$6:$A$29,0),MATCH(AL$7,'18 KMP- Tháng'!$AF$2:$AQ$2,0))</f>
        <v>870.71485299999995</v>
      </c>
      <c r="AM15" s="189">
        <f>INDEX('18 KMP- Tháng'!$AF$6:$AQ$29,MATCH($A15,'18 KMP- Tháng'!$A$6:$A$29,0),MATCH(AM$7,'18 KMP- Tháng'!$AF$2:$AQ$2,0))</f>
        <v>886.40273999999999</v>
      </c>
      <c r="AN15" s="189">
        <f>INDEX('18 KMP- Tháng'!$AF$6:$AQ$29,MATCH($A15,'18 KMP- Tháng'!$A$6:$A$29,0),MATCH(AN$7,'18 KMP- Tháng'!$AF$2:$AQ$2,0))</f>
        <v>635.75522799999999</v>
      </c>
      <c r="AO15" s="189">
        <f>INDEX('18 KMP- Tháng'!$AF$6:$AQ$29,MATCH($A15,'18 KMP- Tháng'!$A$6:$A$29,0),MATCH(AO$7,'18 KMP- Tháng'!$AF$2:$AQ$2,0))</f>
        <v>533.96862999999996</v>
      </c>
      <c r="AP15" s="344">
        <f>INDEX('18 KMP- Tháng'!$AF$6:$AQ$29,MATCH($A15,'18 KMP- Tháng'!$A$6:$A$29,0),MATCH(AP$7,'18 KMP- Tháng'!$AF$2:$AQ$2,0))</f>
        <v>735.36080700000002</v>
      </c>
      <c r="AQ15" s="582">
        <f t="shared" si="11"/>
        <v>707.55682516666673</v>
      </c>
      <c r="AR15" s="353">
        <f t="shared" si="12"/>
        <v>8490.6819020000003</v>
      </c>
      <c r="AS15" s="353">
        <f>INDEX('18 KMP- Tháng'!$BH$6:$BS$29,MATCH($A15,'18 KMP- Tháng'!$A$6:$A$29,0),MATCH(AS$7,'18 KMP- Tháng'!$BH$2:$BS$2,0))</f>
        <v>679.00817341923403</v>
      </c>
      <c r="AT15" s="189">
        <f>INDEX('18 KMP- Tháng'!$BH$6:$BS$29,MATCH($A15,'18 KMP- Tháng'!$A$6:$A$29,0),MATCH(AT$7,'18 KMP- Tháng'!$BH$2:$BS$2,0))</f>
        <v>562.30502743922989</v>
      </c>
      <c r="AU15" s="189">
        <f>INDEX('18 KMP- Tháng'!$BH$6:$BS$29,MATCH($A15,'18 KMP- Tháng'!$A$6:$A$29,0),MATCH(AU$7,'18 KMP- Tháng'!$BH$2:$BS$2,0))</f>
        <v>711.9129784782557</v>
      </c>
      <c r="AV15" s="189">
        <f>INDEX('18 KMP- Tháng'!$BH$6:$BS$29,MATCH($A15,'18 KMP- Tháng'!$A$6:$A$29,0),MATCH(AV$7,'18 KMP- Tháng'!$BH$2:$BS$2,0))</f>
        <v>715.21167396458748</v>
      </c>
      <c r="AW15" s="189">
        <f>INDEX('18 KMP- Tháng'!$BH$6:$BS$29,MATCH($A15,'18 KMP- Tháng'!$A$6:$A$29,0),MATCH(AW$7,'18 KMP- Tháng'!$BH$2:$BS$2,0))</f>
        <v>711.9129784782557</v>
      </c>
      <c r="AX15" s="189">
        <f>INDEX('18 KMP- Tháng'!$BH$6:$BS$29,MATCH($A15,'18 KMP- Tháng'!$A$6:$A$29,0),MATCH(AX$7,'18 KMP- Tháng'!$BH$2:$BS$2,0))</f>
        <v>735.360959548555</v>
      </c>
      <c r="AY15" s="189">
        <f>INDEX('18 KMP- Tháng'!$BH$6:$BS$29,MATCH($A15,'18 KMP- Tháng'!$A$6:$A$29,0),MATCH(AY$7,'18 KMP- Tháng'!$BH$2:$BS$2,0))</f>
        <v>745.36358318346674</v>
      </c>
      <c r="AZ15" s="189">
        <f>INDEX('18 KMP- Tháng'!$BH$6:$BS$29,MATCH($A15,'18 KMP- Tháng'!$A$6:$A$29,0),MATCH(AZ$7,'18 KMP- Tháng'!$BH$2:$BS$2,0))</f>
        <v>753.96743456527292</v>
      </c>
      <c r="BA15" s="189">
        <f>INDEX('18 KMP- Tháng'!$BH$6:$BS$29,MATCH($A15,'18 KMP- Tháng'!$A$6:$A$29,0),MATCH(BA$7,'18 KMP- Tháng'!$BH$2:$BS$2,0))</f>
        <v>753.61032189929642</v>
      </c>
      <c r="BB15" s="189">
        <f>INDEX('18 KMP- Tháng'!$BH$6:$BS$29,MATCH($A15,'18 KMP- Tháng'!$A$6:$A$29,0),MATCH(BB$7,'18 KMP- Tháng'!$BH$2:$BS$2,0))</f>
        <v>757.2661300516047</v>
      </c>
      <c r="BC15" s="189">
        <f>INDEX('18 KMP- Tháng'!$BH$6:$BS$29,MATCH($A15,'18 KMP- Tháng'!$A$6:$A$29,0),MATCH(BC$7,'18 KMP- Tháng'!$BH$2:$BS$2,0))</f>
        <v>742.06488769713496</v>
      </c>
      <c r="BD15" s="344">
        <f>INDEX('18 KMP- Tháng'!$BH$6:$BS$29,MATCH($A15,'18 KMP- Tháng'!$A$6:$A$29,0),MATCH(BD$7,'18 KMP- Tháng'!$BH$2:$BS$2,0))</f>
        <v>753.96743456527292</v>
      </c>
      <c r="BE15" s="362">
        <f t="shared" si="7"/>
        <v>718.49596527418055</v>
      </c>
      <c r="BF15" s="353">
        <f>INDEX('18 KMP- Tháng'!$AS$6:$BD$29,MATCH($A15,'18 KMP- Tháng'!$A$6:$A$29,0),MATCH(BF$7,'18 KMP- Tháng'!$AS$2:$BD$2,0))</f>
        <v>606.64757799999995</v>
      </c>
      <c r="BG15" s="189">
        <f>INDEX('18 KMP- Tháng'!$AS$6:$BD$29,MATCH($A15,'18 KMP- Tháng'!$A$6:$A$29,0),MATCH(BG$7,'18 KMP- Tháng'!$AS$2:$BD$2,0))</f>
        <v>347.65498300000002</v>
      </c>
      <c r="BH15" s="189">
        <f>INDEX('18 KMP- Tháng'!$AS$6:$BD$29,MATCH($A15,'18 KMP- Tháng'!$A$6:$A$29,0),MATCH(BH$7,'18 KMP- Tháng'!$AS$2:$BD$2,0))</f>
        <v>813.90419799999995</v>
      </c>
      <c r="BI15" s="189">
        <f>INDEX('18 KMP- Tháng'!$AS$6:$BD$29,MATCH($A15,'18 KMP- Tháng'!$A$6:$A$29,0),MATCH(BI$7,'18 KMP- Tháng'!$AS$2:$BD$2,0))</f>
        <v>1024.397252</v>
      </c>
      <c r="BJ15" s="189">
        <f>INDEX('18 KMP- Tháng'!$AS$6:$BD$29,MATCH($A15,'18 KMP- Tháng'!$A$6:$A$29,0),MATCH(BJ$7,'18 KMP- Tháng'!$AS$2:$BD$2,0))</f>
        <v>785.37370599999997</v>
      </c>
      <c r="BK15" s="189">
        <f>INDEX('18 KMP- Tháng'!$AS$6:$BD$29,MATCH($A15,'18 KMP- Tháng'!$A$6:$A$29,0),MATCH(BK$7,'18 KMP- Tháng'!$AS$2:$BD$2,0))</f>
        <v>869.92020300000001</v>
      </c>
      <c r="BL15" s="189">
        <f>INDEX('18 KMP- Tháng'!$AS$6:$BD$29,MATCH($A15,'18 KMP- Tháng'!$A$6:$A$29,0),MATCH(BL$7,'18 KMP- Tháng'!$AS$2:$BD$2,0))</f>
        <v>0</v>
      </c>
      <c r="BM15" s="189">
        <f>INDEX('18 KMP- Tháng'!$AS$6:$BD$29,MATCH($A15,'18 KMP- Tháng'!$A$6:$A$29,0),MATCH(BM$7,'18 KMP- Tháng'!$AS$2:$BD$2,0))</f>
        <v>0</v>
      </c>
      <c r="BN15" s="189">
        <f>INDEX('18 KMP- Tháng'!$AS$6:$BD$29,MATCH($A15,'18 KMP- Tháng'!$A$6:$A$29,0),MATCH(BN$7,'18 KMP- Tháng'!$AS$2:$BD$2,0))</f>
        <v>0</v>
      </c>
      <c r="BO15" s="189">
        <f>INDEX('18 KMP- Tháng'!$AS$6:$BD$29,MATCH($A15,'18 KMP- Tháng'!$A$6:$A$29,0),MATCH(BO$7,'18 KMP- Tháng'!$AS$2:$BD$2,0))</f>
        <v>0</v>
      </c>
      <c r="BP15" s="189">
        <f>INDEX('18 KMP- Tháng'!$AS$6:$BD$29,MATCH($A15,'18 KMP- Tháng'!$A$6:$A$29,0),MATCH(BP$7,'18 KMP- Tháng'!$AS$2:$BD$2,0))</f>
        <v>0</v>
      </c>
      <c r="BQ15" s="344">
        <f>INDEX('18 KMP- Tháng'!$AS$6:$BD$29,MATCH($A15,'18 KMP- Tháng'!$A$6:$A$29,0),MATCH(BQ$7,'18 KMP- Tháng'!$AS$2:$BD$2,0))</f>
        <v>0</v>
      </c>
      <c r="BR15" s="582">
        <f t="shared" si="13"/>
        <v>741.31631999999991</v>
      </c>
      <c r="BS15" s="353">
        <f t="shared" si="14"/>
        <v>4447.8979199999994</v>
      </c>
      <c r="BT15" s="184">
        <f t="shared" si="8"/>
        <v>0.18298393694173298</v>
      </c>
      <c r="BU15" s="190">
        <f t="shared" si="9"/>
        <v>6.9275436099809429E-3</v>
      </c>
      <c r="BV15" s="989"/>
      <c r="BW15" s="989"/>
      <c r="BX15" s="989"/>
      <c r="BY15" s="983"/>
      <c r="BZ15" s="983"/>
      <c r="CA15" s="983"/>
      <c r="CB15" s="983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</row>
    <row r="16" spans="1:92" s="186" customFormat="1" x14ac:dyDescent="0.4">
      <c r="A16" s="174">
        <v>10</v>
      </c>
      <c r="B16" s="187">
        <f t="shared" si="15"/>
        <v>7</v>
      </c>
      <c r="C16" s="188" t="s">
        <v>96</v>
      </c>
      <c r="D16" s="188" t="s">
        <v>28</v>
      </c>
      <c r="E16" s="189">
        <f>INDEX('18 KMP- Tháng'!$E$6:$Q$29,MATCH($A16,'18 KMP- Tháng'!$A$6:$A$29,0),MATCH(E$7,'18 KMP- Tháng'!$E$2:$P$2,0))</f>
        <v>182.590125</v>
      </c>
      <c r="F16" s="189">
        <f>INDEX('18 KMP- Tháng'!$E$6:$Q$29,MATCH($A16,'18 KMP- Tháng'!$A$6:$A$29,0),MATCH(F$7,'18 KMP- Tháng'!$E$2:$P$2,0))</f>
        <v>256.21135399999997</v>
      </c>
      <c r="G16" s="189">
        <f>INDEX('18 KMP- Tháng'!$E$6:$Q$29,MATCH($A16,'18 KMP- Tháng'!$A$6:$A$29,0),MATCH(G$7,'18 KMP- Tháng'!$E$2:$P$2,0))</f>
        <v>301.69390099999998</v>
      </c>
      <c r="H16" s="189">
        <f>INDEX('18 KMP- Tháng'!$E$6:$Q$29,MATCH($A16,'18 KMP- Tháng'!$A$6:$A$29,0),MATCH(H$7,'18 KMP- Tháng'!$E$2:$P$2,0))</f>
        <v>299.17255299999999</v>
      </c>
      <c r="I16" s="189">
        <f>INDEX('18 KMP- Tháng'!$E$6:$Q$29,MATCH($A16,'18 KMP- Tháng'!$A$6:$A$29,0),MATCH(I$7,'18 KMP- Tháng'!$E$2:$P$2,0))</f>
        <v>189.954498</v>
      </c>
      <c r="J16" s="189">
        <f>INDEX('18 KMP- Tháng'!$E$6:$Q$29,MATCH($A16,'18 KMP- Tháng'!$A$6:$A$29,0),MATCH(J$7,'18 KMP- Tháng'!$E$2:$P$2,0))</f>
        <v>375.78277400000002</v>
      </c>
      <c r="K16" s="189">
        <f>INDEX('18 KMP- Tháng'!$E$6:$Q$29,MATCH($A16,'18 KMP- Tháng'!$A$6:$A$29,0),MATCH(K$7,'18 KMP- Tháng'!$E$2:$P$2,0))</f>
        <v>320.30577699999998</v>
      </c>
      <c r="L16" s="189">
        <f>INDEX('18 KMP- Tháng'!$E$6:$Q$29,MATCH($A16,'18 KMP- Tháng'!$A$6:$A$29,0),MATCH(L$7,'18 KMP- Tháng'!$E$2:$P$2,0))</f>
        <v>367.61022300000002</v>
      </c>
      <c r="M16" s="189">
        <f>INDEX('18 KMP- Tháng'!$E$6:$Q$29,MATCH($A16,'18 KMP- Tháng'!$A$6:$A$29,0),MATCH(M$7,'18 KMP- Tháng'!$E$2:$P$2,0))</f>
        <v>353.52910800000001</v>
      </c>
      <c r="N16" s="189">
        <f>INDEX('18 KMP- Tháng'!$E$6:$Q$29,MATCH($A16,'18 KMP- Tháng'!$A$6:$A$29,0),MATCH(N$7,'18 KMP- Tháng'!$E$2:$P$2,0))</f>
        <v>388.27704899999998</v>
      </c>
      <c r="O16" s="189">
        <f>INDEX('18 KMP- Tháng'!$E$6:$Q$29,MATCH($A16,'18 KMP- Tháng'!$A$6:$A$29,0),MATCH(O$7,'18 KMP- Tháng'!$E$2:$P$2,0))</f>
        <v>446.71388200000001</v>
      </c>
      <c r="P16" s="344">
        <f>INDEX('18 KMP- Tháng'!$E$6:$Q$29,MATCH($A16,'18 KMP- Tháng'!$A$6:$A$29,0),MATCH(P$7,'18 KMP- Tháng'!$E$2:$P$2,0))</f>
        <v>393.87627199999997</v>
      </c>
      <c r="Q16" s="362">
        <f t="shared" si="6"/>
        <v>322.9764596666667</v>
      </c>
      <c r="R16" s="189">
        <f>INDEX('18 KMP- Tháng'!$R$6:$AC$24,MATCH($A16,'18 KMP- Tháng'!$A$6:$A$24,0),MATCH(R$7,'18 KMP- Tháng'!$R$2:$AC$2,0))</f>
        <v>384.35845499999999</v>
      </c>
      <c r="S16" s="189">
        <f>INDEX('18 KMP- Tháng'!$R$6:$AC$24,MATCH($A16,'18 KMP- Tháng'!$A$6:$A$24,0),MATCH(S$7,'18 KMP- Tháng'!$R$2:$AC$2,0))</f>
        <v>269.68292200000002</v>
      </c>
      <c r="T16" s="189">
        <f>INDEX('18 KMP- Tháng'!$R$6:$AC$24,MATCH($A16,'18 KMP- Tháng'!$A$6:$A$24,0),MATCH(T$7,'18 KMP- Tháng'!$R$2:$AC$2,0))</f>
        <v>412.65767</v>
      </c>
      <c r="U16" s="189">
        <f>INDEX('18 KMP- Tháng'!$R$6:$AC$24,MATCH($A16,'18 KMP- Tháng'!$A$6:$A$24,0),MATCH(U$7,'18 KMP- Tháng'!$R$2:$AC$2,0))</f>
        <v>390.64389699999998</v>
      </c>
      <c r="V16" s="189">
        <f>INDEX('18 KMP- Tháng'!$R$6:$AC$24,MATCH($A16,'18 KMP- Tháng'!$A$6:$A$24,0),MATCH(V$7,'18 KMP- Tháng'!$R$2:$AC$2,0))</f>
        <v>392.92402099999998</v>
      </c>
      <c r="W16" s="189">
        <f>INDEX('18 KMP- Tháng'!$R$6:$AC$24,MATCH($A16,'18 KMP- Tháng'!$A$6:$A$24,0),MATCH(W$7,'18 KMP- Tháng'!$R$2:$AC$2,0))</f>
        <v>355.37142</v>
      </c>
      <c r="X16" s="189">
        <f>INDEX('18 KMP- Tháng'!$R$6:$AC$24,MATCH($A16,'18 KMP- Tháng'!$A$6:$A$24,0),MATCH(X$7,'18 KMP- Tháng'!$R$2:$AC$2,0))</f>
        <v>315.85756800000001</v>
      </c>
      <c r="Y16" s="189">
        <f>INDEX('18 KMP- Tháng'!$R$6:$AC$24,MATCH($A16,'18 KMP- Tháng'!$A$6:$A$24,0),MATCH(Y$7,'18 KMP- Tháng'!$R$2:$AC$2,0))</f>
        <v>267.82147500000002</v>
      </c>
      <c r="Z16" s="189">
        <f>INDEX('18 KMP- Tháng'!$R$6:$AC$24,MATCH($A16,'18 KMP- Tháng'!$A$6:$A$24,0),MATCH(Z$7,'18 KMP- Tháng'!$R$2:$AC$2,0))</f>
        <v>264.09719999999999</v>
      </c>
      <c r="AA16" s="189">
        <f>INDEX('18 KMP- Tháng'!$R$6:$AC$24,MATCH($A16,'18 KMP- Tháng'!$A$6:$A$24,0),MATCH(AA$7,'18 KMP- Tháng'!$R$2:$AC$2,0))</f>
        <v>311.196507</v>
      </c>
      <c r="AB16" s="189">
        <f>INDEX('18 KMP- Tháng'!$R$6:$AC$24,MATCH($A16,'18 KMP- Tháng'!$A$6:$A$24,0),MATCH(AB$7,'18 KMP- Tháng'!$R$2:$AC$2,0))</f>
        <v>316.83887600000003</v>
      </c>
      <c r="AC16" s="344">
        <f>INDEX('18 KMP- Tháng'!$R$6:$AC$24,MATCH($A16,'18 KMP- Tháng'!$A$6:$A$24,0),MATCH(AC$7,'18 KMP- Tháng'!$R$2:$AC$2,0))</f>
        <v>291.09129999999999</v>
      </c>
      <c r="AD16" s="362">
        <f t="shared" si="10"/>
        <v>331.04510925000005</v>
      </c>
      <c r="AE16" s="353">
        <f>INDEX('18 KMP- Tháng'!$AF$6:$AQ$29,MATCH($A16,'18 KMP- Tháng'!$A$6:$A$29,0),MATCH(AE$7,'18 KMP- Tháng'!$AF$2:$AQ$2,0))</f>
        <v>173.80477400000001</v>
      </c>
      <c r="AF16" s="189">
        <f>INDEX('18 KMP- Tháng'!$AF$6:$AQ$29,MATCH($A16,'18 KMP- Tháng'!$A$6:$A$29,0),MATCH(AF$7,'18 KMP- Tháng'!$AF$2:$AQ$2,0))</f>
        <v>221.54872700000001</v>
      </c>
      <c r="AG16" s="189">
        <f>INDEX('18 KMP- Tháng'!$AF$6:$AQ$29,MATCH($A16,'18 KMP- Tháng'!$A$6:$A$29,0),MATCH(AG$7,'18 KMP- Tháng'!$AF$2:$AQ$2,0))</f>
        <v>282.94844999999998</v>
      </c>
      <c r="AH16" s="189">
        <f>INDEX('18 KMP- Tháng'!$AF$6:$AQ$29,MATCH($A16,'18 KMP- Tháng'!$A$6:$A$29,0),MATCH(AH$7,'18 KMP- Tháng'!$AF$2:$AQ$2,0))</f>
        <v>237.639893</v>
      </c>
      <c r="AI16" s="189">
        <f>INDEX('18 KMP- Tháng'!$AF$6:$AQ$29,MATCH($A16,'18 KMP- Tháng'!$A$6:$A$29,0),MATCH(AI$7,'18 KMP- Tháng'!$AF$2:$AQ$2,0))</f>
        <v>248.403773</v>
      </c>
      <c r="AJ16" s="189">
        <f>INDEX('18 KMP- Tháng'!$AF$6:$AQ$29,MATCH($A16,'18 KMP- Tháng'!$A$6:$A$29,0),MATCH(AJ$7,'18 KMP- Tháng'!$AF$2:$AQ$2,0))</f>
        <v>230.558333</v>
      </c>
      <c r="AK16" s="189">
        <f>INDEX('18 KMP- Tháng'!$AF$6:$AQ$29,MATCH($A16,'18 KMP- Tháng'!$A$6:$A$29,0),MATCH(AK$7,'18 KMP- Tháng'!$AF$2:$AQ$2,0))</f>
        <v>259.28506900000002</v>
      </c>
      <c r="AL16" s="189">
        <f>INDEX('18 KMP- Tháng'!$AF$6:$AQ$29,MATCH($A16,'18 KMP- Tháng'!$A$6:$A$29,0),MATCH(AL$7,'18 KMP- Tháng'!$AF$2:$AQ$2,0))</f>
        <v>187.38511500000001</v>
      </c>
      <c r="AM16" s="189">
        <f>INDEX('18 KMP- Tháng'!$AF$6:$AQ$29,MATCH($A16,'18 KMP- Tháng'!$A$6:$A$29,0),MATCH(AM$7,'18 KMP- Tháng'!$AF$2:$AQ$2,0))</f>
        <v>275.35231099999999</v>
      </c>
      <c r="AN16" s="189">
        <f>INDEX('18 KMP- Tháng'!$AF$6:$AQ$29,MATCH($A16,'18 KMP- Tháng'!$A$6:$A$29,0),MATCH(AN$7,'18 KMP- Tháng'!$AF$2:$AQ$2,0))</f>
        <v>215.80422200000001</v>
      </c>
      <c r="AO16" s="189">
        <f>INDEX('18 KMP- Tháng'!$AF$6:$AQ$29,MATCH($A16,'18 KMP- Tháng'!$A$6:$A$29,0),MATCH(AO$7,'18 KMP- Tháng'!$AF$2:$AQ$2,0))</f>
        <v>191.98058</v>
      </c>
      <c r="AP16" s="344">
        <f>INDEX('18 KMP- Tháng'!$AF$6:$AQ$29,MATCH($A16,'18 KMP- Tháng'!$A$6:$A$29,0),MATCH(AP$7,'18 KMP- Tháng'!$AF$2:$AQ$2,0))</f>
        <v>190.675433</v>
      </c>
      <c r="AQ16" s="582">
        <f t="shared" si="11"/>
        <v>226.28222333333335</v>
      </c>
      <c r="AR16" s="353">
        <f t="shared" si="12"/>
        <v>2715.3866800000001</v>
      </c>
      <c r="AS16" s="353">
        <f>INDEX('18 KMP- Tháng'!$BH$6:$BS$29,MATCH($A16,'18 KMP- Tháng'!$A$6:$A$29,0),MATCH(AS$7,'18 KMP- Tháng'!$BH$2:$BS$2,0))</f>
        <v>231.92</v>
      </c>
      <c r="AT16" s="189">
        <f>INDEX('18 KMP- Tháng'!$BH$6:$BS$29,MATCH($A16,'18 KMP- Tháng'!$A$6:$A$29,0),MATCH(AT$7,'18 KMP- Tháng'!$BH$2:$BS$2,0))</f>
        <v>231.92</v>
      </c>
      <c r="AU16" s="189">
        <f>INDEX('18 KMP- Tháng'!$BH$6:$BS$29,MATCH($A16,'18 KMP- Tháng'!$A$6:$A$29,0),MATCH(AU$7,'18 KMP- Tháng'!$BH$2:$BS$2,0))</f>
        <v>231.92</v>
      </c>
      <c r="AV16" s="189">
        <f>INDEX('18 KMP- Tháng'!$BH$6:$BS$29,MATCH($A16,'18 KMP- Tháng'!$A$6:$A$29,0),MATCH(AV$7,'18 KMP- Tháng'!$BH$2:$BS$2,0))</f>
        <v>231.92</v>
      </c>
      <c r="AW16" s="189">
        <f>INDEX('18 KMP- Tháng'!$BH$6:$BS$29,MATCH($A16,'18 KMP- Tháng'!$A$6:$A$29,0),MATCH(AW$7,'18 KMP- Tháng'!$BH$2:$BS$2,0))</f>
        <v>231.92</v>
      </c>
      <c r="AX16" s="189">
        <f>INDEX('18 KMP- Tháng'!$BH$6:$BS$29,MATCH($A16,'18 KMP- Tháng'!$A$6:$A$29,0),MATCH(AX$7,'18 KMP- Tháng'!$BH$2:$BS$2,0))</f>
        <v>231.92</v>
      </c>
      <c r="AY16" s="189">
        <f>INDEX('18 KMP- Tháng'!$BH$6:$BS$29,MATCH($A16,'18 KMP- Tháng'!$A$6:$A$29,0),MATCH(AY$7,'18 KMP- Tháng'!$BH$2:$BS$2,0))</f>
        <v>231.92</v>
      </c>
      <c r="AZ16" s="189">
        <f>INDEX('18 KMP- Tháng'!$BH$6:$BS$29,MATCH($A16,'18 KMP- Tháng'!$A$6:$A$29,0),MATCH(AZ$7,'18 KMP- Tháng'!$BH$2:$BS$2,0))</f>
        <v>231.92</v>
      </c>
      <c r="BA16" s="189">
        <f>INDEX('18 KMP- Tháng'!$BH$6:$BS$29,MATCH($A16,'18 KMP- Tháng'!$A$6:$A$29,0),MATCH(BA$7,'18 KMP- Tháng'!$BH$2:$BS$2,0))</f>
        <v>231.92</v>
      </c>
      <c r="BB16" s="189">
        <f>INDEX('18 KMP- Tháng'!$BH$6:$BS$29,MATCH($A16,'18 KMP- Tháng'!$A$6:$A$29,0),MATCH(BB$7,'18 KMP- Tháng'!$BH$2:$BS$2,0))</f>
        <v>231.92</v>
      </c>
      <c r="BC16" s="189">
        <f>INDEX('18 KMP- Tháng'!$BH$6:$BS$29,MATCH($A16,'18 KMP- Tháng'!$A$6:$A$29,0),MATCH(BC$7,'18 KMP- Tháng'!$BH$2:$BS$2,0))</f>
        <v>231.92</v>
      </c>
      <c r="BD16" s="344">
        <f>INDEX('18 KMP- Tháng'!$BH$6:$BS$29,MATCH($A16,'18 KMP- Tháng'!$A$6:$A$29,0),MATCH(BD$7,'18 KMP- Tháng'!$BH$2:$BS$2,0))</f>
        <v>231.92</v>
      </c>
      <c r="BE16" s="362">
        <f t="shared" si="7"/>
        <v>231.92000000000004</v>
      </c>
      <c r="BF16" s="353">
        <f>INDEX('18 KMP- Tháng'!$AS$6:$BD$29,MATCH($A16,'18 KMP- Tháng'!$A$6:$A$29,0),MATCH(BF$7,'18 KMP- Tháng'!$AS$2:$BD$2,0))</f>
        <v>161.39285799999999</v>
      </c>
      <c r="BG16" s="189">
        <f>INDEX('18 KMP- Tháng'!$AS$6:$BD$29,MATCH($A16,'18 KMP- Tháng'!$A$6:$A$29,0),MATCH(BG$7,'18 KMP- Tháng'!$AS$2:$BD$2,0))</f>
        <v>107.566253</v>
      </c>
      <c r="BH16" s="189">
        <f>INDEX('18 KMP- Tháng'!$AS$6:$BD$29,MATCH($A16,'18 KMP- Tháng'!$A$6:$A$29,0),MATCH(BH$7,'18 KMP- Tháng'!$AS$2:$BD$2,0))</f>
        <v>342.43532299999998</v>
      </c>
      <c r="BI16" s="189">
        <f>INDEX('18 KMP- Tháng'!$AS$6:$BD$29,MATCH($A16,'18 KMP- Tháng'!$A$6:$A$29,0),MATCH(BI$7,'18 KMP- Tháng'!$AS$2:$BD$2,0))</f>
        <v>395.56823600000001</v>
      </c>
      <c r="BJ16" s="189">
        <f>INDEX('18 KMP- Tháng'!$AS$6:$BD$29,MATCH($A16,'18 KMP- Tháng'!$A$6:$A$29,0),MATCH(BJ$7,'18 KMP- Tháng'!$AS$2:$BD$2,0))</f>
        <v>356.91601600000001</v>
      </c>
      <c r="BK16" s="189">
        <f>INDEX('18 KMP- Tháng'!$AS$6:$BD$29,MATCH($A16,'18 KMP- Tháng'!$A$6:$A$29,0),MATCH(BK$7,'18 KMP- Tháng'!$AS$2:$BD$2,0))</f>
        <v>336.94108699999998</v>
      </c>
      <c r="BL16" s="189">
        <f>INDEX('18 KMP- Tháng'!$AS$6:$BD$29,MATCH($A16,'18 KMP- Tháng'!$A$6:$A$29,0),MATCH(BL$7,'18 KMP- Tháng'!$AS$2:$BD$2,0))</f>
        <v>0</v>
      </c>
      <c r="BM16" s="189">
        <f>INDEX('18 KMP- Tháng'!$AS$6:$BD$29,MATCH($A16,'18 KMP- Tháng'!$A$6:$A$29,0),MATCH(BM$7,'18 KMP- Tháng'!$AS$2:$BD$2,0))</f>
        <v>0</v>
      </c>
      <c r="BN16" s="189">
        <f>INDEX('18 KMP- Tháng'!$AS$6:$BD$29,MATCH($A16,'18 KMP- Tháng'!$A$6:$A$29,0),MATCH(BN$7,'18 KMP- Tháng'!$AS$2:$BD$2,0))</f>
        <v>0</v>
      </c>
      <c r="BO16" s="189">
        <f>INDEX('18 KMP- Tháng'!$AS$6:$BD$29,MATCH($A16,'18 KMP- Tháng'!$A$6:$A$29,0),MATCH(BO$7,'18 KMP- Tháng'!$AS$2:$BD$2,0))</f>
        <v>0</v>
      </c>
      <c r="BP16" s="189">
        <f>INDEX('18 KMP- Tháng'!$AS$6:$BD$29,MATCH($A16,'18 KMP- Tháng'!$A$6:$A$29,0),MATCH(BP$7,'18 KMP- Tháng'!$AS$2:$BD$2,0))</f>
        <v>0</v>
      </c>
      <c r="BQ16" s="344">
        <f>INDEX('18 KMP- Tháng'!$AS$6:$BD$29,MATCH($A16,'18 KMP- Tháng'!$A$6:$A$29,0),MATCH(BQ$7,'18 KMP- Tháng'!$AS$2:$BD$2,0))</f>
        <v>0</v>
      </c>
      <c r="BR16" s="582">
        <f t="shared" si="13"/>
        <v>283.46996216666668</v>
      </c>
      <c r="BS16" s="353">
        <f t="shared" si="14"/>
        <v>1700.8197729999999</v>
      </c>
      <c r="BT16" s="184">
        <f t="shared" si="8"/>
        <v>0.45283324853397722</v>
      </c>
      <c r="BU16" s="190">
        <f t="shared" si="9"/>
        <v>2.6490048472549905E-3</v>
      </c>
      <c r="BV16" s="983"/>
      <c r="BW16" s="983"/>
      <c r="BX16" s="983"/>
      <c r="BY16" s="983"/>
      <c r="BZ16" s="983"/>
      <c r="CA16" s="983"/>
      <c r="CB16" s="983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</row>
    <row r="17" spans="1:92" s="186" customFormat="1" x14ac:dyDescent="0.4">
      <c r="A17" s="174">
        <v>11</v>
      </c>
      <c r="B17" s="187">
        <f t="shared" si="15"/>
        <v>8</v>
      </c>
      <c r="C17" s="188" t="s">
        <v>96</v>
      </c>
      <c r="D17" s="188" t="s">
        <v>53</v>
      </c>
      <c r="E17" s="189">
        <f>INDEX('18 KMP- Tháng'!$E$6:$Q$29,MATCH($A17,'18 KMP- Tháng'!$A$6:$A$29,0),MATCH(E$7,'18 KMP- Tháng'!$E$2:$P$2,0))</f>
        <v>188.62547899999998</v>
      </c>
      <c r="F17" s="189">
        <f>INDEX('18 KMP- Tháng'!$E$6:$Q$29,MATCH($A17,'18 KMP- Tháng'!$A$6:$A$29,0),MATCH(F$7,'18 KMP- Tháng'!$E$2:$P$2,0))</f>
        <v>196.28916999999998</v>
      </c>
      <c r="G17" s="189">
        <f>INDEX('18 KMP- Tháng'!$E$6:$Q$29,MATCH($A17,'18 KMP- Tháng'!$A$6:$A$29,0),MATCH(G$7,'18 KMP- Tháng'!$E$2:$P$2,0))</f>
        <v>460.43097999999998</v>
      </c>
      <c r="H17" s="189">
        <f>INDEX('18 KMP- Tháng'!$E$6:$Q$29,MATCH($A17,'18 KMP- Tháng'!$A$6:$A$29,0),MATCH(H$7,'18 KMP- Tháng'!$E$2:$P$2,0))</f>
        <v>381.88881900000001</v>
      </c>
      <c r="I17" s="189">
        <f>INDEX('18 KMP- Tháng'!$E$6:$Q$29,MATCH($A17,'18 KMP- Tháng'!$A$6:$A$29,0),MATCH(I$7,'18 KMP- Tháng'!$E$2:$P$2,0))</f>
        <v>279.47783400000003</v>
      </c>
      <c r="J17" s="189">
        <f>INDEX('18 KMP- Tháng'!$E$6:$Q$29,MATCH($A17,'18 KMP- Tháng'!$A$6:$A$29,0),MATCH(J$7,'18 KMP- Tháng'!$E$2:$P$2,0))</f>
        <v>269.28564700000004</v>
      </c>
      <c r="K17" s="189">
        <f>INDEX('18 KMP- Tháng'!$E$6:$Q$29,MATCH($A17,'18 KMP- Tháng'!$A$6:$A$29,0),MATCH(K$7,'18 KMP- Tháng'!$E$2:$P$2,0))</f>
        <v>204.96910300000002</v>
      </c>
      <c r="L17" s="189">
        <f>INDEX('18 KMP- Tháng'!$E$6:$Q$29,MATCH($A17,'18 KMP- Tháng'!$A$6:$A$29,0),MATCH(L$7,'18 KMP- Tháng'!$E$2:$P$2,0))</f>
        <v>144.59650099999999</v>
      </c>
      <c r="M17" s="189">
        <f>INDEX('18 KMP- Tháng'!$E$6:$Q$29,MATCH($A17,'18 KMP- Tháng'!$A$6:$A$29,0),MATCH(M$7,'18 KMP- Tháng'!$E$2:$P$2,0))</f>
        <v>209.92933399999998</v>
      </c>
      <c r="N17" s="189">
        <f>INDEX('18 KMP- Tháng'!$E$6:$Q$29,MATCH($A17,'18 KMP- Tháng'!$A$6:$A$29,0),MATCH(N$7,'18 KMP- Tháng'!$E$2:$P$2,0))</f>
        <v>179.10958100000002</v>
      </c>
      <c r="O17" s="189">
        <f>INDEX('18 KMP- Tháng'!$E$6:$Q$29,MATCH($A17,'18 KMP- Tháng'!$A$6:$A$29,0),MATCH(O$7,'18 KMP- Tháng'!$E$2:$P$2,0))</f>
        <v>139.36256900000001</v>
      </c>
      <c r="P17" s="344">
        <f>INDEX('18 KMP- Tháng'!$E$6:$Q$29,MATCH($A17,'18 KMP- Tháng'!$A$6:$A$29,0),MATCH(P$7,'18 KMP- Tháng'!$E$2:$P$2,0))</f>
        <v>234.21601099999998</v>
      </c>
      <c r="Q17" s="362">
        <f t="shared" si="6"/>
        <v>240.68175233333332</v>
      </c>
      <c r="R17" s="189">
        <f>INDEX('18 KMP- Tháng'!$R$6:$AC$24,MATCH($A17,'18 KMP- Tháng'!$A$6:$A$24,0),MATCH(R$7,'18 KMP- Tháng'!$R$2:$AC$2,0))</f>
        <v>168.93012999999999</v>
      </c>
      <c r="S17" s="189">
        <f>INDEX('18 KMP- Tháng'!$R$6:$AC$24,MATCH($A17,'18 KMP- Tháng'!$A$6:$A$24,0),MATCH(S$7,'18 KMP- Tháng'!$R$2:$AC$2,0))</f>
        <v>139.05925400000001</v>
      </c>
      <c r="T17" s="189">
        <f>INDEX('18 KMP- Tháng'!$R$6:$AC$24,MATCH($A17,'18 KMP- Tháng'!$A$6:$A$24,0),MATCH(T$7,'18 KMP- Tháng'!$R$2:$AC$2,0))</f>
        <v>130.98270099999999</v>
      </c>
      <c r="U17" s="189">
        <f>INDEX('18 KMP- Tháng'!$R$6:$AC$24,MATCH($A17,'18 KMP- Tháng'!$A$6:$A$24,0),MATCH(U$7,'18 KMP- Tháng'!$R$2:$AC$2,0))</f>
        <v>216.14341000000002</v>
      </c>
      <c r="V17" s="189">
        <f>INDEX('18 KMP- Tháng'!$R$6:$AC$24,MATCH($A17,'18 KMP- Tháng'!$A$6:$A$24,0),MATCH(V$7,'18 KMP- Tháng'!$R$2:$AC$2,0))</f>
        <v>304.87664899999999</v>
      </c>
      <c r="W17" s="189">
        <f>INDEX('18 KMP- Tháng'!$R$6:$AC$24,MATCH($A17,'18 KMP- Tháng'!$A$6:$A$24,0),MATCH(W$7,'18 KMP- Tháng'!$R$2:$AC$2,0))</f>
        <v>295.18419499999999</v>
      </c>
      <c r="X17" s="189">
        <f>INDEX('18 KMP- Tháng'!$R$6:$AC$24,MATCH($A17,'18 KMP- Tháng'!$A$6:$A$24,0),MATCH(X$7,'18 KMP- Tháng'!$R$2:$AC$2,0))</f>
        <v>186.81335799999999</v>
      </c>
      <c r="Y17" s="189">
        <f>INDEX('18 KMP- Tháng'!$R$6:$AC$24,MATCH($A17,'18 KMP- Tháng'!$A$6:$A$24,0),MATCH(Y$7,'18 KMP- Tháng'!$R$2:$AC$2,0))</f>
        <v>232.26438400000001</v>
      </c>
      <c r="Z17" s="189">
        <f>INDEX('18 KMP- Tháng'!$R$6:$AC$24,MATCH($A17,'18 KMP- Tháng'!$A$6:$A$24,0),MATCH(Z$7,'18 KMP- Tháng'!$R$2:$AC$2,0))</f>
        <v>145.066621</v>
      </c>
      <c r="AA17" s="189">
        <f>INDEX('18 KMP- Tháng'!$R$6:$AC$24,MATCH($A17,'18 KMP- Tháng'!$A$6:$A$24,0),MATCH(AA$7,'18 KMP- Tháng'!$R$2:$AC$2,0))</f>
        <v>272.26879300000002</v>
      </c>
      <c r="AB17" s="189">
        <f>INDEX('18 KMP- Tháng'!$R$6:$AC$24,MATCH($A17,'18 KMP- Tháng'!$A$6:$A$24,0),MATCH(AB$7,'18 KMP- Tháng'!$R$2:$AC$2,0))</f>
        <v>272.19795499999998</v>
      </c>
      <c r="AC17" s="344">
        <f>INDEX('18 KMP- Tháng'!$R$6:$AC$24,MATCH($A17,'18 KMP- Tháng'!$A$6:$A$24,0),MATCH(AC$7,'18 KMP- Tháng'!$R$2:$AC$2,0))</f>
        <v>306.84791300000001</v>
      </c>
      <c r="AD17" s="362">
        <f t="shared" si="10"/>
        <v>222.55294691666668</v>
      </c>
      <c r="AE17" s="353">
        <f>INDEX('18 KMP- Tháng'!$AF$6:$AQ$29,MATCH($A17,'18 KMP- Tháng'!$A$6:$A$29,0),MATCH(AE$7,'18 KMP- Tháng'!$AF$2:$AQ$2,0))</f>
        <v>210.76331500000001</v>
      </c>
      <c r="AF17" s="189">
        <f>INDEX('18 KMP- Tháng'!$AF$6:$AQ$29,MATCH($A17,'18 KMP- Tháng'!$A$6:$A$29,0),MATCH(AF$7,'18 KMP- Tháng'!$AF$2:$AQ$2,0))</f>
        <v>188.40178499999999</v>
      </c>
      <c r="AG17" s="189">
        <f>INDEX('18 KMP- Tháng'!$AF$6:$AQ$29,MATCH($A17,'18 KMP- Tháng'!$A$6:$A$29,0),MATCH(AG$7,'18 KMP- Tháng'!$AF$2:$AQ$2,0))</f>
        <v>282.89573000000001</v>
      </c>
      <c r="AH17" s="189">
        <f>INDEX('18 KMP- Tháng'!$AF$6:$AQ$29,MATCH($A17,'18 KMP- Tháng'!$A$6:$A$29,0),MATCH(AH$7,'18 KMP- Tháng'!$AF$2:$AQ$2,0))</f>
        <v>195.67146099999999</v>
      </c>
      <c r="AI17" s="189">
        <f>INDEX('18 KMP- Tháng'!$AF$6:$AQ$29,MATCH($A17,'18 KMP- Tháng'!$A$6:$A$29,0),MATCH(AI$7,'18 KMP- Tháng'!$AF$2:$AQ$2,0))</f>
        <v>294.51892900000001</v>
      </c>
      <c r="AJ17" s="189">
        <f>INDEX('18 KMP- Tháng'!$AF$6:$AQ$29,MATCH($A17,'18 KMP- Tháng'!$A$6:$A$29,0),MATCH(AJ$7,'18 KMP- Tháng'!$AF$2:$AQ$2,0))</f>
        <v>310.99886800000002</v>
      </c>
      <c r="AK17" s="189">
        <f>INDEX('18 KMP- Tháng'!$AF$6:$AQ$29,MATCH($A17,'18 KMP- Tháng'!$A$6:$A$29,0),MATCH(AK$7,'18 KMP- Tháng'!$AF$2:$AQ$2,0))</f>
        <v>473.82858199999998</v>
      </c>
      <c r="AL17" s="189">
        <f>INDEX('18 KMP- Tháng'!$AF$6:$AQ$29,MATCH($A17,'18 KMP- Tháng'!$A$6:$A$29,0),MATCH(AL$7,'18 KMP- Tháng'!$AF$2:$AQ$2,0))</f>
        <v>440.19381600000003</v>
      </c>
      <c r="AM17" s="189">
        <f>INDEX('18 KMP- Tháng'!$AF$6:$AQ$29,MATCH($A17,'18 KMP- Tháng'!$A$6:$A$29,0),MATCH(AM$7,'18 KMP- Tháng'!$AF$2:$AQ$2,0))</f>
        <v>448.54735499999998</v>
      </c>
      <c r="AN17" s="189">
        <f>INDEX('18 KMP- Tháng'!$AF$6:$AQ$29,MATCH($A17,'18 KMP- Tháng'!$A$6:$A$29,0),MATCH(AN$7,'18 KMP- Tháng'!$AF$2:$AQ$2,0))</f>
        <v>466.49071500000002</v>
      </c>
      <c r="AO17" s="189">
        <f>INDEX('18 KMP- Tháng'!$AF$6:$AQ$29,MATCH($A17,'18 KMP- Tháng'!$A$6:$A$29,0),MATCH(AO$7,'18 KMP- Tháng'!$AF$2:$AQ$2,0))</f>
        <v>176.16390100000001</v>
      </c>
      <c r="AP17" s="344">
        <f>INDEX('18 KMP- Tháng'!$AF$6:$AQ$29,MATCH($A17,'18 KMP- Tháng'!$A$6:$A$29,0),MATCH(AP$7,'18 KMP- Tháng'!$AF$2:$AQ$2,0))</f>
        <v>280.28190499999999</v>
      </c>
      <c r="AQ17" s="582">
        <f t="shared" si="11"/>
        <v>314.06303016666669</v>
      </c>
      <c r="AR17" s="353">
        <f t="shared" si="12"/>
        <v>3768.7563620000001</v>
      </c>
      <c r="AS17" s="353">
        <f>INDEX('18 KMP- Tháng'!$BH$6:$BS$29,MATCH($A17,'18 KMP- Tháng'!$A$6:$A$29,0),MATCH(AS$7,'18 KMP- Tháng'!$BH$2:$BS$2,0))</f>
        <v>452.49026332727141</v>
      </c>
      <c r="AT17" s="189">
        <f>INDEX('18 KMP- Tháng'!$BH$6:$BS$29,MATCH($A17,'18 KMP- Tháng'!$A$6:$A$29,0),MATCH(AT$7,'18 KMP- Tháng'!$BH$2:$BS$2,0))</f>
        <v>361.99221066181713</v>
      </c>
      <c r="AU17" s="189">
        <f>INDEX('18 KMP- Tháng'!$BH$6:$BS$29,MATCH($A17,'18 KMP- Tháng'!$A$6:$A$29,0),MATCH(AU$7,'18 KMP- Tháng'!$BH$2:$BS$2,0))</f>
        <v>471.88270318415442</v>
      </c>
      <c r="AV17" s="189">
        <f>INDEX('18 KMP- Tháng'!$BH$6:$BS$29,MATCH($A17,'18 KMP- Tháng'!$A$6:$A$29,0),MATCH(AV$7,'18 KMP- Tháng'!$BH$2:$BS$2,0))</f>
        <v>471.88270318415442</v>
      </c>
      <c r="AW17" s="189">
        <f>INDEX('18 KMP- Tháng'!$BH$6:$BS$29,MATCH($A17,'18 KMP- Tháng'!$A$6:$A$29,0),MATCH(AW$7,'18 KMP- Tháng'!$BH$2:$BS$2,0))</f>
        <v>471.88270318415442</v>
      </c>
      <c r="AX17" s="189">
        <f>INDEX('18 KMP- Tháng'!$BH$6:$BS$29,MATCH($A17,'18 KMP- Tháng'!$A$6:$A$29,0),MATCH(AX$7,'18 KMP- Tháng'!$BH$2:$BS$2,0))</f>
        <v>471.88270318415442</v>
      </c>
      <c r="AY17" s="189">
        <f>INDEX('18 KMP- Tháng'!$BH$6:$BS$29,MATCH($A17,'18 KMP- Tháng'!$A$6:$A$29,0),MATCH(AY$7,'18 KMP- Tháng'!$BH$2:$BS$2,0))</f>
        <v>496.89225642207646</v>
      </c>
      <c r="AZ17" s="189">
        <f>INDEX('18 KMP- Tháng'!$BH$6:$BS$29,MATCH($A17,'18 KMP- Tháng'!$A$6:$A$29,0),MATCH(AZ$7,'18 KMP- Tháng'!$BH$2:$BS$2,0))</f>
        <v>496.89225642207646</v>
      </c>
      <c r="BA17" s="189">
        <f>INDEX('18 KMP- Tháng'!$BH$6:$BS$29,MATCH($A17,'18 KMP- Tháng'!$A$6:$A$29,0),MATCH(BA$7,'18 KMP- Tháng'!$BH$2:$BS$2,0))</f>
        <v>496.89225642207646</v>
      </c>
      <c r="BB17" s="189">
        <f>INDEX('18 KMP- Tháng'!$BH$6:$BS$29,MATCH($A17,'18 KMP- Tháng'!$A$6:$A$29,0),MATCH(BB$7,'18 KMP- Tháng'!$BH$2:$BS$2,0))</f>
        <v>496.89225642207646</v>
      </c>
      <c r="BC17" s="189">
        <f>INDEX('18 KMP- Tháng'!$BH$6:$BS$29,MATCH($A17,'18 KMP- Tháng'!$A$6:$A$29,0),MATCH(BC$7,'18 KMP- Tháng'!$BH$2:$BS$2,0))</f>
        <v>496.89225642207646</v>
      </c>
      <c r="BD17" s="344">
        <f>INDEX('18 KMP- Tháng'!$BH$6:$BS$29,MATCH($A17,'18 KMP- Tháng'!$A$6:$A$29,0),MATCH(BD$7,'18 KMP- Tháng'!$BH$2:$BS$2,0))</f>
        <v>496.89225642207646</v>
      </c>
      <c r="BE17" s="362">
        <f t="shared" si="7"/>
        <v>473.61390210484711</v>
      </c>
      <c r="BF17" s="353">
        <f>INDEX('18 KMP- Tháng'!$AS$6:$BD$29,MATCH($A17,'18 KMP- Tháng'!$A$6:$A$29,0),MATCH(BF$7,'18 KMP- Tháng'!$AS$2:$BD$2,0))</f>
        <v>252.349603</v>
      </c>
      <c r="BG17" s="189">
        <f>INDEX('18 KMP- Tháng'!$AS$6:$BD$29,MATCH($A17,'18 KMP- Tháng'!$A$6:$A$29,0),MATCH(BG$7,'18 KMP- Tháng'!$AS$2:$BD$2,0))</f>
        <v>80.021953999999994</v>
      </c>
      <c r="BH17" s="189">
        <f>INDEX('18 KMP- Tháng'!$AS$6:$BD$29,MATCH($A17,'18 KMP- Tháng'!$A$6:$A$29,0),MATCH(BH$7,'18 KMP- Tháng'!$AS$2:$BD$2,0))</f>
        <v>348.78599300000002</v>
      </c>
      <c r="BI17" s="189">
        <f>INDEX('18 KMP- Tháng'!$AS$6:$BD$29,MATCH($A17,'18 KMP- Tháng'!$A$6:$A$29,0),MATCH(BI$7,'18 KMP- Tháng'!$AS$2:$BD$2,0))</f>
        <v>458.30997000000002</v>
      </c>
      <c r="BJ17" s="189">
        <f>INDEX('18 KMP- Tháng'!$AS$6:$BD$29,MATCH($A17,'18 KMP- Tháng'!$A$6:$A$29,0),MATCH(BJ$7,'18 KMP- Tháng'!$AS$2:$BD$2,0))</f>
        <v>385.67558700000001</v>
      </c>
      <c r="BK17" s="189">
        <f>INDEX('18 KMP- Tháng'!$AS$6:$BD$29,MATCH($A17,'18 KMP- Tháng'!$A$6:$A$29,0),MATCH(BK$7,'18 KMP- Tháng'!$AS$2:$BD$2,0))</f>
        <v>410.53511700000001</v>
      </c>
      <c r="BL17" s="189">
        <f>INDEX('18 KMP- Tháng'!$AS$6:$BD$29,MATCH($A17,'18 KMP- Tháng'!$A$6:$A$29,0),MATCH(BL$7,'18 KMP- Tháng'!$AS$2:$BD$2,0))</f>
        <v>0</v>
      </c>
      <c r="BM17" s="189">
        <f>INDEX('18 KMP- Tháng'!$AS$6:$BD$29,MATCH($A17,'18 KMP- Tháng'!$A$6:$A$29,0),MATCH(BM$7,'18 KMP- Tháng'!$AS$2:$BD$2,0))</f>
        <v>0</v>
      </c>
      <c r="BN17" s="189">
        <f>INDEX('18 KMP- Tháng'!$AS$6:$BD$29,MATCH($A17,'18 KMP- Tháng'!$A$6:$A$29,0),MATCH(BN$7,'18 KMP- Tháng'!$AS$2:$BD$2,0))</f>
        <v>0</v>
      </c>
      <c r="BO17" s="189">
        <f>INDEX('18 KMP- Tháng'!$AS$6:$BD$29,MATCH($A17,'18 KMP- Tháng'!$A$6:$A$29,0),MATCH(BO$7,'18 KMP- Tháng'!$AS$2:$BD$2,0))</f>
        <v>0</v>
      </c>
      <c r="BP17" s="189">
        <f>INDEX('18 KMP- Tháng'!$AS$6:$BD$29,MATCH($A17,'18 KMP- Tháng'!$A$6:$A$29,0),MATCH(BP$7,'18 KMP- Tháng'!$AS$2:$BD$2,0))</f>
        <v>0</v>
      </c>
      <c r="BQ17" s="344">
        <f>INDEX('18 KMP- Tháng'!$AS$6:$BD$29,MATCH($A17,'18 KMP- Tháng'!$A$6:$A$29,0),MATCH(BQ$7,'18 KMP- Tháng'!$AS$2:$BD$2,0))</f>
        <v>0</v>
      </c>
      <c r="BR17" s="582">
        <f t="shared" si="13"/>
        <v>322.61303733333335</v>
      </c>
      <c r="BS17" s="353">
        <f t="shared" si="14"/>
        <v>1935.6782240000002</v>
      </c>
      <c r="BT17" s="184">
        <f t="shared" si="8"/>
        <v>-0.13000600736198886</v>
      </c>
      <c r="BU17" s="190">
        <f t="shared" si="9"/>
        <v>3.0147938538235301E-3</v>
      </c>
      <c r="BV17" s="983"/>
      <c r="BW17" s="983"/>
      <c r="BX17" s="983"/>
      <c r="BY17" s="983"/>
      <c r="BZ17" s="983"/>
      <c r="CA17" s="983"/>
      <c r="CB17" s="983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</row>
    <row r="18" spans="1:92" s="186" customFormat="1" x14ac:dyDescent="0.4">
      <c r="A18" s="174">
        <v>12</v>
      </c>
      <c r="B18" s="187">
        <f t="shared" si="15"/>
        <v>9</v>
      </c>
      <c r="C18" s="188" t="s">
        <v>96</v>
      </c>
      <c r="D18" s="188" t="s">
        <v>42</v>
      </c>
      <c r="E18" s="189">
        <f>INDEX('18 KMP- Tháng'!$E$6:$Q$29,MATCH($A18,'18 KMP- Tháng'!$A$6:$A$29,0),MATCH(E$7,'18 KMP- Tháng'!$E$2:$P$2,0))</f>
        <v>92.851895999999996</v>
      </c>
      <c r="F18" s="189">
        <f>INDEX('18 KMP- Tháng'!$E$6:$Q$29,MATCH($A18,'18 KMP- Tháng'!$A$6:$A$29,0),MATCH(F$7,'18 KMP- Tháng'!$E$2:$P$2,0))</f>
        <v>113.22258100000001</v>
      </c>
      <c r="G18" s="189">
        <f>INDEX('18 KMP- Tháng'!$E$6:$Q$29,MATCH($A18,'18 KMP- Tháng'!$A$6:$A$29,0),MATCH(G$7,'18 KMP- Tháng'!$E$2:$P$2,0))</f>
        <v>159.68341899999999</v>
      </c>
      <c r="H18" s="189">
        <f>INDEX('18 KMP- Tháng'!$E$6:$Q$29,MATCH($A18,'18 KMP- Tháng'!$A$6:$A$29,0),MATCH(H$7,'18 KMP- Tháng'!$E$2:$P$2,0))</f>
        <v>108.30909699999999</v>
      </c>
      <c r="I18" s="189">
        <f>INDEX('18 KMP- Tháng'!$E$6:$Q$29,MATCH($A18,'18 KMP- Tháng'!$A$6:$A$29,0),MATCH(I$7,'18 KMP- Tháng'!$E$2:$P$2,0))</f>
        <v>162.76302200000001</v>
      </c>
      <c r="J18" s="189">
        <f>INDEX('18 KMP- Tháng'!$E$6:$Q$29,MATCH($A18,'18 KMP- Tháng'!$A$6:$A$29,0),MATCH(J$7,'18 KMP- Tháng'!$E$2:$P$2,0))</f>
        <v>193.360625</v>
      </c>
      <c r="K18" s="189">
        <f>INDEX('18 KMP- Tháng'!$E$6:$Q$29,MATCH($A18,'18 KMP- Tháng'!$A$6:$A$29,0),MATCH(K$7,'18 KMP- Tháng'!$E$2:$P$2,0))</f>
        <v>135.11064500000001</v>
      </c>
      <c r="L18" s="189">
        <f>INDEX('18 KMP- Tháng'!$E$6:$Q$29,MATCH($A18,'18 KMP- Tháng'!$A$6:$A$29,0),MATCH(L$7,'18 KMP- Tháng'!$E$2:$P$2,0))</f>
        <v>93.960159000000004</v>
      </c>
      <c r="M18" s="189">
        <f>INDEX('18 KMP- Tháng'!$E$6:$Q$29,MATCH($A18,'18 KMP- Tháng'!$A$6:$A$29,0),MATCH(M$7,'18 KMP- Tháng'!$E$2:$P$2,0))</f>
        <v>59.163989999999998</v>
      </c>
      <c r="N18" s="189">
        <f>INDEX('18 KMP- Tháng'!$E$6:$Q$29,MATCH($A18,'18 KMP- Tháng'!$A$6:$A$29,0),MATCH(N$7,'18 KMP- Tháng'!$E$2:$P$2,0))</f>
        <v>55.902678999999999</v>
      </c>
      <c r="O18" s="189">
        <f>INDEX('18 KMP- Tháng'!$E$6:$Q$29,MATCH($A18,'18 KMP- Tháng'!$A$6:$A$29,0),MATCH(O$7,'18 KMP- Tháng'!$E$2:$P$2,0))</f>
        <v>50.242654999999999</v>
      </c>
      <c r="P18" s="344">
        <f>INDEX('18 KMP- Tháng'!$E$6:$Q$29,MATCH($A18,'18 KMP- Tháng'!$A$6:$A$29,0),MATCH(P$7,'18 KMP- Tháng'!$E$2:$P$2,0))</f>
        <v>118.635864</v>
      </c>
      <c r="Q18" s="362">
        <f t="shared" si="6"/>
        <v>111.93388600000002</v>
      </c>
      <c r="R18" s="189">
        <f>INDEX('18 KMP- Tháng'!$R$6:$AC$24,MATCH($A18,'18 KMP- Tháng'!$A$6:$A$24,0),MATCH(R$7,'18 KMP- Tháng'!$R$2:$AC$2,0))</f>
        <v>69.344239000000002</v>
      </c>
      <c r="S18" s="189">
        <f>INDEX('18 KMP- Tháng'!$R$6:$AC$24,MATCH($A18,'18 KMP- Tháng'!$A$6:$A$24,0),MATCH(S$7,'18 KMP- Tháng'!$R$2:$AC$2,0))</f>
        <v>65.696956</v>
      </c>
      <c r="T18" s="189">
        <f>INDEX('18 KMP- Tháng'!$R$6:$AC$24,MATCH($A18,'18 KMP- Tháng'!$A$6:$A$24,0),MATCH(T$7,'18 KMP- Tháng'!$R$2:$AC$2,0))</f>
        <v>71.977480999999997</v>
      </c>
      <c r="U18" s="189">
        <f>INDEX('18 KMP- Tháng'!$R$6:$AC$24,MATCH($A18,'18 KMP- Tháng'!$A$6:$A$24,0),MATCH(U$7,'18 KMP- Tháng'!$R$2:$AC$2,0))+67</f>
        <v>154.504536</v>
      </c>
      <c r="V18" s="189">
        <f>INDEX('18 KMP- Tháng'!$R$6:$AC$24,MATCH($A18,'18 KMP- Tháng'!$A$6:$A$24,0),MATCH(V$7,'18 KMP- Tháng'!$R$2:$AC$2,0))-67</f>
        <v>114.65412699999999</v>
      </c>
      <c r="W18" s="189">
        <f>INDEX('18 KMP- Tháng'!$R$6:$AC$24,MATCH($A18,'18 KMP- Tháng'!$A$6:$A$24,0),MATCH(W$7,'18 KMP- Tháng'!$R$2:$AC$2,0))</f>
        <v>81.847181000000006</v>
      </c>
      <c r="X18" s="189">
        <f>INDEX('18 KMP- Tháng'!$R$6:$AC$24,MATCH($A18,'18 KMP- Tháng'!$A$6:$A$24,0),MATCH(X$7,'18 KMP- Tháng'!$R$2:$AC$2,0))</f>
        <v>73.038004000000001</v>
      </c>
      <c r="Y18" s="189">
        <f>INDEX('18 KMP- Tháng'!$R$6:$AC$24,MATCH($A18,'18 KMP- Tháng'!$A$6:$A$24,0),MATCH(Y$7,'18 KMP- Tháng'!$R$2:$AC$2,0))</f>
        <v>79.525662999999994</v>
      </c>
      <c r="Z18" s="189">
        <f>INDEX('18 KMP- Tháng'!$R$6:$AC$24,MATCH($A18,'18 KMP- Tháng'!$A$6:$A$24,0),MATCH(Z$7,'18 KMP- Tháng'!$R$2:$AC$2,0))</f>
        <v>60.357999999999997</v>
      </c>
      <c r="AA18" s="189">
        <f>INDEX('18 KMP- Tháng'!$R$6:$AC$24,MATCH($A18,'18 KMP- Tháng'!$A$6:$A$24,0),MATCH(AA$7,'18 KMP- Tháng'!$R$2:$AC$2,0))</f>
        <v>87.399765000000002</v>
      </c>
      <c r="AB18" s="189">
        <f>INDEX('18 KMP- Tháng'!$R$6:$AC$24,MATCH($A18,'18 KMP- Tháng'!$A$6:$A$24,0),MATCH(AB$7,'18 KMP- Tháng'!$R$2:$AC$2,0))</f>
        <v>74.767274</v>
      </c>
      <c r="AC18" s="344">
        <f>INDEX('18 KMP- Tháng'!$R$6:$AC$24,MATCH($A18,'18 KMP- Tháng'!$A$6:$A$24,0),MATCH(AC$7,'18 KMP- Tháng'!$R$2:$AC$2,0))</f>
        <v>71.777555000000007</v>
      </c>
      <c r="AD18" s="362">
        <f t="shared" si="10"/>
        <v>83.740898416666667</v>
      </c>
      <c r="AE18" s="353">
        <f>INDEX('18 KMP- Tháng'!$AF$6:$AQ$29,MATCH($A18,'18 KMP- Tháng'!$A$6:$A$29,0),MATCH(AE$7,'18 KMP- Tháng'!$AF$2:$AQ$2,0))</f>
        <v>45.727381999999999</v>
      </c>
      <c r="AF18" s="189">
        <f>INDEX('18 KMP- Tháng'!$AF$6:$AQ$29,MATCH($A18,'18 KMP- Tháng'!$A$6:$A$29,0),MATCH(AF$7,'18 KMP- Tháng'!$AF$2:$AQ$2,0))</f>
        <v>53.042850000000001</v>
      </c>
      <c r="AG18" s="189">
        <f>INDEX('18 KMP- Tháng'!$AF$6:$AQ$29,MATCH($A18,'18 KMP- Tháng'!$A$6:$A$29,0),MATCH(AG$7,'18 KMP- Tháng'!$AF$2:$AQ$2,0))</f>
        <v>68.456312999999994</v>
      </c>
      <c r="AH18" s="189">
        <f>INDEX('18 KMP- Tháng'!$AF$6:$AQ$29,MATCH($A18,'18 KMP- Tháng'!$A$6:$A$29,0),MATCH(AH$7,'18 KMP- Tháng'!$AF$2:$AQ$2,0))</f>
        <v>99.335018000000005</v>
      </c>
      <c r="AI18" s="189">
        <f>INDEX('18 KMP- Tháng'!$AF$6:$AQ$29,MATCH($A18,'18 KMP- Tháng'!$A$6:$A$29,0),MATCH(AI$7,'18 KMP- Tháng'!$AF$2:$AQ$2,0))</f>
        <v>84.974800999999999</v>
      </c>
      <c r="AJ18" s="189">
        <f>INDEX('18 KMP- Tháng'!$AF$6:$AQ$29,MATCH($A18,'18 KMP- Tháng'!$A$6:$A$29,0),MATCH(AJ$7,'18 KMP- Tháng'!$AF$2:$AQ$2,0))</f>
        <v>72.702527000000003</v>
      </c>
      <c r="AK18" s="189">
        <f>INDEX('18 KMP- Tháng'!$AF$6:$AQ$29,MATCH($A18,'18 KMP- Tháng'!$A$6:$A$29,0),MATCH(AK$7,'18 KMP- Tháng'!$AF$2:$AQ$2,0))</f>
        <v>138.852576</v>
      </c>
      <c r="AL18" s="189">
        <f>INDEX('18 KMP- Tháng'!$AF$6:$AQ$29,MATCH($A18,'18 KMP- Tháng'!$A$6:$A$29,0),MATCH(AL$7,'18 KMP- Tháng'!$AF$2:$AQ$2,0))</f>
        <v>95.803742</v>
      </c>
      <c r="AM18" s="189">
        <f>INDEX('18 KMP- Tháng'!$AF$6:$AQ$29,MATCH($A18,'18 KMP- Tháng'!$A$6:$A$29,0),MATCH(AM$7,'18 KMP- Tháng'!$AF$2:$AQ$2,0))</f>
        <v>141.52082899999999</v>
      </c>
      <c r="AN18" s="189">
        <f>INDEX('18 KMP- Tháng'!$AF$6:$AQ$29,MATCH($A18,'18 KMP- Tháng'!$A$6:$A$29,0),MATCH(AN$7,'18 KMP- Tháng'!$AF$2:$AQ$2,0))</f>
        <v>136.74355199999999</v>
      </c>
      <c r="AO18" s="189">
        <f>INDEX('18 KMP- Tháng'!$AF$6:$AQ$29,MATCH($A18,'18 KMP- Tháng'!$A$6:$A$29,0),MATCH(AO$7,'18 KMP- Tháng'!$AF$2:$AQ$2,0))</f>
        <v>54.052813</v>
      </c>
      <c r="AP18" s="344">
        <f>INDEX('18 KMP- Tháng'!$AF$6:$AQ$29,MATCH($A18,'18 KMP- Tháng'!$A$6:$A$29,0),MATCH(AP$7,'18 KMP- Tháng'!$AF$2:$AQ$2,0))</f>
        <v>79.987669999999994</v>
      </c>
      <c r="AQ18" s="582">
        <f t="shared" si="11"/>
        <v>89.266672750000012</v>
      </c>
      <c r="AR18" s="353">
        <f t="shared" si="12"/>
        <v>1071.2000730000002</v>
      </c>
      <c r="AS18" s="353">
        <f>INDEX('18 KMP- Tháng'!$BH$6:$BS$29,MATCH($A18,'18 KMP- Tháng'!$A$6:$A$29,0),MATCH(AS$7,'18 KMP- Tháng'!$BH$2:$BS$2,0))</f>
        <v>117.85857906666668</v>
      </c>
      <c r="AT18" s="189">
        <f>INDEX('18 KMP- Tháng'!$BH$6:$BS$29,MATCH($A18,'18 KMP- Tháng'!$A$6:$A$29,0),MATCH(AT$7,'18 KMP- Tháng'!$BH$2:$BS$2,0))</f>
        <v>130.10857906666666</v>
      </c>
      <c r="AU18" s="189">
        <f>INDEX('18 KMP- Tháng'!$BH$6:$BS$29,MATCH($A18,'18 KMP- Tháng'!$A$6:$A$29,0),MATCH(AU$7,'18 KMP- Tháng'!$BH$2:$BS$2,0))</f>
        <v>125.92056526666669</v>
      </c>
      <c r="AV18" s="189">
        <f>INDEX('18 KMP- Tháng'!$BH$6:$BS$29,MATCH($A18,'18 KMP- Tháng'!$A$6:$A$29,0),MATCH(AV$7,'18 KMP- Tháng'!$BH$2:$BS$2,0))</f>
        <v>121.27056526666668</v>
      </c>
      <c r="AW18" s="189">
        <f>INDEX('18 KMP- Tháng'!$BH$6:$BS$29,MATCH($A18,'18 KMP- Tháng'!$A$6:$A$29,0),MATCH(AW$7,'18 KMP- Tháng'!$BH$2:$BS$2,0))</f>
        <v>122.35857906666668</v>
      </c>
      <c r="AX18" s="189">
        <f>INDEX('18 KMP- Tháng'!$BH$6:$BS$29,MATCH($A18,'18 KMP- Tháng'!$A$6:$A$29,0),MATCH(AX$7,'18 KMP- Tháng'!$BH$2:$BS$2,0))</f>
        <v>133.31656526666669</v>
      </c>
      <c r="AY18" s="189">
        <f>INDEX('18 KMP- Tháng'!$BH$6:$BS$29,MATCH($A18,'18 KMP- Tháng'!$A$6:$A$29,0),MATCH(AY$7,'18 KMP- Tháng'!$BH$2:$BS$2,0))</f>
        <v>125.77056526666668</v>
      </c>
      <c r="AZ18" s="189">
        <f>INDEX('18 KMP- Tháng'!$BH$6:$BS$29,MATCH($A18,'18 KMP- Tháng'!$A$6:$A$29,0),MATCH(AZ$7,'18 KMP- Tháng'!$BH$2:$BS$2,0))</f>
        <v>133.52056526666669</v>
      </c>
      <c r="BA18" s="189">
        <f>INDEX('18 KMP- Tháng'!$BH$6:$BS$29,MATCH($A18,'18 KMP- Tháng'!$A$6:$A$29,0),MATCH(BA$7,'18 KMP- Tháng'!$BH$2:$BS$2,0))</f>
        <v>122.50857906666668</v>
      </c>
      <c r="BB18" s="189">
        <f>INDEX('18 KMP- Tháng'!$BH$6:$BS$29,MATCH($A18,'18 KMP- Tháng'!$A$6:$A$29,0),MATCH(BB$7,'18 KMP- Tháng'!$BH$2:$BS$2,0))</f>
        <v>133.52056526666669</v>
      </c>
      <c r="BC18" s="189">
        <f>INDEX('18 KMP- Tháng'!$BH$6:$BS$29,MATCH($A18,'18 KMP- Tháng'!$A$6:$A$29,0),MATCH(BC$7,'18 KMP- Tháng'!$BH$2:$BS$2,0))</f>
        <v>121.27056526666668</v>
      </c>
      <c r="BD18" s="344">
        <f>INDEX('18 KMP- Tháng'!$BH$6:$BS$29,MATCH($A18,'18 KMP- Tháng'!$A$6:$A$29,0),MATCH(BD$7,'18 KMP- Tháng'!$BH$2:$BS$2,0))</f>
        <v>117.85857906666668</v>
      </c>
      <c r="BE18" s="362">
        <f t="shared" si="7"/>
        <v>125.44023768333334</v>
      </c>
      <c r="BF18" s="353">
        <f>INDEX('18 KMP- Tháng'!$AS$6:$BD$29,MATCH($A18,'18 KMP- Tháng'!$A$6:$A$29,0),MATCH(BF$7,'18 KMP- Tháng'!$AS$2:$BD$2,0))</f>
        <v>70.029363000000004</v>
      </c>
      <c r="BG18" s="189">
        <f>INDEX('18 KMP- Tháng'!$AS$6:$BD$29,MATCH($A18,'18 KMP- Tháng'!$A$6:$A$29,0),MATCH(BG$7,'18 KMP- Tháng'!$AS$2:$BD$2,0))</f>
        <v>41.454301999999998</v>
      </c>
      <c r="BH18" s="189">
        <f>INDEX('18 KMP- Tháng'!$AS$6:$BD$29,MATCH($A18,'18 KMP- Tháng'!$A$6:$A$29,0),MATCH(BH$7,'18 KMP- Tháng'!$AS$2:$BD$2,0))</f>
        <v>99.310658000000004</v>
      </c>
      <c r="BI18" s="189">
        <f>INDEX('18 KMP- Tháng'!$AS$6:$BD$29,MATCH($A18,'18 KMP- Tháng'!$A$6:$A$29,0),MATCH(BI$7,'18 KMP- Tháng'!$AS$2:$BD$2,0))</f>
        <v>109.596222</v>
      </c>
      <c r="BJ18" s="189">
        <f>INDEX('18 KMP- Tháng'!$AS$6:$BD$29,MATCH($A18,'18 KMP- Tháng'!$A$6:$A$29,0),MATCH(BJ$7,'18 KMP- Tháng'!$AS$2:$BD$2,0))</f>
        <v>84.135278</v>
      </c>
      <c r="BK18" s="189">
        <f>INDEX('18 KMP- Tháng'!$AS$6:$BD$29,MATCH($A18,'18 KMP- Tháng'!$A$6:$A$29,0),MATCH(BK$7,'18 KMP- Tháng'!$AS$2:$BD$2,0))</f>
        <v>109.34716400000001</v>
      </c>
      <c r="BL18" s="189">
        <f>INDEX('18 KMP- Tháng'!$AS$6:$BD$29,MATCH($A18,'18 KMP- Tháng'!$A$6:$A$29,0),MATCH(BL$7,'18 KMP- Tháng'!$AS$2:$BD$2,0))</f>
        <v>0</v>
      </c>
      <c r="BM18" s="189">
        <f>INDEX('18 KMP- Tháng'!$AS$6:$BD$29,MATCH($A18,'18 KMP- Tháng'!$A$6:$A$29,0),MATCH(BM$7,'18 KMP- Tháng'!$AS$2:$BD$2,0))</f>
        <v>0</v>
      </c>
      <c r="BN18" s="189">
        <f>INDEX('18 KMP- Tháng'!$AS$6:$BD$29,MATCH($A18,'18 KMP- Tháng'!$A$6:$A$29,0),MATCH(BN$7,'18 KMP- Tháng'!$AS$2:$BD$2,0))</f>
        <v>0</v>
      </c>
      <c r="BO18" s="189">
        <f>INDEX('18 KMP- Tháng'!$AS$6:$BD$29,MATCH($A18,'18 KMP- Tháng'!$A$6:$A$29,0),MATCH(BO$7,'18 KMP- Tháng'!$AS$2:$BD$2,0))</f>
        <v>0</v>
      </c>
      <c r="BP18" s="189">
        <f>INDEX('18 KMP- Tháng'!$AS$6:$BD$29,MATCH($A18,'18 KMP- Tháng'!$A$6:$A$29,0),MATCH(BP$7,'18 KMP- Tháng'!$AS$2:$BD$2,0))</f>
        <v>0</v>
      </c>
      <c r="BQ18" s="344">
        <f>INDEX('18 KMP- Tháng'!$AS$6:$BD$29,MATCH($A18,'18 KMP- Tháng'!$A$6:$A$29,0),MATCH(BQ$7,'18 KMP- Tháng'!$AS$2:$BD$2,0))</f>
        <v>0</v>
      </c>
      <c r="BR18" s="582">
        <f t="shared" si="13"/>
        <v>85.645497833333351</v>
      </c>
      <c r="BS18" s="353">
        <f t="shared" si="14"/>
        <v>513.87298700000008</v>
      </c>
      <c r="BT18" s="184">
        <f t="shared" si="8"/>
        <v>-0.17979312037271467</v>
      </c>
      <c r="BU18" s="190">
        <f t="shared" si="9"/>
        <v>8.0035054568735947E-4</v>
      </c>
      <c r="BV18" s="983"/>
      <c r="BW18" s="983"/>
      <c r="BX18" s="983"/>
      <c r="BY18" s="983"/>
      <c r="BZ18" s="983"/>
      <c r="CA18" s="983"/>
      <c r="CB18" s="983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</row>
    <row r="19" spans="1:92" s="186" customFormat="1" x14ac:dyDescent="0.4">
      <c r="A19" s="174">
        <v>13</v>
      </c>
      <c r="B19" s="187">
        <f t="shared" si="15"/>
        <v>10</v>
      </c>
      <c r="C19" s="188" t="s">
        <v>96</v>
      </c>
      <c r="D19" s="188" t="s">
        <v>52</v>
      </c>
      <c r="E19" s="189">
        <f>INDEX('18 KMP- Tháng'!$E$6:$Q$29,MATCH($A19,'18 KMP- Tháng'!$A$6:$A$29,0),MATCH(E$7,'18 KMP- Tháng'!$E$2:$P$2,0))</f>
        <v>148.21799999999999</v>
      </c>
      <c r="F19" s="189">
        <f>INDEX('18 KMP- Tháng'!$E$6:$Q$29,MATCH($A19,'18 KMP- Tháng'!$A$6:$A$29,0),MATCH(F$7,'18 KMP- Tháng'!$E$2:$P$2,0))</f>
        <v>141.316</v>
      </c>
      <c r="G19" s="189">
        <f>INDEX('18 KMP- Tháng'!$E$6:$Q$29,MATCH($A19,'18 KMP- Tháng'!$A$6:$A$29,0),MATCH(G$7,'18 KMP- Tháng'!$E$2:$P$2,0))</f>
        <v>135.04400000000001</v>
      </c>
      <c r="H19" s="189">
        <f>INDEX('18 KMP- Tháng'!$E$6:$Q$29,MATCH($A19,'18 KMP- Tháng'!$A$6:$A$29,0),MATCH(H$7,'18 KMP- Tháng'!$E$2:$P$2,0))</f>
        <v>119.938</v>
      </c>
      <c r="I19" s="189">
        <f>INDEX('18 KMP- Tháng'!$E$6:$Q$29,MATCH($A19,'18 KMP- Tháng'!$A$6:$A$29,0),MATCH(I$7,'18 KMP- Tháng'!$E$2:$P$2,0))</f>
        <v>155.708</v>
      </c>
      <c r="J19" s="189">
        <f>INDEX('18 KMP- Tháng'!$E$6:$Q$29,MATCH($A19,'18 KMP- Tháng'!$A$6:$A$29,0),MATCH(J$7,'18 KMP- Tháng'!$E$2:$P$2,0))</f>
        <v>100.15600000000001</v>
      </c>
      <c r="K19" s="189">
        <f>INDEX('18 KMP- Tháng'!$E$6:$Q$29,MATCH($A19,'18 KMP- Tháng'!$A$6:$A$29,0),MATCH(K$7,'18 KMP- Tháng'!$E$2:$P$2,0))</f>
        <v>110.04</v>
      </c>
      <c r="L19" s="189">
        <f>INDEX('18 KMP- Tháng'!$E$6:$Q$29,MATCH($A19,'18 KMP- Tháng'!$A$6:$A$29,0),MATCH(L$7,'18 KMP- Tháng'!$E$2:$P$2,0))</f>
        <v>130.928</v>
      </c>
      <c r="M19" s="189">
        <f>INDEX('18 KMP- Tháng'!$E$6:$Q$29,MATCH($A19,'18 KMP- Tháng'!$A$6:$A$29,0),MATCH(M$7,'18 KMP- Tháng'!$E$2:$P$2,0))</f>
        <v>129.892</v>
      </c>
      <c r="N19" s="189">
        <f>INDEX('18 KMP- Tháng'!$E$6:$Q$29,MATCH($A19,'18 KMP- Tháng'!$A$6:$A$29,0),MATCH(N$7,'18 KMP- Tháng'!$E$2:$P$2,0))</f>
        <v>122.262</v>
      </c>
      <c r="O19" s="189">
        <f>INDEX('18 KMP- Tháng'!$E$6:$Q$29,MATCH($A19,'18 KMP- Tháng'!$A$6:$A$29,0),MATCH(O$7,'18 KMP- Tháng'!$E$2:$P$2,0))</f>
        <v>113.988</v>
      </c>
      <c r="P19" s="344">
        <f>INDEX('18 KMP- Tháng'!$E$6:$Q$29,MATCH($A19,'18 KMP- Tháng'!$A$6:$A$29,0),MATCH(P$7,'18 KMP- Tháng'!$E$2:$P$2,0))</f>
        <v>133.602</v>
      </c>
      <c r="Q19" s="362">
        <f t="shared" si="6"/>
        <v>128.42433333333335</v>
      </c>
      <c r="R19" s="189">
        <f>INDEX('18 KMP- Tháng'!$R$6:$AC$24,MATCH($A19,'18 KMP- Tháng'!$A$6:$A$24,0),MATCH(R$7,'18 KMP- Tháng'!$R$2:$AC$2,0))</f>
        <v>128.69919999999999</v>
      </c>
      <c r="S19" s="189">
        <f>INDEX('18 KMP- Tháng'!$R$6:$AC$24,MATCH($A19,'18 KMP- Tháng'!$A$6:$A$24,0),MATCH(S$7,'18 KMP- Tháng'!$R$2:$AC$2,0))</f>
        <v>113.8494</v>
      </c>
      <c r="T19" s="189">
        <f>INDEX('18 KMP- Tháng'!$R$6:$AC$24,MATCH($A19,'18 KMP- Tháng'!$A$6:$A$24,0),MATCH(T$7,'18 KMP- Tháng'!$R$2:$AC$2,0))</f>
        <v>139.7774</v>
      </c>
      <c r="U19" s="189">
        <f>INDEX('18 KMP- Tháng'!$R$6:$AC$24,MATCH($A19,'18 KMP- Tháng'!$A$6:$A$24,0),MATCH(U$7,'18 KMP- Tháng'!$R$2:$AC$2,0))</f>
        <v>145.8912</v>
      </c>
      <c r="V19" s="189">
        <f>INDEX('18 KMP- Tháng'!$R$6:$AC$24,MATCH($A19,'18 KMP- Tháng'!$A$6:$A$24,0),MATCH(V$7,'18 KMP- Tháng'!$R$2:$AC$2,0))</f>
        <v>130.57939999999999</v>
      </c>
      <c r="W19" s="189">
        <f>INDEX('18 KMP- Tháng'!$R$6:$AC$24,MATCH($A19,'18 KMP- Tháng'!$A$6:$A$24,0),MATCH(W$7,'18 KMP- Tháng'!$R$2:$AC$2,0))</f>
        <v>132.87960000000001</v>
      </c>
      <c r="X19" s="189">
        <f>INDEX('18 KMP- Tháng'!$R$6:$AC$24,MATCH($A19,'18 KMP- Tháng'!$A$6:$A$24,0),MATCH(X$7,'18 KMP- Tháng'!$R$2:$AC$2,0))</f>
        <v>102.1832</v>
      </c>
      <c r="Y19" s="189">
        <f>INDEX('18 KMP- Tháng'!$R$6:$AC$24,MATCH($A19,'18 KMP- Tháng'!$A$6:$A$24,0),MATCH(Y$7,'18 KMP- Tháng'!$R$2:$AC$2,0))</f>
        <v>108.79819999999999</v>
      </c>
      <c r="Z19" s="189">
        <f>INDEX('18 KMP- Tháng'!$R$6:$AC$24,MATCH($A19,'18 KMP- Tháng'!$A$6:$A$24,0),MATCH(Z$7,'18 KMP- Tháng'!$R$2:$AC$2,0))</f>
        <v>99.789199999999994</v>
      </c>
      <c r="AA19" s="189">
        <f>INDEX('18 KMP- Tháng'!$R$6:$AC$24,MATCH($A19,'18 KMP- Tháng'!$A$6:$A$24,0),MATCH(AA$7,'18 KMP- Tháng'!$R$2:$AC$2,0))</f>
        <v>126.86799999999999</v>
      </c>
      <c r="AB19" s="189">
        <f>INDEX('18 KMP- Tháng'!$R$6:$AC$24,MATCH($A19,'18 KMP- Tháng'!$A$6:$A$24,0),MATCH(AB$7,'18 KMP- Tháng'!$R$2:$AC$2,0))</f>
        <v>141.09059999999999</v>
      </c>
      <c r="AC19" s="344">
        <f>INDEX('18 KMP- Tháng'!$R$6:$AC$24,MATCH($A19,'18 KMP- Tháng'!$A$6:$A$24,0),MATCH(AC$7,'18 KMP- Tháng'!$R$2:$AC$2,0))</f>
        <v>125.4876</v>
      </c>
      <c r="AD19" s="362">
        <f t="shared" si="10"/>
        <v>124.65774999999998</v>
      </c>
      <c r="AE19" s="353">
        <f>INDEX('18 KMP- Tháng'!$AF$6:$AQ$29,MATCH($A19,'18 KMP- Tháng'!$A$6:$A$29,0),MATCH(AE$7,'18 KMP- Tháng'!$AF$2:$AQ$2,0))</f>
        <v>91.748999999999995</v>
      </c>
      <c r="AF19" s="189">
        <f>INDEX('18 KMP- Tháng'!$AF$6:$AQ$29,MATCH($A19,'18 KMP- Tháng'!$A$6:$A$29,0),MATCH(AF$7,'18 KMP- Tháng'!$AF$2:$AQ$2,0))</f>
        <v>140.29400000000001</v>
      </c>
      <c r="AG19" s="189">
        <f>INDEX('18 KMP- Tháng'!$AF$6:$AQ$29,MATCH($A19,'18 KMP- Tháng'!$A$6:$A$29,0),MATCH(AG$7,'18 KMP- Tháng'!$AF$2:$AQ$2,0))</f>
        <v>121.0202</v>
      </c>
      <c r="AH19" s="189">
        <f>INDEX('18 KMP- Tháng'!$AF$6:$AQ$29,MATCH($A19,'18 KMP- Tháng'!$A$6:$A$29,0),MATCH(AH$7,'18 KMP- Tháng'!$AF$2:$AQ$2,0))</f>
        <v>123.6284</v>
      </c>
      <c r="AI19" s="189">
        <f>INDEX('18 KMP- Tháng'!$AF$6:$AQ$29,MATCH($A19,'18 KMP- Tháng'!$A$6:$A$29,0),MATCH(AI$7,'18 KMP- Tháng'!$AF$2:$AQ$2,0))</f>
        <v>165.9742</v>
      </c>
      <c r="AJ19" s="189">
        <f>INDEX('18 KMP- Tháng'!$AF$6:$AQ$29,MATCH($A19,'18 KMP- Tháng'!$A$6:$A$29,0),MATCH(AJ$7,'18 KMP- Tháng'!$AF$2:$AQ$2,0))</f>
        <v>159.23320000000001</v>
      </c>
      <c r="AK19" s="189">
        <f>INDEX('18 KMP- Tháng'!$AF$6:$AQ$29,MATCH($A19,'18 KMP- Tháng'!$A$6:$A$29,0),MATCH(AK$7,'18 KMP- Tháng'!$AF$2:$AQ$2,0))</f>
        <v>167.01859999999999</v>
      </c>
      <c r="AL19" s="189">
        <f>INDEX('18 KMP- Tháng'!$AF$6:$AQ$29,MATCH($A19,'18 KMP- Tháng'!$A$6:$A$29,0),MATCH(AL$7,'18 KMP- Tháng'!$AF$2:$AQ$2,0))</f>
        <v>211.38460000000001</v>
      </c>
      <c r="AM19" s="189">
        <f>INDEX('18 KMP- Tháng'!$AF$6:$AQ$29,MATCH($A19,'18 KMP- Tháng'!$A$6:$A$29,0),MATCH(AM$7,'18 KMP- Tháng'!$AF$2:$AQ$2,0))</f>
        <v>180.1884</v>
      </c>
      <c r="AN19" s="189">
        <f>INDEX('18 KMP- Tháng'!$AF$6:$AQ$29,MATCH($A19,'18 KMP- Tháng'!$A$6:$A$29,0),MATCH(AN$7,'18 KMP- Tháng'!$AF$2:$AQ$2,0))</f>
        <v>189.19880000000001</v>
      </c>
      <c r="AO19" s="189">
        <f>INDEX('18 KMP- Tháng'!$AF$6:$AQ$29,MATCH($A19,'18 KMP- Tháng'!$A$6:$A$29,0),MATCH(AO$7,'18 KMP- Tháng'!$AF$2:$AQ$2,0))</f>
        <v>140.45779999999999</v>
      </c>
      <c r="AP19" s="344">
        <f>INDEX('18 KMP- Tháng'!$AF$6:$AQ$29,MATCH($A19,'18 KMP- Tháng'!$A$6:$A$29,0),MATCH(AP$7,'18 KMP- Tháng'!$AF$2:$AQ$2,0))</f>
        <v>136.7604</v>
      </c>
      <c r="AQ19" s="582">
        <f t="shared" si="11"/>
        <v>152.2423</v>
      </c>
      <c r="AR19" s="353">
        <f t="shared" si="12"/>
        <v>1826.9076</v>
      </c>
      <c r="AS19" s="353">
        <f>INDEX('18 KMP- Tháng'!$BH$6:$BS$29,MATCH($A19,'18 KMP- Tháng'!$A$6:$A$29,0),MATCH(AS$7,'18 KMP- Tháng'!$BH$2:$BS$2,0))</f>
        <v>220.10199959720003</v>
      </c>
      <c r="AT19" s="189">
        <f>INDEX('18 KMP- Tháng'!$BH$6:$BS$29,MATCH($A19,'18 KMP- Tháng'!$A$6:$A$29,0),MATCH(AT$7,'18 KMP- Tháng'!$BH$2:$BS$2,0))</f>
        <v>170.77461960160005</v>
      </c>
      <c r="AU19" s="189">
        <f>INDEX('18 KMP- Tháng'!$BH$6:$BS$29,MATCH($A19,'18 KMP- Tháng'!$A$6:$A$29,0),MATCH(AU$7,'18 KMP- Tháng'!$BH$2:$BS$2,0))</f>
        <v>220.10199959720003</v>
      </c>
      <c r="AV19" s="189">
        <f>INDEX('18 KMP- Tháng'!$BH$6:$BS$29,MATCH($A19,'18 KMP- Tháng'!$A$6:$A$29,0),MATCH(AV$7,'18 KMP- Tháng'!$BH$2:$BS$2,0))</f>
        <v>220.42946855720001</v>
      </c>
      <c r="AW19" s="189">
        <f>INDEX('18 KMP- Tháng'!$BH$6:$BS$29,MATCH($A19,'18 KMP- Tháng'!$A$6:$A$29,0),MATCH(AW$7,'18 KMP- Tháng'!$BH$2:$BS$2,0))</f>
        <v>221.48736581720004</v>
      </c>
      <c r="AX19" s="189">
        <f>INDEX('18 KMP- Tháng'!$BH$6:$BS$29,MATCH($A19,'18 KMP- Tháng'!$A$6:$A$29,0),MATCH(AX$7,'18 KMP- Tháng'!$BH$2:$BS$2,0))</f>
        <v>221.2636200572</v>
      </c>
      <c r="AY19" s="189">
        <f>INDEX('18 KMP- Tháng'!$BH$6:$BS$29,MATCH($A19,'18 KMP- Tháng'!$A$6:$A$29,0),MATCH(AY$7,'18 KMP- Tháng'!$BH$2:$BS$2,0))</f>
        <v>225.44506739720009</v>
      </c>
      <c r="AZ19" s="189">
        <f>INDEX('18 KMP- Tháng'!$BH$6:$BS$29,MATCH($A19,'18 KMP- Tháng'!$A$6:$A$29,0),MATCH(AZ$7,'18 KMP- Tháng'!$BH$2:$BS$2,0))</f>
        <v>225.44506739720009</v>
      </c>
      <c r="BA19" s="189">
        <f>INDEX('18 KMP- Tháng'!$BH$6:$BS$29,MATCH($A19,'18 KMP- Tháng'!$A$6:$A$29,0),MATCH(BA$7,'18 KMP- Tháng'!$BH$2:$BS$2,0))</f>
        <v>225.83180675720004</v>
      </c>
      <c r="BB19" s="189">
        <f>INDEX('18 KMP- Tháng'!$BH$6:$BS$29,MATCH($A19,'18 KMP- Tháng'!$A$6:$A$29,0),MATCH(BB$7,'18 KMP- Tháng'!$BH$2:$BS$2,0))</f>
        <v>225.36052769720007</v>
      </c>
      <c r="BC19" s="189">
        <f>INDEX('18 KMP- Tháng'!$BH$6:$BS$29,MATCH($A19,'18 KMP- Tháng'!$A$6:$A$29,0),MATCH(BC$7,'18 KMP- Tháng'!$BH$2:$BS$2,0))</f>
        <v>227.02158065720002</v>
      </c>
      <c r="BD19" s="344">
        <f>INDEX('18 KMP- Tháng'!$BH$6:$BS$29,MATCH($A19,'18 KMP- Tháng'!$A$6:$A$29,0),MATCH(BD$7,'18 KMP- Tháng'!$BH$2:$BS$2,0))</f>
        <v>225.36052769720007</v>
      </c>
      <c r="BE19" s="362">
        <f t="shared" si="7"/>
        <v>219.05197090256675</v>
      </c>
      <c r="BF19" s="353">
        <f>INDEX('18 KMP- Tháng'!$AS$6:$BD$29,MATCH($A19,'18 KMP- Tháng'!$A$6:$A$29,0),MATCH(BF$7,'18 KMP- Tháng'!$AS$2:$BD$2,0))</f>
        <v>111.7718</v>
      </c>
      <c r="BG19" s="189">
        <f>INDEX('18 KMP- Tháng'!$AS$6:$BD$29,MATCH($A19,'18 KMP- Tháng'!$A$6:$A$29,0),MATCH(BG$7,'18 KMP- Tháng'!$AS$2:$BD$2,0))</f>
        <v>79.503200000000007</v>
      </c>
      <c r="BH19" s="189">
        <f>INDEX('18 KMP- Tháng'!$AS$6:$BD$29,MATCH($A19,'18 KMP- Tháng'!$A$6:$A$29,0),MATCH(BH$7,'18 KMP- Tháng'!$AS$2:$BD$2,0))</f>
        <v>105.9534</v>
      </c>
      <c r="BI19" s="189">
        <f>INDEX('18 KMP- Tháng'!$AS$6:$BD$29,MATCH($A19,'18 KMP- Tháng'!$A$6:$A$29,0),MATCH(BI$7,'18 KMP- Tháng'!$AS$2:$BD$2,0))</f>
        <v>124.4894</v>
      </c>
      <c r="BJ19" s="189">
        <f>INDEX('18 KMP- Tháng'!$AS$6:$BD$29,MATCH($A19,'18 KMP- Tháng'!$A$6:$A$29,0),MATCH(BJ$7,'18 KMP- Tháng'!$AS$2:$BD$2,0))</f>
        <v>125.0844</v>
      </c>
      <c r="BK19" s="189">
        <f>INDEX('18 KMP- Tháng'!$AS$6:$BD$29,MATCH($A19,'18 KMP- Tháng'!$A$6:$A$29,0),MATCH(BK$7,'18 KMP- Tháng'!$AS$2:$BD$2,0))</f>
        <v>154.5292</v>
      </c>
      <c r="BL19" s="189">
        <f>INDEX('18 KMP- Tháng'!$AS$6:$BD$29,MATCH($A19,'18 KMP- Tháng'!$A$6:$A$29,0),MATCH(BL$7,'18 KMP- Tháng'!$AS$2:$BD$2,0))</f>
        <v>0</v>
      </c>
      <c r="BM19" s="189">
        <f>INDEX('18 KMP- Tháng'!$AS$6:$BD$29,MATCH($A19,'18 KMP- Tháng'!$A$6:$A$29,0),MATCH(BM$7,'18 KMP- Tháng'!$AS$2:$BD$2,0))</f>
        <v>0</v>
      </c>
      <c r="BN19" s="189">
        <f>INDEX('18 KMP- Tháng'!$AS$6:$BD$29,MATCH($A19,'18 KMP- Tháng'!$A$6:$A$29,0),MATCH(BN$7,'18 KMP- Tháng'!$AS$2:$BD$2,0))</f>
        <v>0</v>
      </c>
      <c r="BO19" s="189">
        <f>INDEX('18 KMP- Tháng'!$AS$6:$BD$29,MATCH($A19,'18 KMP- Tháng'!$A$6:$A$29,0),MATCH(BO$7,'18 KMP- Tháng'!$AS$2:$BD$2,0))</f>
        <v>0</v>
      </c>
      <c r="BP19" s="189">
        <f>INDEX('18 KMP- Tháng'!$AS$6:$BD$29,MATCH($A19,'18 KMP- Tháng'!$A$6:$A$29,0),MATCH(BP$7,'18 KMP- Tháng'!$AS$2:$BD$2,0))</f>
        <v>0</v>
      </c>
      <c r="BQ19" s="344">
        <f>INDEX('18 KMP- Tháng'!$AS$6:$BD$29,MATCH($A19,'18 KMP- Tháng'!$A$6:$A$29,0),MATCH(BQ$7,'18 KMP- Tháng'!$AS$2:$BD$2,0))</f>
        <v>0</v>
      </c>
      <c r="BR19" s="582">
        <f t="shared" si="13"/>
        <v>116.88856666666668</v>
      </c>
      <c r="BS19" s="353">
        <f t="shared" si="14"/>
        <v>701.33140000000003</v>
      </c>
      <c r="BT19" s="184">
        <f t="shared" si="8"/>
        <v>-0.30160593069908259</v>
      </c>
      <c r="BU19" s="190">
        <f t="shared" si="9"/>
        <v>1.0923146047715478E-3</v>
      </c>
      <c r="BV19" s="983"/>
      <c r="BW19" s="983"/>
      <c r="BX19" s="983"/>
      <c r="BY19" s="983"/>
      <c r="BZ19" s="983"/>
      <c r="CA19" s="983"/>
      <c r="CB19" s="983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</row>
    <row r="20" spans="1:92" s="186" customFormat="1" x14ac:dyDescent="0.4">
      <c r="A20" s="174">
        <v>14</v>
      </c>
      <c r="B20" s="187">
        <f t="shared" si="15"/>
        <v>11</v>
      </c>
      <c r="C20" s="193" t="s">
        <v>96</v>
      </c>
      <c r="D20" s="193" t="s">
        <v>55</v>
      </c>
      <c r="E20" s="194">
        <f>INDEX('18 KMP- Tháng'!$E$6:$Q$29,MATCH($A20,'18 KMP- Tháng'!$A$6:$A$29,0),MATCH(E$7,'18 KMP- Tháng'!$E$2:$P$2,0))</f>
        <v>0</v>
      </c>
      <c r="F20" s="194">
        <f>INDEX('18 KMP- Tháng'!$E$6:$Q$29,MATCH($A20,'18 KMP- Tháng'!$A$6:$A$29,0),MATCH(F$7,'18 KMP- Tháng'!$E$2:$P$2,0))</f>
        <v>0</v>
      </c>
      <c r="G20" s="194">
        <f>INDEX('18 KMP- Tháng'!$E$6:$Q$29,MATCH($A20,'18 KMP- Tháng'!$A$6:$A$29,0),MATCH(G$7,'18 KMP- Tháng'!$E$2:$P$2,0))</f>
        <v>0</v>
      </c>
      <c r="H20" s="194">
        <f>INDEX('18 KMP- Tháng'!$E$6:$Q$29,MATCH($A20,'18 KMP- Tháng'!$A$6:$A$29,0),MATCH(H$7,'18 KMP- Tháng'!$E$2:$P$2,0))</f>
        <v>81.42</v>
      </c>
      <c r="I20" s="194">
        <f>INDEX('18 KMP- Tháng'!$E$6:$Q$29,MATCH($A20,'18 KMP- Tháng'!$A$6:$A$29,0),MATCH(I$7,'18 KMP- Tháng'!$E$2:$P$2,0))</f>
        <v>54.022096999999995</v>
      </c>
      <c r="J20" s="194">
        <f>INDEX('18 KMP- Tháng'!$E$6:$Q$29,MATCH($A20,'18 KMP- Tháng'!$A$6:$A$29,0),MATCH(J$7,'18 KMP- Tháng'!$E$2:$P$2,0))</f>
        <v>61.597110999999998</v>
      </c>
      <c r="K20" s="194">
        <f>INDEX('18 KMP- Tháng'!$E$6:$Q$29,MATCH($A20,'18 KMP- Tháng'!$A$6:$A$29,0),MATCH(K$7,'18 KMP- Tháng'!$E$2:$P$2,0))</f>
        <v>33.630000000000003</v>
      </c>
      <c r="L20" s="194">
        <f>INDEX('18 KMP- Tháng'!$E$6:$Q$29,MATCH($A20,'18 KMP- Tháng'!$A$6:$A$29,0),MATCH(L$7,'18 KMP- Tháng'!$E$2:$P$2,0))</f>
        <v>68.504600000000011</v>
      </c>
      <c r="M20" s="194">
        <f>INDEX('18 KMP- Tháng'!$E$6:$Q$29,MATCH($A20,'18 KMP- Tháng'!$A$6:$A$29,0),MATCH(M$7,'18 KMP- Tháng'!$E$2:$P$2,0))</f>
        <v>44.922600000000003</v>
      </c>
      <c r="N20" s="194">
        <f>INDEX('18 KMP- Tháng'!$E$6:$Q$29,MATCH($A20,'18 KMP- Tháng'!$A$6:$A$29,0),MATCH(N$7,'18 KMP- Tháng'!$E$2:$P$2,0))</f>
        <v>0</v>
      </c>
      <c r="O20" s="194">
        <f>INDEX('18 KMP- Tháng'!$E$6:$Q$29,MATCH($A20,'18 KMP- Tháng'!$A$6:$A$29,0),MATCH(O$7,'18 KMP- Tháng'!$E$2:$P$2,0))</f>
        <v>22.420062999999999</v>
      </c>
      <c r="P20" s="345">
        <f>INDEX('18 KMP- Tháng'!$E$6:$Q$29,MATCH($A20,'18 KMP- Tháng'!$A$6:$A$29,0),MATCH(P$7,'18 KMP- Tháng'!$E$2:$P$2,0))</f>
        <v>0.13513700000000001</v>
      </c>
      <c r="Q20" s="363">
        <f t="shared" si="6"/>
        <v>30.554300666666666</v>
      </c>
      <c r="R20" s="194">
        <f>INDEX('18 KMP- Tháng'!$R$6:$AC$24,MATCH($A20,'18 KMP- Tháng'!$A$6:$A$24,0),MATCH(R$7,'18 KMP- Tháng'!$R$2:$AC$2,0))</f>
        <v>22.973268999999998</v>
      </c>
      <c r="S20" s="194">
        <f>INDEX('18 KMP- Tháng'!$R$6:$AC$24,MATCH($A20,'18 KMP- Tháng'!$A$6:$A$24,0),MATCH(S$7,'18 KMP- Tháng'!$R$2:$AC$2,0))</f>
        <v>0</v>
      </c>
      <c r="T20" s="194">
        <f>INDEX('18 KMP- Tháng'!$R$6:$AC$24,MATCH($A20,'18 KMP- Tháng'!$A$6:$A$24,0),MATCH(T$7,'18 KMP- Tháng'!$R$2:$AC$2,0))</f>
        <v>23.045940000000002</v>
      </c>
      <c r="U20" s="194">
        <f>INDEX('18 KMP- Tháng'!$R$6:$AC$24,MATCH($A20,'18 KMP- Tháng'!$A$6:$A$24,0),MATCH(U$7,'18 KMP- Tháng'!$R$2:$AC$2,0))</f>
        <v>0</v>
      </c>
      <c r="V20" s="194">
        <f>INDEX('18 KMP- Tháng'!$R$6:$AC$24,MATCH($A20,'18 KMP- Tháng'!$A$6:$A$24,0),MATCH(V$7,'18 KMP- Tháng'!$R$2:$AC$2,0))</f>
        <v>0</v>
      </c>
      <c r="W20" s="194">
        <f>INDEX('18 KMP- Tháng'!$R$6:$AC$24,MATCH($A20,'18 KMP- Tháng'!$A$6:$A$24,0),MATCH(W$7,'18 KMP- Tháng'!$R$2:$AC$2,0))</f>
        <v>10.511874000000001</v>
      </c>
      <c r="X20" s="194">
        <f>INDEX('18 KMP- Tháng'!$R$6:$AC$24,MATCH($A20,'18 KMP- Tháng'!$A$6:$A$24,0),MATCH(X$7,'18 KMP- Tháng'!$R$2:$AC$2,0))</f>
        <v>20.243397999999999</v>
      </c>
      <c r="Y20" s="194">
        <f>INDEX('18 KMP- Tháng'!$R$6:$AC$24,MATCH($A20,'18 KMP- Tháng'!$A$6:$A$24,0),MATCH(Y$7,'18 KMP- Tháng'!$R$2:$AC$2,0))</f>
        <v>29.591062000000001</v>
      </c>
      <c r="Z20" s="194">
        <f>INDEX('18 KMP- Tháng'!$R$6:$AC$24,MATCH($A20,'18 KMP- Tháng'!$A$6:$A$24,0),MATCH(Z$7,'18 KMP- Tháng'!$R$2:$AC$2,0))</f>
        <v>0.11293499999999999</v>
      </c>
      <c r="AA20" s="194">
        <f>INDEX('18 KMP- Tháng'!$R$6:$AC$24,MATCH($A20,'18 KMP- Tháng'!$A$6:$A$24,0),MATCH(AA$7,'18 KMP- Tháng'!$R$2:$AC$2,0))</f>
        <v>40.229782999999998</v>
      </c>
      <c r="AB20" s="194">
        <f>INDEX('18 KMP- Tháng'!$R$6:$AC$24,MATCH($A20,'18 KMP- Tháng'!$A$6:$A$24,0),MATCH(AB$7,'18 KMP- Tháng'!$R$2:$AC$2,0))</f>
        <v>11.25</v>
      </c>
      <c r="AC20" s="345">
        <f>INDEX('18 KMP- Tháng'!$R$6:$AC$24,MATCH($A20,'18 KMP- Tháng'!$A$6:$A$24,0),MATCH(AC$7,'18 KMP- Tháng'!$R$2:$AC$2,0))</f>
        <v>7.5</v>
      </c>
      <c r="AD20" s="363">
        <f t="shared" si="10"/>
        <v>13.788188416666666</v>
      </c>
      <c r="AE20" s="354">
        <f>INDEX('18 KMP- Tháng'!$AF$6:$AQ$29,MATCH($A20,'18 KMP- Tháng'!$A$6:$A$29,0),MATCH(AE$7,'18 KMP- Tháng'!$AF$2:$AQ$2,0))</f>
        <v>69.350499999999997</v>
      </c>
      <c r="AF20" s="194">
        <f>INDEX('18 KMP- Tháng'!$AF$6:$AQ$29,MATCH($A20,'18 KMP- Tháng'!$A$6:$A$29,0),MATCH(AF$7,'18 KMP- Tháng'!$AF$2:$AQ$2,0))</f>
        <v>24.741620000000001</v>
      </c>
      <c r="AG20" s="194">
        <f>INDEX('18 KMP- Tháng'!$AF$6:$AQ$29,MATCH($A20,'18 KMP- Tháng'!$A$6:$A$29,0),MATCH(AG$7,'18 KMP- Tháng'!$AF$2:$AQ$2,0))</f>
        <v>27.060865</v>
      </c>
      <c r="AH20" s="194">
        <f>INDEX('18 KMP- Tháng'!$AF$6:$AQ$29,MATCH($A20,'18 KMP- Tháng'!$A$6:$A$29,0),MATCH(AH$7,'18 KMP- Tháng'!$AF$2:$AQ$2,0))</f>
        <v>59.404617999999999</v>
      </c>
      <c r="AI20" s="194">
        <f>INDEX('18 KMP- Tháng'!$AF$6:$AQ$29,MATCH($A20,'18 KMP- Tháng'!$A$6:$A$29,0),MATCH(AI$7,'18 KMP- Tháng'!$AF$2:$AQ$2,0))</f>
        <v>64.824844999999996</v>
      </c>
      <c r="AJ20" s="194">
        <f>INDEX('18 KMP- Tháng'!$AF$6:$AQ$29,MATCH($A20,'18 KMP- Tháng'!$A$6:$A$29,0),MATCH(AJ$7,'18 KMP- Tháng'!$AF$2:$AQ$2,0))</f>
        <v>51.009450999999999</v>
      </c>
      <c r="AK20" s="194">
        <f>INDEX('18 KMP- Tháng'!$AF$6:$AQ$29,MATCH($A20,'18 KMP- Tháng'!$A$6:$A$29,0),MATCH(AK$7,'18 KMP- Tháng'!$AF$2:$AQ$2,0))</f>
        <v>0.13318199999999999</v>
      </c>
      <c r="AL20" s="194">
        <f>INDEX('18 KMP- Tháng'!$AF$6:$AQ$29,MATCH($A20,'18 KMP- Tháng'!$A$6:$A$29,0),MATCH(AL$7,'18 KMP- Tháng'!$AF$2:$AQ$2,0))</f>
        <v>22.427802</v>
      </c>
      <c r="AM20" s="194">
        <f>INDEX('18 KMP- Tháng'!$AF$6:$AQ$29,MATCH($A20,'18 KMP- Tháng'!$A$6:$A$29,0),MATCH(AM$7,'18 KMP- Tháng'!$AF$2:$AQ$2,0))</f>
        <v>103.48003300000001</v>
      </c>
      <c r="AN20" s="194">
        <f>INDEX('18 KMP- Tháng'!$AF$6:$AQ$29,MATCH($A20,'18 KMP- Tháng'!$A$6:$A$29,0),MATCH(AN$7,'18 KMP- Tháng'!$AF$2:$AQ$2,0))</f>
        <v>147.881586</v>
      </c>
      <c r="AO20" s="194">
        <f>INDEX('18 KMP- Tháng'!$AF$6:$AQ$29,MATCH($A20,'18 KMP- Tháng'!$A$6:$A$29,0),MATCH(AO$7,'18 KMP- Tháng'!$AF$2:$AQ$2,0))</f>
        <v>106.00182599999999</v>
      </c>
      <c r="AP20" s="345">
        <f>INDEX('18 KMP- Tháng'!$AF$6:$AQ$29,MATCH($A20,'18 KMP- Tháng'!$A$6:$A$29,0),MATCH(AP$7,'18 KMP- Tháng'!$AF$2:$AQ$2,0))</f>
        <v>124.927651</v>
      </c>
      <c r="AQ20" s="363">
        <f t="shared" si="11"/>
        <v>66.770331583333316</v>
      </c>
      <c r="AR20" s="354">
        <f t="shared" si="12"/>
        <v>801.24397899999985</v>
      </c>
      <c r="AS20" s="354">
        <f>INDEX('18 KMP- Tháng'!$BH$6:$BS$29,MATCH($A20,'18 KMP- Tháng'!$A$6:$A$29,0),MATCH(AS$7,'18 KMP- Tháng'!$BH$2:$BS$2,0))</f>
        <v>55.069493307236243</v>
      </c>
      <c r="AT20" s="194">
        <f>INDEX('18 KMP- Tháng'!$BH$6:$BS$29,MATCH($A20,'18 KMP- Tháng'!$A$6:$A$29,0),MATCH(AT$7,'18 KMP- Tháng'!$BH$2:$BS$2,0))</f>
        <v>47.074623377166319</v>
      </c>
      <c r="AU20" s="194">
        <f>INDEX('18 KMP- Tháng'!$BH$6:$BS$29,MATCH($A20,'18 KMP- Tháng'!$A$6:$A$29,0),MATCH(AU$7,'18 KMP- Tháng'!$BH$2:$BS$2,0))</f>
        <v>49.856552724992397</v>
      </c>
      <c r="AV20" s="194">
        <f>INDEX('18 KMP- Tháng'!$BH$6:$BS$29,MATCH($A20,'18 KMP- Tháng'!$A$6:$A$29,0),MATCH(AV$7,'18 KMP- Tháng'!$BH$2:$BS$2,0))</f>
        <v>57.851422655062336</v>
      </c>
      <c r="AW20" s="194">
        <f>INDEX('18 KMP- Tháng'!$BH$6:$BS$29,MATCH($A20,'18 KMP- Tháng'!$A$6:$A$29,0),MATCH(AW$7,'18 KMP- Tháng'!$BH$2:$BS$2,0))</f>
        <v>49.856552724992397</v>
      </c>
      <c r="AX20" s="194">
        <f>INDEX('18 KMP- Tháng'!$BH$6:$BS$29,MATCH($A20,'18 KMP- Tháng'!$A$6:$A$29,0),MATCH(AX$7,'18 KMP- Tháng'!$BH$2:$BS$2,0))</f>
        <v>80.620526828063248</v>
      </c>
      <c r="AY20" s="194">
        <f>INDEX('18 KMP- Tháng'!$BH$6:$BS$29,MATCH($A20,'18 KMP- Tháng'!$A$6:$A$29,0),MATCH(AY$7,'18 KMP- Tháng'!$BH$2:$BS$2,0))</f>
        <v>59.242387328975376</v>
      </c>
      <c r="AZ20" s="194">
        <f>INDEX('18 KMP- Tháng'!$BH$6:$BS$29,MATCH($A20,'18 KMP- Tháng'!$A$6:$A$29,0),MATCH(AZ$7,'18 KMP- Tháng'!$BH$2:$BS$2,0))</f>
        <v>54.02944674673153</v>
      </c>
      <c r="BA20" s="194">
        <f>INDEX('18 KMP- Tháng'!$BH$6:$BS$29,MATCH($A20,'18 KMP- Tháng'!$A$6:$A$29,0),MATCH(BA$7,'18 KMP- Tháng'!$BH$2:$BS$2,0))</f>
        <v>79.229562154150202</v>
      </c>
      <c r="BB20" s="194">
        <f>INDEX('18 KMP- Tháng'!$BH$6:$BS$29,MATCH($A20,'18 KMP- Tháng'!$A$6:$A$29,0),MATCH(BB$7,'18 KMP- Tháng'!$BH$2:$BS$2,0))</f>
        <v>62.024316676801462</v>
      </c>
      <c r="BC20" s="194">
        <f>INDEX('18 KMP- Tháng'!$BH$6:$BS$29,MATCH($A20,'18 KMP- Tháng'!$A$6:$A$29,0),MATCH(BC$7,'18 KMP- Tháng'!$BH$2:$BS$2,0))</f>
        <v>51.247517398905444</v>
      </c>
      <c r="BD20" s="345">
        <f>INDEX('18 KMP- Tháng'!$BH$6:$BS$29,MATCH($A20,'18 KMP- Tháng'!$A$6:$A$29,0),MATCH(BD$7,'18 KMP- Tháng'!$BH$2:$BS$2,0))</f>
        <v>54.02944674673153</v>
      </c>
      <c r="BE20" s="363">
        <f t="shared" si="7"/>
        <v>58.344320722484042</v>
      </c>
      <c r="BF20" s="354">
        <f>INDEX('18 KMP- Tháng'!$AS$6:$BD$29,MATCH($A20,'18 KMP- Tháng'!$A$6:$A$29,0),MATCH(BF$7,'18 KMP- Tháng'!$AS$2:$BD$2,0))</f>
        <v>120.08</v>
      </c>
      <c r="BG20" s="194">
        <f>INDEX('18 KMP- Tháng'!$AS$6:$BD$29,MATCH($A20,'18 KMP- Tháng'!$A$6:$A$29,0),MATCH(BG$7,'18 KMP- Tháng'!$AS$2:$BD$2,0))</f>
        <v>39.67</v>
      </c>
      <c r="BH20" s="194">
        <f>INDEX('18 KMP- Tháng'!$AS$6:$BD$29,MATCH($A20,'18 KMP- Tháng'!$A$6:$A$29,0),MATCH(BH$7,'18 KMP- Tháng'!$AS$2:$BD$2,0))</f>
        <v>199.763631</v>
      </c>
      <c r="BI20" s="194">
        <f>INDEX('18 KMP- Tháng'!$AS$6:$BD$29,MATCH($A20,'18 KMP- Tháng'!$A$6:$A$29,0),MATCH(BI$7,'18 KMP- Tháng'!$AS$2:$BD$2,0))</f>
        <v>40.458143</v>
      </c>
      <c r="BJ20" s="194">
        <f>INDEX('18 KMP- Tháng'!$AS$6:$BD$29,MATCH($A20,'18 KMP- Tháng'!$A$6:$A$29,0),MATCH(BJ$7,'18 KMP- Tháng'!$AS$2:$BD$2,0))</f>
        <v>2.6549999999999998</v>
      </c>
      <c r="BK20" s="194">
        <f>INDEX('18 KMP- Tháng'!$AS$6:$BD$29,MATCH($A20,'18 KMP- Tháng'!$A$6:$A$29,0),MATCH(BK$7,'18 KMP- Tháng'!$AS$2:$BD$2,0))</f>
        <v>82.878684000000007</v>
      </c>
      <c r="BL20" s="194">
        <f>INDEX('18 KMP- Tháng'!$AS$6:$BD$29,MATCH($A20,'18 KMP- Tháng'!$A$6:$A$29,0),MATCH(BL$7,'18 KMP- Tháng'!$AS$2:$BD$2,0))</f>
        <v>0</v>
      </c>
      <c r="BM20" s="194">
        <f>INDEX('18 KMP- Tháng'!$AS$6:$BD$29,MATCH($A20,'18 KMP- Tháng'!$A$6:$A$29,0),MATCH(BM$7,'18 KMP- Tháng'!$AS$2:$BD$2,0))</f>
        <v>0</v>
      </c>
      <c r="BN20" s="194">
        <f>INDEX('18 KMP- Tháng'!$AS$6:$BD$29,MATCH($A20,'18 KMP- Tháng'!$A$6:$A$29,0),MATCH(BN$7,'18 KMP- Tháng'!$AS$2:$BD$2,0))</f>
        <v>0</v>
      </c>
      <c r="BO20" s="194">
        <f>INDEX('18 KMP- Tháng'!$AS$6:$BD$29,MATCH($A20,'18 KMP- Tháng'!$A$6:$A$29,0),MATCH(BO$7,'18 KMP- Tháng'!$AS$2:$BD$2,0))</f>
        <v>0</v>
      </c>
      <c r="BP20" s="194">
        <f>INDEX('18 KMP- Tháng'!$AS$6:$BD$29,MATCH($A20,'18 KMP- Tháng'!$A$6:$A$29,0),MATCH(BP$7,'18 KMP- Tháng'!$AS$2:$BD$2,0))</f>
        <v>0</v>
      </c>
      <c r="BQ20" s="345">
        <f>INDEX('18 KMP- Tháng'!$AS$6:$BD$29,MATCH($A20,'18 KMP- Tháng'!$A$6:$A$29,0),MATCH(BQ$7,'18 KMP- Tháng'!$AS$2:$BD$2,0))</f>
        <v>0</v>
      </c>
      <c r="BR20" s="363">
        <f t="shared" si="13"/>
        <v>80.917576333333344</v>
      </c>
      <c r="BS20" s="354">
        <f t="shared" si="14"/>
        <v>485.50545800000003</v>
      </c>
      <c r="BT20" s="184">
        <f t="shared" si="8"/>
        <v>2.8009704981867278E-2</v>
      </c>
      <c r="BU20" s="195">
        <f t="shared" si="9"/>
        <v>7.5616848535471149E-4</v>
      </c>
      <c r="BV20" s="986"/>
      <c r="BW20" s="986"/>
      <c r="BX20" s="986"/>
      <c r="BY20" s="985"/>
      <c r="BZ20" s="985"/>
      <c r="CA20" s="985"/>
      <c r="CB20" s="985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</row>
    <row r="21" spans="1:92" s="176" customFormat="1" x14ac:dyDescent="0.4">
      <c r="A21" s="174">
        <v>15</v>
      </c>
      <c r="B21" s="175" t="s">
        <v>163</v>
      </c>
      <c r="D21" s="177" t="s">
        <v>164</v>
      </c>
      <c r="E21" s="178">
        <f t="shared" ref="E21:Q21" si="16">SUM(E22:E28)</f>
        <v>12541.129863</v>
      </c>
      <c r="F21" s="178">
        <f t="shared" si="16"/>
        <v>12863.679181</v>
      </c>
      <c r="G21" s="178">
        <f t="shared" si="16"/>
        <v>13575.679185999998</v>
      </c>
      <c r="H21" s="178">
        <f t="shared" si="16"/>
        <v>12209.182043000001</v>
      </c>
      <c r="I21" s="178">
        <f t="shared" si="16"/>
        <v>12913.786542000002</v>
      </c>
      <c r="J21" s="178">
        <f t="shared" si="16"/>
        <v>13045.400177000001</v>
      </c>
      <c r="K21" s="178">
        <f t="shared" si="16"/>
        <v>13363.306664</v>
      </c>
      <c r="L21" s="178">
        <f t="shared" si="16"/>
        <v>13997.30572</v>
      </c>
      <c r="M21" s="178">
        <f t="shared" si="16"/>
        <v>12413.109417000001</v>
      </c>
      <c r="N21" s="178">
        <f t="shared" si="16"/>
        <v>12710.425177000001</v>
      </c>
      <c r="O21" s="178">
        <f t="shared" si="16"/>
        <v>13296.455884000001</v>
      </c>
      <c r="P21" s="341">
        <f t="shared" si="16"/>
        <v>14569.423120999998</v>
      </c>
      <c r="Q21" s="359">
        <f t="shared" si="16"/>
        <v>13124.906914583336</v>
      </c>
      <c r="R21" s="178">
        <f>SUM(R22:R28)</f>
        <v>22156.645086</v>
      </c>
      <c r="S21" s="178">
        <f>SUM(S22:S28)</f>
        <v>22610.102154000004</v>
      </c>
      <c r="T21" s="178">
        <f>SUM(T22:T28)</f>
        <v>23393.321682999998</v>
      </c>
      <c r="U21" s="178">
        <f>SUM(U22:U28)</f>
        <v>24910.219128999997</v>
      </c>
      <c r="V21" s="178">
        <f>SUM(V22:V28)</f>
        <v>25950.148207999999</v>
      </c>
      <c r="W21" s="178">
        <f t="shared" ref="W21:BS21" si="17">SUM(W22:W28)</f>
        <v>25824.229642999999</v>
      </c>
      <c r="X21" s="178">
        <f t="shared" si="17"/>
        <v>25186.690293</v>
      </c>
      <c r="Y21" s="178">
        <f t="shared" si="17"/>
        <v>26591.989554999996</v>
      </c>
      <c r="Z21" s="178">
        <f t="shared" si="17"/>
        <v>28396.020464999998</v>
      </c>
      <c r="AA21" s="178">
        <f t="shared" si="17"/>
        <v>27999.098217999999</v>
      </c>
      <c r="AB21" s="178">
        <f t="shared" si="17"/>
        <v>28310.542508999999</v>
      </c>
      <c r="AC21" s="341">
        <f t="shared" si="17"/>
        <v>38702.101193000002</v>
      </c>
      <c r="AD21" s="359">
        <f t="shared" si="17"/>
        <v>26669.259011333332</v>
      </c>
      <c r="AE21" s="351">
        <f t="shared" ref="AE21:AR21" si="18">SUM(AE22:AE28)</f>
        <v>30567.698623999997</v>
      </c>
      <c r="AF21" s="178">
        <f t="shared" si="18"/>
        <v>29587.737881000005</v>
      </c>
      <c r="AG21" s="178">
        <f t="shared" si="18"/>
        <v>30844.101260999996</v>
      </c>
      <c r="AH21" s="178">
        <f t="shared" si="18"/>
        <v>30755.137102000004</v>
      </c>
      <c r="AI21" s="178">
        <f t="shared" si="18"/>
        <v>31902.529646999999</v>
      </c>
      <c r="AJ21" s="178">
        <f t="shared" si="18"/>
        <v>32960.979194000007</v>
      </c>
      <c r="AK21" s="178">
        <f t="shared" si="18"/>
        <v>33885.309926000002</v>
      </c>
      <c r="AL21" s="178">
        <f t="shared" si="18"/>
        <v>34611.768867999999</v>
      </c>
      <c r="AM21" s="178">
        <f t="shared" si="18"/>
        <v>37024.076070000003</v>
      </c>
      <c r="AN21" s="178">
        <f t="shared" si="18"/>
        <v>36177.490911000008</v>
      </c>
      <c r="AO21" s="178">
        <f t="shared" si="18"/>
        <v>35987.824934000004</v>
      </c>
      <c r="AP21" s="341">
        <f t="shared" si="18"/>
        <v>43134.470695999997</v>
      </c>
      <c r="AQ21" s="359">
        <f t="shared" si="18"/>
        <v>33953.260426166664</v>
      </c>
      <c r="AR21" s="351">
        <f t="shared" si="18"/>
        <v>407439.12511400005</v>
      </c>
      <c r="AS21" s="351">
        <f t="shared" ref="AS21:BE21" si="19">SUM(AS22:AS28)</f>
        <v>36185.650410826915</v>
      </c>
      <c r="AT21" s="178">
        <f t="shared" si="19"/>
        <v>33644.07468121445</v>
      </c>
      <c r="AU21" s="178">
        <f t="shared" si="19"/>
        <v>34979.728624749441</v>
      </c>
      <c r="AV21" s="178">
        <f t="shared" si="19"/>
        <v>35845.540695961856</v>
      </c>
      <c r="AW21" s="178">
        <f t="shared" si="19"/>
        <v>36868.268194613986</v>
      </c>
      <c r="AX21" s="178">
        <f t="shared" si="19"/>
        <v>37068.470745500075</v>
      </c>
      <c r="AY21" s="178">
        <f t="shared" si="19"/>
        <v>37043.808153126527</v>
      </c>
      <c r="AZ21" s="178">
        <f t="shared" si="19"/>
        <v>37279.713477978221</v>
      </c>
      <c r="BA21" s="178">
        <f t="shared" si="19"/>
        <v>38167.044911760604</v>
      </c>
      <c r="BB21" s="178">
        <f t="shared" si="19"/>
        <v>36167.63752103602</v>
      </c>
      <c r="BC21" s="178">
        <f t="shared" si="19"/>
        <v>36576.778121690899</v>
      </c>
      <c r="BD21" s="341">
        <f t="shared" si="19"/>
        <v>38520.957909570992</v>
      </c>
      <c r="BE21" s="359">
        <f t="shared" si="19"/>
        <v>36528.972787335828</v>
      </c>
      <c r="BF21" s="351">
        <f t="shared" si="17"/>
        <v>32189.357767000001</v>
      </c>
      <c r="BG21" s="178">
        <f t="shared" ref="BG21:BQ21" si="20">SUM(BG22:BG28)</f>
        <v>29924.915817000001</v>
      </c>
      <c r="BH21" s="178">
        <f t="shared" si="20"/>
        <v>30261.110865999999</v>
      </c>
      <c r="BI21" s="178">
        <f t="shared" si="20"/>
        <v>32664.294545000004</v>
      </c>
      <c r="BJ21" s="178">
        <f t="shared" si="20"/>
        <v>32383.294872999999</v>
      </c>
      <c r="BK21" s="178">
        <f t="shared" si="20"/>
        <v>32510.664558</v>
      </c>
      <c r="BL21" s="178">
        <f t="shared" si="20"/>
        <v>0</v>
      </c>
      <c r="BM21" s="178">
        <f t="shared" si="20"/>
        <v>0</v>
      </c>
      <c r="BN21" s="178">
        <f t="shared" si="20"/>
        <v>0</v>
      </c>
      <c r="BO21" s="178">
        <f t="shared" si="20"/>
        <v>0</v>
      </c>
      <c r="BP21" s="178">
        <f t="shared" si="20"/>
        <v>0</v>
      </c>
      <c r="BQ21" s="341">
        <f t="shared" si="20"/>
        <v>0</v>
      </c>
      <c r="BR21" s="359">
        <f t="shared" si="17"/>
        <v>31655.606404333332</v>
      </c>
      <c r="BS21" s="351">
        <f t="shared" si="17"/>
        <v>189933.63842599999</v>
      </c>
      <c r="BT21" s="179">
        <f t="shared" si="8"/>
        <v>-0.12295641270967106</v>
      </c>
      <c r="BU21" s="180">
        <f t="shared" si="9"/>
        <v>0.29581919074223434</v>
      </c>
      <c r="BV21" s="987"/>
      <c r="BW21" s="987"/>
      <c r="BX21" s="987"/>
      <c r="BY21" s="987"/>
      <c r="BZ21" s="987"/>
      <c r="CA21" s="987"/>
      <c r="CB21" s="987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</row>
    <row r="22" spans="1:92" s="186" customFormat="1" x14ac:dyDescent="0.4">
      <c r="A22" s="174">
        <v>16</v>
      </c>
      <c r="B22" s="181">
        <v>1</v>
      </c>
      <c r="C22" s="182" t="s">
        <v>97</v>
      </c>
      <c r="D22" s="182" t="s">
        <v>168</v>
      </c>
      <c r="E22" s="517">
        <f>INDEX('18 KMP- Tháng'!$E$6:$Q$29,MATCH($A22,'18 KMP- Tháng'!$A$6:$A$29,0),MATCH(E$7,'18 KMP- Tháng'!$E$2:$P$2,0))</f>
        <v>3029.1393939999998</v>
      </c>
      <c r="F22" s="183">
        <f>INDEX('18 KMP- Tháng'!$E$6:$Q$29,MATCH($A22,'18 KMP- Tháng'!$A$6:$A$29,0),MATCH(F$7,'18 KMP- Tháng'!$E$2:$P$2,0))</f>
        <v>3029.1393939999998</v>
      </c>
      <c r="G22" s="183">
        <f>INDEX('18 KMP- Tháng'!$E$6:$Q$29,MATCH($A22,'18 KMP- Tháng'!$A$6:$A$29,0),MATCH(G$7,'18 KMP- Tháng'!$E$2:$P$2,0))</f>
        <v>3029.1393939999998</v>
      </c>
      <c r="H22" s="183">
        <f>INDEX('18 KMP- Tháng'!$E$6:$Q$29,MATCH($A22,'18 KMP- Tháng'!$A$6:$A$29,0),MATCH(H$7,'18 KMP- Tháng'!$E$2:$P$2,0))</f>
        <v>1200</v>
      </c>
      <c r="I22" s="183">
        <f>INDEX('18 KMP- Tháng'!$E$6:$Q$29,MATCH($A22,'18 KMP- Tháng'!$A$6:$A$29,0),MATCH(I$7,'18 KMP- Tháng'!$E$2:$P$2,0))</f>
        <v>1381.636364</v>
      </c>
      <c r="J22" s="183">
        <f>INDEX('18 KMP- Tháng'!$E$6:$Q$29,MATCH($A22,'18 KMP- Tháng'!$A$6:$A$29,0),MATCH(J$7,'18 KMP- Tháng'!$E$2:$P$2,0))</f>
        <v>1317.818182</v>
      </c>
      <c r="K22" s="183">
        <f>INDEX('18 KMP- Tháng'!$E$6:$Q$29,MATCH($A22,'18 KMP- Tháng'!$A$6:$A$29,0),MATCH(K$7,'18 KMP- Tháng'!$E$2:$P$2,0))</f>
        <v>1317.818182</v>
      </c>
      <c r="L22" s="183">
        <f>INDEX('18 KMP- Tháng'!$E$6:$Q$29,MATCH($A22,'18 KMP- Tháng'!$A$6:$A$29,0),MATCH(L$7,'18 KMP- Tháng'!$E$2:$P$2,0))</f>
        <v>1179.4181819999999</v>
      </c>
      <c r="M22" s="183">
        <f>INDEX('18 KMP- Tháng'!$E$6:$Q$29,MATCH($A22,'18 KMP- Tháng'!$A$6:$A$29,0),MATCH(M$7,'18 KMP- Tháng'!$E$2:$P$2,0))</f>
        <v>0</v>
      </c>
      <c r="N22" s="183">
        <f>INDEX('18 KMP- Tháng'!$E$6:$Q$29,MATCH($A22,'18 KMP- Tháng'!$A$6:$A$29,0),MATCH(N$7,'18 KMP- Tháng'!$E$2:$P$2,0))</f>
        <v>79.418182000000002</v>
      </c>
      <c r="O22" s="183">
        <f>INDEX('18 KMP- Tháng'!$E$6:$Q$29,MATCH($A22,'18 KMP- Tháng'!$A$6:$A$29,0),MATCH(O$7,'18 KMP- Tháng'!$E$2:$P$2,0))</f>
        <v>79.418182000000002</v>
      </c>
      <c r="P22" s="342">
        <f>INDEX('18 KMP- Tháng'!$E$6:$Q$29,MATCH($A22,'18 KMP- Tháng'!$A$6:$A$29,0),MATCH(P$7,'18 KMP- Tháng'!$E$2:$P$2,0))</f>
        <v>79.418182000000002</v>
      </c>
      <c r="Q22" s="360">
        <f t="shared" ref="Q22:Q28" si="21">AVERAGE(E22:P22)</f>
        <v>1310.196969833333</v>
      </c>
      <c r="R22" s="183">
        <f>INDEX('18 KMP- Tháng'!$R$6:$AC$24,MATCH($A22,'18 KMP- Tháng'!$A$6:$A$24,0),MATCH(R$7,'18 KMP- Tháng'!$R$2:$AC$2,0))</f>
        <v>5953.6515149999996</v>
      </c>
      <c r="S22" s="183">
        <f>INDEX('18 KMP- Tháng'!$R$6:$AC$24,MATCH($A22,'18 KMP- Tháng'!$A$6:$A$24,0),MATCH(S$7,'18 KMP- Tháng'!$R$2:$AC$2,0))</f>
        <v>7553.6515149999996</v>
      </c>
      <c r="T22" s="183">
        <f>INDEX('18 KMP- Tháng'!$R$6:$AC$24,MATCH($A22,'18 KMP- Tháng'!$A$6:$A$24,0),MATCH(T$7,'18 KMP- Tháng'!$R$2:$AC$2,0))</f>
        <v>7603.6514150000003</v>
      </c>
      <c r="U22" s="183">
        <f>INDEX('18 KMP- Tháng'!$R$6:$AC$24,MATCH($A22,'18 KMP- Tháng'!$A$6:$A$24,0),MATCH(U$7,'18 KMP- Tháng'!$R$2:$AC$2,0))+150</f>
        <v>7639.8333329999996</v>
      </c>
      <c r="V22" s="183">
        <f>INDEX('18 KMP- Tháng'!$R$6:$AC$24,MATCH($A22,'18 KMP- Tháng'!$A$6:$A$24,0),MATCH(V$7,'18 KMP- Tháng'!$R$2:$AC$2,0))-150</f>
        <v>7565.8333329999996</v>
      </c>
      <c r="W22" s="183">
        <f>INDEX('18 KMP- Tháng'!$R$6:$AC$24,MATCH($A22,'18 KMP- Tháng'!$A$6:$A$24,0),MATCH(W$7,'18 KMP- Tháng'!$R$2:$AC$2,0))</f>
        <v>7565.8333329999996</v>
      </c>
      <c r="X22" s="183">
        <f>INDEX('18 KMP- Tháng'!$R$6:$AC$24,MATCH($A22,'18 KMP- Tháng'!$A$6:$A$24,0),MATCH(X$7,'18 KMP- Tháng'!$R$2:$AC$2,0))</f>
        <v>7565.8333329999996</v>
      </c>
      <c r="Y22" s="183">
        <f>INDEX('18 KMP- Tháng'!$R$6:$AC$24,MATCH($A22,'18 KMP- Tháng'!$A$6:$A$24,0),MATCH(Y$7,'18 KMP- Tháng'!$R$2:$AC$2,0))</f>
        <v>7565.8333329999996</v>
      </c>
      <c r="Z22" s="183">
        <f>INDEX('18 KMP- Tháng'!$R$6:$AC$24,MATCH($A22,'18 KMP- Tháng'!$A$6:$A$24,0),MATCH(Z$7,'18 KMP- Tháng'!$R$2:$AC$2,0))</f>
        <v>7565.8333329999996</v>
      </c>
      <c r="AA22" s="183">
        <f>INDEX('18 KMP- Tháng'!$R$6:$AC$24,MATCH($A22,'18 KMP- Tháng'!$A$6:$A$24,0),MATCH(AA$7,'18 KMP- Tháng'!$R$2:$AC$2,0))</f>
        <v>6965.8333329999996</v>
      </c>
      <c r="AB22" s="183">
        <f>INDEX('18 KMP- Tháng'!$R$6:$AC$24,MATCH($A22,'18 KMP- Tháng'!$A$6:$A$24,0),MATCH(AB$7,'18 KMP- Tháng'!$R$2:$AC$2,0))</f>
        <v>6815.8333329999996</v>
      </c>
      <c r="AC22" s="342">
        <f>INDEX('18 KMP- Tháng'!$R$6:$AC$24,MATCH($A22,'18 KMP- Tháng'!$A$6:$A$24,0),MATCH(AC$7,'18 KMP- Tháng'!$R$2:$AC$2,0))</f>
        <v>7115.8333380000004</v>
      </c>
      <c r="AD22" s="360">
        <f t="shared" si="10"/>
        <v>7289.7878705833346</v>
      </c>
      <c r="AE22" s="352">
        <f>INDEX('18 KMP- Tháng'!$AF$6:$AQ$29,MATCH($A22,'18 KMP- Tháng'!$A$6:$A$29,0),MATCH(AE$7,'18 KMP- Tháng'!$AF$2:$AQ$2,0))</f>
        <v>7607.0608030000003</v>
      </c>
      <c r="AF22" s="183">
        <f>INDEX('18 KMP- Tháng'!$AF$6:$AQ$29,MATCH($A22,'18 KMP- Tháng'!$A$6:$A$29,0),MATCH(AF$7,'18 KMP- Tháng'!$AF$2:$AQ$2,0))</f>
        <v>7607.0608030000003</v>
      </c>
      <c r="AG22" s="183">
        <f>INDEX('18 KMP- Tháng'!$AF$6:$AQ$29,MATCH($A22,'18 KMP- Tháng'!$A$6:$A$29,0),MATCH(AG$7,'18 KMP- Tháng'!$AF$2:$AQ$2,0))</f>
        <v>7661.0608030000003</v>
      </c>
      <c r="AH22" s="183">
        <f>INDEX('18 KMP- Tháng'!$AF$6:$AQ$29,MATCH($A22,'18 KMP- Tháng'!$A$6:$A$29,0),MATCH(AH$7,'18 KMP- Tháng'!$AF$2:$AQ$2,0))</f>
        <v>7511.0608030000003</v>
      </c>
      <c r="AI22" s="183">
        <f>INDEX('18 KMP- Tháng'!$AF$6:$AQ$29,MATCH($A22,'18 KMP- Tháng'!$A$6:$A$29,0),MATCH(AI$7,'18 KMP- Tháng'!$AF$2:$AQ$2,0))</f>
        <v>7537.0608030000003</v>
      </c>
      <c r="AJ22" s="183">
        <f>INDEX('18 KMP- Tháng'!$AF$6:$AQ$29,MATCH($A22,'18 KMP- Tháng'!$A$6:$A$29,0),MATCH(AJ$7,'18 KMP- Tháng'!$AF$2:$AQ$2,0))</f>
        <v>8266.7444390000001</v>
      </c>
      <c r="AK22" s="183">
        <f>INDEX('18 KMP- Tháng'!$AF$6:$AQ$29,MATCH($A22,'18 KMP- Tháng'!$A$6:$A$29,0),MATCH(AK$7,'18 KMP- Tháng'!$AF$2:$AQ$2,0))</f>
        <v>8544.6585909999994</v>
      </c>
      <c r="AL22" s="183">
        <f>INDEX('18 KMP- Tháng'!$AF$6:$AQ$29,MATCH($A22,'18 KMP- Tháng'!$A$6:$A$29,0),MATCH(AL$7,'18 KMP- Tháng'!$AF$2:$AQ$2,0))</f>
        <v>8994.6585909999994</v>
      </c>
      <c r="AM22" s="183">
        <f>INDEX('18 KMP- Tháng'!$AF$6:$AQ$29,MATCH($A22,'18 KMP- Tháng'!$A$6:$A$29,0),MATCH(AM$7,'18 KMP- Tháng'!$AF$2:$AQ$2,0))</f>
        <v>9001.4585910000005</v>
      </c>
      <c r="AN22" s="183">
        <f>INDEX('18 KMP- Tháng'!$AF$6:$AQ$29,MATCH($A22,'18 KMP- Tháng'!$A$6:$A$29,0),MATCH(AN$7,'18 KMP- Tháng'!$AF$2:$AQ$2,0))</f>
        <v>9011.6585909999994</v>
      </c>
      <c r="AO22" s="183">
        <f>INDEX('18 KMP- Tháng'!$AF$6:$AQ$29,MATCH($A22,'18 KMP- Tháng'!$A$6:$A$29,0),MATCH(AO$7,'18 KMP- Tháng'!$AF$2:$AQ$2,0))</f>
        <v>9011.6585909999994</v>
      </c>
      <c r="AP22" s="342">
        <f>INDEX('18 KMP- Tháng'!$AF$6:$AQ$29,MATCH($A22,'18 KMP- Tháng'!$A$6:$A$29,0),MATCH(AP$7,'18 KMP- Tháng'!$AF$2:$AQ$2,0))</f>
        <v>8116.6585910000003</v>
      </c>
      <c r="AQ22" s="360">
        <f t="shared" ref="AQ22:AQ28" si="22">SUM(AE22:AP22)/COUNTIFS($AE$29:$AP$29,"&lt;&gt;"&amp;0)</f>
        <v>8239.2333333333336</v>
      </c>
      <c r="AR22" s="352">
        <f t="shared" ref="AR22:AR28" si="23">SUM(AE22:AP22)</f>
        <v>98870.8</v>
      </c>
      <c r="AS22" s="352">
        <f>INDEX('18 KMP- Tháng'!$BH$6:$BS$29,MATCH($A22,'18 KMP- Tháng'!$A$6:$A$29,0),MATCH(AS$7,'18 KMP- Tháng'!$BH$2:$BS$2,0))</f>
        <v>5820</v>
      </c>
      <c r="AT22" s="183">
        <f>INDEX('18 KMP- Tháng'!$BH$6:$BS$29,MATCH($A22,'18 KMP- Tháng'!$A$6:$A$29,0),MATCH(AT$7,'18 KMP- Tháng'!$BH$2:$BS$2,0))</f>
        <v>5820</v>
      </c>
      <c r="AU22" s="183">
        <f>INDEX('18 KMP- Tháng'!$BH$6:$BS$29,MATCH($A22,'18 KMP- Tháng'!$A$6:$A$29,0),MATCH(AU$7,'18 KMP- Tháng'!$BH$2:$BS$2,0))</f>
        <v>5820</v>
      </c>
      <c r="AV22" s="183">
        <f>INDEX('18 KMP- Tháng'!$BH$6:$BS$29,MATCH($A22,'18 KMP- Tháng'!$A$6:$A$29,0),MATCH(AV$7,'18 KMP- Tháng'!$BH$2:$BS$2,0))</f>
        <v>5820</v>
      </c>
      <c r="AW22" s="183">
        <f>INDEX('18 KMP- Tháng'!$BH$6:$BS$29,MATCH($A22,'18 KMP- Tháng'!$A$6:$A$29,0),MATCH(AW$7,'18 KMP- Tháng'!$BH$2:$BS$2,0))</f>
        <v>5820</v>
      </c>
      <c r="AX22" s="183">
        <f>INDEX('18 KMP- Tháng'!$BH$6:$BS$29,MATCH($A22,'18 KMP- Tháng'!$A$6:$A$29,0),MATCH(AX$7,'18 KMP- Tháng'!$BH$2:$BS$2,0))</f>
        <v>5820</v>
      </c>
      <c r="AY22" s="183">
        <f>INDEX('18 KMP- Tháng'!$BH$6:$BS$29,MATCH($A22,'18 KMP- Tháng'!$A$6:$A$29,0),MATCH(AY$7,'18 KMP- Tháng'!$BH$2:$BS$2,0))</f>
        <v>5820</v>
      </c>
      <c r="AZ22" s="183">
        <f>INDEX('18 KMP- Tháng'!$BH$6:$BS$29,MATCH($A22,'18 KMP- Tháng'!$A$6:$A$29,0),MATCH(AZ$7,'18 KMP- Tháng'!$BH$2:$BS$2,0))</f>
        <v>5820</v>
      </c>
      <c r="BA22" s="183">
        <f>INDEX('18 KMP- Tháng'!$BH$6:$BS$29,MATCH($A22,'18 KMP- Tháng'!$A$6:$A$29,0),MATCH(BA$7,'18 KMP- Tháng'!$BH$2:$BS$2,0))</f>
        <v>5820</v>
      </c>
      <c r="BB22" s="183">
        <f>INDEX('18 KMP- Tháng'!$BH$6:$BS$29,MATCH($A22,'18 KMP- Tháng'!$A$6:$A$29,0),MATCH(BB$7,'18 KMP- Tháng'!$BH$2:$BS$2,0))</f>
        <v>5820</v>
      </c>
      <c r="BC22" s="183">
        <f>INDEX('18 KMP- Tháng'!$BH$6:$BS$29,MATCH($A22,'18 KMP- Tháng'!$A$6:$A$29,0),MATCH(BC$7,'18 KMP- Tháng'!$BH$2:$BS$2,0))</f>
        <v>5820</v>
      </c>
      <c r="BD22" s="342">
        <f>INDEX('18 KMP- Tháng'!$BH$6:$BS$29,MATCH($A22,'18 KMP- Tháng'!$A$6:$A$29,0),MATCH(BD$7,'18 KMP- Tháng'!$BH$2:$BS$2,0))</f>
        <v>5820</v>
      </c>
      <c r="BE22" s="360">
        <f t="shared" ref="BE22:BE28" si="24">AVERAGE(AS22:BD22)</f>
        <v>5820</v>
      </c>
      <c r="BF22" s="352">
        <f>INDEX('18 KMP- Tháng'!$AS$6:$BD$29,MATCH($A22,'18 KMP- Tháng'!$A$6:$A$29,0),MATCH(BF$7,'18 KMP- Tháng'!$AS$2:$BD$2,0))</f>
        <v>9336.6666700000005</v>
      </c>
      <c r="BG22" s="183">
        <f>INDEX('18 KMP- Tháng'!$AS$6:$BD$29,MATCH($A22,'18 KMP- Tháng'!$A$6:$A$29,0),MATCH(BG$7,'18 KMP- Tháng'!$AS$2:$BD$2,0))</f>
        <v>9336.6666700000005</v>
      </c>
      <c r="BH22" s="183">
        <f>INDEX('18 KMP- Tháng'!$AS$6:$BD$29,MATCH($A22,'18 KMP- Tháng'!$A$6:$A$29,0),MATCH(BH$7,'18 KMP- Tháng'!$AS$2:$BD$2,0))</f>
        <v>9336.6666700000005</v>
      </c>
      <c r="BI22" s="183">
        <f>INDEX('18 KMP- Tháng'!$AS$6:$BD$29,MATCH($A22,'18 KMP- Tháng'!$A$6:$A$29,0),MATCH(BI$7,'18 KMP- Tháng'!$AS$2:$BD$2,0))</f>
        <v>9336.6666700000005</v>
      </c>
      <c r="BJ22" s="183">
        <f>INDEX('18 KMP- Tháng'!$AS$6:$BD$29,MATCH($A22,'18 KMP- Tháng'!$A$6:$A$29,0),MATCH(BJ$7,'18 KMP- Tháng'!$AS$2:$BD$2,0))</f>
        <v>9336.666663</v>
      </c>
      <c r="BK22" s="183">
        <f>INDEX('18 KMP- Tháng'!$AS$6:$BD$29,MATCH($A22,'18 KMP- Tháng'!$A$6:$A$29,0),MATCH(BK$7,'18 KMP- Tháng'!$AS$2:$BD$2,0))</f>
        <v>9174.1666669999995</v>
      </c>
      <c r="BL22" s="183">
        <f>INDEX('18 KMP- Tháng'!$AS$6:$BD$29,MATCH($A22,'18 KMP- Tháng'!$A$6:$A$29,0),MATCH(BL$7,'18 KMP- Tháng'!$AS$2:$BD$2,0))</f>
        <v>0</v>
      </c>
      <c r="BM22" s="183">
        <f>INDEX('18 KMP- Tháng'!$AS$6:$BD$29,MATCH($A22,'18 KMP- Tháng'!$A$6:$A$29,0),MATCH(BM$7,'18 KMP- Tháng'!$AS$2:$BD$2,0))</f>
        <v>0</v>
      </c>
      <c r="BN22" s="183">
        <f>INDEX('18 KMP- Tháng'!$AS$6:$BD$29,MATCH($A22,'18 KMP- Tháng'!$A$6:$A$29,0),MATCH(BN$7,'18 KMP- Tháng'!$AS$2:$BD$2,0))</f>
        <v>0</v>
      </c>
      <c r="BO22" s="183">
        <f>INDEX('18 KMP- Tháng'!$AS$6:$BD$29,MATCH($A22,'18 KMP- Tháng'!$A$6:$A$29,0),MATCH(BO$7,'18 KMP- Tháng'!$AS$2:$BD$2,0))</f>
        <v>0</v>
      </c>
      <c r="BP22" s="183">
        <f>INDEX('18 KMP- Tháng'!$AS$6:$BD$29,MATCH($A22,'18 KMP- Tháng'!$A$6:$A$29,0),MATCH(BP$7,'18 KMP- Tháng'!$AS$2:$BD$2,0))</f>
        <v>0</v>
      </c>
      <c r="BQ22" s="342">
        <f>INDEX('18 KMP- Tháng'!$AS$6:$BD$29,MATCH($A22,'18 KMP- Tháng'!$A$6:$A$29,0),MATCH(BQ$7,'18 KMP- Tháng'!$AS$2:$BD$2,0))</f>
        <v>0</v>
      </c>
      <c r="BR22" s="360">
        <f t="shared" ref="BR22:BR31" si="25">SUM(BF22:BQ22)/COUNTIFS($BF$29:$BQ$29,"&lt;&gt;"&amp;0)</f>
        <v>9309.5833350000012</v>
      </c>
      <c r="BS22" s="352">
        <f t="shared" ref="BS22:BS28" si="26">SUM(BF22:BQ22)</f>
        <v>55857.500010000003</v>
      </c>
      <c r="BT22" s="196">
        <f t="shared" si="8"/>
        <v>0.57631729673539511</v>
      </c>
      <c r="BU22" s="185">
        <f t="shared" si="9"/>
        <v>8.6997335420815156E-2</v>
      </c>
      <c r="BV22" s="988"/>
      <c r="BW22" s="988"/>
      <c r="BX22" s="988"/>
      <c r="BY22" s="988"/>
      <c r="BZ22" s="988"/>
      <c r="CA22" s="988"/>
      <c r="CB22" s="988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</row>
    <row r="23" spans="1:92" s="186" customFormat="1" x14ac:dyDescent="0.4">
      <c r="A23" s="174">
        <v>17</v>
      </c>
      <c r="B23" s="187">
        <f t="shared" ref="B23:B28" si="27">B22+1</f>
        <v>2</v>
      </c>
      <c r="C23" s="188" t="s">
        <v>97</v>
      </c>
      <c r="D23" s="188" t="s">
        <v>48</v>
      </c>
      <c r="E23" s="192">
        <f>INDEX('18 KMP- Tháng'!$E$6:$Q$29,MATCH($A23,'18 KMP- Tháng'!$A$6:$A$29,0),MATCH(E$7,'18 KMP- Tháng'!$E$2:$P$2,0))</f>
        <v>6125.5390770000004</v>
      </c>
      <c r="F23" s="189">
        <f>INDEX('18 KMP- Tháng'!$E$6:$Q$29,MATCH($A23,'18 KMP- Tháng'!$A$6:$A$29,0),MATCH(F$7,'18 KMP- Tháng'!$E$2:$P$2,0))</f>
        <v>6126.0910359999998</v>
      </c>
      <c r="G23" s="189">
        <f>INDEX('18 KMP- Tháng'!$E$6:$Q$29,MATCH($A23,'18 KMP- Tháng'!$A$6:$A$29,0),MATCH(G$7,'18 KMP- Tháng'!$E$2:$P$2,0))</f>
        <v>6407.0904010000004</v>
      </c>
      <c r="H23" s="189">
        <f>INDEX('18 KMP- Tháng'!$E$6:$Q$29,MATCH($A23,'18 KMP- Tháng'!$A$6:$A$29,0),MATCH(H$7,'18 KMP- Tháng'!$E$2:$P$2,0))</f>
        <v>7043.8874960000003</v>
      </c>
      <c r="I23" s="189">
        <f>INDEX('18 KMP- Tháng'!$E$6:$Q$29,MATCH($A23,'18 KMP- Tháng'!$A$6:$A$29,0),MATCH(I$7,'18 KMP- Tháng'!$E$2:$P$2,0))</f>
        <v>7372.1250959999998</v>
      </c>
      <c r="J23" s="189">
        <f>INDEX('18 KMP- Tháng'!$E$6:$Q$29,MATCH($A23,'18 KMP- Tháng'!$A$6:$A$29,0),MATCH(J$7,'18 KMP- Tháng'!$E$2:$P$2,0))</f>
        <v>7571.593116</v>
      </c>
      <c r="K23" s="189">
        <f>INDEX('18 KMP- Tháng'!$E$6:$Q$29,MATCH($A23,'18 KMP- Tháng'!$A$6:$A$29,0),MATCH(K$7,'18 KMP- Tháng'!$E$2:$P$2,0))</f>
        <v>7495.9041289999996</v>
      </c>
      <c r="L23" s="189">
        <f>INDEX('18 KMP- Tháng'!$E$6:$Q$29,MATCH($A23,'18 KMP- Tháng'!$A$6:$A$29,0),MATCH(L$7,'18 KMP- Tháng'!$E$2:$P$2,0))</f>
        <v>8307.0938870000009</v>
      </c>
      <c r="M23" s="189">
        <f>INDEX('18 KMP- Tháng'!$E$6:$Q$29,MATCH($A23,'18 KMP- Tháng'!$A$6:$A$29,0),MATCH(M$7,'18 KMP- Tháng'!$E$2:$P$2,0))</f>
        <v>8042.3777319999999</v>
      </c>
      <c r="N23" s="189">
        <f>INDEX('18 KMP- Tháng'!$E$6:$Q$29,MATCH($A23,'18 KMP- Tháng'!$A$6:$A$29,0),MATCH(N$7,'18 KMP- Tháng'!$E$2:$P$2,0))</f>
        <v>7933.8950500000001</v>
      </c>
      <c r="O23" s="189">
        <f>INDEX('18 KMP- Tháng'!$E$6:$Q$29,MATCH($A23,'18 KMP- Tháng'!$A$6:$A$29,0),MATCH(O$7,'18 KMP- Tháng'!$E$2:$P$2,0))</f>
        <v>8291.7686730000005</v>
      </c>
      <c r="P23" s="344">
        <f>INDEX('18 KMP- Tháng'!$E$6:$Q$29,MATCH($A23,'18 KMP- Tháng'!$A$6:$A$29,0),MATCH(P$7,'18 KMP- Tháng'!$E$2:$P$2,0))</f>
        <v>8517.5400150000005</v>
      </c>
      <c r="Q23" s="362">
        <f t="shared" si="21"/>
        <v>7436.2421423333353</v>
      </c>
      <c r="R23" s="189">
        <f>INDEX('18 KMP- Tháng'!$R$6:$AC$24,MATCH($A23,'18 KMP- Tháng'!$A$6:$A$24,0),MATCH(R$7,'18 KMP- Tháng'!$R$2:$AC$2,0))</f>
        <v>9830.8313450000005</v>
      </c>
      <c r="S23" s="189">
        <f>INDEX('18 KMP- Tháng'!$R$6:$AC$24,MATCH($A23,'18 KMP- Tháng'!$A$6:$A$24,0),MATCH(S$7,'18 KMP- Tháng'!$R$2:$AC$2,0))</f>
        <v>8773.2714360000009</v>
      </c>
      <c r="T23" s="189">
        <f>INDEX('18 KMP- Tháng'!$R$6:$AC$24,MATCH($A23,'18 KMP- Tháng'!$A$6:$A$24,0),MATCH(T$7,'18 KMP- Tháng'!$R$2:$AC$2,0))</f>
        <v>9519.9123970000001</v>
      </c>
      <c r="U23" s="189">
        <f>INDEX('18 KMP- Tháng'!$R$6:$AC$24,MATCH($A23,'18 KMP- Tháng'!$A$6:$A$24,0),MATCH(U$7,'18 KMP- Tháng'!$R$2:$AC$2,0))</f>
        <v>10326.124313</v>
      </c>
      <c r="V23" s="189">
        <f>INDEX('18 KMP- Tháng'!$R$6:$AC$24,MATCH($A23,'18 KMP- Tháng'!$A$6:$A$24,0),MATCH(V$7,'18 KMP- Tháng'!$R$2:$AC$2,0))</f>
        <v>10542.358342</v>
      </c>
      <c r="W23" s="189">
        <f>INDEX('18 KMP- Tháng'!$R$6:$AC$24,MATCH($A23,'18 KMP- Tháng'!$A$6:$A$24,0),MATCH(W$7,'18 KMP- Tháng'!$R$2:$AC$2,0))</f>
        <v>10420.118291000001</v>
      </c>
      <c r="X23" s="189">
        <f>INDEX('18 KMP- Tháng'!$R$6:$AC$24,MATCH($A23,'18 KMP- Tháng'!$A$6:$A$24,0),MATCH(X$7,'18 KMP- Tháng'!$R$2:$AC$2,0))</f>
        <v>10367.214110999999</v>
      </c>
      <c r="Y23" s="189">
        <f>INDEX('18 KMP- Tháng'!$R$6:$AC$24,MATCH($A23,'18 KMP- Tháng'!$A$6:$A$24,0),MATCH(Y$7,'18 KMP- Tháng'!$R$2:$AC$2,0))</f>
        <v>10248.121787</v>
      </c>
      <c r="Z23" s="189">
        <f>INDEX('18 KMP- Tháng'!$R$6:$AC$24,MATCH($A23,'18 KMP- Tháng'!$A$6:$A$24,0),MATCH(Z$7,'18 KMP- Tháng'!$R$2:$AC$2,0))</f>
        <v>10990.529123</v>
      </c>
      <c r="AA23" s="189">
        <f>INDEX('18 KMP- Tháng'!$R$6:$AC$24,MATCH($A23,'18 KMP- Tháng'!$A$6:$A$24,0),MATCH(AA$7,'18 KMP- Tháng'!$R$2:$AC$2,0))</f>
        <v>11059.132774</v>
      </c>
      <c r="AB23" s="189">
        <f>INDEX('18 KMP- Tháng'!$R$6:$AC$24,MATCH($A23,'18 KMP- Tháng'!$A$6:$A$24,0),MATCH(AB$7,'18 KMP- Tháng'!$R$2:$AC$2,0))</f>
        <v>11344.443729000001</v>
      </c>
      <c r="AC23" s="344">
        <f>INDEX('18 KMP- Tháng'!$R$6:$AC$24,MATCH($A23,'18 KMP- Tháng'!$A$6:$A$24,0),MATCH(AC$7,'18 KMP- Tháng'!$R$2:$AC$2,0))</f>
        <v>13046.731478</v>
      </c>
      <c r="AD23" s="362">
        <f t="shared" si="10"/>
        <v>10539.0657605</v>
      </c>
      <c r="AE23" s="353">
        <f>INDEX('18 KMP- Tháng'!$AF$6:$AQ$29,MATCH($A23,'18 KMP- Tháng'!$A$6:$A$29,0),MATCH(AE$7,'18 KMP- Tháng'!$AF$2:$AQ$2,0))</f>
        <v>12484.720971999999</v>
      </c>
      <c r="AF23" s="189">
        <f>INDEX('18 KMP- Tháng'!$AF$6:$AQ$29,MATCH($A23,'18 KMP- Tháng'!$A$6:$A$29,0),MATCH(AF$7,'18 KMP- Tháng'!$AF$2:$AQ$2,0))</f>
        <v>12440.263203</v>
      </c>
      <c r="AG23" s="189">
        <f>INDEX('18 KMP- Tháng'!$AF$6:$AQ$29,MATCH($A23,'18 KMP- Tháng'!$A$6:$A$29,0),MATCH(AG$7,'18 KMP- Tháng'!$AF$2:$AQ$2,0))</f>
        <v>12471.463223000001</v>
      </c>
      <c r="AH23" s="189">
        <f>INDEX('18 KMP- Tháng'!$AF$6:$AQ$29,MATCH($A23,'18 KMP- Tháng'!$A$6:$A$29,0),MATCH(AH$7,'18 KMP- Tháng'!$AF$2:$AQ$2,0))</f>
        <v>13751.320948</v>
      </c>
      <c r="AI23" s="189">
        <f>INDEX('18 KMP- Tháng'!$AF$6:$AQ$29,MATCH($A23,'18 KMP- Tháng'!$A$6:$A$29,0),MATCH(AI$7,'18 KMP- Tháng'!$AF$2:$AQ$2,0))</f>
        <v>13836.715722999999</v>
      </c>
      <c r="AJ23" s="189">
        <f>INDEX('18 KMP- Tháng'!$AF$6:$AQ$29,MATCH($A23,'18 KMP- Tháng'!$A$6:$A$29,0),MATCH(AJ$7,'18 KMP- Tháng'!$AF$2:$AQ$2,0))</f>
        <v>14183.474963000001</v>
      </c>
      <c r="AK23" s="189">
        <f>INDEX('18 KMP- Tháng'!$AF$6:$AQ$29,MATCH($A23,'18 KMP- Tháng'!$A$6:$A$29,0),MATCH(AK$7,'18 KMP- Tháng'!$AF$2:$AQ$2,0))</f>
        <v>14703.546302000001</v>
      </c>
      <c r="AL23" s="189">
        <f>INDEX('18 KMP- Tháng'!$AF$6:$AQ$29,MATCH($A23,'18 KMP- Tháng'!$A$6:$A$29,0),MATCH(AL$7,'18 KMP- Tháng'!$AF$2:$AQ$2,0))</f>
        <v>14974.12703</v>
      </c>
      <c r="AM23" s="189">
        <f>INDEX('18 KMP- Tháng'!$AF$6:$AQ$29,MATCH($A23,'18 KMP- Tháng'!$A$6:$A$29,0),MATCH(AM$7,'18 KMP- Tháng'!$AF$2:$AQ$2,0))</f>
        <v>15329.392134</v>
      </c>
      <c r="AN23" s="189">
        <f>INDEX('18 KMP- Tháng'!$AF$6:$AQ$29,MATCH($A23,'18 KMP- Tháng'!$A$6:$A$29,0),MATCH(AN$7,'18 KMP- Tháng'!$AF$2:$AQ$2,0))</f>
        <v>14505.21227</v>
      </c>
      <c r="AO23" s="189">
        <f>INDEX('18 KMP- Tháng'!$AF$6:$AQ$29,MATCH($A23,'18 KMP- Tháng'!$A$6:$A$29,0),MATCH(AO$7,'18 KMP- Tháng'!$AF$2:$AQ$2,0))</f>
        <v>14089.326478000001</v>
      </c>
      <c r="AP23" s="344">
        <f>INDEX('18 KMP- Tháng'!$AF$6:$AQ$29,MATCH($A23,'18 KMP- Tháng'!$A$6:$A$29,0),MATCH(AP$7,'18 KMP- Tháng'!$AF$2:$AQ$2,0))</f>
        <v>20951.962551000001</v>
      </c>
      <c r="AQ23" s="362">
        <f t="shared" si="22"/>
        <v>14476.793816416668</v>
      </c>
      <c r="AR23" s="353">
        <f t="shared" si="23"/>
        <v>173721.52579700001</v>
      </c>
      <c r="AS23" s="353">
        <f>INDEX('18 KMP- Tháng'!$BH$6:$BS$29,MATCH($A23,'18 KMP- Tháng'!$A$6:$A$29,0),MATCH(AS$7,'18 KMP- Tháng'!$BH$2:$BS$2,0))</f>
        <v>15931.069797384615</v>
      </c>
      <c r="AT23" s="189">
        <f>INDEX('18 KMP- Tháng'!$BH$6:$BS$29,MATCH($A23,'18 KMP- Tháng'!$A$6:$A$29,0),MATCH(AT$7,'18 KMP- Tháng'!$BH$2:$BS$2,0))</f>
        <v>15790.248279384619</v>
      </c>
      <c r="AU23" s="189">
        <f>INDEX('18 KMP- Tháng'!$BH$6:$BS$29,MATCH($A23,'18 KMP- Tháng'!$A$6:$A$29,0),MATCH(AU$7,'18 KMP- Tháng'!$BH$2:$BS$2,0))</f>
        <v>15196.810000538462</v>
      </c>
      <c r="AV23" s="189">
        <f>INDEX('18 KMP- Tháng'!$BH$6:$BS$29,MATCH($A23,'18 KMP- Tháng'!$A$6:$A$29,0),MATCH(AV$7,'18 KMP- Tháng'!$BH$2:$BS$2,0))</f>
        <v>16297.499056557692</v>
      </c>
      <c r="AW23" s="189">
        <f>INDEX('18 KMP- Tháng'!$BH$6:$BS$29,MATCH($A23,'18 KMP- Tháng'!$A$6:$A$29,0),MATCH(AW$7,'18 KMP- Tháng'!$BH$2:$BS$2,0))</f>
        <v>15842.84843769231</v>
      </c>
      <c r="AX23" s="189">
        <f>INDEX('18 KMP- Tháng'!$BH$6:$BS$29,MATCH($A23,'18 KMP- Tháng'!$A$6:$A$29,0),MATCH(AX$7,'18 KMP- Tháng'!$BH$2:$BS$2,0))</f>
        <v>16608.384155269232</v>
      </c>
      <c r="AY23" s="189">
        <f>INDEX('18 KMP- Tháng'!$BH$6:$BS$29,MATCH($A23,'18 KMP- Tháng'!$A$6:$A$29,0),MATCH(AY$7,'18 KMP- Tháng'!$BH$2:$BS$2,0))</f>
        <v>16228.669642442308</v>
      </c>
      <c r="AZ23" s="189">
        <f>INDEX('18 KMP- Tháng'!$BH$6:$BS$29,MATCH($A23,'18 KMP- Tháng'!$A$6:$A$29,0),MATCH(AZ$7,'18 KMP- Tháng'!$BH$2:$BS$2,0))</f>
        <v>16424.568209153847</v>
      </c>
      <c r="BA23" s="189">
        <f>INDEX('18 KMP- Tháng'!$BH$6:$BS$29,MATCH($A23,'18 KMP- Tháng'!$A$6:$A$29,0),MATCH(BA$7,'18 KMP- Tháng'!$BH$2:$BS$2,0))</f>
        <v>16603.793978038459</v>
      </c>
      <c r="BB23" s="189">
        <f>INDEX('18 KMP- Tháng'!$BH$6:$BS$29,MATCH($A23,'18 KMP- Tháng'!$A$6:$A$29,0),MATCH(BB$7,'18 KMP- Tháng'!$BH$2:$BS$2,0))</f>
        <v>15861.049816326924</v>
      </c>
      <c r="BC23" s="189">
        <f>INDEX('18 KMP- Tháng'!$BH$6:$BS$29,MATCH($A23,'18 KMP- Tháng'!$A$6:$A$29,0),MATCH(BC$7,'18 KMP- Tháng'!$BH$2:$BS$2,0))</f>
        <v>16586.944001269232</v>
      </c>
      <c r="BD23" s="344">
        <f>INDEX('18 KMP- Tháng'!$BH$6:$BS$29,MATCH($A23,'18 KMP- Tháng'!$A$6:$A$29,0),MATCH(BD$7,'18 KMP- Tháng'!$BH$2:$BS$2,0))</f>
        <v>18480.446209153848</v>
      </c>
      <c r="BE23" s="362">
        <f t="shared" si="24"/>
        <v>16321.027631934297</v>
      </c>
      <c r="BF23" s="353">
        <f>INDEX('18 KMP- Tháng'!$AS$6:$BD$29,MATCH($A23,'18 KMP- Tháng'!$A$6:$A$29,0),MATCH(BF$7,'18 KMP- Tháng'!$AS$2:$BD$2,0))</f>
        <v>14411.695471000001</v>
      </c>
      <c r="BG23" s="189">
        <f>INDEX('18 KMP- Tháng'!$AS$6:$BD$29,MATCH($A23,'18 KMP- Tháng'!$A$6:$A$29,0),MATCH(BG$7,'18 KMP- Tháng'!$AS$2:$BD$2,0))</f>
        <v>12889.941534</v>
      </c>
      <c r="BH23" s="189">
        <f>INDEX('18 KMP- Tháng'!$AS$6:$BD$29,MATCH($A23,'18 KMP- Tháng'!$A$6:$A$29,0),MATCH(BH$7,'18 KMP- Tháng'!$AS$2:$BD$2,0))</f>
        <v>13887.70347</v>
      </c>
      <c r="BI23" s="189">
        <f>INDEX('18 KMP- Tháng'!$AS$6:$BD$29,MATCH($A23,'18 KMP- Tháng'!$A$6:$A$29,0),MATCH(BI$7,'18 KMP- Tháng'!$AS$2:$BD$2,0))</f>
        <v>15549.865876</v>
      </c>
      <c r="BJ23" s="189">
        <f>INDEX('18 KMP- Tháng'!$AS$6:$BD$29,MATCH($A23,'18 KMP- Tháng'!$A$6:$A$29,0),MATCH(BJ$7,'18 KMP- Tháng'!$AS$2:$BD$2,0))</f>
        <v>14649.384491000001</v>
      </c>
      <c r="BK23" s="189">
        <f>INDEX('18 KMP- Tháng'!$AS$6:$BD$29,MATCH($A23,'18 KMP- Tháng'!$A$6:$A$29,0),MATCH(BK$7,'18 KMP- Tháng'!$AS$2:$BD$2,0))</f>
        <v>15482.976709</v>
      </c>
      <c r="BL23" s="189">
        <f>INDEX('18 KMP- Tháng'!$AS$6:$BD$29,MATCH($A23,'18 KMP- Tháng'!$A$6:$A$29,0),MATCH(BL$7,'18 KMP- Tháng'!$AS$2:$BD$2,0))</f>
        <v>0</v>
      </c>
      <c r="BM23" s="189">
        <f>INDEX('18 KMP- Tháng'!$AS$6:$BD$29,MATCH($A23,'18 KMP- Tháng'!$A$6:$A$29,0),MATCH(BM$7,'18 KMP- Tháng'!$AS$2:$BD$2,0))</f>
        <v>0</v>
      </c>
      <c r="BN23" s="189">
        <f>INDEX('18 KMP- Tháng'!$AS$6:$BD$29,MATCH($A23,'18 KMP- Tháng'!$A$6:$A$29,0),MATCH(BN$7,'18 KMP- Tháng'!$AS$2:$BD$2,0))</f>
        <v>0</v>
      </c>
      <c r="BO23" s="189">
        <f>INDEX('18 KMP- Tháng'!$AS$6:$BD$29,MATCH($A23,'18 KMP- Tháng'!$A$6:$A$29,0),MATCH(BO$7,'18 KMP- Tháng'!$AS$2:$BD$2,0))</f>
        <v>0</v>
      </c>
      <c r="BP23" s="189">
        <f>INDEX('18 KMP- Tháng'!$AS$6:$BD$29,MATCH($A23,'18 KMP- Tháng'!$A$6:$A$29,0),MATCH(BP$7,'18 KMP- Tháng'!$AS$2:$BD$2,0))</f>
        <v>0</v>
      </c>
      <c r="BQ23" s="344">
        <f>INDEX('18 KMP- Tháng'!$AS$6:$BD$29,MATCH($A23,'18 KMP- Tháng'!$A$6:$A$29,0),MATCH(BQ$7,'18 KMP- Tháng'!$AS$2:$BD$2,0))</f>
        <v>0</v>
      </c>
      <c r="BR23" s="362">
        <f t="shared" si="25"/>
        <v>14478.594591833333</v>
      </c>
      <c r="BS23" s="353">
        <f t="shared" si="26"/>
        <v>86871.567551</v>
      </c>
      <c r="BT23" s="196">
        <f t="shared" si="8"/>
        <v>-6.7761405067944591E-2</v>
      </c>
      <c r="BU23" s="190">
        <f t="shared" si="9"/>
        <v>0.13530134537731431</v>
      </c>
      <c r="BV23" s="989"/>
      <c r="BW23" s="989"/>
      <c r="BX23" s="989"/>
      <c r="BY23" s="983"/>
      <c r="BZ23" s="983"/>
      <c r="CA23" s="983"/>
      <c r="CB23" s="983"/>
      <c r="CC23" s="191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</row>
    <row r="24" spans="1:92" s="186" customFormat="1" x14ac:dyDescent="0.4">
      <c r="A24" s="174">
        <v>5</v>
      </c>
      <c r="B24" s="187">
        <f t="shared" si="27"/>
        <v>3</v>
      </c>
      <c r="C24" s="188" t="s">
        <v>96</v>
      </c>
      <c r="D24" s="188" t="s">
        <v>16</v>
      </c>
      <c r="E24" s="192">
        <f>INDEX('18 KMP- Tháng'!$E$6:$Q$29,MATCH($A24,'18 KMP- Tháng'!$A$6:$A$29,0),MATCH(E$7,'18 KMP- Tháng'!$E$2:$P$2,0))</f>
        <v>1999.745032</v>
      </c>
      <c r="F24" s="189">
        <f>INDEX('18 KMP- Tháng'!$E$6:$Q$29,MATCH($A24,'18 KMP- Tháng'!$A$6:$A$29,0),MATCH(F$7,'18 KMP- Tháng'!$E$2:$P$2,0))</f>
        <v>2159.0866270000001</v>
      </c>
      <c r="G24" s="189">
        <f>INDEX('18 KMP- Tháng'!$E$6:$Q$29,MATCH($A24,'18 KMP- Tháng'!$A$6:$A$29,0),MATCH(G$7,'18 KMP- Tháng'!$E$2:$P$2,0))</f>
        <v>2355.4122550000002</v>
      </c>
      <c r="H24" s="189">
        <f>INDEX('18 KMP- Tháng'!$E$6:$Q$29,MATCH($A24,'18 KMP- Tháng'!$A$6:$A$29,0),MATCH(H$7,'18 KMP- Tháng'!$E$2:$P$2,0))</f>
        <v>2503.34139</v>
      </c>
      <c r="I24" s="189">
        <f>INDEX('18 KMP- Tháng'!$E$6:$Q$29,MATCH($A24,'18 KMP- Tháng'!$A$6:$A$29,0),MATCH(I$7,'18 KMP- Tháng'!$E$2:$P$2,0))</f>
        <v>2453.5862940000002</v>
      </c>
      <c r="J24" s="189">
        <f>INDEX('18 KMP- Tháng'!$E$6:$Q$29,MATCH($A24,'18 KMP- Tháng'!$A$6:$A$29,0),MATCH(J$7,'18 KMP- Tháng'!$E$2:$P$2,0))</f>
        <v>2496.0810230000002</v>
      </c>
      <c r="K24" s="189">
        <f>INDEX('18 KMP- Tháng'!$E$6:$Q$29,MATCH($A24,'18 KMP- Tháng'!$A$6:$A$29,0),MATCH(K$7,'18 KMP- Tháng'!$E$2:$P$2,0))</f>
        <v>2605.8116279999999</v>
      </c>
      <c r="L24" s="189">
        <f>INDEX('18 KMP- Tháng'!$E$6:$Q$29,MATCH($A24,'18 KMP- Tháng'!$A$6:$A$29,0),MATCH(L$7,'18 KMP- Tháng'!$E$2:$P$2,0))</f>
        <v>2747.3790829999998</v>
      </c>
      <c r="M24" s="189">
        <f>INDEX('18 KMP- Tháng'!$E$6:$Q$29,MATCH($A24,'18 KMP- Tháng'!$A$6:$A$29,0),MATCH(M$7,'18 KMP- Tháng'!$E$2:$P$2,0))</f>
        <v>2849.3270080000002</v>
      </c>
      <c r="N24" s="189">
        <f>INDEX('18 KMP- Tháng'!$E$6:$Q$29,MATCH($A24,'18 KMP- Tháng'!$A$6:$A$29,0),MATCH(N$7,'18 KMP- Tháng'!$E$2:$P$2,0))</f>
        <v>2883.5538980000001</v>
      </c>
      <c r="O24" s="189">
        <f>INDEX('18 KMP- Tháng'!$E$6:$Q$29,MATCH($A24,'18 KMP- Tháng'!$A$6:$A$29,0),MATCH(O$7,'18 KMP- Tháng'!$E$2:$P$2,0))</f>
        <v>2888.0607730000002</v>
      </c>
      <c r="P24" s="344">
        <f>INDEX('18 KMP- Tháng'!$E$6:$Q$29,MATCH($A24,'18 KMP- Tháng'!$A$6:$A$29,0),MATCH(P$7,'18 KMP- Tháng'!$E$2:$P$2,0))</f>
        <v>3035.1713089999998</v>
      </c>
      <c r="Q24" s="362">
        <f t="shared" si="21"/>
        <v>2581.3796933333338</v>
      </c>
      <c r="R24" s="189">
        <f>INDEX('18 KMP- Tháng'!$R$6:$AC$24,MATCH($A24,'18 KMP- Tháng'!$A$6:$A$24,0),MATCH(R$7,'18 KMP- Tháng'!$R$2:$AC$2,0))</f>
        <v>2998.4795089999998</v>
      </c>
      <c r="S24" s="189">
        <f>INDEX('18 KMP- Tháng'!$R$6:$AC$24,MATCH($A24,'18 KMP- Tháng'!$A$6:$A$24,0),MATCH(S$7,'18 KMP- Tháng'!$R$2:$AC$2,0))</f>
        <v>3003.3587619999998</v>
      </c>
      <c r="T24" s="189">
        <f>INDEX('18 KMP- Tháng'!$R$6:$AC$24,MATCH($A24,'18 KMP- Tháng'!$A$6:$A$24,0),MATCH(T$7,'18 KMP- Tháng'!$R$2:$AC$2,0))</f>
        <v>2998.9789329999999</v>
      </c>
      <c r="U24" s="189">
        <f>INDEX('18 KMP- Tháng'!$R$6:$AC$24,MATCH($A24,'18 KMP- Tháng'!$A$6:$A$24,0),MATCH(U$7,'18 KMP- Tháng'!$R$2:$AC$2,0))</f>
        <v>3181.0243989999999</v>
      </c>
      <c r="V24" s="189">
        <f>INDEX('18 KMP- Tháng'!$R$6:$AC$24,MATCH($A24,'18 KMP- Tháng'!$A$6:$A$24,0),MATCH(V$7,'18 KMP- Tháng'!$R$2:$AC$2,0))</f>
        <v>3238.7242780000001</v>
      </c>
      <c r="W24" s="189">
        <f>INDEX('18 KMP- Tháng'!$R$6:$AC$24,MATCH($A24,'18 KMP- Tháng'!$A$6:$A$24,0),MATCH(W$7,'18 KMP- Tháng'!$R$2:$AC$2,0))</f>
        <v>3240.4400230000001</v>
      </c>
      <c r="X24" s="189">
        <f>INDEX('18 KMP- Tháng'!$R$6:$AC$24,MATCH($A24,'18 KMP- Tháng'!$A$6:$A$24,0),MATCH(X$7,'18 KMP- Tháng'!$R$2:$AC$2,0))</f>
        <v>3274.4964810000001</v>
      </c>
      <c r="Y24" s="189">
        <f>INDEX('18 KMP- Tháng'!$R$6:$AC$24,MATCH($A24,'18 KMP- Tháng'!$A$6:$A$24,0),MATCH(Y$7,'18 KMP- Tháng'!$R$2:$AC$2,0))</f>
        <v>3295.429795</v>
      </c>
      <c r="Z24" s="189">
        <f>INDEX('18 KMP- Tháng'!$R$6:$AC$24,MATCH($A24,'18 KMP- Tháng'!$A$6:$A$24,0),MATCH(Z$7,'18 KMP- Tháng'!$R$2:$AC$2,0))</f>
        <v>3434.7116219999998</v>
      </c>
      <c r="AA24" s="189">
        <f>INDEX('18 KMP- Tháng'!$R$6:$AC$24,MATCH($A24,'18 KMP- Tháng'!$A$6:$A$24,0),MATCH(AA$7,'18 KMP- Tháng'!$R$2:$AC$2,0))</f>
        <v>3434.7924050000001</v>
      </c>
      <c r="AB24" s="189">
        <f>INDEX('18 KMP- Tháng'!$R$6:$AC$24,MATCH($A24,'18 KMP- Tháng'!$A$6:$A$24,0),MATCH(AB$7,'18 KMP- Tháng'!$R$2:$AC$2,0))</f>
        <v>3448.9865410000002</v>
      </c>
      <c r="AC24" s="344">
        <f>INDEX('18 KMP- Tháng'!$R$6:$AC$24,MATCH($A24,'18 KMP- Tháng'!$A$6:$A$24,0),MATCH(AC$7,'18 KMP- Tháng'!$R$2:$AC$2,0))</f>
        <v>3762.4606610000001</v>
      </c>
      <c r="AD24" s="362">
        <f t="shared" si="10"/>
        <v>3275.9902840833329</v>
      </c>
      <c r="AE24" s="353">
        <f>INDEX('18 KMP- Tháng'!$AF$6:$AQ$29,MATCH($A24,'18 KMP- Tháng'!$A$6:$A$29,0),MATCH(AE$7,'18 KMP- Tháng'!$AF$2:$AQ$2,0))</f>
        <v>3803.154168</v>
      </c>
      <c r="AF24" s="189">
        <f>INDEX('18 KMP- Tháng'!$AF$6:$AQ$29,MATCH($A24,'18 KMP- Tháng'!$A$6:$A$29,0),MATCH(AF$7,'18 KMP- Tháng'!$AF$2:$AQ$2,0))</f>
        <v>3804.6986139999999</v>
      </c>
      <c r="AG24" s="189">
        <f>INDEX('18 KMP- Tháng'!$AF$6:$AQ$29,MATCH($A24,'18 KMP- Tháng'!$A$6:$A$29,0),MATCH(AG$7,'18 KMP- Tháng'!$AF$2:$AQ$2,0))</f>
        <v>4002.6339750000002</v>
      </c>
      <c r="AH24" s="189">
        <f>INDEX('18 KMP- Tháng'!$AF$6:$AQ$29,MATCH($A24,'18 KMP- Tháng'!$A$6:$A$29,0),MATCH(AH$7,'18 KMP- Tháng'!$AF$2:$AQ$2,0))</f>
        <v>3905.1959280000001</v>
      </c>
      <c r="AI24" s="189">
        <f>INDEX('18 KMP- Tháng'!$AF$6:$AQ$29,MATCH($A24,'18 KMP- Tháng'!$A$6:$A$29,0),MATCH(AI$7,'18 KMP- Tháng'!$AF$2:$AQ$2,0))</f>
        <v>4091.8549859999998</v>
      </c>
      <c r="AJ24" s="189">
        <f>INDEX('18 KMP- Tháng'!$AF$6:$AQ$29,MATCH($A24,'18 KMP- Tháng'!$A$6:$A$29,0),MATCH(AJ$7,'18 KMP- Tháng'!$AF$2:$AQ$2,0))</f>
        <v>4087.4683380000001</v>
      </c>
      <c r="AK24" s="189">
        <f>INDEX('18 KMP- Tháng'!$AF$6:$AQ$29,MATCH($A24,'18 KMP- Tháng'!$A$6:$A$29,0),MATCH(AK$7,'18 KMP- Tháng'!$AF$2:$AQ$2,0))</f>
        <v>4085.457551</v>
      </c>
      <c r="AL24" s="189">
        <f>INDEX('18 KMP- Tháng'!$AF$6:$AQ$29,MATCH($A24,'18 KMP- Tháng'!$A$6:$A$29,0),MATCH(AL$7,'18 KMP- Tháng'!$AF$2:$AQ$2,0))</f>
        <v>4092.9951599999999</v>
      </c>
      <c r="AM24" s="189">
        <f>INDEX('18 KMP- Tháng'!$AF$6:$AQ$29,MATCH($A24,'18 KMP- Tháng'!$A$6:$A$29,0),MATCH(AM$7,'18 KMP- Tháng'!$AF$2:$AQ$2,0))</f>
        <v>4407.5000479999999</v>
      </c>
      <c r="AN24" s="189">
        <f>INDEX('18 KMP- Tháng'!$AF$6:$AQ$29,MATCH($A24,'18 KMP- Tháng'!$A$6:$A$29,0),MATCH(AN$7,'18 KMP- Tháng'!$AF$2:$AQ$2,0))</f>
        <v>4260.8566920000003</v>
      </c>
      <c r="AO24" s="189">
        <f>INDEX('18 KMP- Tháng'!$AF$6:$AQ$29,MATCH($A24,'18 KMP- Tháng'!$A$6:$A$29,0),MATCH(AO$7,'18 KMP- Tháng'!$AF$2:$AQ$2,0))</f>
        <v>4421.9505609999997</v>
      </c>
      <c r="AP24" s="344">
        <f>INDEX('18 KMP- Tháng'!$AF$6:$AQ$29,MATCH($A24,'18 KMP- Tháng'!$A$6:$A$29,0),MATCH(AP$7,'18 KMP- Tháng'!$AF$2:$AQ$2,0))</f>
        <v>4442.3183429999999</v>
      </c>
      <c r="AQ24" s="362">
        <f t="shared" si="22"/>
        <v>4117.1736969999993</v>
      </c>
      <c r="AR24" s="353">
        <f t="shared" si="23"/>
        <v>49406.084363999995</v>
      </c>
      <c r="AS24" s="353">
        <f>INDEX('18 KMP- Tháng'!$BH$6:$BS$29,MATCH($A24,'18 KMP- Tháng'!$A$6:$A$29,0),MATCH(AS$7,'18 KMP- Tháng'!$BH$2:$BS$2,0))</f>
        <v>5303.4900609208144</v>
      </c>
      <c r="AT24" s="189">
        <f>INDEX('18 KMP- Tháng'!$BH$6:$BS$29,MATCH($A24,'18 KMP- Tháng'!$A$6:$A$29,0),MATCH(AT$7,'18 KMP- Tháng'!$BH$2:$BS$2,0))</f>
        <v>5687.8820129208143</v>
      </c>
      <c r="AU24" s="189">
        <f>INDEX('18 KMP- Tháng'!$BH$6:$BS$29,MATCH($A24,'18 KMP- Tháng'!$A$6:$A$29,0),MATCH(AU$7,'18 KMP- Tháng'!$BH$2:$BS$2,0))</f>
        <v>5775.9012329208144</v>
      </c>
      <c r="AV24" s="189">
        <f>INDEX('18 KMP- Tháng'!$BH$6:$BS$29,MATCH($A24,'18 KMP- Tháng'!$A$6:$A$29,0),MATCH(AV$7,'18 KMP- Tháng'!$BH$2:$BS$2,0))</f>
        <v>5810.1415109208147</v>
      </c>
      <c r="AW24" s="189">
        <f>INDEX('18 KMP- Tháng'!$BH$6:$BS$29,MATCH($A24,'18 KMP- Tháng'!$A$6:$A$29,0),MATCH(AW$7,'18 KMP- Tháng'!$BH$2:$BS$2,0))</f>
        <v>5826.0945669208149</v>
      </c>
      <c r="AX24" s="189">
        <f>INDEX('18 KMP- Tháng'!$BH$6:$BS$29,MATCH($A24,'18 KMP- Tháng'!$A$6:$A$29,0),MATCH(AX$7,'18 KMP- Tháng'!$BH$2:$BS$2,0))</f>
        <v>5968.0697049208147</v>
      </c>
      <c r="AY24" s="189">
        <f>INDEX('18 KMP- Tháng'!$BH$6:$BS$29,MATCH($A24,'18 KMP- Tháng'!$A$6:$A$29,0),MATCH(AY$7,'18 KMP- Tháng'!$BH$2:$BS$2,0))</f>
        <v>5968.0697049208147</v>
      </c>
      <c r="AZ24" s="189">
        <f>INDEX('18 KMP- Tháng'!$BH$6:$BS$29,MATCH($A24,'18 KMP- Tháng'!$A$6:$A$29,0),MATCH(AZ$7,'18 KMP- Tháng'!$BH$2:$BS$2,0))</f>
        <v>5968.0697049208147</v>
      </c>
      <c r="BA24" s="189">
        <f>INDEX('18 KMP- Tháng'!$BH$6:$BS$29,MATCH($A24,'18 KMP- Tháng'!$A$6:$A$29,0),MATCH(BA$7,'18 KMP- Tháng'!$BH$2:$BS$2,0))</f>
        <v>5968.0697049208147</v>
      </c>
      <c r="BB24" s="189">
        <f>INDEX('18 KMP- Tháng'!$BH$6:$BS$29,MATCH($A24,'18 KMP- Tháng'!$A$6:$A$29,0),MATCH(BB$7,'18 KMP- Tháng'!$BH$2:$BS$2,0))</f>
        <v>5980.8891379208144</v>
      </c>
      <c r="BC24" s="189">
        <f>INDEX('18 KMP- Tháng'!$BH$6:$BS$29,MATCH($A24,'18 KMP- Tháng'!$A$6:$A$29,0),MATCH(BC$7,'18 KMP- Tháng'!$BH$2:$BS$2,0))</f>
        <v>5980.8891379208144</v>
      </c>
      <c r="BD24" s="344">
        <f>INDEX('18 KMP- Tháng'!$BH$6:$BS$29,MATCH($A24,'18 KMP- Tháng'!$A$6:$A$29,0),MATCH(BD$7,'18 KMP- Tháng'!$BH$2:$BS$2,0))</f>
        <v>5993.1641379208149</v>
      </c>
      <c r="BE24" s="362">
        <f t="shared" si="24"/>
        <v>5852.5608848374823</v>
      </c>
      <c r="BF24" s="353">
        <f>INDEX('18 KMP- Tháng'!$AS$6:$BD$29,MATCH($A24,'18 KMP- Tháng'!$A$6:$A$29,0),MATCH(BF$7,'18 KMP- Tháng'!$AS$2:$BD$2,0))</f>
        <v>2133.9688449999999</v>
      </c>
      <c r="BG24" s="189">
        <f>INDEX('18 KMP- Tháng'!$AS$6:$BD$29,MATCH($A24,'18 KMP- Tháng'!$A$6:$A$29,0),MATCH(BG$7,'18 KMP- Tháng'!$AS$2:$BD$2,0))</f>
        <v>2103.0084879999999</v>
      </c>
      <c r="BH24" s="189">
        <f>INDEX('18 KMP- Tháng'!$AS$6:$BD$29,MATCH($A24,'18 KMP- Tháng'!$A$6:$A$29,0),MATCH(BH$7,'18 KMP- Tháng'!$AS$2:$BD$2,0))</f>
        <v>2118.1115580000001</v>
      </c>
      <c r="BI24" s="189">
        <f>INDEX('18 KMP- Tháng'!$AS$6:$BD$29,MATCH($A24,'18 KMP- Tháng'!$A$6:$A$29,0),MATCH(BI$7,'18 KMP- Tháng'!$AS$2:$BD$2,0))</f>
        <v>2277.961573</v>
      </c>
      <c r="BJ24" s="189">
        <f>INDEX('18 KMP- Tháng'!$AS$6:$BD$29,MATCH($A24,'18 KMP- Tháng'!$A$6:$A$29,0),MATCH(BJ$7,'18 KMP- Tháng'!$AS$2:$BD$2,0))</f>
        <v>2330.9775570000002</v>
      </c>
      <c r="BK24" s="189">
        <f>INDEX('18 KMP- Tháng'!$AS$6:$BD$29,MATCH($A24,'18 KMP- Tháng'!$A$6:$A$29,0),MATCH(BK$7,'18 KMP- Tháng'!$AS$2:$BD$2,0))</f>
        <v>2329.7622799999999</v>
      </c>
      <c r="BL24" s="189">
        <f>INDEX('18 KMP- Tháng'!$AS$6:$BD$29,MATCH($A24,'18 KMP- Tháng'!$A$6:$A$29,0),MATCH(BL$7,'18 KMP- Tháng'!$AS$2:$BD$2,0))</f>
        <v>0</v>
      </c>
      <c r="BM24" s="189">
        <f>INDEX('18 KMP- Tháng'!$AS$6:$BD$29,MATCH($A24,'18 KMP- Tháng'!$A$6:$A$29,0),MATCH(BM$7,'18 KMP- Tháng'!$AS$2:$BD$2,0))</f>
        <v>0</v>
      </c>
      <c r="BN24" s="189">
        <f>INDEX('18 KMP- Tháng'!$AS$6:$BD$29,MATCH($A24,'18 KMP- Tháng'!$A$6:$A$29,0),MATCH(BN$7,'18 KMP- Tháng'!$AS$2:$BD$2,0))</f>
        <v>0</v>
      </c>
      <c r="BO24" s="189">
        <f>INDEX('18 KMP- Tháng'!$AS$6:$BD$29,MATCH($A24,'18 KMP- Tháng'!$A$6:$A$29,0),MATCH(BO$7,'18 KMP- Tháng'!$AS$2:$BD$2,0))</f>
        <v>0</v>
      </c>
      <c r="BP24" s="189">
        <f>INDEX('18 KMP- Tháng'!$AS$6:$BD$29,MATCH($A24,'18 KMP- Tháng'!$A$6:$A$29,0),MATCH(BP$7,'18 KMP- Tháng'!$AS$2:$BD$2,0))</f>
        <v>0</v>
      </c>
      <c r="BQ24" s="344">
        <f>INDEX('18 KMP- Tháng'!$AS$6:$BD$29,MATCH($A24,'18 KMP- Tháng'!$A$6:$A$29,0),MATCH(BQ$7,'18 KMP- Tháng'!$AS$2:$BD$2,0))</f>
        <v>0</v>
      </c>
      <c r="BR24" s="362">
        <f t="shared" si="25"/>
        <v>2215.6317168333335</v>
      </c>
      <c r="BS24" s="353">
        <f t="shared" si="26"/>
        <v>13293.790301000001</v>
      </c>
      <c r="BT24" s="184">
        <f t="shared" si="8"/>
        <v>-0.60962884229065628</v>
      </c>
      <c r="BU24" s="190">
        <f t="shared" si="9"/>
        <v>2.0704906836557797E-2</v>
      </c>
      <c r="BV24" s="990"/>
      <c r="BW24" s="990"/>
      <c r="BX24" s="990"/>
      <c r="BY24" s="991"/>
      <c r="BZ24" s="991"/>
      <c r="CA24" s="991"/>
      <c r="CB24" s="991"/>
      <c r="CC24" s="191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</row>
    <row r="25" spans="1:92" s="186" customFormat="1" x14ac:dyDescent="0.4">
      <c r="A25" s="174">
        <v>18</v>
      </c>
      <c r="B25" s="187">
        <f t="shared" si="27"/>
        <v>4</v>
      </c>
      <c r="C25" s="188" t="s">
        <v>97</v>
      </c>
      <c r="D25" s="188" t="s">
        <v>36</v>
      </c>
      <c r="E25" s="189">
        <f>INDEX('18 KMP- Tháng'!$E$6:$Q$29,MATCH($A25,'18 KMP- Tháng'!$A$6:$A$29,0),MATCH(E$7,'18 KMP- Tháng'!$E$2:$P$2,0))</f>
        <v>630.61573399999986</v>
      </c>
      <c r="F25" s="189">
        <f>INDEX('18 KMP- Tháng'!$E$6:$Q$29,MATCH($A25,'18 KMP- Tháng'!$A$6:$A$29,0),MATCH(F$7,'18 KMP- Tháng'!$E$2:$P$2,0))</f>
        <v>854.1576580000002</v>
      </c>
      <c r="G25" s="189">
        <f>INDEX('18 KMP- Tháng'!$E$6:$Q$29,MATCH($A25,'18 KMP- Tháng'!$A$6:$A$29,0),MATCH(G$7,'18 KMP- Tháng'!$E$2:$P$2,0))</f>
        <v>966.39520199999981</v>
      </c>
      <c r="H25" s="189">
        <f>INDEX('18 KMP- Tháng'!$E$6:$Q$29,MATCH($A25,'18 KMP- Tháng'!$A$6:$A$29,0),MATCH(H$7,'18 KMP- Tháng'!$E$2:$P$2,0))</f>
        <v>754.47364200000004</v>
      </c>
      <c r="I25" s="189">
        <f>INDEX('18 KMP- Tháng'!$E$6:$Q$29,MATCH($A25,'18 KMP- Tháng'!$A$6:$A$29,0),MATCH(I$7,'18 KMP- Tháng'!$E$2:$P$2,0))</f>
        <v>658.77374900000007</v>
      </c>
      <c r="J25" s="189">
        <f>INDEX('18 KMP- Tháng'!$E$6:$Q$29,MATCH($A25,'18 KMP- Tháng'!$A$6:$A$29,0),MATCH(J$7,'18 KMP- Tháng'!$E$2:$P$2,0))</f>
        <v>768.27695300000005</v>
      </c>
      <c r="K25" s="189">
        <f>INDEX('18 KMP- Tháng'!$E$6:$Q$29,MATCH($A25,'18 KMP- Tháng'!$A$6:$A$29,0),MATCH(K$7,'18 KMP- Tháng'!$E$2:$P$2,0))</f>
        <v>802.81471999999985</v>
      </c>
      <c r="L25" s="189">
        <f>INDEX('18 KMP- Tháng'!$E$6:$Q$29,MATCH($A25,'18 KMP- Tháng'!$A$6:$A$29,0),MATCH(L$7,'18 KMP- Tháng'!$E$2:$P$2,0))</f>
        <v>656.1743909999999</v>
      </c>
      <c r="M25" s="189">
        <f>INDEX('18 KMP- Tháng'!$E$6:$Q$29,MATCH($A25,'18 KMP- Tháng'!$A$6:$A$29,0),MATCH(M$7,'18 KMP- Tháng'!$E$2:$P$2,0))</f>
        <v>591.34523200000001</v>
      </c>
      <c r="N25" s="189">
        <f>INDEX('18 KMP- Tháng'!$E$6:$Q$29,MATCH($A25,'18 KMP- Tháng'!$A$6:$A$29,0),MATCH(N$7,'18 KMP- Tháng'!$E$2:$P$2,0))</f>
        <v>628.2454120000001</v>
      </c>
      <c r="O25" s="189">
        <f>INDEX('18 KMP- Tháng'!$E$6:$Q$29,MATCH($A25,'18 KMP- Tháng'!$A$6:$A$29,0),MATCH(O$7,'18 KMP- Tháng'!$E$2:$P$2,0))</f>
        <v>639.27243399999986</v>
      </c>
      <c r="P25" s="344">
        <f>INDEX('18 KMP- Tháng'!$E$6:$Q$29,MATCH($A25,'18 KMP- Tháng'!$A$6:$A$29,0),MATCH(P$7,'18 KMP- Tháng'!$E$2:$P$2,0))</f>
        <v>1090.457459</v>
      </c>
      <c r="Q25" s="362">
        <f t="shared" si="21"/>
        <v>753.4168821666666</v>
      </c>
      <c r="R25" s="189">
        <f>INDEX('18 KMP- Tháng'!$R$6:$AC$24,MATCH($A25,'18 KMP- Tháng'!$A$6:$A$24,0),MATCH(R$7,'18 KMP- Tháng'!$R$2:$AC$2,0))</f>
        <v>1658.4109130000002</v>
      </c>
      <c r="S25" s="189">
        <f>INDEX('18 KMP- Tháng'!$R$6:$AC$24,MATCH($A25,'18 KMP- Tháng'!$A$6:$A$24,0),MATCH(S$7,'18 KMP- Tháng'!$R$2:$AC$2,0))</f>
        <v>1378.8071309999998</v>
      </c>
      <c r="T25" s="189">
        <f>INDEX('18 KMP- Tháng'!$R$6:$AC$24,MATCH($A25,'18 KMP- Tháng'!$A$6:$A$24,0),MATCH(T$7,'18 KMP- Tháng'!$R$2:$AC$2,0))</f>
        <v>1151.334644</v>
      </c>
      <c r="U25" s="189">
        <f>INDEX('18 KMP- Tháng'!$R$6:$AC$24,MATCH($A25,'18 KMP- Tháng'!$A$6:$A$24,0),MATCH(U$7,'18 KMP- Tháng'!$R$2:$AC$2,0))</f>
        <v>1337.384814</v>
      </c>
      <c r="V25" s="189">
        <f>INDEX('18 KMP- Tháng'!$R$6:$AC$24,MATCH($A25,'18 KMP- Tháng'!$A$6:$A$24,0),MATCH(V$7,'18 KMP- Tháng'!$R$2:$AC$2,0))</f>
        <v>1902.7088930000002</v>
      </c>
      <c r="W25" s="189">
        <f>INDEX('18 KMP- Tháng'!$R$6:$AC$24,MATCH($A25,'18 KMP- Tháng'!$A$6:$A$24,0),MATCH(W$7,'18 KMP- Tháng'!$R$2:$AC$2,0))</f>
        <v>1863.0131699999999</v>
      </c>
      <c r="X25" s="189">
        <f>INDEX('18 KMP- Tháng'!$R$6:$AC$24,MATCH($A25,'18 KMP- Tháng'!$A$6:$A$24,0),MATCH(X$7,'18 KMP- Tháng'!$R$2:$AC$2,0))</f>
        <v>1570.2129000000007</v>
      </c>
      <c r="Y25" s="189">
        <f>INDEX('18 KMP- Tháng'!$R$6:$AC$24,MATCH($A25,'18 KMP- Tháng'!$A$6:$A$24,0),MATCH(Y$7,'18 KMP- Tháng'!$R$2:$AC$2,0))</f>
        <v>2908.310896</v>
      </c>
      <c r="Z25" s="189">
        <f>INDEX('18 KMP- Tháng'!$R$6:$AC$24,MATCH($A25,'18 KMP- Tháng'!$A$6:$A$24,0),MATCH(Z$7,'18 KMP- Tháng'!$R$2:$AC$2,0))</f>
        <v>3601.9095000000002</v>
      </c>
      <c r="AA25" s="189">
        <f>INDEX('18 KMP- Tháng'!$R$6:$AC$24,MATCH($A25,'18 KMP- Tháng'!$A$6:$A$24,0),MATCH(AA$7,'18 KMP- Tháng'!$R$2:$AC$2,0))</f>
        <v>3859.1731200000004</v>
      </c>
      <c r="AB25" s="189">
        <f>INDEX('18 KMP- Tháng'!$R$6:$AC$24,MATCH($A25,'18 KMP- Tháng'!$A$6:$A$24,0),MATCH(AB$7,'18 KMP- Tháng'!$R$2:$AC$2,0))</f>
        <v>3573.6560359999999</v>
      </c>
      <c r="AC25" s="344">
        <f>INDEX('18 KMP- Tháng'!$R$6:$AC$24,MATCH($A25,'18 KMP- Tháng'!$A$6:$A$24,0),MATCH(AC$7,'18 KMP- Tháng'!$R$2:$AC$2,0))</f>
        <v>11179.558634000005</v>
      </c>
      <c r="AD25" s="362">
        <f t="shared" si="10"/>
        <v>2998.7067209166671</v>
      </c>
      <c r="AE25" s="353">
        <f>INDEX('18 KMP- Tháng'!$AF$6:$AQ$29,MATCH($A25,'18 KMP- Tháng'!$A$6:$A$29,0),MATCH(AE$7,'18 KMP- Tháng'!$AF$2:$AQ$2,0))</f>
        <v>3756.3001390000004</v>
      </c>
      <c r="AF25" s="189">
        <f>INDEX('18 KMP- Tháng'!$AF$6:$AQ$29,MATCH($A25,'18 KMP- Tháng'!$A$6:$A$29,0),MATCH(AF$7,'18 KMP- Tháng'!$AF$2:$AQ$2,0))</f>
        <v>2649.8565070000004</v>
      </c>
      <c r="AG25" s="189">
        <f>INDEX('18 KMP- Tháng'!$AF$6:$AQ$29,MATCH($A25,'18 KMP- Tháng'!$A$6:$A$29,0),MATCH(AG$7,'18 KMP- Tháng'!$AF$2:$AQ$2,0))</f>
        <v>4055.7808199999999</v>
      </c>
      <c r="AH25" s="189">
        <f>INDEX('18 KMP- Tháng'!$AF$6:$AQ$29,MATCH($A25,'18 KMP- Tháng'!$A$6:$A$29,0),MATCH(AH$7,'18 KMP- Tháng'!$AF$2:$AQ$2,0))</f>
        <v>2478.233021</v>
      </c>
      <c r="AI25" s="189">
        <f>INDEX('18 KMP- Tháng'!$AF$6:$AQ$29,MATCH($A25,'18 KMP- Tháng'!$A$6:$A$29,0),MATCH(AI$7,'18 KMP- Tháng'!$AF$2:$AQ$2,0))</f>
        <v>3092.6388239999997</v>
      </c>
      <c r="AJ25" s="189">
        <f>INDEX('18 KMP- Tháng'!$AF$6:$AQ$29,MATCH($A25,'18 KMP- Tháng'!$A$6:$A$29,0),MATCH(AJ$7,'18 KMP- Tháng'!$AF$2:$AQ$2,0))</f>
        <v>2790.8938039999998</v>
      </c>
      <c r="AK25" s="189">
        <f>INDEX('18 KMP- Tháng'!$AF$6:$AQ$29,MATCH($A25,'18 KMP- Tháng'!$A$6:$A$29,0),MATCH(AK$7,'18 KMP- Tháng'!$AF$2:$AQ$2,0))</f>
        <v>3004.5350559999997</v>
      </c>
      <c r="AL25" s="189">
        <f>INDEX('18 KMP- Tháng'!$AF$6:$AQ$29,MATCH($A25,'18 KMP- Tháng'!$A$6:$A$29,0),MATCH(AL$7,'18 KMP- Tháng'!$AF$2:$AQ$2,0))</f>
        <v>3024.5032630000001</v>
      </c>
      <c r="AM25" s="189">
        <f>INDEX('18 KMP- Tháng'!$AF$6:$AQ$29,MATCH($A25,'18 KMP- Tháng'!$A$6:$A$29,0),MATCH(AM$7,'18 KMP- Tháng'!$AF$2:$AQ$2,0))</f>
        <v>4612.0710640000007</v>
      </c>
      <c r="AN25" s="189">
        <f>INDEX('18 KMP- Tháng'!$AF$6:$AQ$29,MATCH($A25,'18 KMP- Tháng'!$A$6:$A$29,0),MATCH(AN$7,'18 KMP- Tháng'!$AF$2:$AQ$2,0))</f>
        <v>4798.4915730000012</v>
      </c>
      <c r="AO25" s="189">
        <f>INDEX('18 KMP- Tháng'!$AF$6:$AQ$29,MATCH($A25,'18 KMP- Tháng'!$A$6:$A$29,0),MATCH(AO$7,'18 KMP- Tháng'!$AF$2:$AQ$2,0))</f>
        <v>5053.5685229999999</v>
      </c>
      <c r="AP25" s="344">
        <f>INDEX('18 KMP- Tháng'!$AF$6:$AQ$29,MATCH($A25,'18 KMP- Tháng'!$A$6:$A$29,0),MATCH(AP$7,'18 KMP- Tháng'!$AF$2:$AQ$2,0))</f>
        <v>6387.3636730000007</v>
      </c>
      <c r="AQ25" s="582">
        <f t="shared" si="22"/>
        <v>3808.6863555833334</v>
      </c>
      <c r="AR25" s="353">
        <f t="shared" si="23"/>
        <v>45704.236267</v>
      </c>
      <c r="AS25" s="353">
        <f>INDEX('18 KMP- Tháng'!$BH$6:$BS$29,MATCH($A25,'18 KMP- Tháng'!$A$6:$A$29,0),MATCH(AS$7,'18 KMP- Tháng'!$BH$2:$BS$2,0))</f>
        <v>5586.5078673894895</v>
      </c>
      <c r="AT25" s="189">
        <f>INDEX('18 KMP- Tháng'!$BH$6:$BS$29,MATCH($A25,'18 KMP- Tháng'!$A$6:$A$29,0),MATCH(AT$7,'18 KMP- Tháng'!$BH$2:$BS$2,0))</f>
        <v>2556.1730431913147</v>
      </c>
      <c r="AU25" s="189">
        <f>INDEX('18 KMP- Tháng'!$BH$6:$BS$29,MATCH($A25,'18 KMP- Tháng'!$A$6:$A$29,0),MATCH(AU$7,'18 KMP- Tháng'!$BH$2:$BS$2,0))</f>
        <v>3257.808809294716</v>
      </c>
      <c r="AV25" s="189">
        <f>INDEX('18 KMP- Tháng'!$BH$6:$BS$29,MATCH($A25,'18 KMP- Tháng'!$A$6:$A$29,0),MATCH(AV$7,'18 KMP- Tháng'!$BH$2:$BS$2,0))</f>
        <v>3146.5397182601464</v>
      </c>
      <c r="AW25" s="189">
        <f>INDEX('18 KMP- Tháng'!$BH$6:$BS$29,MATCH($A25,'18 KMP- Tháng'!$A$6:$A$29,0),MATCH(AW$7,'18 KMP- Tháng'!$BH$2:$BS$2,0))</f>
        <v>4436.1529066383737</v>
      </c>
      <c r="AX25" s="189">
        <f>INDEX('18 KMP- Tháng'!$BH$6:$BS$29,MATCH($A25,'18 KMP- Tháng'!$A$6:$A$29,0),MATCH(AX$7,'18 KMP- Tháng'!$BH$2:$BS$2,0))</f>
        <v>3247.7263303423015</v>
      </c>
      <c r="AY25" s="189">
        <f>INDEX('18 KMP- Tháng'!$BH$6:$BS$29,MATCH($A25,'18 KMP- Tháng'!$A$6:$A$29,0),MATCH(AY$7,'18 KMP- Tháng'!$BH$2:$BS$2,0))</f>
        <v>3745.6867013041019</v>
      </c>
      <c r="AZ25" s="189">
        <f>INDEX('18 KMP- Tháng'!$BH$6:$BS$29,MATCH($A25,'18 KMP- Tháng'!$A$6:$A$29,0),MATCH(AZ$7,'18 KMP- Tháng'!$BH$2:$BS$2,0))</f>
        <v>3765.1154900052802</v>
      </c>
      <c r="BA25" s="189">
        <f>INDEX('18 KMP- Tháng'!$BH$6:$BS$29,MATCH($A25,'18 KMP- Tháng'!$A$6:$A$29,0),MATCH(BA$7,'18 KMP- Tháng'!$BH$2:$BS$2,0))</f>
        <v>4354.1627094281703</v>
      </c>
      <c r="BB25" s="189">
        <f>INDEX('18 KMP- Tháng'!$BH$6:$BS$29,MATCH($A25,'18 KMP- Tháng'!$A$6:$A$29,0),MATCH(BB$7,'18 KMP- Tháng'!$BH$2:$BS$2,0))</f>
        <v>3239.6357159012318</v>
      </c>
      <c r="BC25" s="189">
        <f>INDEX('18 KMP- Tháng'!$BH$6:$BS$29,MATCH($A25,'18 KMP- Tháng'!$A$6:$A$29,0),MATCH(BC$7,'18 KMP- Tháng'!$BH$2:$BS$2,0))</f>
        <v>3024.6289198740224</v>
      </c>
      <c r="BD25" s="344">
        <f>INDEX('18 KMP- Tháng'!$BH$6:$BS$29,MATCH($A25,'18 KMP- Tháng'!$A$6:$A$29,0),MATCH(BD$7,'18 KMP- Tháng'!$BH$2:$BS$2,0))</f>
        <v>3089.8531112165324</v>
      </c>
      <c r="BE25" s="362">
        <f t="shared" si="24"/>
        <v>3620.8326102371393</v>
      </c>
      <c r="BF25" s="353">
        <f>INDEX('18 KMP- Tháng'!$AS$6:$BD$29,MATCH($A25,'18 KMP- Tháng'!$A$6:$A$29,0),MATCH(BF$7,'18 KMP- Tháng'!$AS$2:$BD$2,0))</f>
        <v>3513.173522</v>
      </c>
      <c r="BG25" s="189">
        <f>INDEX('18 KMP- Tháng'!$AS$6:$BD$29,MATCH($A25,'18 KMP- Tháng'!$A$6:$A$29,0),MATCH(BG$7,'18 KMP- Tháng'!$AS$2:$BD$2,0))</f>
        <v>3218.4780719999999</v>
      </c>
      <c r="BH25" s="189">
        <f>INDEX('18 KMP- Tháng'!$AS$6:$BD$29,MATCH($A25,'18 KMP- Tháng'!$A$6:$A$29,0),MATCH(BH$7,'18 KMP- Tháng'!$AS$2:$BD$2,0))</f>
        <v>2488.6643530000001</v>
      </c>
      <c r="BI25" s="189">
        <f>INDEX('18 KMP- Tháng'!$AS$6:$BD$29,MATCH($A25,'18 KMP- Tháng'!$A$6:$A$29,0),MATCH(BI$7,'18 KMP- Tháng'!$AS$2:$BD$2,0))</f>
        <v>2842.2283769999999</v>
      </c>
      <c r="BJ25" s="189">
        <f>INDEX('18 KMP- Tháng'!$AS$6:$BD$29,MATCH($A25,'18 KMP- Tháng'!$A$6:$A$29,0),MATCH(BJ$7,'18 KMP- Tháng'!$AS$2:$BD$2,0))</f>
        <v>3355.4641259999994</v>
      </c>
      <c r="BK25" s="189">
        <f>INDEX('18 KMP- Tháng'!$AS$6:$BD$29,MATCH($A25,'18 KMP- Tháng'!$A$6:$A$29,0),MATCH(BK$7,'18 KMP- Tháng'!$AS$2:$BD$2,0))</f>
        <v>2965.4732479999998</v>
      </c>
      <c r="BL25" s="189">
        <f>INDEX('18 KMP- Tháng'!$AS$6:$BD$29,MATCH($A25,'18 KMP- Tháng'!$A$6:$A$29,0),MATCH(BL$7,'18 KMP- Tháng'!$AS$2:$BD$2,0))</f>
        <v>0</v>
      </c>
      <c r="BM25" s="189">
        <f>INDEX('18 KMP- Tháng'!$AS$6:$BD$29,MATCH($A25,'18 KMP- Tháng'!$A$6:$A$29,0),MATCH(BM$7,'18 KMP- Tháng'!$AS$2:$BD$2,0))</f>
        <v>0</v>
      </c>
      <c r="BN25" s="189">
        <f>INDEX('18 KMP- Tháng'!$AS$6:$BD$29,MATCH($A25,'18 KMP- Tháng'!$A$6:$A$29,0),MATCH(BN$7,'18 KMP- Tháng'!$AS$2:$BD$2,0))</f>
        <v>0</v>
      </c>
      <c r="BO25" s="189">
        <f>INDEX('18 KMP- Tháng'!$AS$6:$BD$29,MATCH($A25,'18 KMP- Tháng'!$A$6:$A$29,0),MATCH(BO$7,'18 KMP- Tháng'!$AS$2:$BD$2,0))</f>
        <v>0</v>
      </c>
      <c r="BP25" s="189">
        <f>INDEX('18 KMP- Tháng'!$AS$6:$BD$29,MATCH($A25,'18 KMP- Tháng'!$A$6:$A$29,0),MATCH(BP$7,'18 KMP- Tháng'!$AS$2:$BD$2,0))</f>
        <v>0</v>
      </c>
      <c r="BQ25" s="344">
        <f>INDEX('18 KMP- Tháng'!$AS$6:$BD$29,MATCH($A25,'18 KMP- Tháng'!$A$6:$A$29,0),MATCH(BQ$7,'18 KMP- Tháng'!$AS$2:$BD$2,0))</f>
        <v>0</v>
      </c>
      <c r="BR25" s="582">
        <f t="shared" si="25"/>
        <v>3063.9136163333328</v>
      </c>
      <c r="BS25" s="353">
        <f t="shared" si="26"/>
        <v>18383.481697999996</v>
      </c>
      <c r="BT25" s="196">
        <f t="shared" si="8"/>
        <v>-8.6907902216179944E-2</v>
      </c>
      <c r="BU25" s="190">
        <f t="shared" si="9"/>
        <v>2.8632035504578646E-2</v>
      </c>
      <c r="BV25" s="980"/>
      <c r="BW25" s="980"/>
      <c r="BX25" s="980"/>
      <c r="BY25" s="981"/>
      <c r="BZ25" s="981"/>
      <c r="CA25" s="981"/>
      <c r="CB25" s="981"/>
      <c r="CC25" s="191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</row>
    <row r="26" spans="1:92" s="186" customFormat="1" x14ac:dyDescent="0.4">
      <c r="A26" s="174">
        <v>19</v>
      </c>
      <c r="B26" s="187">
        <f t="shared" si="27"/>
        <v>5</v>
      </c>
      <c r="C26" s="188" t="s">
        <v>97</v>
      </c>
      <c r="D26" s="188" t="s">
        <v>12</v>
      </c>
      <c r="E26" s="189">
        <f>INDEX('18 KMP- Tháng'!$E$6:$Q$29,MATCH($A26,'18 KMP- Tháng'!$A$6:$A$29,0),MATCH(E$7,'18 KMP- Tháng'!$E$2:$P$2,0))</f>
        <v>465.27927</v>
      </c>
      <c r="F26" s="189">
        <f>INDEX('18 KMP- Tháng'!$E$6:$Q$29,MATCH($A26,'18 KMP- Tháng'!$A$6:$A$29,0),MATCH(F$7,'18 KMP- Tháng'!$E$2:$P$2,0))</f>
        <v>498.88963100000001</v>
      </c>
      <c r="G26" s="189">
        <f>INDEX('18 KMP- Tháng'!$E$6:$Q$29,MATCH($A26,'18 KMP- Tháng'!$A$6:$A$29,0),MATCH(G$7,'18 KMP- Tháng'!$E$2:$P$2,0))</f>
        <v>485.24326100000002</v>
      </c>
      <c r="H26" s="189">
        <f>INDEX('18 KMP- Tháng'!$E$6:$Q$29,MATCH($A26,'18 KMP- Tháng'!$A$6:$A$29,0),MATCH(H$7,'18 KMP- Tháng'!$E$2:$P$2,0))</f>
        <v>431.96916599999997</v>
      </c>
      <c r="I26" s="189">
        <f>INDEX('18 KMP- Tháng'!$E$6:$Q$29,MATCH($A26,'18 KMP- Tháng'!$A$6:$A$29,0),MATCH(I$7,'18 KMP- Tháng'!$E$2:$P$2,0))</f>
        <v>578.64694599999996</v>
      </c>
      <c r="J26" s="189">
        <f>INDEX('18 KMP- Tháng'!$E$6:$Q$29,MATCH($A26,'18 KMP- Tháng'!$A$6:$A$29,0),MATCH(J$7,'18 KMP- Tháng'!$E$2:$P$2,0))</f>
        <v>481.06259</v>
      </c>
      <c r="K26" s="189">
        <f>INDEX('18 KMP- Tháng'!$E$6:$Q$29,MATCH($A26,'18 KMP- Tháng'!$A$6:$A$29,0),MATCH(K$7,'18 KMP- Tháng'!$E$2:$P$2,0))</f>
        <v>502.90178500000002</v>
      </c>
      <c r="L26" s="189">
        <f>INDEX('18 KMP- Tháng'!$E$6:$Q$29,MATCH($A26,'18 KMP- Tháng'!$A$6:$A$29,0),MATCH(L$7,'18 KMP- Tháng'!$E$2:$P$2,0))</f>
        <v>554.27070400000002</v>
      </c>
      <c r="M26" s="189">
        <f>INDEX('18 KMP- Tháng'!$E$6:$Q$29,MATCH($A26,'18 KMP- Tháng'!$A$6:$A$29,0),MATCH(M$7,'18 KMP- Tháng'!$E$2:$P$2,0))</f>
        <v>469.50239099999999</v>
      </c>
      <c r="N26" s="189">
        <f>INDEX('18 KMP- Tháng'!$E$6:$Q$29,MATCH($A26,'18 KMP- Tháng'!$A$6:$A$29,0),MATCH(N$7,'18 KMP- Tháng'!$E$2:$P$2,0))</f>
        <v>547.69279300000005</v>
      </c>
      <c r="O26" s="189">
        <f>INDEX('18 KMP- Tháng'!$E$6:$Q$29,MATCH($A26,'18 KMP- Tháng'!$A$6:$A$29,0),MATCH(O$7,'18 KMP- Tháng'!$E$2:$P$2,0))</f>
        <v>615.94742800000006</v>
      </c>
      <c r="P26" s="344">
        <f>INDEX('18 KMP- Tháng'!$E$6:$Q$29,MATCH($A26,'18 KMP- Tháng'!$A$6:$A$29,0),MATCH(P$7,'18 KMP- Tháng'!$E$2:$P$2,0))</f>
        <v>681.05225900000005</v>
      </c>
      <c r="Q26" s="362">
        <f t="shared" si="21"/>
        <v>526.03818533333344</v>
      </c>
      <c r="R26" s="189">
        <f>INDEX('18 KMP- Tháng'!$R$6:$AC$24,MATCH($A26,'18 KMP- Tháng'!$A$6:$A$24,0),MATCH(R$7,'18 KMP- Tháng'!$R$2:$AC$2,0))</f>
        <v>716.08840799999996</v>
      </c>
      <c r="S26" s="189">
        <f>INDEX('18 KMP- Tháng'!$R$6:$AC$24,MATCH($A26,'18 KMP- Tháng'!$A$6:$A$24,0),MATCH(S$7,'18 KMP- Tháng'!$R$2:$AC$2,0))</f>
        <v>691.59377400000005</v>
      </c>
      <c r="T26" s="189">
        <f>INDEX('18 KMP- Tháng'!$R$6:$AC$24,MATCH($A26,'18 KMP- Tháng'!$A$6:$A$24,0),MATCH(T$7,'18 KMP- Tháng'!$R$2:$AC$2,0))</f>
        <v>833.34065199999998</v>
      </c>
      <c r="U26" s="189">
        <f>INDEX('18 KMP- Tháng'!$R$6:$AC$24,MATCH($A26,'18 KMP- Tháng'!$A$6:$A$24,0),MATCH(U$7,'18 KMP- Tháng'!$R$2:$AC$2,0))</f>
        <v>880.05645200000004</v>
      </c>
      <c r="V26" s="189">
        <f>INDEX('18 KMP- Tháng'!$R$6:$AC$24,MATCH($A26,'18 KMP- Tháng'!$A$6:$A$24,0),MATCH(V$7,'18 KMP- Tháng'!$R$2:$AC$2,0))</f>
        <v>962.45493699999997</v>
      </c>
      <c r="W26" s="189">
        <f>INDEX('18 KMP- Tháng'!$R$6:$AC$24,MATCH($A26,'18 KMP- Tháng'!$A$6:$A$24,0),MATCH(W$7,'18 KMP- Tháng'!$R$2:$AC$2,0))</f>
        <v>779.98906199999999</v>
      </c>
      <c r="X26" s="189">
        <f>INDEX('18 KMP- Tháng'!$R$6:$AC$24,MATCH($A26,'18 KMP- Tháng'!$A$6:$A$24,0),MATCH(X$7,'18 KMP- Tháng'!$R$2:$AC$2,0))</f>
        <v>678.94090300000005</v>
      </c>
      <c r="Y26" s="189">
        <f>INDEX('18 KMP- Tháng'!$R$6:$AC$24,MATCH($A26,'18 KMP- Tháng'!$A$6:$A$24,0),MATCH(Y$7,'18 KMP- Tháng'!$R$2:$AC$2,0))</f>
        <v>825.70615199999997</v>
      </c>
      <c r="Z26" s="189">
        <f>INDEX('18 KMP- Tháng'!$R$6:$AC$24,MATCH($A26,'18 KMP- Tháng'!$A$6:$A$24,0),MATCH(Z$7,'18 KMP- Tháng'!$R$2:$AC$2,0))</f>
        <v>1011.891319</v>
      </c>
      <c r="AA26" s="189">
        <f>INDEX('18 KMP- Tháng'!$R$6:$AC$24,MATCH($A26,'18 KMP- Tháng'!$A$6:$A$24,0),MATCH(AA$7,'18 KMP- Tháng'!$R$2:$AC$2,0))</f>
        <v>830.77095499999996</v>
      </c>
      <c r="AB26" s="189">
        <f>INDEX('18 KMP- Tháng'!$R$6:$AC$24,MATCH($A26,'18 KMP- Tháng'!$A$6:$A$24,0),MATCH(AB$7,'18 KMP- Tháng'!$R$2:$AC$2,0))</f>
        <v>1000.806672</v>
      </c>
      <c r="AC26" s="344">
        <f>INDEX('18 KMP- Tháng'!$R$6:$AC$24,MATCH($A26,'18 KMP- Tháng'!$A$6:$A$24,0),MATCH(AC$7,'18 KMP- Tháng'!$R$2:$AC$2,0))</f>
        <v>1080.1792390000001</v>
      </c>
      <c r="AD26" s="362">
        <f t="shared" si="10"/>
        <v>857.65154374999986</v>
      </c>
      <c r="AE26" s="353">
        <f>INDEX('18 KMP- Tháng'!$AF$6:$AQ$29,MATCH($A26,'18 KMP- Tháng'!$A$6:$A$29,0),MATCH(AE$7,'18 KMP- Tháng'!$AF$2:$AQ$2,0))</f>
        <v>846.79768000000001</v>
      </c>
      <c r="AF26" s="189">
        <f>INDEX('18 KMP- Tháng'!$AF$6:$AQ$29,MATCH($A26,'18 KMP- Tháng'!$A$6:$A$29,0),MATCH(AF$7,'18 KMP- Tháng'!$AF$2:$AQ$2,0))</f>
        <v>1000.829428</v>
      </c>
      <c r="AG26" s="189">
        <f>INDEX('18 KMP- Tháng'!$AF$6:$AQ$29,MATCH($A26,'18 KMP- Tháng'!$A$6:$A$29,0),MATCH(AG$7,'18 KMP- Tháng'!$AF$2:$AQ$2,0))</f>
        <v>946.99695599999995</v>
      </c>
      <c r="AH26" s="189">
        <f>INDEX('18 KMP- Tháng'!$AF$6:$AQ$29,MATCH($A26,'18 KMP- Tháng'!$A$6:$A$29,0),MATCH(AH$7,'18 KMP- Tháng'!$AF$2:$AQ$2,0))</f>
        <v>1097.7775140000001</v>
      </c>
      <c r="AI26" s="189">
        <f>INDEX('18 KMP- Tháng'!$AF$6:$AQ$29,MATCH($A26,'18 KMP- Tháng'!$A$6:$A$29,0),MATCH(AI$7,'18 KMP- Tháng'!$AF$2:$AQ$2,0))</f>
        <v>1084.371903</v>
      </c>
      <c r="AJ26" s="189">
        <f>INDEX('18 KMP- Tháng'!$AF$6:$AQ$29,MATCH($A26,'18 KMP- Tháng'!$A$6:$A$29,0),MATCH(AJ$7,'18 KMP- Tháng'!$AF$2:$AQ$2,0))</f>
        <v>891.13647100000003</v>
      </c>
      <c r="AK26" s="189">
        <f>INDEX('18 KMP- Tháng'!$AF$6:$AQ$29,MATCH($A26,'18 KMP- Tháng'!$A$6:$A$29,0),MATCH(AK$7,'18 KMP- Tháng'!$AF$2:$AQ$2,0))</f>
        <v>968.12022300000001</v>
      </c>
      <c r="AL26" s="189">
        <f>INDEX('18 KMP- Tháng'!$AF$6:$AQ$29,MATCH($A26,'18 KMP- Tháng'!$A$6:$A$29,0),MATCH(AL$7,'18 KMP- Tháng'!$AF$2:$AQ$2,0))</f>
        <v>921.39117799999997</v>
      </c>
      <c r="AM26" s="189">
        <f>INDEX('18 KMP- Tháng'!$AF$6:$AQ$29,MATCH($A26,'18 KMP- Tháng'!$A$6:$A$29,0),MATCH(AM$7,'18 KMP- Tháng'!$AF$2:$AQ$2,0))</f>
        <v>942.63703399999997</v>
      </c>
      <c r="AN26" s="189">
        <f>INDEX('18 KMP- Tháng'!$AF$6:$AQ$29,MATCH($A26,'18 KMP- Tháng'!$A$6:$A$29,0),MATCH(AN$7,'18 KMP- Tháng'!$AF$2:$AQ$2,0))</f>
        <v>955.97821499999998</v>
      </c>
      <c r="AO26" s="189">
        <f>INDEX('18 KMP- Tháng'!$AF$6:$AQ$29,MATCH($A26,'18 KMP- Tháng'!$A$6:$A$29,0),MATCH(AO$7,'18 KMP- Tháng'!$AF$2:$AQ$2,0))</f>
        <v>1002.406715</v>
      </c>
      <c r="AP26" s="344">
        <f>INDEX('18 KMP- Tháng'!$AF$6:$AQ$29,MATCH($A26,'18 KMP- Tháng'!$A$6:$A$29,0),MATCH(AP$7,'18 KMP- Tháng'!$AF$2:$AQ$2,0))</f>
        <v>881.78607799999997</v>
      </c>
      <c r="AQ26" s="582">
        <f t="shared" si="22"/>
        <v>961.68578291666643</v>
      </c>
      <c r="AR26" s="353">
        <f t="shared" si="23"/>
        <v>11540.229394999997</v>
      </c>
      <c r="AS26" s="353">
        <f>INDEX('18 KMP- Tháng'!$BH$6:$BS$29,MATCH($A26,'18 KMP- Tháng'!$A$6:$A$29,0),MATCH(AS$7,'18 KMP- Tháng'!$BH$2:$BS$2,0))</f>
        <v>1097.4625267947374</v>
      </c>
      <c r="AT26" s="189">
        <f>INDEX('18 KMP- Tháng'!$BH$6:$BS$29,MATCH($A26,'18 KMP- Tháng'!$A$6:$A$29,0),MATCH(AT$7,'18 KMP- Tháng'!$BH$2:$BS$2,0))</f>
        <v>684.3883389500387</v>
      </c>
      <c r="AU26" s="189">
        <f>INDEX('18 KMP- Tháng'!$BH$6:$BS$29,MATCH($A26,'18 KMP- Tháng'!$A$6:$A$29,0),MATCH(AU$7,'18 KMP- Tháng'!$BH$2:$BS$2,0))</f>
        <v>909.00912691545204</v>
      </c>
      <c r="AV26" s="189">
        <f>INDEX('18 KMP- Tháng'!$BH$6:$BS$29,MATCH($A26,'18 KMP- Tháng'!$A$6:$A$29,0),MATCH(AV$7,'18 KMP- Tháng'!$BH$2:$BS$2,0))</f>
        <v>950.68150148275629</v>
      </c>
      <c r="AW26" s="189">
        <f>INDEX('18 KMP- Tháng'!$BH$6:$BS$29,MATCH($A26,'18 KMP- Tháng'!$A$6:$A$29,0),MATCH(AW$7,'18 KMP- Tháng'!$BH$2:$BS$2,0))</f>
        <v>787.24237985516299</v>
      </c>
      <c r="AX26" s="189">
        <f>INDEX('18 KMP- Tháng'!$BH$6:$BS$29,MATCH($A26,'18 KMP- Tháng'!$A$6:$A$29,0),MATCH(AX$7,'18 KMP- Tháng'!$BH$2:$BS$2,0))</f>
        <v>842.19632634117897</v>
      </c>
      <c r="AY26" s="189">
        <f>INDEX('18 KMP- Tháng'!$BH$6:$BS$29,MATCH($A26,'18 KMP- Tháng'!$A$6:$A$29,0),MATCH(AY$7,'18 KMP- Tháng'!$BH$2:$BS$2,0))</f>
        <v>822.75043507037333</v>
      </c>
      <c r="AZ26" s="189">
        <f>INDEX('18 KMP- Tháng'!$BH$6:$BS$29,MATCH($A26,'18 KMP- Tháng'!$A$6:$A$29,0),MATCH(AZ$7,'18 KMP- Tháng'!$BH$2:$BS$2,0))</f>
        <v>778.17658718628445</v>
      </c>
      <c r="BA26" s="189">
        <f>INDEX('18 KMP- Tháng'!$BH$6:$BS$29,MATCH($A26,'18 KMP- Tháng'!$A$6:$A$29,0),MATCH(BA$7,'18 KMP- Tháng'!$BH$2:$BS$2,0))</f>
        <v>805.80359646110617</v>
      </c>
      <c r="BB26" s="189">
        <f>INDEX('18 KMP- Tháng'!$BH$6:$BS$29,MATCH($A26,'18 KMP- Tháng'!$A$6:$A$29,0),MATCH(BB$7,'18 KMP- Tháng'!$BH$2:$BS$2,0))</f>
        <v>789.03098314356475</v>
      </c>
      <c r="BC26" s="189">
        <f>INDEX('18 KMP- Tháng'!$BH$6:$BS$29,MATCH($A26,'18 KMP- Tháng'!$A$6:$A$29,0),MATCH(BC$7,'18 KMP- Tháng'!$BH$2:$BS$2,0))</f>
        <v>680.53850176721824</v>
      </c>
      <c r="BD26" s="344">
        <f>INDEX('18 KMP- Tháng'!$BH$6:$BS$29,MATCH($A26,'18 KMP- Tháng'!$A$6:$A$29,0),MATCH(BD$7,'18 KMP- Tháng'!$BH$2:$BS$2,0))</f>
        <v>784.4652000531986</v>
      </c>
      <c r="BE26" s="362">
        <f t="shared" si="24"/>
        <v>827.64545866842263</v>
      </c>
      <c r="BF26" s="353">
        <f>INDEX('18 KMP- Tháng'!$AS$6:$BD$29,MATCH($A26,'18 KMP- Tháng'!$A$6:$A$29,0),MATCH(BF$7,'18 KMP- Tháng'!$AS$2:$BD$2,0))</f>
        <v>600.67994299999998</v>
      </c>
      <c r="BG26" s="189">
        <f>INDEX('18 KMP- Tháng'!$AS$6:$BD$29,MATCH($A26,'18 KMP- Tháng'!$A$6:$A$29,0),MATCH(BG$7,'18 KMP- Tháng'!$AS$2:$BD$2,0))</f>
        <v>520.80578700000001</v>
      </c>
      <c r="BH26" s="189">
        <f>INDEX('18 KMP- Tháng'!$AS$6:$BD$29,MATCH($A26,'18 KMP- Tháng'!$A$6:$A$29,0),MATCH(BH$7,'18 KMP- Tháng'!$AS$2:$BD$2,0))</f>
        <v>606.28655600000002</v>
      </c>
      <c r="BI26" s="189">
        <f>INDEX('18 KMP- Tháng'!$AS$6:$BD$29,MATCH($A26,'18 KMP- Tháng'!$A$6:$A$29,0),MATCH(BI$7,'18 KMP- Tháng'!$AS$2:$BD$2,0))</f>
        <v>576.96160699999996</v>
      </c>
      <c r="BJ26" s="189">
        <f>INDEX('18 KMP- Tháng'!$AS$6:$BD$29,MATCH($A26,'18 KMP- Tháng'!$A$6:$A$29,0),MATCH(BJ$7,'18 KMP- Tháng'!$AS$2:$BD$2,0))</f>
        <v>610.26077499999997</v>
      </c>
      <c r="BK26" s="189">
        <f>INDEX('18 KMP- Tháng'!$AS$6:$BD$29,MATCH($A26,'18 KMP- Tháng'!$A$6:$A$29,0),MATCH(BK$7,'18 KMP- Tháng'!$AS$2:$BD$2,0))</f>
        <v>626.32665699999995</v>
      </c>
      <c r="BL26" s="189">
        <f>INDEX('18 KMP- Tháng'!$AS$6:$BD$29,MATCH($A26,'18 KMP- Tháng'!$A$6:$A$29,0),MATCH(BL$7,'18 KMP- Tháng'!$AS$2:$BD$2,0))</f>
        <v>0</v>
      </c>
      <c r="BM26" s="189">
        <f>INDEX('18 KMP- Tháng'!$AS$6:$BD$29,MATCH($A26,'18 KMP- Tháng'!$A$6:$A$29,0),MATCH(BM$7,'18 KMP- Tháng'!$AS$2:$BD$2,0))</f>
        <v>0</v>
      </c>
      <c r="BN26" s="189">
        <f>INDEX('18 KMP- Tháng'!$AS$6:$BD$29,MATCH($A26,'18 KMP- Tháng'!$A$6:$A$29,0),MATCH(BN$7,'18 KMP- Tháng'!$AS$2:$BD$2,0))</f>
        <v>0</v>
      </c>
      <c r="BO26" s="189">
        <f>INDEX('18 KMP- Tháng'!$AS$6:$BD$29,MATCH($A26,'18 KMP- Tháng'!$A$6:$A$29,0),MATCH(BO$7,'18 KMP- Tháng'!$AS$2:$BD$2,0))</f>
        <v>0</v>
      </c>
      <c r="BP26" s="189">
        <f>INDEX('18 KMP- Tháng'!$AS$6:$BD$29,MATCH($A26,'18 KMP- Tháng'!$A$6:$A$29,0),MATCH(BP$7,'18 KMP- Tháng'!$AS$2:$BD$2,0))</f>
        <v>0</v>
      </c>
      <c r="BQ26" s="344">
        <f>INDEX('18 KMP- Tháng'!$AS$6:$BD$29,MATCH($A26,'18 KMP- Tháng'!$A$6:$A$29,0),MATCH(BQ$7,'18 KMP- Tháng'!$AS$2:$BD$2,0))</f>
        <v>0</v>
      </c>
      <c r="BR26" s="582">
        <f t="shared" si="25"/>
        <v>590.2202208333332</v>
      </c>
      <c r="BS26" s="353">
        <f t="shared" si="26"/>
        <v>3541.3213249999994</v>
      </c>
      <c r="BT26" s="196">
        <f t="shared" si="8"/>
        <v>-0.25631751479966547</v>
      </c>
      <c r="BU26" s="190">
        <f t="shared" si="9"/>
        <v>5.5155622626998141E-3</v>
      </c>
      <c r="BV26" s="982"/>
      <c r="BW26" s="982"/>
      <c r="BX26" s="982"/>
      <c r="BY26" s="983"/>
      <c r="BZ26" s="983"/>
      <c r="CA26" s="983"/>
      <c r="CB26" s="983"/>
      <c r="CC26" s="191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</row>
    <row r="27" spans="1:92" s="186" customFormat="1" x14ac:dyDescent="0.4">
      <c r="A27" s="174">
        <v>20</v>
      </c>
      <c r="B27" s="187">
        <f t="shared" si="27"/>
        <v>6</v>
      </c>
      <c r="C27" s="188" t="s">
        <v>97</v>
      </c>
      <c r="D27" s="188" t="s">
        <v>51</v>
      </c>
      <c r="E27" s="189">
        <f>INDEX('18 KMP- Tháng'!$E$6:$Q$29,MATCH($A27,'18 KMP- Tháng'!$A$6:$A$29,0),MATCH(E$7,'18 KMP- Tháng'!$E$2:$P$2,0))</f>
        <v>246.48996799999998</v>
      </c>
      <c r="F27" s="189">
        <f>INDEX('18 KMP- Tháng'!$E$6:$Q$29,MATCH($A27,'18 KMP- Tháng'!$A$6:$A$29,0),MATCH(F$7,'18 KMP- Tháng'!$E$2:$P$2,0))</f>
        <v>196.31483499999999</v>
      </c>
      <c r="G27" s="189">
        <f>INDEX('18 KMP- Tháng'!$E$6:$Q$29,MATCH($A27,'18 KMP- Tháng'!$A$6:$A$29,0),MATCH(G$7,'18 KMP- Tháng'!$E$2:$P$2,0))</f>
        <v>283.67628499999995</v>
      </c>
      <c r="H27" s="189">
        <f>INDEX('18 KMP- Tháng'!$E$6:$Q$29,MATCH($A27,'18 KMP- Tháng'!$A$6:$A$29,0),MATCH(H$7,'18 KMP- Tháng'!$E$2:$P$2,0))</f>
        <v>199.32285299999998</v>
      </c>
      <c r="I27" s="189">
        <f>INDEX('18 KMP- Tháng'!$E$6:$Q$29,MATCH($A27,'18 KMP- Tháng'!$A$6:$A$29,0),MATCH(I$7,'18 KMP- Tháng'!$E$2:$P$2,0))</f>
        <v>400.21661099999994</v>
      </c>
      <c r="J27" s="189">
        <f>INDEX('18 KMP- Tháng'!$E$6:$Q$29,MATCH($A27,'18 KMP- Tháng'!$A$6:$A$29,0),MATCH(J$7,'18 KMP- Tháng'!$E$2:$P$2,0))</f>
        <v>382.31868700000001</v>
      </c>
      <c r="K27" s="189">
        <f>INDEX('18 KMP- Tháng'!$E$6:$Q$29,MATCH($A27,'18 KMP- Tháng'!$A$6:$A$29,0),MATCH(K$7,'18 KMP- Tháng'!$E$2:$P$2,0))</f>
        <v>546.65978099999995</v>
      </c>
      <c r="L27" s="189">
        <f>INDEX('18 KMP- Tháng'!$E$6:$Q$29,MATCH($A27,'18 KMP- Tháng'!$A$6:$A$29,0),MATCH(L$7,'18 KMP- Tháng'!$E$2:$P$2,0))</f>
        <v>459.12409699999995</v>
      </c>
      <c r="M27" s="189">
        <f>INDEX('18 KMP- Tháng'!$E$6:$Q$29,MATCH($A27,'18 KMP- Tháng'!$A$6:$A$29,0),MATCH(M$7,'18 KMP- Tháng'!$E$2:$P$2,0))</f>
        <v>351.15703000000002</v>
      </c>
      <c r="N27" s="189">
        <f>INDEX('18 KMP- Tháng'!$E$6:$Q$29,MATCH($A27,'18 KMP- Tháng'!$A$6:$A$29,0),MATCH(N$7,'18 KMP- Tháng'!$E$2:$P$2,0))</f>
        <v>507.62330700000001</v>
      </c>
      <c r="O27" s="189">
        <f>INDEX('18 KMP- Tháng'!$E$6:$Q$29,MATCH($A27,'18 KMP- Tháng'!$A$6:$A$29,0),MATCH(O$7,'18 KMP- Tháng'!$E$2:$P$2,0))</f>
        <v>624.38641399999995</v>
      </c>
      <c r="P27" s="344">
        <f>INDEX('18 KMP- Tháng'!$E$6:$Q$29,MATCH($A27,'18 KMP- Tháng'!$A$6:$A$29,0),MATCH(P$7,'18 KMP- Tháng'!$E$2:$P$2,0))</f>
        <v>848.89990699999998</v>
      </c>
      <c r="Q27" s="362">
        <f t="shared" si="21"/>
        <v>420.51581458333322</v>
      </c>
      <c r="R27" s="189">
        <f>INDEX('18 KMP- Tháng'!$R$6:$AC$24,MATCH($A27,'18 KMP- Tháng'!$A$6:$A$24,0),MATCH(R$7,'18 KMP- Tháng'!$R$2:$AC$2,0))</f>
        <v>538.72162100000003</v>
      </c>
      <c r="S27" s="189">
        <f>INDEX('18 KMP- Tháng'!$R$6:$AC$24,MATCH($A27,'18 KMP- Tháng'!$A$6:$A$24,0),MATCH(S$7,'18 KMP- Tháng'!$R$2:$AC$2,0))</f>
        <v>645.51002000000005</v>
      </c>
      <c r="T27" s="189">
        <f>INDEX('18 KMP- Tháng'!$R$6:$AC$24,MATCH($A27,'18 KMP- Tháng'!$A$6:$A$24,0),MATCH(T$7,'18 KMP- Tháng'!$R$2:$AC$2,0))</f>
        <v>698.78772200000003</v>
      </c>
      <c r="U27" s="189">
        <f>INDEX('18 KMP- Tháng'!$R$6:$AC$24,MATCH($A27,'18 KMP- Tháng'!$A$6:$A$24,0),MATCH(U$7,'18 KMP- Tháng'!$R$2:$AC$2,0))</f>
        <v>640.0876760000001</v>
      </c>
      <c r="V27" s="189">
        <f>INDEX('18 KMP- Tháng'!$R$6:$AC$24,MATCH($A27,'18 KMP- Tháng'!$A$6:$A$24,0),MATCH(V$7,'18 KMP- Tháng'!$R$2:$AC$2,0))</f>
        <v>763.75839600000006</v>
      </c>
      <c r="W27" s="189">
        <f>INDEX('18 KMP- Tháng'!$R$6:$AC$24,MATCH($A27,'18 KMP- Tháng'!$A$6:$A$24,0),MATCH(W$7,'18 KMP- Tháng'!$R$2:$AC$2,0))</f>
        <v>839.77968399999997</v>
      </c>
      <c r="X27" s="189">
        <f>INDEX('18 KMP- Tháng'!$R$6:$AC$24,MATCH($A27,'18 KMP- Tháng'!$A$6:$A$24,0),MATCH(X$7,'18 KMP- Tháng'!$R$2:$AC$2,0))</f>
        <v>569.16955900000005</v>
      </c>
      <c r="Y27" s="189">
        <f>INDEX('18 KMP- Tháng'!$R$6:$AC$24,MATCH($A27,'18 KMP- Tháng'!$A$6:$A$24,0),MATCH(Y$7,'18 KMP- Tháng'!$R$2:$AC$2,0))</f>
        <v>809.00254699999994</v>
      </c>
      <c r="Z27" s="189">
        <f>INDEX('18 KMP- Tháng'!$R$6:$AC$24,MATCH($A27,'18 KMP- Tháng'!$A$6:$A$24,0),MATCH(Z$7,'18 KMP- Tháng'!$R$2:$AC$2,0))</f>
        <v>931.70146299999999</v>
      </c>
      <c r="AA27" s="189">
        <f>INDEX('18 KMP- Tháng'!$R$6:$AC$24,MATCH($A27,'18 KMP- Tháng'!$A$6:$A$24,0),MATCH(AA$7,'18 KMP- Tháng'!$R$2:$AC$2,0))</f>
        <v>1009.2301160000001</v>
      </c>
      <c r="AB27" s="189">
        <f>INDEX('18 KMP- Tháng'!$R$6:$AC$24,MATCH($A27,'18 KMP- Tháng'!$A$6:$A$24,0),MATCH(AB$7,'18 KMP- Tháng'!$R$2:$AC$2,0))</f>
        <v>1237.657117</v>
      </c>
      <c r="AC27" s="344">
        <f>INDEX('18 KMP- Tháng'!$R$6:$AC$24,MATCH($A27,'18 KMP- Tháng'!$A$6:$A$24,0),MATCH(AC$7,'18 KMP- Tháng'!$R$2:$AC$2,0))</f>
        <v>1484.7749200000003</v>
      </c>
      <c r="AD27" s="362">
        <f t="shared" si="10"/>
        <v>847.34840341666677</v>
      </c>
      <c r="AE27" s="353">
        <f>INDEX('18 KMP- Tháng'!$AF$6:$AQ$29,MATCH($A27,'18 KMP- Tháng'!$A$6:$A$29,0),MATCH(AE$7,'18 KMP- Tháng'!$AF$2:$AQ$2,0))</f>
        <v>954.84058600000003</v>
      </c>
      <c r="AF27" s="189">
        <f>INDEX('18 KMP- Tháng'!$AF$6:$AQ$29,MATCH($A27,'18 KMP- Tháng'!$A$6:$A$29,0),MATCH(AF$7,'18 KMP- Tháng'!$AF$2:$AQ$2,0))</f>
        <v>1156.6500449999999</v>
      </c>
      <c r="AG27" s="189">
        <f>INDEX('18 KMP- Tháng'!$AF$6:$AQ$29,MATCH($A27,'18 KMP- Tháng'!$A$6:$A$29,0),MATCH(AG$7,'18 KMP- Tháng'!$AF$2:$AQ$2,0))</f>
        <v>1032.198695</v>
      </c>
      <c r="AH27" s="189">
        <f>INDEX('18 KMP- Tháng'!$AF$6:$AQ$29,MATCH($A27,'18 KMP- Tháng'!$A$6:$A$29,0),MATCH(AH$7,'18 KMP- Tháng'!$AF$2:$AQ$2,0))</f>
        <v>1123.1554360000002</v>
      </c>
      <c r="AI27" s="189">
        <f>INDEX('18 KMP- Tháng'!$AF$6:$AQ$29,MATCH($A27,'18 KMP- Tháng'!$A$6:$A$29,0),MATCH(AI$7,'18 KMP- Tháng'!$AF$2:$AQ$2,0))</f>
        <v>1070.7569490000001</v>
      </c>
      <c r="AJ27" s="189">
        <f>INDEX('18 KMP- Tháng'!$AF$6:$AQ$29,MATCH($A27,'18 KMP- Tháng'!$A$6:$A$29,0),MATCH(AJ$7,'18 KMP- Tháng'!$AF$2:$AQ$2,0))</f>
        <v>1292.3613570000002</v>
      </c>
      <c r="AK27" s="189">
        <f>INDEX('18 KMP- Tháng'!$AF$6:$AQ$29,MATCH($A27,'18 KMP- Tháng'!$A$6:$A$29,0),MATCH(AK$7,'18 KMP- Tháng'!$AF$2:$AQ$2,0))</f>
        <v>1336.968877</v>
      </c>
      <c r="AL27" s="189">
        <f>INDEX('18 KMP- Tháng'!$AF$6:$AQ$29,MATCH($A27,'18 KMP- Tháng'!$A$6:$A$29,0),MATCH(AL$7,'18 KMP- Tháng'!$AF$2:$AQ$2,0))</f>
        <v>1300.5327359999999</v>
      </c>
      <c r="AM27" s="189">
        <f>INDEX('18 KMP- Tháng'!$AF$6:$AQ$29,MATCH($A27,'18 KMP- Tháng'!$A$6:$A$29,0),MATCH(AM$7,'18 KMP- Tháng'!$AF$2:$AQ$2,0))</f>
        <v>1135.2528440000001</v>
      </c>
      <c r="AN27" s="189">
        <f>INDEX('18 KMP- Tháng'!$AF$6:$AQ$29,MATCH($A27,'18 KMP- Tháng'!$A$6:$A$29,0),MATCH(AN$7,'18 KMP- Tháng'!$AF$2:$AQ$2,0))</f>
        <v>1276.4911440000001</v>
      </c>
      <c r="AO27" s="189">
        <f>INDEX('18 KMP- Tháng'!$AF$6:$AQ$29,MATCH($A27,'18 KMP- Tháng'!$A$6:$A$29,0),MATCH(AO$7,'18 KMP- Tháng'!$AF$2:$AQ$2,0))</f>
        <v>1152.781774</v>
      </c>
      <c r="AP27" s="344">
        <f>INDEX('18 KMP- Tháng'!$AF$6:$AQ$29,MATCH($A27,'18 KMP- Tháng'!$A$6:$A$29,0),MATCH(AP$7,'18 KMP- Tháng'!$AF$2:$AQ$2,0))</f>
        <v>1098.2780640000001</v>
      </c>
      <c r="AQ27" s="582">
        <f t="shared" si="22"/>
        <v>1160.8557089166666</v>
      </c>
      <c r="AR27" s="353">
        <f t="shared" si="23"/>
        <v>13930.268506999999</v>
      </c>
      <c r="AS27" s="353">
        <f>INDEX('18 KMP- Tháng'!$BH$6:$BS$29,MATCH($A27,'18 KMP- Tháng'!$A$6:$A$29,0),MATCH(AS$7,'18 KMP- Tháng'!$BH$2:$BS$2,0))</f>
        <v>1006.3909672479249</v>
      </c>
      <c r="AT27" s="189">
        <f>INDEX('18 KMP- Tháng'!$BH$6:$BS$29,MATCH($A27,'18 KMP- Tháng'!$A$6:$A$29,0),MATCH(AT$7,'18 KMP- Tháng'!$BH$2:$BS$2,0))</f>
        <v>790.98151514487347</v>
      </c>
      <c r="AU27" s="189">
        <f>INDEX('18 KMP- Tháng'!$BH$6:$BS$29,MATCH($A27,'18 KMP- Tháng'!$A$6:$A$29,0),MATCH(AU$7,'18 KMP- Tháng'!$BH$2:$BS$2,0))</f>
        <v>1265.3543462268537</v>
      </c>
      <c r="AV27" s="189">
        <f>INDEX('18 KMP- Tháng'!$BH$6:$BS$29,MATCH($A27,'18 KMP- Tháng'!$A$6:$A$29,0),MATCH(AV$7,'18 KMP- Tháng'!$BH$2:$BS$2,0))</f>
        <v>1161.7049307954319</v>
      </c>
      <c r="AW27" s="189">
        <f>INDEX('18 KMP- Tháng'!$BH$6:$BS$29,MATCH($A27,'18 KMP- Tháng'!$A$6:$A$29,0),MATCH(AW$7,'18 KMP- Tháng'!$BH$2:$BS$2,0))</f>
        <v>1171.3660458101872</v>
      </c>
      <c r="AX27" s="189">
        <f>INDEX('18 KMP- Tháng'!$BH$6:$BS$29,MATCH($A27,'18 KMP- Tháng'!$A$6:$A$29,0),MATCH(AX$7,'18 KMP- Tháng'!$BH$2:$BS$2,0))</f>
        <v>1498.3283359620987</v>
      </c>
      <c r="AY27" s="189">
        <f>INDEX('18 KMP- Tháng'!$BH$6:$BS$29,MATCH($A27,'18 KMP- Tháng'!$A$6:$A$29,0),MATCH(AY$7,'18 KMP- Tháng'!$BH$2:$BS$2,0))</f>
        <v>1319.012510734022</v>
      </c>
      <c r="AZ27" s="189">
        <f>INDEX('18 KMP- Tháng'!$BH$6:$BS$29,MATCH($A27,'18 KMP- Tháng'!$A$6:$A$29,0),MATCH(AZ$7,'18 KMP- Tháng'!$BH$2:$BS$2,0))</f>
        <v>1202.2024329840224</v>
      </c>
      <c r="BA27" s="189">
        <f>INDEX('18 KMP- Tháng'!$BH$6:$BS$29,MATCH($A27,'18 KMP- Tháng'!$A$6:$A$29,0),MATCH(BA$7,'18 KMP- Tháng'!$BH$2:$BS$2,0))</f>
        <v>1366.8730393972839</v>
      </c>
      <c r="BB27" s="189">
        <f>INDEX('18 KMP- Tháng'!$BH$6:$BS$29,MATCH($A27,'18 KMP- Tháng'!$A$6:$A$29,0),MATCH(BB$7,'18 KMP- Tháng'!$BH$2:$BS$2,0))</f>
        <v>1222.2986830673553</v>
      </c>
      <c r="BC27" s="189">
        <f>INDEX('18 KMP- Tháng'!$BH$6:$BS$29,MATCH($A27,'18 KMP- Tháng'!$A$6:$A$29,0),MATCH(BC$7,'18 KMP- Tháng'!$BH$2:$BS$2,0))</f>
        <v>1221.7830999389505</v>
      </c>
      <c r="BD27" s="344">
        <f>INDEX('18 KMP- Tháng'!$BH$6:$BS$29,MATCH($A27,'18 KMP- Tháng'!$A$6:$A$29,0),MATCH(BD$7,'18 KMP- Tháng'!$BH$2:$BS$2,0))</f>
        <v>1250.6741891923555</v>
      </c>
      <c r="BE27" s="362">
        <f t="shared" si="24"/>
        <v>1206.4141747084466</v>
      </c>
      <c r="BF27" s="353">
        <f>INDEX('18 KMP- Tháng'!$AS$6:$BD$29,MATCH($A27,'18 KMP- Tháng'!$A$6:$A$29,0),MATCH(BF$7,'18 KMP- Tháng'!$AS$2:$BD$2,0))</f>
        <v>953.05825100000004</v>
      </c>
      <c r="BG27" s="189">
        <f>INDEX('18 KMP- Tháng'!$AS$6:$BD$29,MATCH($A27,'18 KMP- Tháng'!$A$6:$A$29,0),MATCH(BG$7,'18 KMP- Tháng'!$AS$2:$BD$2,0))</f>
        <v>699.73584800000003</v>
      </c>
      <c r="BH27" s="189">
        <f>INDEX('18 KMP- Tháng'!$AS$6:$BD$29,MATCH($A27,'18 KMP- Tháng'!$A$6:$A$29,0),MATCH(BH$7,'18 KMP- Tháng'!$AS$2:$BD$2,0))</f>
        <v>863.95969500000012</v>
      </c>
      <c r="BI27" s="189">
        <f>INDEX('18 KMP- Tháng'!$AS$6:$BD$29,MATCH($A27,'18 KMP- Tháng'!$A$6:$A$29,0),MATCH(BI$7,'18 KMP- Tháng'!$AS$2:$BD$2,0))</f>
        <v>1018.525967</v>
      </c>
      <c r="BJ27" s="189">
        <f>INDEX('18 KMP- Tháng'!$AS$6:$BD$29,MATCH($A27,'18 KMP- Tháng'!$A$6:$A$29,0),MATCH(BJ$7,'18 KMP- Tháng'!$AS$2:$BD$2,0))</f>
        <v>1261.7044699999999</v>
      </c>
      <c r="BK27" s="189">
        <f>INDEX('18 KMP- Tháng'!$AS$6:$BD$29,MATCH($A27,'18 KMP- Tháng'!$A$6:$A$29,0),MATCH(BK$7,'18 KMP- Tháng'!$AS$2:$BD$2,0))</f>
        <v>1075.1173409999999</v>
      </c>
      <c r="BL27" s="189">
        <f>INDEX('18 KMP- Tháng'!$AS$6:$BD$29,MATCH($A27,'18 KMP- Tháng'!$A$6:$A$29,0),MATCH(BL$7,'18 KMP- Tháng'!$AS$2:$BD$2,0))</f>
        <v>0</v>
      </c>
      <c r="BM27" s="189">
        <f>INDEX('18 KMP- Tháng'!$AS$6:$BD$29,MATCH($A27,'18 KMP- Tháng'!$A$6:$A$29,0),MATCH(BM$7,'18 KMP- Tháng'!$AS$2:$BD$2,0))</f>
        <v>0</v>
      </c>
      <c r="BN27" s="189">
        <f>INDEX('18 KMP- Tháng'!$AS$6:$BD$29,MATCH($A27,'18 KMP- Tháng'!$A$6:$A$29,0),MATCH(BN$7,'18 KMP- Tháng'!$AS$2:$BD$2,0))</f>
        <v>0</v>
      </c>
      <c r="BO27" s="189">
        <f>INDEX('18 KMP- Tháng'!$AS$6:$BD$29,MATCH($A27,'18 KMP- Tháng'!$A$6:$A$29,0),MATCH(BO$7,'18 KMP- Tháng'!$AS$2:$BD$2,0))</f>
        <v>0</v>
      </c>
      <c r="BP27" s="189">
        <f>INDEX('18 KMP- Tháng'!$AS$6:$BD$29,MATCH($A27,'18 KMP- Tháng'!$A$6:$A$29,0),MATCH(BP$7,'18 KMP- Tháng'!$AS$2:$BD$2,0))</f>
        <v>0</v>
      </c>
      <c r="BQ27" s="344">
        <f>INDEX('18 KMP- Tháng'!$AS$6:$BD$29,MATCH($A27,'18 KMP- Tháng'!$A$6:$A$29,0),MATCH(BQ$7,'18 KMP- Tháng'!$AS$2:$BD$2,0))</f>
        <v>0</v>
      </c>
      <c r="BR27" s="582">
        <f t="shared" si="25"/>
        <v>978.68359533333341</v>
      </c>
      <c r="BS27" s="353">
        <f t="shared" si="26"/>
        <v>5872.1015720000005</v>
      </c>
      <c r="BT27" s="196">
        <f t="shared" si="8"/>
        <v>-0.28245544371310893</v>
      </c>
      <c r="BU27" s="190">
        <f t="shared" si="9"/>
        <v>9.1457224185279105E-3</v>
      </c>
      <c r="BV27" s="984"/>
      <c r="BW27" s="984"/>
      <c r="BX27" s="984"/>
      <c r="BY27" s="983"/>
      <c r="BZ27" s="983"/>
      <c r="CA27" s="983"/>
      <c r="CB27" s="983"/>
      <c r="CC27" s="191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</row>
    <row r="28" spans="1:92" s="186" customFormat="1" x14ac:dyDescent="0.4">
      <c r="A28" s="174">
        <v>21</v>
      </c>
      <c r="B28" s="187">
        <f t="shared" si="27"/>
        <v>7</v>
      </c>
      <c r="C28" s="193" t="s">
        <v>97</v>
      </c>
      <c r="D28" s="193" t="s">
        <v>40</v>
      </c>
      <c r="E28" s="189">
        <f>INDEX('18 KMP- Tháng'!$E$6:$Q$29,MATCH($A28,'18 KMP- Tháng'!$A$6:$A$29,0),MATCH(E$7,'18 KMP- Tháng'!$E$2:$P$2,0))</f>
        <v>44.321387999999999</v>
      </c>
      <c r="F28" s="189">
        <f>INDEX('18 KMP- Tháng'!$E$6:$Q$29,MATCH($A28,'18 KMP- Tháng'!$A$6:$A$29,0),MATCH(F$7,'18 KMP- Tháng'!$E$2:$P$2,0))</f>
        <v>0</v>
      </c>
      <c r="G28" s="189">
        <f>INDEX('18 KMP- Tháng'!$E$6:$Q$29,MATCH($A28,'18 KMP- Tháng'!$A$6:$A$29,0),MATCH(G$7,'18 KMP- Tháng'!$E$2:$P$2,0))</f>
        <v>48.722388000000002</v>
      </c>
      <c r="H28" s="189">
        <f>INDEX('18 KMP- Tháng'!$E$6:$Q$29,MATCH($A28,'18 KMP- Tháng'!$A$6:$A$29,0),MATCH(H$7,'18 KMP- Tháng'!$E$2:$P$2,0))</f>
        <v>76.187495999999996</v>
      </c>
      <c r="I28" s="189">
        <f>INDEX('18 KMP- Tháng'!$E$6:$Q$29,MATCH($A28,'18 KMP- Tháng'!$A$6:$A$29,0),MATCH(I$7,'18 KMP- Tháng'!$E$2:$P$2,0))</f>
        <v>68.801481999999993</v>
      </c>
      <c r="J28" s="189">
        <f>INDEX('18 KMP- Tháng'!$E$6:$Q$29,MATCH($A28,'18 KMP- Tháng'!$A$6:$A$29,0),MATCH(J$7,'18 KMP- Tháng'!$E$2:$P$2,0))</f>
        <v>28.249625999999999</v>
      </c>
      <c r="K28" s="189">
        <f>INDEX('18 KMP- Tháng'!$E$6:$Q$29,MATCH($A28,'18 KMP- Tháng'!$A$6:$A$29,0),MATCH(K$7,'18 KMP- Tháng'!$E$2:$P$2,0))</f>
        <v>91.396439000000001</v>
      </c>
      <c r="L28" s="189">
        <f>INDEX('18 KMP- Tháng'!$E$6:$Q$29,MATCH($A28,'18 KMP- Tháng'!$A$6:$A$29,0),MATCH(L$7,'18 KMP- Tháng'!$E$2:$P$2,0))</f>
        <v>93.845376000000002</v>
      </c>
      <c r="M28" s="189">
        <f>INDEX('18 KMP- Tháng'!$E$6:$Q$29,MATCH($A28,'18 KMP- Tháng'!$A$6:$A$29,0),MATCH(M$7,'18 KMP- Tháng'!$E$2:$P$2,0))</f>
        <v>109.400024</v>
      </c>
      <c r="N28" s="189">
        <f>INDEX('18 KMP- Tháng'!$E$6:$Q$29,MATCH($A28,'18 KMP- Tháng'!$A$6:$A$29,0),MATCH(N$7,'18 KMP- Tháng'!$E$2:$P$2,0))</f>
        <v>129.99653499999999</v>
      </c>
      <c r="O28" s="189">
        <f>INDEX('18 KMP- Tháng'!$E$6:$Q$29,MATCH($A28,'18 KMP- Tháng'!$A$6:$A$29,0),MATCH(O$7,'18 KMP- Tháng'!$E$2:$P$2,0))</f>
        <v>157.60198</v>
      </c>
      <c r="P28" s="344">
        <f>INDEX('18 KMP- Tháng'!$E$6:$Q$29,MATCH($A28,'18 KMP- Tháng'!$A$6:$A$29,0),MATCH(P$7,'18 KMP- Tháng'!$E$2:$P$2,0))</f>
        <v>316.88398999999998</v>
      </c>
      <c r="Q28" s="363">
        <f t="shared" si="21"/>
        <v>97.117227</v>
      </c>
      <c r="R28" s="189">
        <f>INDEX('18 KMP- Tháng'!$R$6:$AC$24,MATCH($A28,'18 KMP- Tháng'!$A$6:$A$24,0),MATCH(R$7,'18 KMP- Tháng'!$R$2:$AC$2,0))</f>
        <v>460.46177499999999</v>
      </c>
      <c r="S28" s="189">
        <f>INDEX('18 KMP- Tháng'!$R$6:$AC$24,MATCH($A28,'18 KMP- Tháng'!$A$6:$A$24,0),MATCH(S$7,'18 KMP- Tháng'!$R$2:$AC$2,0))</f>
        <v>563.90951600000005</v>
      </c>
      <c r="T28" s="189">
        <f>INDEX('18 KMP- Tháng'!$R$6:$AC$24,MATCH($A28,'18 KMP- Tháng'!$A$6:$A$24,0),MATCH(T$7,'18 KMP- Tháng'!$R$2:$AC$2,0))</f>
        <v>587.31592000000001</v>
      </c>
      <c r="U28" s="189">
        <f>INDEX('18 KMP- Tháng'!$R$6:$AC$24,MATCH($A28,'18 KMP- Tháng'!$A$6:$A$24,0),MATCH(U$7,'18 KMP- Tháng'!$R$2:$AC$2,0))</f>
        <v>905.70814199999995</v>
      </c>
      <c r="V28" s="189">
        <f>INDEX('18 KMP- Tháng'!$R$6:$AC$24,MATCH($A28,'18 KMP- Tháng'!$A$6:$A$24,0),MATCH(V$7,'18 KMP- Tháng'!$R$2:$AC$2,0))</f>
        <v>974.31002899999999</v>
      </c>
      <c r="W28" s="189">
        <f>INDEX('18 KMP- Tháng'!$R$6:$AC$24,MATCH($A28,'18 KMP- Tháng'!$A$6:$A$24,0),MATCH(W$7,'18 KMP- Tháng'!$R$2:$AC$2,0))</f>
        <v>1115.0560800000001</v>
      </c>
      <c r="X28" s="189">
        <f>INDEX('18 KMP- Tháng'!$R$6:$AC$24,MATCH($A28,'18 KMP- Tháng'!$A$6:$A$24,0),MATCH(X$7,'18 KMP- Tháng'!$R$2:$AC$2,0))</f>
        <v>1160.8230060000001</v>
      </c>
      <c r="Y28" s="189">
        <f>INDEX('18 KMP- Tháng'!$R$6:$AC$24,MATCH($A28,'18 KMP- Tháng'!$A$6:$A$24,0),MATCH(Y$7,'18 KMP- Tháng'!$R$2:$AC$2,0))</f>
        <v>939.58504500000004</v>
      </c>
      <c r="Z28" s="189">
        <f>INDEX('18 KMP- Tháng'!$R$6:$AC$24,MATCH($A28,'18 KMP- Tháng'!$A$6:$A$24,0),MATCH(Z$7,'18 KMP- Tháng'!$R$2:$AC$2,0))</f>
        <v>859.44410500000004</v>
      </c>
      <c r="AA28" s="189">
        <f>INDEX('18 KMP- Tháng'!$R$6:$AC$24,MATCH($A28,'18 KMP- Tháng'!$A$6:$A$24,0),MATCH(AA$7,'18 KMP- Tháng'!$R$2:$AC$2,0))</f>
        <v>840.16551500000003</v>
      </c>
      <c r="AB28" s="189">
        <f>INDEX('18 KMP- Tháng'!$R$6:$AC$24,MATCH($A28,'18 KMP- Tháng'!$A$6:$A$24,0),MATCH(AB$7,'18 KMP- Tháng'!$R$2:$AC$2,0))</f>
        <v>889.15908100000001</v>
      </c>
      <c r="AC28" s="344">
        <f>INDEX('18 KMP- Tháng'!$R$6:$AC$24,MATCH($A28,'18 KMP- Tháng'!$A$6:$A$24,0),MATCH(AC$7,'18 KMP- Tháng'!$R$2:$AC$2,0))</f>
        <v>1032.562923</v>
      </c>
      <c r="AD28" s="363">
        <f t="shared" si="10"/>
        <v>860.70842808333339</v>
      </c>
      <c r="AE28" s="354">
        <f>INDEX('18 KMP- Tháng'!$AF$6:$AQ$29,MATCH($A28,'18 KMP- Tháng'!$A$6:$A$29,0),MATCH(AE$7,'18 KMP- Tháng'!$AF$2:$AQ$2,0))</f>
        <v>1114.8242760000001</v>
      </c>
      <c r="AF28" s="194">
        <f>INDEX('18 KMP- Tháng'!$AF$6:$AQ$29,MATCH($A28,'18 KMP- Tháng'!$A$6:$A$29,0),MATCH(AF$7,'18 KMP- Tháng'!$AF$2:$AQ$2,0))</f>
        <v>928.37928099999999</v>
      </c>
      <c r="AG28" s="194">
        <f>INDEX('18 KMP- Tháng'!$AF$6:$AQ$29,MATCH($A28,'18 KMP- Tháng'!$A$6:$A$29,0),MATCH(AG$7,'18 KMP- Tháng'!$AF$2:$AQ$2,0))</f>
        <v>673.96678899999995</v>
      </c>
      <c r="AH28" s="194">
        <f>INDEX('18 KMP- Tháng'!$AF$6:$AQ$29,MATCH($A28,'18 KMP- Tháng'!$A$6:$A$29,0),MATCH(AH$7,'18 KMP- Tháng'!$AF$2:$AQ$2,0))</f>
        <v>888.39345200000002</v>
      </c>
      <c r="AI28" s="194">
        <f>INDEX('18 KMP- Tháng'!$AF$6:$AQ$29,MATCH($A28,'18 KMP- Tháng'!$A$6:$A$29,0),MATCH(AI$7,'18 KMP- Tháng'!$AF$2:$AQ$2,0))</f>
        <v>1189.130459</v>
      </c>
      <c r="AJ28" s="194">
        <f>INDEX('18 KMP- Tháng'!$AF$6:$AQ$29,MATCH($A28,'18 KMP- Tháng'!$A$6:$A$29,0),MATCH(AJ$7,'18 KMP- Tháng'!$AF$2:$AQ$2,0))</f>
        <v>1448.8998220000001</v>
      </c>
      <c r="AK28" s="194">
        <f>INDEX('18 KMP- Tháng'!$AF$6:$AQ$29,MATCH($A28,'18 KMP- Tháng'!$A$6:$A$29,0),MATCH(AK$7,'18 KMP- Tháng'!$AF$2:$AQ$2,0))</f>
        <v>1242.023326</v>
      </c>
      <c r="AL28" s="194">
        <f>INDEX('18 KMP- Tháng'!$AF$6:$AQ$29,MATCH($A28,'18 KMP- Tháng'!$A$6:$A$29,0),MATCH(AL$7,'18 KMP- Tháng'!$AF$2:$AQ$2,0))</f>
        <v>1303.5609099999999</v>
      </c>
      <c r="AM28" s="194">
        <f>INDEX('18 KMP- Tháng'!$AF$6:$AQ$29,MATCH($A28,'18 KMP- Tháng'!$A$6:$A$29,0),MATCH(AM$7,'18 KMP- Tháng'!$AF$2:$AQ$2,0))</f>
        <v>1595.764355</v>
      </c>
      <c r="AN28" s="194">
        <f>INDEX('18 KMP- Tháng'!$AF$6:$AQ$29,MATCH($A28,'18 KMP- Tháng'!$A$6:$A$29,0),MATCH(AN$7,'18 KMP- Tháng'!$AF$2:$AQ$2,0))</f>
        <v>1368.802426</v>
      </c>
      <c r="AO28" s="194">
        <f>INDEX('18 KMP- Tháng'!$AF$6:$AQ$29,MATCH($A28,'18 KMP- Tháng'!$A$6:$A$29,0),MATCH(AO$7,'18 KMP- Tháng'!$AF$2:$AQ$2,0))</f>
        <v>1256.132292</v>
      </c>
      <c r="AP28" s="345">
        <f>INDEX('18 KMP- Tháng'!$AF$6:$AQ$29,MATCH($A28,'18 KMP- Tháng'!$A$6:$A$29,0),MATCH(AP$7,'18 KMP- Tháng'!$AF$2:$AQ$2,0))</f>
        <v>1256.103396</v>
      </c>
      <c r="AQ28" s="363">
        <f t="shared" si="22"/>
        <v>1188.8317320000001</v>
      </c>
      <c r="AR28" s="354">
        <f t="shared" si="23"/>
        <v>14265.980784000001</v>
      </c>
      <c r="AS28" s="354">
        <f>INDEX('18 KMP- Tháng'!$BH$6:$BS$29,MATCH($A28,'18 KMP- Tháng'!$A$6:$A$29,0),MATCH(AS$7,'18 KMP- Tháng'!$BH$2:$BS$2,0))</f>
        <v>1440.7291910893346</v>
      </c>
      <c r="AT28" s="194">
        <f>INDEX('18 KMP- Tháng'!$BH$6:$BS$29,MATCH($A28,'18 KMP- Tháng'!$A$6:$A$29,0),MATCH(AT$7,'18 KMP- Tháng'!$BH$2:$BS$2,0))</f>
        <v>2314.4014916227866</v>
      </c>
      <c r="AU28" s="194">
        <f>INDEX('18 KMP- Tháng'!$BH$6:$BS$29,MATCH($A28,'18 KMP- Tháng'!$A$6:$A$29,0),MATCH(AU$7,'18 KMP- Tháng'!$BH$2:$BS$2,0))</f>
        <v>2754.8451088531456</v>
      </c>
      <c r="AV28" s="194">
        <f>INDEX('18 KMP- Tháng'!$BH$6:$BS$29,MATCH($A28,'18 KMP- Tháng'!$A$6:$A$29,0),MATCH(AV$7,'18 KMP- Tháng'!$BH$2:$BS$2,0))</f>
        <v>2658.9739779450151</v>
      </c>
      <c r="AW28" s="194">
        <f>INDEX('18 KMP- Tháng'!$BH$6:$BS$29,MATCH($A28,'18 KMP- Tháng'!$A$6:$A$29,0),MATCH(AW$7,'18 KMP- Tháng'!$BH$2:$BS$2,0))</f>
        <v>2984.5638576971396</v>
      </c>
      <c r="AX28" s="194">
        <f>INDEX('18 KMP- Tháng'!$BH$6:$BS$29,MATCH($A28,'18 KMP- Tháng'!$A$6:$A$29,0),MATCH(AX$7,'18 KMP- Tháng'!$BH$2:$BS$2,0))</f>
        <v>3083.7658926644508</v>
      </c>
      <c r="AY28" s="194">
        <f>INDEX('18 KMP- Tháng'!$BH$6:$BS$29,MATCH($A28,'18 KMP- Tháng'!$A$6:$A$29,0),MATCH(AY$7,'18 KMP- Tháng'!$BH$2:$BS$2,0))</f>
        <v>3139.6191586549103</v>
      </c>
      <c r="AZ28" s="194">
        <f>INDEX('18 KMP- Tháng'!$BH$6:$BS$29,MATCH($A28,'18 KMP- Tháng'!$A$6:$A$29,0),MATCH(AZ$7,'18 KMP- Tháng'!$BH$2:$BS$2,0))</f>
        <v>3321.5810537279758</v>
      </c>
      <c r="BA28" s="194">
        <f>INDEX('18 KMP- Tháng'!$BH$6:$BS$29,MATCH($A28,'18 KMP- Tháng'!$A$6:$A$29,0),MATCH(BA$7,'18 KMP- Tháng'!$BH$2:$BS$2,0))</f>
        <v>3248.3418835147654</v>
      </c>
      <c r="BB28" s="194">
        <f>INDEX('18 KMP- Tháng'!$BH$6:$BS$29,MATCH($A28,'18 KMP- Tháng'!$A$6:$A$29,0),MATCH(BB$7,'18 KMP- Tháng'!$BH$2:$BS$2,0))</f>
        <v>3254.7331846761322</v>
      </c>
      <c r="BC28" s="194">
        <f>INDEX('18 KMP- Tháng'!$BH$6:$BS$29,MATCH($A28,'18 KMP- Tháng'!$A$6:$A$29,0),MATCH(BC$7,'18 KMP- Tháng'!$BH$2:$BS$2,0))</f>
        <v>3261.9944609206568</v>
      </c>
      <c r="BD28" s="345">
        <f>INDEX('18 KMP- Tháng'!$BH$6:$BS$29,MATCH($A28,'18 KMP- Tháng'!$A$6:$A$29,0),MATCH(BD$7,'18 KMP- Tháng'!$BH$2:$BS$2,0))</f>
        <v>3102.3550620342407</v>
      </c>
      <c r="BE28" s="363">
        <f t="shared" si="24"/>
        <v>2880.4920269500467</v>
      </c>
      <c r="BF28" s="354">
        <f>INDEX('18 KMP- Tháng'!$AS$6:$BD$29,MATCH($A28,'18 KMP- Tháng'!$A$6:$A$29,0),MATCH(BF$7,'18 KMP- Tháng'!$AS$2:$BD$2,0))</f>
        <v>1240.115065</v>
      </c>
      <c r="BG28" s="194">
        <f>INDEX('18 KMP- Tháng'!$AS$6:$BD$29,MATCH($A28,'18 KMP- Tháng'!$A$6:$A$29,0),MATCH(BG$7,'18 KMP- Tháng'!$AS$2:$BD$2,0))</f>
        <v>1156.2794180000001</v>
      </c>
      <c r="BH28" s="194">
        <f>INDEX('18 KMP- Tháng'!$AS$6:$BD$29,MATCH($A28,'18 KMP- Tháng'!$A$6:$A$29,0),MATCH(BH$7,'18 KMP- Tháng'!$AS$2:$BD$2,0))</f>
        <v>959.71856400000001</v>
      </c>
      <c r="BI28" s="194">
        <f>INDEX('18 KMP- Tháng'!$AS$6:$BD$29,MATCH($A28,'18 KMP- Tháng'!$A$6:$A$29,0),MATCH(BI$7,'18 KMP- Tháng'!$AS$2:$BD$2,0))</f>
        <v>1062.0844750000001</v>
      </c>
      <c r="BJ28" s="194">
        <f>INDEX('18 KMP- Tháng'!$AS$6:$BD$29,MATCH($A28,'18 KMP- Tháng'!$A$6:$A$29,0),MATCH(BJ$7,'18 KMP- Tháng'!$AS$2:$BD$2,0))</f>
        <v>838.83679099999995</v>
      </c>
      <c r="BK28" s="194">
        <f>INDEX('18 KMP- Tháng'!$AS$6:$BD$29,MATCH($A28,'18 KMP- Tháng'!$A$6:$A$29,0),MATCH(BK$7,'18 KMP- Tháng'!$AS$2:$BD$2,0))</f>
        <v>856.84165599999994</v>
      </c>
      <c r="BL28" s="194">
        <f>INDEX('18 KMP- Tháng'!$AS$6:$BD$29,MATCH($A28,'18 KMP- Tháng'!$A$6:$A$29,0),MATCH(BL$7,'18 KMP- Tháng'!$AS$2:$BD$2,0))</f>
        <v>0</v>
      </c>
      <c r="BM28" s="194">
        <f>INDEX('18 KMP- Tháng'!$AS$6:$BD$29,MATCH($A28,'18 KMP- Tháng'!$A$6:$A$29,0),MATCH(BM$7,'18 KMP- Tháng'!$AS$2:$BD$2,0))</f>
        <v>0</v>
      </c>
      <c r="BN28" s="194">
        <f>INDEX('18 KMP- Tháng'!$AS$6:$BD$29,MATCH($A28,'18 KMP- Tháng'!$A$6:$A$29,0),MATCH(BN$7,'18 KMP- Tháng'!$AS$2:$BD$2,0))</f>
        <v>0</v>
      </c>
      <c r="BO28" s="194">
        <f>INDEX('18 KMP- Tháng'!$AS$6:$BD$29,MATCH($A28,'18 KMP- Tháng'!$A$6:$A$29,0),MATCH(BO$7,'18 KMP- Tháng'!$AS$2:$BD$2,0))</f>
        <v>0</v>
      </c>
      <c r="BP28" s="194">
        <f>INDEX('18 KMP- Tháng'!$AS$6:$BD$29,MATCH($A28,'18 KMP- Tháng'!$A$6:$A$29,0),MATCH(BP$7,'18 KMP- Tháng'!$AS$2:$BD$2,0))</f>
        <v>0</v>
      </c>
      <c r="BQ28" s="345">
        <f>INDEX('18 KMP- Tháng'!$AS$6:$BD$29,MATCH($A28,'18 KMP- Tháng'!$A$6:$A$29,0),MATCH(BQ$7,'18 KMP- Tháng'!$AS$2:$BD$2,0))</f>
        <v>0</v>
      </c>
      <c r="BR28" s="363">
        <f t="shared" si="25"/>
        <v>1018.9793281666666</v>
      </c>
      <c r="BS28" s="354">
        <f t="shared" si="26"/>
        <v>6113.8759689999997</v>
      </c>
      <c r="BT28" s="197">
        <f t="shared" si="8"/>
        <v>-0.72214438909314627</v>
      </c>
      <c r="BU28" s="195">
        <f t="shared" si="9"/>
        <v>9.5222829217407046E-3</v>
      </c>
      <c r="BV28" s="985"/>
      <c r="BW28" s="985"/>
      <c r="BX28" s="985"/>
      <c r="BY28" s="985"/>
      <c r="BZ28" s="985"/>
      <c r="CA28" s="985"/>
      <c r="CB28" s="985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</row>
    <row r="29" spans="1:92" s="202" customFormat="1" x14ac:dyDescent="0.4">
      <c r="A29" s="174">
        <v>22</v>
      </c>
      <c r="B29" s="198" t="s">
        <v>172</v>
      </c>
      <c r="C29" s="198"/>
      <c r="D29" s="198"/>
      <c r="E29" s="199">
        <f t="shared" ref="E29:Q29" si="28">E9+E21</f>
        <v>34440.911711089284</v>
      </c>
      <c r="F29" s="199">
        <f t="shared" si="28"/>
        <v>46317.090426292285</v>
      </c>
      <c r="G29" s="199">
        <f t="shared" si="28"/>
        <v>55997.13712304928</v>
      </c>
      <c r="H29" s="199">
        <f t="shared" si="28"/>
        <v>48947.483193914282</v>
      </c>
      <c r="I29" s="199">
        <f t="shared" si="28"/>
        <v>58599.450388103287</v>
      </c>
      <c r="J29" s="199">
        <f t="shared" si="28"/>
        <v>52071.093139714292</v>
      </c>
      <c r="K29" s="199">
        <f t="shared" si="28"/>
        <v>60035.26051921428</v>
      </c>
      <c r="L29" s="199">
        <f t="shared" si="28"/>
        <v>62421.991991500006</v>
      </c>
      <c r="M29" s="199">
        <f t="shared" si="28"/>
        <v>55229.418362559998</v>
      </c>
      <c r="N29" s="199">
        <f t="shared" si="28"/>
        <v>62472.462763999996</v>
      </c>
      <c r="O29" s="199">
        <f t="shared" si="28"/>
        <v>51056.575212999996</v>
      </c>
      <c r="P29" s="346">
        <f t="shared" si="28"/>
        <v>96361.762473917581</v>
      </c>
      <c r="Q29" s="364">
        <f t="shared" si="28"/>
        <v>56995.886442196206</v>
      </c>
      <c r="R29" s="199">
        <f t="shared" ref="R29:BS29" si="29">R9+R21</f>
        <v>115057.39110293402</v>
      </c>
      <c r="S29" s="199">
        <f t="shared" si="29"/>
        <v>84852.291090643092</v>
      </c>
      <c r="T29" s="199">
        <f t="shared" si="29"/>
        <v>125486.35049797817</v>
      </c>
      <c r="U29" s="199">
        <f t="shared" si="29"/>
        <v>124157.41692212663</v>
      </c>
      <c r="V29" s="199">
        <f t="shared" si="29"/>
        <v>118510.2757148743</v>
      </c>
      <c r="W29" s="199">
        <f t="shared" si="29"/>
        <v>98715.67990018813</v>
      </c>
      <c r="X29" s="199">
        <f t="shared" si="29"/>
        <v>65791.312933293535</v>
      </c>
      <c r="Y29" s="199">
        <f t="shared" si="29"/>
        <v>74011.500762084703</v>
      </c>
      <c r="Z29" s="199">
        <f t="shared" si="29"/>
        <v>90283.612402125276</v>
      </c>
      <c r="AA29" s="199">
        <f t="shared" si="29"/>
        <v>118837.42090925849</v>
      </c>
      <c r="AB29" s="199">
        <f t="shared" si="29"/>
        <v>126733.40044871607</v>
      </c>
      <c r="AC29" s="346">
        <f t="shared" si="29"/>
        <v>108399.86693067968</v>
      </c>
      <c r="AD29" s="364">
        <f t="shared" si="29"/>
        <v>104236.37663457516</v>
      </c>
      <c r="AE29" s="355">
        <f t="shared" ref="AE29:AR29" si="30">AE9+AE21</f>
        <v>70761.580371729928</v>
      </c>
      <c r="AF29" s="199">
        <f t="shared" si="30"/>
        <v>93339.63043673028</v>
      </c>
      <c r="AG29" s="199">
        <f t="shared" si="30"/>
        <v>135744.15186534991</v>
      </c>
      <c r="AH29" s="199">
        <f t="shared" si="30"/>
        <v>123953.31853651283</v>
      </c>
      <c r="AI29" s="199">
        <f t="shared" si="30"/>
        <v>141373.92062789982</v>
      </c>
      <c r="AJ29" s="199">
        <f t="shared" si="30"/>
        <v>129422.85189499869</v>
      </c>
      <c r="AK29" s="199">
        <f t="shared" si="30"/>
        <v>140987.36823394359</v>
      </c>
      <c r="AL29" s="199">
        <f t="shared" si="30"/>
        <v>142202.12603338982</v>
      </c>
      <c r="AM29" s="199">
        <f t="shared" si="30"/>
        <v>142427.61196251021</v>
      </c>
      <c r="AN29" s="199">
        <f t="shared" si="30"/>
        <v>108201.27177808291</v>
      </c>
      <c r="AO29" s="199">
        <f t="shared" si="30"/>
        <v>86134.210565524016</v>
      </c>
      <c r="AP29" s="346">
        <f t="shared" si="30"/>
        <v>118851.93601718271</v>
      </c>
      <c r="AQ29" s="364">
        <f t="shared" si="30"/>
        <v>119449.99819365455</v>
      </c>
      <c r="AR29" s="355">
        <f t="shared" si="30"/>
        <v>1433399.9783238547</v>
      </c>
      <c r="AS29" s="355">
        <f t="shared" ref="AS29:BE29" si="31">AS9+AS21</f>
        <v>115929.03398458035</v>
      </c>
      <c r="AT29" s="199">
        <f t="shared" si="31"/>
        <v>99481.317255880625</v>
      </c>
      <c r="AU29" s="199">
        <f t="shared" si="31"/>
        <v>118461.37521106302</v>
      </c>
      <c r="AV29" s="199">
        <f t="shared" si="31"/>
        <v>119581.09253569103</v>
      </c>
      <c r="AW29" s="199">
        <f t="shared" si="31"/>
        <v>120366.59328966835</v>
      </c>
      <c r="AX29" s="199">
        <f t="shared" si="31"/>
        <v>122382.80119797474</v>
      </c>
      <c r="AY29" s="199">
        <f t="shared" si="31"/>
        <v>124504.83761923685</v>
      </c>
      <c r="AZ29" s="199">
        <f t="shared" si="31"/>
        <v>125587.52413853171</v>
      </c>
      <c r="BA29" s="199">
        <f t="shared" si="31"/>
        <v>126150.25911621883</v>
      </c>
      <c r="BB29" s="199">
        <f t="shared" si="31"/>
        <v>124866.40303081283</v>
      </c>
      <c r="BC29" s="199">
        <f t="shared" si="31"/>
        <v>124017.505136539</v>
      </c>
      <c r="BD29" s="346">
        <f t="shared" si="31"/>
        <v>126913.86604754637</v>
      </c>
      <c r="BE29" s="364">
        <f t="shared" si="31"/>
        <v>120686.88404697864</v>
      </c>
      <c r="BF29" s="355">
        <f t="shared" si="29"/>
        <v>95139.895070348604</v>
      </c>
      <c r="BG29" s="199">
        <f t="shared" ref="BG29:BQ29" si="32">BG9+BG21</f>
        <v>67773.241644026304</v>
      </c>
      <c r="BH29" s="199">
        <f t="shared" si="32"/>
        <v>122634.61018828402</v>
      </c>
      <c r="BI29" s="199">
        <f t="shared" si="32"/>
        <v>123559.2847404505</v>
      </c>
      <c r="BJ29" s="199">
        <f t="shared" si="32"/>
        <v>112670.55854036831</v>
      </c>
      <c r="BK29" s="199">
        <f t="shared" si="32"/>
        <v>120282.30440767814</v>
      </c>
      <c r="BL29" s="199">
        <f t="shared" si="32"/>
        <v>0</v>
      </c>
      <c r="BM29" s="199">
        <f t="shared" si="32"/>
        <v>0</v>
      </c>
      <c r="BN29" s="199">
        <f t="shared" si="32"/>
        <v>0</v>
      </c>
      <c r="BO29" s="199">
        <f t="shared" si="32"/>
        <v>0</v>
      </c>
      <c r="BP29" s="199">
        <f t="shared" si="32"/>
        <v>0</v>
      </c>
      <c r="BQ29" s="346">
        <f t="shared" si="32"/>
        <v>0</v>
      </c>
      <c r="BR29" s="364">
        <f t="shared" ref="BR29" si="33">BR9+BR21</f>
        <v>107009.98243185929</v>
      </c>
      <c r="BS29" s="355">
        <f t="shared" si="29"/>
        <v>642059.89459115581</v>
      </c>
      <c r="BT29" s="200">
        <f t="shared" si="8"/>
        <v>-1.7163333162301897E-2</v>
      </c>
      <c r="BU29" s="201">
        <f>BU21+BU9</f>
        <v>1</v>
      </c>
      <c r="BV29" s="979"/>
      <c r="BW29" s="979"/>
      <c r="BX29" s="979"/>
      <c r="BY29" s="979"/>
      <c r="BZ29" s="979"/>
      <c r="CA29" s="979"/>
      <c r="CB29" s="979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</row>
    <row r="30" spans="1:92" s="202" customFormat="1" x14ac:dyDescent="0.4">
      <c r="A30" s="508">
        <v>27</v>
      </c>
      <c r="B30" s="198" t="s">
        <v>255</v>
      </c>
      <c r="C30" s="198"/>
      <c r="D30" s="198"/>
      <c r="E30" s="503">
        <f t="shared" ref="E30:Q30" si="34">E29-E22-E24</f>
        <v>29412.027285089287</v>
      </c>
      <c r="F30" s="503">
        <f t="shared" si="34"/>
        <v>41128.86440529229</v>
      </c>
      <c r="G30" s="503">
        <f t="shared" si="34"/>
        <v>50612.58547404928</v>
      </c>
      <c r="H30" s="503">
        <f t="shared" si="34"/>
        <v>45244.141803914281</v>
      </c>
      <c r="I30" s="503">
        <f t="shared" si="34"/>
        <v>54764.227730103288</v>
      </c>
      <c r="J30" s="503">
        <f t="shared" si="34"/>
        <v>48257.193934714291</v>
      </c>
      <c r="K30" s="503">
        <f t="shared" si="34"/>
        <v>56111.630709214274</v>
      </c>
      <c r="L30" s="503">
        <f t="shared" si="34"/>
        <v>58495.194726500005</v>
      </c>
      <c r="M30" s="503">
        <f t="shared" si="34"/>
        <v>52380.091354559998</v>
      </c>
      <c r="N30" s="503">
        <f t="shared" si="34"/>
        <v>59509.490683999997</v>
      </c>
      <c r="O30" s="503">
        <f t="shared" si="34"/>
        <v>48089.096257999998</v>
      </c>
      <c r="P30" s="504">
        <f t="shared" si="34"/>
        <v>93247.172982917589</v>
      </c>
      <c r="Q30" s="364">
        <f t="shared" si="34"/>
        <v>53104.309779029536</v>
      </c>
      <c r="R30" s="503">
        <f>R29-R22-R24</f>
        <v>106105.26007893402</v>
      </c>
      <c r="S30" s="503">
        <f t="shared" ref="S30:AR30" si="35">S29-S22-S24</f>
        <v>74295.280813643083</v>
      </c>
      <c r="T30" s="503">
        <f t="shared" si="35"/>
        <v>114883.72014997817</v>
      </c>
      <c r="U30" s="503">
        <f t="shared" si="35"/>
        <v>113336.55919012663</v>
      </c>
      <c r="V30" s="503">
        <f t="shared" si="35"/>
        <v>107705.7181038743</v>
      </c>
      <c r="W30" s="503">
        <f t="shared" si="35"/>
        <v>87909.406544188125</v>
      </c>
      <c r="X30" s="503">
        <f t="shared" si="35"/>
        <v>54950.983119293531</v>
      </c>
      <c r="Y30" s="503">
        <f t="shared" si="35"/>
        <v>63150.237634084697</v>
      </c>
      <c r="Z30" s="503">
        <f t="shared" si="35"/>
        <v>79283.067447125271</v>
      </c>
      <c r="AA30" s="503">
        <f t="shared" si="35"/>
        <v>108436.79517125849</v>
      </c>
      <c r="AB30" s="503">
        <f t="shared" si="35"/>
        <v>116468.58057471606</v>
      </c>
      <c r="AC30" s="504">
        <f t="shared" si="35"/>
        <v>97521.572931679679</v>
      </c>
      <c r="AD30" s="364">
        <f t="shared" si="35"/>
        <v>93670.598479908498</v>
      </c>
      <c r="AE30" s="355">
        <f t="shared" si="35"/>
        <v>59351.365400729926</v>
      </c>
      <c r="AF30" s="199">
        <f t="shared" si="35"/>
        <v>81927.871019730286</v>
      </c>
      <c r="AG30" s="199">
        <f t="shared" si="35"/>
        <v>124080.4570873499</v>
      </c>
      <c r="AH30" s="199">
        <f t="shared" si="35"/>
        <v>112537.06180551283</v>
      </c>
      <c r="AI30" s="199">
        <f t="shared" si="35"/>
        <v>129745.00483889981</v>
      </c>
      <c r="AJ30" s="199">
        <f t="shared" si="35"/>
        <v>117068.63911799868</v>
      </c>
      <c r="AK30" s="199">
        <f t="shared" si="35"/>
        <v>128357.25209194358</v>
      </c>
      <c r="AL30" s="199">
        <f t="shared" si="35"/>
        <v>129114.4722823898</v>
      </c>
      <c r="AM30" s="199">
        <f t="shared" si="35"/>
        <v>129018.65332351021</v>
      </c>
      <c r="AN30" s="199">
        <f t="shared" si="35"/>
        <v>94928.756495082911</v>
      </c>
      <c r="AO30" s="199">
        <f t="shared" si="35"/>
        <v>72700.601413524011</v>
      </c>
      <c r="AP30" s="346">
        <f t="shared" si="35"/>
        <v>106292.95908318271</v>
      </c>
      <c r="AQ30" s="364">
        <f t="shared" si="35"/>
        <v>107093.59116332121</v>
      </c>
      <c r="AR30" s="355">
        <f t="shared" si="35"/>
        <v>1285123.0939598547</v>
      </c>
      <c r="AS30" s="355">
        <f t="shared" ref="AS30:BE30" si="36">AS29-AS22-AS24</f>
        <v>104805.54392365954</v>
      </c>
      <c r="AT30" s="199">
        <f t="shared" si="36"/>
        <v>87973.435242959808</v>
      </c>
      <c r="AU30" s="199">
        <f t="shared" si="36"/>
        <v>106865.4739781422</v>
      </c>
      <c r="AV30" s="199">
        <f t="shared" si="36"/>
        <v>107950.95102477021</v>
      </c>
      <c r="AW30" s="199">
        <f t="shared" si="36"/>
        <v>108720.49872274754</v>
      </c>
      <c r="AX30" s="199">
        <f t="shared" si="36"/>
        <v>110594.73149305393</v>
      </c>
      <c r="AY30" s="199">
        <f t="shared" si="36"/>
        <v>112716.76791431603</v>
      </c>
      <c r="AZ30" s="199">
        <f t="shared" si="36"/>
        <v>113799.4544336109</v>
      </c>
      <c r="BA30" s="199">
        <f t="shared" si="36"/>
        <v>114362.18941129802</v>
      </c>
      <c r="BB30" s="199">
        <f t="shared" si="36"/>
        <v>113065.51389289202</v>
      </c>
      <c r="BC30" s="199">
        <f t="shared" si="36"/>
        <v>112216.61599861819</v>
      </c>
      <c r="BD30" s="346">
        <f t="shared" si="36"/>
        <v>115100.70190962555</v>
      </c>
      <c r="BE30" s="364">
        <f t="shared" si="36"/>
        <v>109014.32316214115</v>
      </c>
      <c r="BF30" s="355">
        <f t="shared" ref="BF30" si="37">BF29-BF22-BF24</f>
        <v>83669.259555348603</v>
      </c>
      <c r="BG30" s="199">
        <f t="shared" ref="BG30" si="38">BG29-BG22-BG24</f>
        <v>56333.566486026306</v>
      </c>
      <c r="BH30" s="199">
        <f t="shared" ref="BH30" si="39">BH29-BH22-BH24</f>
        <v>111179.83196028401</v>
      </c>
      <c r="BI30" s="199">
        <f t="shared" ref="BI30" si="40">BI29-BI22-BI24</f>
        <v>111944.6564974505</v>
      </c>
      <c r="BJ30" s="199">
        <f t="shared" ref="BJ30" si="41">BJ29-BJ22-BJ24</f>
        <v>101002.91432036831</v>
      </c>
      <c r="BK30" s="199">
        <f t="shared" ref="BK30" si="42">BK29-BK22-BK24</f>
        <v>108778.37546067814</v>
      </c>
      <c r="BL30" s="199">
        <f t="shared" ref="BL30" si="43">BL29-BL22-BL24</f>
        <v>0</v>
      </c>
      <c r="BM30" s="199">
        <f t="shared" ref="BM30" si="44">BM29-BM22-BM24</f>
        <v>0</v>
      </c>
      <c r="BN30" s="199">
        <f t="shared" ref="BN30" si="45">BN29-BN22-BN24</f>
        <v>0</v>
      </c>
      <c r="BO30" s="199">
        <f t="shared" ref="BO30" si="46">BO29-BO22-BO24</f>
        <v>0</v>
      </c>
      <c r="BP30" s="199">
        <f t="shared" ref="BP30" si="47">BP29-BP22-BP24</f>
        <v>0</v>
      </c>
      <c r="BQ30" s="346">
        <f t="shared" ref="BQ30" si="48">BQ29-BQ22-BQ24</f>
        <v>0</v>
      </c>
      <c r="BR30" s="364">
        <f t="shared" ref="BR30:BS30" si="49">BR29-BR22-BR24</f>
        <v>95484.767380025951</v>
      </c>
      <c r="BS30" s="355">
        <f t="shared" si="49"/>
        <v>572908.60428015585</v>
      </c>
      <c r="BT30" s="200">
        <f t="shared" si="8"/>
        <v>-1.6423531282680148E-2</v>
      </c>
      <c r="BU30" s="201"/>
      <c r="BV30" s="505"/>
      <c r="BW30" s="506"/>
      <c r="BX30" s="506"/>
      <c r="BY30" s="506"/>
      <c r="BZ30" s="506"/>
      <c r="CA30" s="506"/>
      <c r="CB30" s="507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</row>
    <row r="31" spans="1:92" s="202" customFormat="1" x14ac:dyDescent="0.4">
      <c r="A31" s="203">
        <v>23</v>
      </c>
      <c r="B31" s="204" t="s">
        <v>171</v>
      </c>
      <c r="C31" s="204"/>
      <c r="D31" s="204"/>
      <c r="E31" s="205">
        <f>INDEX('18 KMP- Tháng'!$E$6:$Q$29,MATCH($A31,'18 KMP- Tháng'!$A$6:$A$29,0),MATCH(E$7,'18 KMP- Tháng'!$E$2:$P$2,0))</f>
        <v>841.88200000000006</v>
      </c>
      <c r="F31" s="205">
        <f>INDEX('18 KMP- Tháng'!$E$6:$Q$29,MATCH($A31,'18 KMP- Tháng'!$A$6:$A$29,0),MATCH(F$7,'18 KMP- Tháng'!$E$2:$P$2,0))</f>
        <v>1307.212</v>
      </c>
      <c r="G31" s="205">
        <f>INDEX('18 KMP- Tháng'!$E$6:$Q$29,MATCH($A31,'18 KMP- Tháng'!$A$6:$A$29,0),MATCH(G$7,'18 KMP- Tháng'!$E$2:$P$2,0))</f>
        <v>1683.5150000000001</v>
      </c>
      <c r="H31" s="205">
        <f>INDEX('18 KMP- Tháng'!$E$6:$Q$29,MATCH($A31,'18 KMP- Tháng'!$A$6:$A$29,0),MATCH(H$7,'18 KMP- Tháng'!$E$2:$P$2,0))</f>
        <v>1492.932</v>
      </c>
      <c r="I31" s="205">
        <f>INDEX('18 KMP- Tháng'!$E$6:$Q$29,MATCH($A31,'18 KMP- Tháng'!$A$6:$A$29,0),MATCH(I$7,'18 KMP- Tháng'!$E$2:$P$2,0))</f>
        <v>1899.635</v>
      </c>
      <c r="J31" s="205">
        <f>INDEX('18 KMP- Tháng'!$E$6:$Q$29,MATCH($A31,'18 KMP- Tháng'!$A$6:$A$29,0),MATCH(J$7,'18 KMP- Tháng'!$E$2:$P$2,0))</f>
        <v>1515.6790000000001</v>
      </c>
      <c r="K31" s="205">
        <f>INDEX('18 KMP- Tháng'!$E$6:$Q$29,MATCH($A31,'18 KMP- Tháng'!$A$6:$A$29,0),MATCH(K$7,'18 KMP- Tháng'!$E$2:$P$2,0))</f>
        <v>2178.2570000000001</v>
      </c>
      <c r="L31" s="205">
        <f>INDEX('18 KMP- Tháng'!$E$6:$Q$29,MATCH($A31,'18 KMP- Tháng'!$A$6:$A$29,0),MATCH(L$7,'18 KMP- Tháng'!$E$2:$P$2,0))</f>
        <v>2374.6089999999999</v>
      </c>
      <c r="M31" s="205">
        <f>INDEX('18 KMP- Tháng'!$E$6:$Q$29,MATCH($A31,'18 KMP- Tháng'!$A$6:$A$29,0),MATCH(M$7,'18 KMP- Tháng'!$E$2:$P$2,0))</f>
        <v>2017.2435</v>
      </c>
      <c r="N31" s="205">
        <f>INDEX('18 KMP- Tháng'!$E$6:$Q$29,MATCH($A31,'18 KMP- Tháng'!$A$6:$A$29,0),MATCH(N$7,'18 KMP- Tháng'!$E$2:$P$2,0))</f>
        <v>2500.7439999999997</v>
      </c>
      <c r="O31" s="205">
        <f>INDEX('18 KMP- Tháng'!$E$6:$Q$29,MATCH($A31,'18 KMP- Tháng'!$A$6:$A$29,0),MATCH(O$7,'18 KMP- Tháng'!$E$2:$P$2,0))</f>
        <v>1739.5754999999999</v>
      </c>
      <c r="P31" s="349">
        <f>INDEX('18 KMP- Tháng'!$E$6:$Q$29,MATCH($A31,'18 KMP- Tháng'!$A$6:$A$29,0),MATCH(P$7,'18 KMP- Tháng'!$E$2:$P$2,0))</f>
        <v>3906.0309999999995</v>
      </c>
      <c r="Q31" s="371">
        <f t="shared" ref="Q31" si="50">AVERAGE(E31:P31)</f>
        <v>1954.7762499999999</v>
      </c>
      <c r="R31" s="205">
        <f>INDEX('18 KMP- Tháng'!$R$6:$AC$28,MATCH($A31,'18 KMP- Tháng'!$A$6:$A$28,0),MATCH(R$7,'18 KMP- Tháng'!$R$2:$AC$2,0))</f>
        <v>4748.3130000000001</v>
      </c>
      <c r="S31" s="205">
        <f>INDEX('18 KMP- Tháng'!$R$6:$AC$28,MATCH($A31,'18 KMP- Tháng'!$A$6:$A$28,0),MATCH(S$7,'18 KMP- Tháng'!$R$2:$AC$2,0))</f>
        <v>2926.5019999999995</v>
      </c>
      <c r="T31" s="533">
        <f>INDEX('18 KMP- Tháng'!$R$6:$AC$28,MATCH($A31,'18 KMP- Tháng'!$A$6:$A$28,0),MATCH(T$7,'18 KMP- Tháng'!$R$2:$AC$2,0))</f>
        <v>4896.4380000000001</v>
      </c>
      <c r="U31" s="570">
        <f>INDEX('18 KMP- Tháng'!$R$6:$AC$28,MATCH($A31,'18 KMP- Tháng'!$A$6:$A$28,0),MATCH(U$7,'18 KMP- Tháng'!$R$2:$AC$2,0))</f>
        <v>4526.3689999999997</v>
      </c>
      <c r="V31" s="533">
        <f>INDEX('18 KMP- Tháng'!$R$6:$AC$28,MATCH($A31,'18 KMP- Tháng'!$A$6:$A$28,0),MATCH(V$7,'18 KMP- Tháng'!$R$2:$AC$2,0))</f>
        <v>4417.8749999999991</v>
      </c>
      <c r="W31" s="570">
        <f>INDEX('18 KMP- Tháng'!$R$6:$AC$28,MATCH($A31,'18 KMP- Tháng'!$A$6:$A$28,0),MATCH(W$7,'18 KMP- Tháng'!$R$2:$AC$2,0))</f>
        <v>3495.0745000000011</v>
      </c>
      <c r="X31" s="533">
        <f>INDEX('18 KMP- Tháng'!$R$6:$AC$28,MATCH($A31,'18 KMP- Tháng'!$A$6:$A$28,0),MATCH(X$7,'18 KMP- Tháng'!$R$2:$AC$2,0))</f>
        <v>1866.424</v>
      </c>
      <c r="Y31" s="533">
        <f>INDEX('18 KMP- Tháng'!$R$6:$AC$28,MATCH($A31,'18 KMP- Tháng'!$A$6:$A$28,0),MATCH(Y$7,'18 KMP- Tháng'!$R$2:$AC$2,0))</f>
        <v>2192.5824999999995</v>
      </c>
      <c r="Z31" s="533">
        <f>INDEX('18 KMP- Tháng'!$R$6:$AC$28,MATCH($A31,'18 KMP- Tháng'!$A$6:$A$28,0),MATCH(Z$7,'18 KMP- Tháng'!$R$2:$AC$2,0))</f>
        <v>2799.3996999999999</v>
      </c>
      <c r="AA31" s="533">
        <f>INDEX('18 KMP- Tháng'!$R$6:$AC$28,MATCH($A31,'18 KMP- Tháng'!$A$6:$A$28,0),MATCH(AA$7,'18 KMP- Tháng'!$R$2:$AC$2,0))</f>
        <v>4293.2714999999989</v>
      </c>
      <c r="AB31" s="533">
        <f>INDEX('18 KMP- Tháng'!$R$6:$AC$28,MATCH($A31,'18 KMP- Tháng'!$A$6:$A$28,0),MATCH(AB$7,'18 KMP- Tháng'!$R$2:$AC$2,0))</f>
        <v>4775.3970000000008</v>
      </c>
      <c r="AC31" s="534">
        <f>INDEX('18 KMP- Tháng'!$R$6:$AC$28,MATCH($A31,'18 KMP- Tháng'!$A$6:$A$28,0),MATCH(AC$7,'18 KMP- Tháng'!$R$2:$AC$2,0))</f>
        <v>3318.6420999999996</v>
      </c>
      <c r="AD31" s="532">
        <f t="shared" si="10"/>
        <v>3688.0240250000002</v>
      </c>
      <c r="AE31" s="369">
        <f>INDEX('18 KMP- Tháng'!$AF$6:$AQ$29,MATCH($A31,'18 KMP- Tháng'!$A$6:$A$29,0),MATCH(AE$7,'18 KMP- Tháng'!$AF$2:$AQ$2,0))</f>
        <v>1839.7309999999998</v>
      </c>
      <c r="AF31" s="206">
        <f>INDEX('18 KMP- Tháng'!$AF$6:$AQ$29,MATCH($A31,'18 KMP- Tháng'!$A$6:$A$29,0),MATCH(AF$7,'18 KMP- Tháng'!$AF$2:$AQ$2,0))</f>
        <v>2957.2660000000001</v>
      </c>
      <c r="AG31" s="206">
        <f>INDEX('18 KMP- Tháng'!$AF$6:$AQ$29,MATCH($A31,'18 KMP- Tháng'!$A$6:$A$29,0),MATCH(AG$7,'18 KMP- Tháng'!$AF$2:$AQ$2,0))</f>
        <v>4821.92</v>
      </c>
      <c r="AH31" s="206">
        <f>INDEX('18 KMP- Tháng'!$AF$6:$AQ$29,MATCH($A31,'18 KMP- Tháng'!$A$6:$A$29,0),MATCH(AH$7,'18 KMP- Tháng'!$AF$2:$AQ$2,0))</f>
        <v>4088.2489999999993</v>
      </c>
      <c r="AI31" s="206">
        <f>INDEX('18 KMP- Tháng'!$AF$6:$AQ$29,MATCH($A31,'18 KMP- Tháng'!$A$6:$A$29,0),MATCH(AI$7,'18 KMP- Tháng'!$AF$2:$AQ$2,0))</f>
        <v>4828.9710000000005</v>
      </c>
      <c r="AJ31" s="206">
        <f>INDEX('18 KMP- Tháng'!$AF$6:$AQ$29,MATCH($A31,'18 KMP- Tháng'!$A$6:$A$29,0),MATCH(AJ$7,'18 KMP- Tháng'!$AF$2:$AQ$2,0))</f>
        <v>4232.4530000000004</v>
      </c>
      <c r="AK31" s="206">
        <f>INDEX('18 KMP- Tháng'!$AF$6:$AQ$29,MATCH($A31,'18 KMP- Tháng'!$A$6:$A$29,0),MATCH(AK$7,'18 KMP- Tháng'!$AF$2:$AQ$2,0))</f>
        <v>4561.6410000000005</v>
      </c>
      <c r="AL31" s="206">
        <f>INDEX('18 KMP- Tháng'!$AF$6:$AQ$29,MATCH($A31,'18 KMP- Tháng'!$A$6:$A$29,0),MATCH(AL$7,'18 KMP- Tháng'!$AF$2:$AQ$2,0))</f>
        <v>4570.5645000000004</v>
      </c>
      <c r="AM31" s="206">
        <f>INDEX('18 KMP- Tháng'!$AF$6:$AQ$29,MATCH($A31,'18 KMP- Tháng'!$A$6:$A$29,0),MATCH(AM$7,'18 KMP- Tháng'!$AF$2:$AQ$2,0))</f>
        <v>4555.5080000000007</v>
      </c>
      <c r="AN31" s="206">
        <f>INDEX('18 KMP- Tháng'!$AF$6:$AQ$29,MATCH($A31,'18 KMP- Tháng'!$A$6:$A$29,0),MATCH(AN$7,'18 KMP- Tháng'!$AF$2:$AQ$2,0))</f>
        <v>3173.9179999999997</v>
      </c>
      <c r="AO31" s="206">
        <f>INDEX('18 KMP- Tháng'!$AF$6:$AQ$29,MATCH($A31,'18 KMP- Tháng'!$A$6:$A$29,0),MATCH(AO$7,'18 KMP- Tháng'!$AF$2:$AQ$2,0))</f>
        <v>2323.2630000000004</v>
      </c>
      <c r="AP31" s="347">
        <f>INDEX('18 KMP- Tháng'!$AF$6:$AQ$29,MATCH($A31,'18 KMP- Tháng'!$A$6:$A$29,0),MATCH(AP$7,'18 KMP- Tháng'!$AF$2:$AQ$2,0))</f>
        <v>3552.8617999999997</v>
      </c>
      <c r="AQ31" s="365">
        <f>SUM(AE31:AP31)/COUNTIFS($AE$29:$AP$29,"&lt;&gt;"&amp;0)</f>
        <v>3792.1955249999996</v>
      </c>
      <c r="AR31" s="369">
        <f>SUM(AE31:AP31)</f>
        <v>45506.346299999997</v>
      </c>
      <c r="AS31" s="356">
        <f>INDEX('18 KMP- Tháng'!$BH$6:$BS$30,MATCH($A31,'18 KMP- Tháng'!$A$6:$A$29,0),MATCH(AS$7,'18 KMP- Tháng'!$BH$2:$BS$2,0))</f>
        <v>3955</v>
      </c>
      <c r="AT31" s="207">
        <f>INDEX('18 KMP- Tháng'!$BH$6:$BS$30,MATCH($A31,'18 KMP- Tháng'!$A$6:$A$29,0),MATCH(AT$7,'18 KMP- Tháng'!$BH$2:$BS$2,0))</f>
        <v>3245</v>
      </c>
      <c r="AU31" s="207">
        <f>INDEX('18 KMP- Tháng'!$BH$6:$BS$30,MATCH($A31,'18 KMP- Tháng'!$A$6:$A$29,0),MATCH(AU$7,'18 KMP- Tháng'!$BH$2:$BS$2,0))</f>
        <v>4145</v>
      </c>
      <c r="AV31" s="207">
        <f>INDEX('18 KMP- Tháng'!$BH$6:$BS$30,MATCH($A31,'18 KMP- Tháng'!$A$6:$A$29,0),MATCH(AV$7,'18 KMP- Tháng'!$BH$2:$BS$2,0))</f>
        <v>4155</v>
      </c>
      <c r="AW31" s="207">
        <f>INDEX('18 KMP- Tháng'!$BH$6:$BS$30,MATCH($A31,'18 KMP- Tháng'!$A$6:$A$29,0),MATCH(AW$7,'18 KMP- Tháng'!$BH$2:$BS$2,0))</f>
        <v>4145</v>
      </c>
      <c r="AX31" s="207">
        <f>INDEX('18 KMP- Tháng'!$BH$6:$BS$30,MATCH($A31,'18 KMP- Tháng'!$A$6:$A$29,0),MATCH(AX$7,'18 KMP- Tháng'!$BH$2:$BS$2,0))</f>
        <v>4230</v>
      </c>
      <c r="AY31" s="207">
        <f>INDEX('18 KMP- Tháng'!$BH$6:$BS$30,MATCH($A31,'18 KMP- Tháng'!$A$6:$A$29,0),MATCH(AY$7,'18 KMP- Tháng'!$BH$2:$BS$2,0))</f>
        <v>4330</v>
      </c>
      <c r="AZ31" s="207">
        <f>INDEX('18 KMP- Tháng'!$BH$6:$BS$30,MATCH($A31,'18 KMP- Tháng'!$A$6:$A$29,0),MATCH(AZ$7,'18 KMP- Tháng'!$BH$2:$BS$2,0))</f>
        <v>4370</v>
      </c>
      <c r="BA31" s="207">
        <f>INDEX('18 KMP- Tháng'!$BH$6:$BS$30,MATCH($A31,'18 KMP- Tháng'!$A$6:$A$29,0),MATCH(BA$7,'18 KMP- Tháng'!$BH$2:$BS$2,0))</f>
        <v>4355</v>
      </c>
      <c r="BB31" s="207">
        <f>INDEX('18 KMP- Tháng'!$BH$6:$BS$30,MATCH($A31,'18 KMP- Tháng'!$A$6:$A$29,0),MATCH(BB$7,'18 KMP- Tháng'!$BH$2:$BS$2,0))</f>
        <v>4380</v>
      </c>
      <c r="BC31" s="207">
        <f>INDEX('18 KMP- Tháng'!$BH$6:$BS$30,MATCH($A31,'18 KMP- Tháng'!$A$6:$A$29,0),MATCH(BC$7,'18 KMP- Tháng'!$BH$2:$BS$2,0))</f>
        <v>4320</v>
      </c>
      <c r="BD31" s="377">
        <f>INDEX('18 KMP- Tháng'!$BH$6:$BS$30,MATCH($A31,'18 KMP- Tháng'!$A$6:$A$29,0),MATCH(BD$7,'18 KMP- Tháng'!$BH$2:$BS$2,0))</f>
        <v>4370</v>
      </c>
      <c r="BE31" s="365">
        <f>AVERAGE(AS31:BD31)</f>
        <v>4166.666666666667</v>
      </c>
      <c r="BF31" s="369">
        <f>INDEX('18 KMP- Tháng'!$AS$6:$BD$29,MATCH($A31,'18 KMP- Tháng'!$A$6:$A$29,0),MATCH(BF$7,'18 KMP- Tháng'!$AS$2:$BD$2,0))</f>
        <v>2868.56925</v>
      </c>
      <c r="BG31" s="206">
        <f>INDEX('18 KMP- Tháng'!$AS$6:$BD$29,MATCH($A31,'18 KMP- Tháng'!$A$6:$A$29,0),MATCH(BG$7,'18 KMP- Tháng'!$AS$2:$BD$2,0))</f>
        <v>1811.1000000000001</v>
      </c>
      <c r="BH31" s="206">
        <f>INDEX('18 KMP- Tháng'!$AS$6:$BD$29,MATCH($A31,'18 KMP- Tháng'!$A$6:$A$29,0),MATCH(BH$7,'18 KMP- Tháng'!$AS$2:$BD$2,0))</f>
        <v>4279.4889999999996</v>
      </c>
      <c r="BI31" s="206">
        <f>INDEX('18 KMP- Tháng'!$AS$6:$BD$29,MATCH($A31,'18 KMP- Tháng'!$A$6:$A$29,0),MATCH(BI$7,'18 KMP- Tháng'!$AS$2:$BD$2,0))</f>
        <v>4370.2853999999998</v>
      </c>
      <c r="BJ31" s="206">
        <f>INDEX('18 KMP- Tháng'!$AS$6:$BD$29,MATCH($A31,'18 KMP- Tháng'!$A$6:$A$29,0),MATCH(BJ$7,'18 KMP- Tháng'!$AS$2:$BD$2,0))</f>
        <v>3592.6819999999998</v>
      </c>
      <c r="BK31" s="206">
        <f>INDEX('18 KMP- Tháng'!$AS$6:$BD$29,MATCH($A31,'18 KMP- Tháng'!$A$6:$A$29,0),MATCH(BK$7,'18 KMP- Tháng'!$AS$2:$BD$2,0))</f>
        <v>3923.3257999999996</v>
      </c>
      <c r="BL31" s="206">
        <f>INDEX('18 KMP- Tháng'!$AS$6:$BD$29,MATCH($A31,'18 KMP- Tháng'!$A$6:$A$29,0),MATCH(BL$7,'18 KMP- Tháng'!$AS$2:$BD$2,0))</f>
        <v>0</v>
      </c>
      <c r="BM31" s="206">
        <f>INDEX('18 KMP- Tháng'!$AS$6:$BD$29,MATCH($A31,'18 KMP- Tháng'!$A$6:$A$29,0),MATCH(BM$7,'18 KMP- Tháng'!$AS$2:$BD$2,0))</f>
        <v>0</v>
      </c>
      <c r="BN31" s="206">
        <f>INDEX('18 KMP- Tháng'!$AS$6:$BD$29,MATCH($A31,'18 KMP- Tháng'!$A$6:$A$29,0),MATCH(BN$7,'18 KMP- Tháng'!$AS$2:$BD$2,0))</f>
        <v>0</v>
      </c>
      <c r="BO31" s="206">
        <f>INDEX('18 KMP- Tháng'!$AS$6:$BD$29,MATCH($A31,'18 KMP- Tháng'!$A$6:$A$29,0),MATCH(BO$7,'18 KMP- Tháng'!$AS$2:$BD$2,0))</f>
        <v>0</v>
      </c>
      <c r="BP31" s="206">
        <f>INDEX('18 KMP- Tháng'!$AS$6:$BD$29,MATCH($A31,'18 KMP- Tháng'!$A$6:$A$29,0),MATCH(BP$7,'18 KMP- Tháng'!$AS$2:$BD$2,0))</f>
        <v>0</v>
      </c>
      <c r="BQ31" s="347">
        <f>INDEX('18 KMP- Tháng'!$AS$6:$BD$29,MATCH($A31,'18 KMP- Tháng'!$A$6:$A$29,0),MATCH(BQ$7,'18 KMP- Tháng'!$AS$2:$BD$2,0))</f>
        <v>0</v>
      </c>
      <c r="BR31" s="365">
        <f t="shared" si="25"/>
        <v>3474.2419083333334</v>
      </c>
      <c r="BS31" s="369">
        <f>SUM(BF31:BQ31)</f>
        <v>20845.45145</v>
      </c>
      <c r="BT31" s="208">
        <f t="shared" si="8"/>
        <v>-7.2499810874704584E-2</v>
      </c>
      <c r="BU31" s="206"/>
      <c r="BV31" s="979"/>
      <c r="BW31" s="979"/>
      <c r="BX31" s="979"/>
      <c r="BY31" s="979"/>
      <c r="BZ31" s="979"/>
      <c r="CA31" s="979"/>
      <c r="CB31" s="979"/>
      <c r="CC31" s="186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</row>
    <row r="32" spans="1:92" s="202" customFormat="1" x14ac:dyDescent="0.4">
      <c r="A32" s="174">
        <v>24</v>
      </c>
      <c r="B32" s="992" t="s">
        <v>189</v>
      </c>
      <c r="C32" s="992"/>
      <c r="D32" s="992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348"/>
      <c r="Q32" s="540"/>
      <c r="R32" s="541"/>
      <c r="S32" s="541"/>
      <c r="T32" s="541"/>
      <c r="U32" s="541"/>
      <c r="V32" s="541"/>
      <c r="W32" s="541"/>
      <c r="X32" s="541"/>
      <c r="Y32" s="541"/>
      <c r="Z32" s="541"/>
      <c r="AA32" s="541"/>
      <c r="AB32" s="541"/>
      <c r="AC32" s="542"/>
      <c r="AD32" s="540"/>
      <c r="AE32" s="543"/>
      <c r="AF32" s="541"/>
      <c r="AG32" s="541"/>
      <c r="AH32" s="541"/>
      <c r="AI32" s="541"/>
      <c r="AJ32" s="541"/>
      <c r="AK32" s="541"/>
      <c r="AL32" s="541"/>
      <c r="AM32" s="541"/>
      <c r="AN32" s="541"/>
      <c r="AO32" s="541"/>
      <c r="AP32" s="542"/>
      <c r="AQ32" s="540"/>
      <c r="AR32" s="543"/>
      <c r="AS32" s="603"/>
      <c r="AT32" s="541"/>
      <c r="AU32" s="541"/>
      <c r="AV32" s="541"/>
      <c r="AW32" s="541"/>
      <c r="AX32" s="541"/>
      <c r="AY32" s="541"/>
      <c r="AZ32" s="541"/>
      <c r="BA32" s="541"/>
      <c r="BB32" s="541"/>
      <c r="BC32" s="541"/>
      <c r="BD32" s="542"/>
      <c r="BE32" s="540"/>
      <c r="BF32" s="543"/>
      <c r="BG32" s="541"/>
      <c r="BH32" s="541"/>
      <c r="BI32" s="541"/>
      <c r="BJ32" s="541"/>
      <c r="BK32" s="541"/>
      <c r="BL32" s="541"/>
      <c r="BM32" s="541"/>
      <c r="BN32" s="541"/>
      <c r="BO32" s="541"/>
      <c r="BP32" s="541"/>
      <c r="BQ32" s="542"/>
      <c r="BR32" s="540"/>
      <c r="BS32" s="543"/>
      <c r="BT32" s="544"/>
      <c r="BU32" s="544"/>
      <c r="BV32" s="979"/>
      <c r="BW32" s="979"/>
      <c r="BX32" s="979"/>
      <c r="BY32" s="979"/>
      <c r="BZ32" s="979"/>
      <c r="CA32" s="979"/>
      <c r="CB32" s="979"/>
      <c r="CC32" s="186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</row>
    <row r="33" spans="1:92" s="202" customFormat="1" x14ac:dyDescent="0.4">
      <c r="A33" s="174">
        <v>25</v>
      </c>
      <c r="B33" s="992" t="s">
        <v>190</v>
      </c>
      <c r="C33" s="992"/>
      <c r="D33" s="992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348"/>
      <c r="Q33" s="540"/>
      <c r="R33" s="541"/>
      <c r="S33" s="541"/>
      <c r="T33" s="541"/>
      <c r="U33" s="541"/>
      <c r="V33" s="541"/>
      <c r="W33" s="541"/>
      <c r="X33" s="541"/>
      <c r="Y33" s="541"/>
      <c r="Z33" s="541"/>
      <c r="AA33" s="541"/>
      <c r="AB33" s="541"/>
      <c r="AC33" s="542"/>
      <c r="AD33" s="540"/>
      <c r="AE33" s="543"/>
      <c r="AF33" s="541"/>
      <c r="AG33" s="541"/>
      <c r="AH33" s="541"/>
      <c r="AI33" s="541"/>
      <c r="AJ33" s="541"/>
      <c r="AK33" s="541"/>
      <c r="AL33" s="541"/>
      <c r="AM33" s="541"/>
      <c r="AN33" s="541"/>
      <c r="AO33" s="541"/>
      <c r="AP33" s="542"/>
      <c r="AQ33" s="540"/>
      <c r="AR33" s="543"/>
      <c r="AS33" s="603"/>
      <c r="AT33" s="541"/>
      <c r="AU33" s="541"/>
      <c r="AV33" s="541"/>
      <c r="AW33" s="541"/>
      <c r="AX33" s="541"/>
      <c r="AY33" s="541"/>
      <c r="AZ33" s="541"/>
      <c r="BA33" s="541"/>
      <c r="BB33" s="541"/>
      <c r="BC33" s="541"/>
      <c r="BD33" s="542"/>
      <c r="BE33" s="540"/>
      <c r="BF33" s="543"/>
      <c r="BG33" s="541"/>
      <c r="BH33" s="541"/>
      <c r="BI33" s="541"/>
      <c r="BJ33" s="541"/>
      <c r="BK33" s="541"/>
      <c r="BL33" s="541"/>
      <c r="BM33" s="541"/>
      <c r="BN33" s="541"/>
      <c r="BO33" s="541"/>
      <c r="BP33" s="541"/>
      <c r="BQ33" s="542"/>
      <c r="BR33" s="540"/>
      <c r="BS33" s="543"/>
      <c r="BT33" s="544"/>
      <c r="BU33" s="544"/>
      <c r="BV33" s="979"/>
      <c r="BW33" s="979"/>
      <c r="BX33" s="979"/>
      <c r="BY33" s="979"/>
      <c r="BZ33" s="979"/>
      <c r="CA33" s="979"/>
      <c r="CB33" s="979"/>
      <c r="CC33" s="186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</row>
    <row r="34" spans="1:92" s="176" customFormat="1" ht="16.5" thickBot="1" x14ac:dyDescent="0.45">
      <c r="A34" s="174">
        <v>26</v>
      </c>
      <c r="B34" s="176" t="s">
        <v>169</v>
      </c>
      <c r="E34" s="205">
        <f>INDEX('18 KMP- Tháng'!$E$6:$Q$29,MATCH($A34,'18 KMP- Tháng'!$A$6:$A$29,0),MATCH(E$7,'18 KMP- Tháng'!$E$2:$P$2,0))</f>
        <v>0</v>
      </c>
      <c r="F34" s="205">
        <f>INDEX('18 KMP- Tháng'!$E$6:$Q$29,MATCH($A34,'18 KMP- Tháng'!$A$6:$A$29,0),MATCH(F$7,'18 KMP- Tháng'!$E$2:$P$2,0))</f>
        <v>0</v>
      </c>
      <c r="G34" s="205">
        <f>INDEX('18 KMP- Tháng'!$E$6:$Q$29,MATCH($A34,'18 KMP- Tháng'!$A$6:$A$29,0),MATCH(G$7,'18 KMP- Tháng'!$E$2:$P$2,0))</f>
        <v>0</v>
      </c>
      <c r="H34" s="205">
        <f>INDEX('18 KMP- Tháng'!$E$6:$Q$29,MATCH($A34,'18 KMP- Tháng'!$A$6:$A$29,0),MATCH(H$7,'18 KMP- Tháng'!$E$2:$P$2,0))</f>
        <v>0</v>
      </c>
      <c r="I34" s="205">
        <f>INDEX('18 KMP- Tháng'!$E$6:$Q$29,MATCH($A34,'18 KMP- Tháng'!$A$6:$A$29,0),MATCH(I$7,'18 KMP- Tháng'!$E$2:$P$2,0))</f>
        <v>0</v>
      </c>
      <c r="J34" s="205">
        <f>INDEX('18 KMP- Tháng'!$E$6:$Q$29,MATCH($A34,'18 KMP- Tháng'!$A$6:$A$29,0),MATCH(J$7,'18 KMP- Tháng'!$E$2:$P$2,0))</f>
        <v>0</v>
      </c>
      <c r="K34" s="205">
        <f>INDEX('18 KMP- Tháng'!$E$6:$Q$29,MATCH($A34,'18 KMP- Tháng'!$A$6:$A$29,0),MATCH(K$7,'18 KMP- Tháng'!$E$2:$P$2,0))</f>
        <v>0</v>
      </c>
      <c r="L34" s="205">
        <f>INDEX('18 KMP- Tháng'!$E$6:$Q$29,MATCH($A34,'18 KMP- Tháng'!$A$6:$A$29,0),MATCH(L$7,'18 KMP- Tháng'!$E$2:$P$2,0))</f>
        <v>0</v>
      </c>
      <c r="M34" s="205">
        <f>INDEX('18 KMP- Tháng'!$E$6:$Q$29,MATCH($A34,'18 KMP- Tháng'!$A$6:$A$29,0),MATCH(M$7,'18 KMP- Tháng'!$E$2:$P$2,0))</f>
        <v>0</v>
      </c>
      <c r="N34" s="205">
        <f>INDEX('18 KMP- Tháng'!$E$6:$Q$29,MATCH($A34,'18 KMP- Tháng'!$A$6:$A$29,0),MATCH(N$7,'18 KMP- Tháng'!$E$2:$P$2,0))</f>
        <v>0</v>
      </c>
      <c r="O34" s="205">
        <f>INDEX('18 KMP- Tháng'!$E$6:$Q$29,MATCH($A34,'18 KMP- Tháng'!$A$6:$A$29,0),MATCH(O$7,'18 KMP- Tháng'!$E$2:$P$2,0))</f>
        <v>0</v>
      </c>
      <c r="P34" s="349">
        <f>INDEX('18 KMP- Tháng'!$E$6:$Q$29,MATCH($A34,'18 KMP- Tháng'!$A$6:$A$29,0),MATCH(P$7,'18 KMP- Tháng'!$E$2:$P$2,0))</f>
        <v>0</v>
      </c>
      <c r="Q34" s="366">
        <f t="shared" ref="Q34" si="51">AVERAGE(E34:P34)</f>
        <v>0</v>
      </c>
      <c r="R34" s="205">
        <f>INDEX('18 KMP- Tháng'!$R$6:$AC$29,MATCH($A34,'18 KMP- Tháng'!$A$6:$A$29,0),MATCH(R$7,'18 KMP- Tháng'!$R$2:$AC$2,0))</f>
        <v>1539.6058633333323</v>
      </c>
      <c r="S34" s="205">
        <f>INDEX('18 KMP- Tháng'!$R$6:$AC$29,MATCH($A34,'18 KMP- Tháng'!$A$6:$A$29,0),MATCH(S$7,'18 KMP- Tháng'!$R$2:$AC$2,0))</f>
        <v>3139.6058633333323</v>
      </c>
      <c r="T34" s="205">
        <f>INDEX('18 KMP- Tháng'!$R$6:$AC$29,MATCH($A34,'18 KMP- Tháng'!$A$6:$A$29,0),MATCH(T$7,'18 KMP- Tháng'!$R$2:$AC$2,0))</f>
        <v>-60.394216666667489</v>
      </c>
      <c r="U34" s="205">
        <f>INDEX('18 KMP- Tháng'!$R$6:$AC$29,MATCH($A34,'18 KMP- Tháng'!$A$6:$A$29,0),MATCH(U$7,'18 KMP- Tháng'!$R$2:$AC$2,0))</f>
        <v>1539.6058633333323</v>
      </c>
      <c r="V34" s="205">
        <f>INDEX('18 KMP- Tháng'!$R$6:$AC$29,MATCH($A34,'18 KMP- Tháng'!$A$6:$A$29,0),MATCH(V$7,'18 KMP- Tháng'!$R$2:$AC$2,0))</f>
        <v>1539.6058633333323</v>
      </c>
      <c r="W34" s="205">
        <f>INDEX('18 KMP- Tháng'!$R$6:$AC$29,MATCH($A34,'18 KMP- Tháng'!$A$6:$A$29,0),MATCH(W$7,'18 KMP- Tháng'!$R$2:$AC$2,0))</f>
        <v>1539.6058633333323</v>
      </c>
      <c r="X34" s="205">
        <f>INDEX('18 KMP- Tháng'!$R$6:$AC$29,MATCH($A34,'18 KMP- Tháng'!$A$6:$A$29,0),MATCH(X$7,'18 KMP- Tháng'!$R$2:$AC$2,0))</f>
        <v>1539.6058633333323</v>
      </c>
      <c r="Y34" s="205">
        <f>INDEX('18 KMP- Tháng'!$R$6:$AC$29,MATCH($A34,'18 KMP- Tháng'!$A$6:$A$29,0),MATCH(Y$7,'18 KMP- Tháng'!$R$2:$AC$2,0))</f>
        <v>1539.6058633333323</v>
      </c>
      <c r="Z34" s="205">
        <f>INDEX('18 KMP- Tháng'!$R$6:$AC$29,MATCH($A34,'18 KMP- Tháng'!$A$6:$A$29,0),MATCH(Z$7,'18 KMP- Tháng'!$R$2:$AC$2,0))</f>
        <v>1539.6058633333323</v>
      </c>
      <c r="AA34" s="205">
        <f>INDEX('18 KMP- Tháng'!$R$6:$AC$29,MATCH($A34,'18 KMP- Tháng'!$A$6:$A$29,0),MATCH(AA$7,'18 KMP- Tháng'!$R$2:$AC$2,0))</f>
        <v>1539.6058633333323</v>
      </c>
      <c r="AB34" s="205">
        <f>INDEX('18 KMP- Tháng'!$R$6:$AC$29,MATCH($A34,'18 KMP- Tháng'!$A$6:$A$29,0),MATCH(AB$7,'18 KMP- Tháng'!$R$2:$AC$2,0))</f>
        <v>1539.6058633333323</v>
      </c>
      <c r="AC34" s="349">
        <f>INDEX('18 KMP- Tháng'!$R$6:$AC$29,MATCH($A34,'18 KMP- Tháng'!$A$6:$A$29,0),MATCH(AC$7,'18 KMP- Tháng'!$R$2:$AC$2,0))</f>
        <v>5666.6666713333307</v>
      </c>
      <c r="AD34" s="366">
        <f t="shared" ref="AD34" si="52">AVERAGE(R34:AC34)</f>
        <v>1883.5275906666654</v>
      </c>
      <c r="AE34" s="357">
        <f>INDEX('18 KMP- Tháng'!$AF$6:$AQ$29,MATCH($A34,'18 KMP- Tháng'!$A$6:$A$29,0),MATCH(AE$7,'18 KMP- Tháng'!$AF$2:$AQ$2,0))</f>
        <v>2190</v>
      </c>
      <c r="AF34" s="205">
        <f>INDEX('18 KMP- Tháng'!$AF$6:$AQ$29,MATCH($A34,'18 KMP- Tháng'!$A$6:$A$29,0),MATCH(AF$7,'18 KMP- Tháng'!$AF$2:$AQ$2,0))</f>
        <v>2310</v>
      </c>
      <c r="AG34" s="205">
        <f>INDEX('18 KMP- Tháng'!$AF$6:$AQ$29,MATCH($A34,'18 KMP- Tháng'!$A$6:$A$29,0),MATCH(AG$7,'18 KMP- Tháng'!$AF$2:$AQ$2,0))</f>
        <v>2250</v>
      </c>
      <c r="AH34" s="205">
        <f>INDEX('18 KMP- Tháng'!$AF$6:$AQ$29,MATCH($A34,'18 KMP- Tháng'!$A$6:$A$29,0),MATCH(AH$7,'18 KMP- Tháng'!$AF$2:$AQ$2,0))</f>
        <v>2100</v>
      </c>
      <c r="AI34" s="205">
        <f>INDEX('18 KMP- Tháng'!$AF$6:$AQ$29,MATCH($A34,'18 KMP- Tháng'!$A$6:$A$29,0),MATCH(AI$7,'18 KMP- Tháng'!$AF$2:$AQ$2,0))</f>
        <v>2100</v>
      </c>
      <c r="AJ34" s="205">
        <f>INDEX('18 KMP- Tháng'!$AF$6:$AQ$29,MATCH($A34,'18 KMP- Tháng'!$A$6:$A$29,0),MATCH(AJ$7,'18 KMP- Tháng'!$AF$2:$AQ$2,0))</f>
        <v>2767.9919239999999</v>
      </c>
      <c r="AK34" s="205">
        <f>INDEX('18 KMP- Tháng'!$AF$6:$AQ$29,MATCH($A34,'18 KMP- Tháng'!$A$6:$A$29,0),MATCH(AK$7,'18 KMP- Tháng'!$AF$2:$AQ$2,0))</f>
        <v>3045.9060760000002</v>
      </c>
      <c r="AL34" s="205">
        <f>INDEX('18 KMP- Tháng'!$AF$6:$AQ$29,MATCH($A34,'18 KMP- Tháng'!$A$6:$A$29,0),MATCH(AL$7,'18 KMP- Tháng'!$AF$2:$AQ$2,0))</f>
        <v>3495.9060760000002</v>
      </c>
      <c r="AM34" s="205">
        <f>INDEX('18 KMP- Tháng'!$AF$6:$AQ$29,MATCH($A34,'18 KMP- Tháng'!$A$6:$A$29,0),MATCH(AM$7,'18 KMP- Tháng'!$AF$2:$AQ$2,0))</f>
        <v>3495.9060760000002</v>
      </c>
      <c r="AN34" s="205">
        <f>INDEX('18 KMP- Tháng'!$AF$6:$AQ$29,MATCH($A34,'18 KMP- Tháng'!$A$6:$A$29,0),MATCH(AN$7,'18 KMP- Tháng'!$AF$2:$AQ$2,0))</f>
        <v>3495.9060760000002</v>
      </c>
      <c r="AO34" s="205">
        <f>INDEX('18 KMP- Tháng'!$AF$6:$AQ$29,MATCH($A34,'18 KMP- Tháng'!$A$6:$A$29,0),MATCH(AO$7,'18 KMP- Tháng'!$AF$2:$AQ$2,0))</f>
        <v>3495.9060760000002</v>
      </c>
      <c r="AP34" s="349">
        <f>INDEX('18 KMP- Tháng'!$AF$6:$AQ$29,MATCH($A34,'18 KMP- Tháng'!$A$6:$A$29,0),MATCH(AP$7,'18 KMP- Tháng'!$AF$2:$AQ$2,0))</f>
        <v>2655.9060760000002</v>
      </c>
      <c r="AQ34" s="366"/>
      <c r="AR34" s="356">
        <f>SUM(AE34:AP34)</f>
        <v>33403.428379999998</v>
      </c>
      <c r="AS34" s="357">
        <f>INDEX('18 KMP- Tháng'!$BH$6:$BS$29,MATCH($A34,'18 KMP- Tháng'!$A$6:$A$29,0),MATCH(AS$7,'18 KMP- Tháng'!$BH$2:$BS$2,0))</f>
        <v>0</v>
      </c>
      <c r="AT34" s="329">
        <f>INDEX('18 KMP- Tháng'!$BH$6:$BS$29,MATCH($A34,'18 KMP- Tháng'!$A$6:$A$29,0),MATCH(AT$7,'18 KMP- Tháng'!$BH$2:$BS$2,0))</f>
        <v>0</v>
      </c>
      <c r="AU34" s="329">
        <f>INDEX('18 KMP- Tháng'!$BH$6:$BS$29,MATCH($A34,'18 KMP- Tháng'!$A$6:$A$29,0),MATCH(AU$7,'18 KMP- Tháng'!$BH$2:$BS$2,0))</f>
        <v>0</v>
      </c>
      <c r="AV34" s="329">
        <f>INDEX('18 KMP- Tháng'!$BH$6:$BS$29,MATCH($A34,'18 KMP- Tháng'!$A$6:$A$29,0),MATCH(AV$7,'18 KMP- Tháng'!$BH$2:$BS$2,0))</f>
        <v>0</v>
      </c>
      <c r="AW34" s="329">
        <f>INDEX('18 KMP- Tháng'!$BH$6:$BS$29,MATCH($A34,'18 KMP- Tháng'!$A$6:$A$29,0),MATCH(AW$7,'18 KMP- Tháng'!$BH$2:$BS$2,0))</f>
        <v>0</v>
      </c>
      <c r="AX34" s="329">
        <f>INDEX('18 KMP- Tháng'!$BH$6:$BS$29,MATCH($A34,'18 KMP- Tháng'!$A$6:$A$29,0),MATCH(AX$7,'18 KMP- Tháng'!$BH$2:$BS$2,0))</f>
        <v>0</v>
      </c>
      <c r="AY34" s="329">
        <f>INDEX('18 KMP- Tháng'!$BH$6:$BS$29,MATCH($A34,'18 KMP- Tháng'!$A$6:$A$29,0),MATCH(AY$7,'18 KMP- Tháng'!$BH$2:$BS$2,0))</f>
        <v>0</v>
      </c>
      <c r="AZ34" s="329">
        <f>INDEX('18 KMP- Tháng'!$BH$6:$BS$29,MATCH($A34,'18 KMP- Tháng'!$A$6:$A$29,0),MATCH(AZ$7,'18 KMP- Tháng'!$BH$2:$BS$2,0))</f>
        <v>0</v>
      </c>
      <c r="BA34" s="329">
        <f>INDEX('18 KMP- Tháng'!$BH$6:$BS$29,MATCH($A34,'18 KMP- Tháng'!$A$6:$A$29,0),MATCH(BA$7,'18 KMP- Tháng'!$BH$2:$BS$2,0))</f>
        <v>0</v>
      </c>
      <c r="BB34" s="329">
        <f>INDEX('18 KMP- Tháng'!$BH$6:$BS$29,MATCH($A34,'18 KMP- Tháng'!$A$6:$A$29,0),MATCH(BB$7,'18 KMP- Tháng'!$BH$2:$BS$2,0))</f>
        <v>0</v>
      </c>
      <c r="BC34" s="329">
        <f>INDEX('18 KMP- Tháng'!$BH$6:$BS$29,MATCH($A34,'18 KMP- Tháng'!$A$6:$A$29,0),MATCH(BC$7,'18 KMP- Tháng'!$BH$2:$BS$2,0))</f>
        <v>0</v>
      </c>
      <c r="BD34" s="378">
        <f>INDEX('18 KMP- Tháng'!$BH$6:$BS$29,MATCH($A34,'18 KMP- Tháng'!$A$6:$A$29,0),MATCH(BD$7,'18 KMP- Tháng'!$BH$2:$BS$2,0))</f>
        <v>0</v>
      </c>
      <c r="BE34" s="380">
        <f>AVERAGE(AS34:BD34)</f>
        <v>0</v>
      </c>
      <c r="BF34" s="357">
        <f>INDEX('18 KMP- Tháng'!$AS$6:$BD$29,MATCH($A34,'18 KMP- Tháng'!$A$6:$A$29,0),MATCH(BF$7,'18 KMP- Tháng'!$AS$2:$BD$2,0))</f>
        <v>0</v>
      </c>
      <c r="BG34" s="205">
        <f>INDEX('18 KMP- Tháng'!$AS$6:$BD$29,MATCH($A34,'18 KMP- Tháng'!$A$6:$A$29,0),MATCH(BG$7,'18 KMP- Tháng'!$AS$2:$BD$2,0))</f>
        <v>0</v>
      </c>
      <c r="BH34" s="205">
        <f>INDEX('18 KMP- Tháng'!$AS$6:$BD$29,MATCH($A34,'18 KMP- Tháng'!$A$6:$A$29,0),MATCH(BH$7,'18 KMP- Tháng'!$AS$2:$BD$2,0))</f>
        <v>0</v>
      </c>
      <c r="BI34" s="205">
        <f>INDEX('18 KMP- Tháng'!$AS$6:$BD$29,MATCH($A34,'18 KMP- Tháng'!$A$6:$A$29,0),MATCH(BI$7,'18 KMP- Tháng'!$AS$2:$BD$2,0))</f>
        <v>0</v>
      </c>
      <c r="BJ34" s="205">
        <f>INDEX('18 KMP- Tháng'!$AS$6:$BD$29,MATCH($A34,'18 KMP- Tháng'!$A$6:$A$29,0),MATCH(BJ$7,'18 KMP- Tháng'!$AS$2:$BD$2,0))</f>
        <v>0</v>
      </c>
      <c r="BK34" s="205">
        <f>INDEX('18 KMP- Tháng'!$AS$6:$BD$29,MATCH($A34,'18 KMP- Tháng'!$A$6:$A$29,0),MATCH(BK$7,'18 KMP- Tháng'!$AS$2:$BD$2,0))</f>
        <v>0</v>
      </c>
      <c r="BL34" s="205">
        <f>INDEX('18 KMP- Tháng'!$AS$6:$BD$29,MATCH($A34,'18 KMP- Tháng'!$A$6:$A$29,0),MATCH(BL$7,'18 KMP- Tháng'!$AS$2:$BD$2,0))</f>
        <v>0</v>
      </c>
      <c r="BM34" s="205">
        <f>INDEX('18 KMP- Tháng'!$AS$6:$BD$29,MATCH($A34,'18 KMP- Tháng'!$A$6:$A$29,0),MATCH(BM$7,'18 KMP- Tháng'!$AS$2:$BD$2,0))</f>
        <v>0</v>
      </c>
      <c r="BN34" s="205">
        <f>INDEX('18 KMP- Tháng'!$AS$6:$BD$29,MATCH($A34,'18 KMP- Tháng'!$A$6:$A$29,0),MATCH(BN$7,'18 KMP- Tháng'!$AS$2:$BD$2,0))</f>
        <v>0</v>
      </c>
      <c r="BO34" s="205">
        <f>INDEX('18 KMP- Tháng'!$AS$6:$BD$29,MATCH($A34,'18 KMP- Tháng'!$A$6:$A$29,0),MATCH(BO$7,'18 KMP- Tháng'!$AS$2:$BD$2,0))</f>
        <v>0</v>
      </c>
      <c r="BP34" s="205">
        <f>INDEX('18 KMP- Tháng'!$AS$6:$BD$29,MATCH($A34,'18 KMP- Tháng'!$A$6:$A$29,0),MATCH(BP$7,'18 KMP- Tháng'!$AS$2:$BD$2,0))</f>
        <v>0</v>
      </c>
      <c r="BQ34" s="349">
        <f>INDEX('18 KMP- Tháng'!$AS$6:$BD$29,MATCH($A34,'18 KMP- Tháng'!$A$6:$A$29,0),MATCH(BQ$7,'18 KMP- Tháng'!$AS$2:$BD$2,0))</f>
        <v>0</v>
      </c>
      <c r="BR34" s="366">
        <f t="shared" ref="BR34" si="53">SUM(BF34:BQ34)/COUNTIFS($BF$29:$BQ$29,"&lt;&gt;"&amp;0)</f>
        <v>0</v>
      </c>
      <c r="BS34" s="356">
        <f>SUM(BF34:BQ34)</f>
        <v>0</v>
      </c>
      <c r="BT34" s="211"/>
      <c r="BU34" s="212"/>
      <c r="BV34" s="979"/>
      <c r="BW34" s="979"/>
      <c r="BX34" s="979"/>
      <c r="BY34" s="979"/>
      <c r="BZ34" s="979"/>
      <c r="CA34" s="979"/>
      <c r="CB34" s="979"/>
      <c r="CC34" s="186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</row>
    <row r="35" spans="1:92" s="213" customFormat="1" ht="16.5" thickTop="1" x14ac:dyDescent="0.4">
      <c r="D35" s="214"/>
      <c r="E35" s="214"/>
      <c r="F35" s="214"/>
      <c r="G35" s="214"/>
      <c r="H35" s="214"/>
      <c r="I35" s="214"/>
      <c r="J35" s="215"/>
      <c r="K35" s="215"/>
      <c r="L35" s="215"/>
      <c r="M35" s="215"/>
      <c r="N35" s="215"/>
      <c r="O35" s="215"/>
      <c r="P35" s="215"/>
      <c r="Q35" s="215"/>
      <c r="R35" s="539"/>
      <c r="S35" s="214"/>
      <c r="T35" s="214"/>
      <c r="U35" s="214"/>
      <c r="V35" s="214"/>
      <c r="W35" s="512"/>
      <c r="X35" s="512"/>
      <c r="Y35" s="512"/>
      <c r="Z35" s="512"/>
      <c r="AA35" s="512"/>
      <c r="AB35" s="512"/>
      <c r="AC35" s="512"/>
      <c r="AD35" s="513"/>
      <c r="AE35" s="557"/>
      <c r="AF35" s="557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6"/>
      <c r="BF35" s="557"/>
      <c r="BG35" s="557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V35" s="216"/>
      <c r="BW35" s="216"/>
      <c r="BX35" s="216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</row>
    <row r="36" spans="1:92" s="217" customFormat="1" ht="21.5" thickBot="1" x14ac:dyDescent="0.55000000000000004">
      <c r="B36" s="218"/>
      <c r="C36" s="218"/>
      <c r="D36" s="514"/>
      <c r="E36" s="219"/>
      <c r="F36" s="219"/>
      <c r="G36" s="220"/>
      <c r="H36" s="220"/>
      <c r="I36" s="220"/>
      <c r="J36" s="220"/>
      <c r="K36" s="219"/>
      <c r="L36" s="219"/>
      <c r="M36" s="219"/>
      <c r="N36" s="219"/>
      <c r="O36" s="219"/>
      <c r="P36" s="219"/>
      <c r="Q36" s="219"/>
      <c r="R36" s="298"/>
      <c r="S36" s="515"/>
      <c r="T36" s="515"/>
      <c r="U36" s="515"/>
      <c r="V36" s="515"/>
      <c r="W36" s="515"/>
      <c r="X36" s="515"/>
      <c r="Y36" s="515"/>
      <c r="Z36" s="515"/>
      <c r="AA36" s="515"/>
      <c r="AB36" s="515"/>
      <c r="AC36" s="515"/>
      <c r="AE36" s="515"/>
      <c r="AF36" s="559"/>
      <c r="AG36" s="219"/>
      <c r="AH36" s="219"/>
      <c r="AI36" s="219"/>
      <c r="AJ36" s="220"/>
      <c r="AK36" s="219"/>
      <c r="AL36" s="219"/>
      <c r="AM36" s="219"/>
      <c r="AN36" s="219"/>
      <c r="AO36" s="219"/>
      <c r="AP36" s="219"/>
      <c r="AQ36" s="219"/>
      <c r="AR36" s="219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  <c r="BC36" s="515"/>
      <c r="BD36" s="515"/>
      <c r="BE36" s="514"/>
      <c r="BF36" s="515"/>
      <c r="BG36" s="559"/>
      <c r="BH36" s="219"/>
      <c r="BI36" s="219"/>
      <c r="BJ36" s="219"/>
      <c r="BK36" s="220"/>
      <c r="BL36" s="219"/>
      <c r="BM36" s="219"/>
      <c r="BN36" s="219"/>
      <c r="BO36" s="219"/>
      <c r="BP36" s="219"/>
      <c r="BQ36" s="219"/>
      <c r="BR36" s="219"/>
      <c r="BS36" s="219"/>
      <c r="BT36" s="221"/>
      <c r="BU36" s="219"/>
      <c r="BV36" s="222"/>
      <c r="BW36" s="222"/>
      <c r="BX36" s="222"/>
      <c r="BY36" s="219"/>
      <c r="BZ36" s="219"/>
      <c r="CA36" s="219"/>
      <c r="CB36" s="219"/>
      <c r="CC36" s="219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</row>
    <row r="37" spans="1:92" s="217" customFormat="1" ht="16.5" thickBot="1" x14ac:dyDescent="0.45">
      <c r="B37" s="218"/>
      <c r="C37" s="218"/>
      <c r="D37" s="223" t="s">
        <v>259</v>
      </c>
      <c r="E37" s="224">
        <v>651.79999999999995</v>
      </c>
      <c r="F37" s="224">
        <v>653.07500000000005</v>
      </c>
      <c r="G37" s="224">
        <v>1875.95</v>
      </c>
      <c r="H37" s="224">
        <v>1792.575</v>
      </c>
      <c r="I37" s="224">
        <v>1632.875</v>
      </c>
      <c r="J37" s="224">
        <v>1573.9749999999999</v>
      </c>
      <c r="K37" s="224">
        <v>1591.575</v>
      </c>
      <c r="L37" s="224">
        <v>2445.1750000000002</v>
      </c>
      <c r="M37" s="224">
        <v>1846.875</v>
      </c>
      <c r="N37" s="224">
        <v>2330.5250000000001</v>
      </c>
      <c r="O37" s="224">
        <v>2108.8000000000002</v>
      </c>
      <c r="P37" s="509">
        <v>3265.8</v>
      </c>
      <c r="Q37" s="511">
        <f>AVERAGE(E37:P37)</f>
        <v>1814.0833333333333</v>
      </c>
      <c r="R37" s="510">
        <v>2153</v>
      </c>
      <c r="S37" s="224">
        <v>2064</v>
      </c>
      <c r="T37" s="224">
        <v>2908</v>
      </c>
      <c r="U37" s="224">
        <v>3201</v>
      </c>
      <c r="V37" s="224">
        <v>3202</v>
      </c>
      <c r="W37" s="224">
        <v>1891</v>
      </c>
      <c r="X37" s="224">
        <v>1784</v>
      </c>
      <c r="Y37" s="224">
        <v>4611</v>
      </c>
      <c r="Z37" s="224">
        <v>4683.5999999999995</v>
      </c>
      <c r="AA37" s="224">
        <v>3573.5250000000001</v>
      </c>
      <c r="AB37" s="224">
        <v>1971.9250000000002</v>
      </c>
      <c r="AC37" s="509">
        <v>2927.35</v>
      </c>
      <c r="AD37" s="511">
        <f>AVERAGE(R37:AC37)</f>
        <v>2914.2000000000003</v>
      </c>
      <c r="AE37" s="510">
        <v>3487.9992999999999</v>
      </c>
      <c r="AF37" s="224">
        <v>5476.6750000000002</v>
      </c>
      <c r="AG37" s="224">
        <v>4580.05</v>
      </c>
      <c r="AH37" s="224">
        <v>3850.9250000000002</v>
      </c>
      <c r="AI37" s="224">
        <v>4582.7242999999999</v>
      </c>
      <c r="AJ37" s="224">
        <v>3673.2080000000001</v>
      </c>
      <c r="AK37" s="224">
        <v>4560.4241000000002</v>
      </c>
      <c r="AL37" s="224">
        <v>5189.3680000000004</v>
      </c>
      <c r="AM37" s="224">
        <v>2657.0430000000001</v>
      </c>
      <c r="AN37" s="224">
        <v>3219.1950000000002</v>
      </c>
      <c r="AO37" s="224">
        <v>2510.4150000000004</v>
      </c>
      <c r="AP37" s="509">
        <v>2781.1109999999999</v>
      </c>
      <c r="AQ37" s="511">
        <f>AVERAGE(AE37:AP37)</f>
        <v>3880.7614749999993</v>
      </c>
      <c r="AR37" s="510">
        <f>SUM(AE37:AP37)</f>
        <v>46569.137699999992</v>
      </c>
      <c r="AS37" s="510">
        <f>'18 KMP- Tháng'!BH30</f>
        <v>4307.222932676138</v>
      </c>
      <c r="AT37" s="224">
        <f>'18 KMP- Tháng'!BI30</f>
        <v>4242.3145678240326</v>
      </c>
      <c r="AU37" s="224">
        <f>'18 KMP- Tháng'!BJ30</f>
        <v>4667.5574034757401</v>
      </c>
      <c r="AV37" s="224">
        <f>'18 KMP- Tháng'!BK30</f>
        <v>4383.231518676721</v>
      </c>
      <c r="AW37" s="224">
        <f>'18 KMP- Tháng'!BL30</f>
        <v>4652.4364391825347</v>
      </c>
      <c r="AX37" s="224">
        <f>'18 KMP- Tháng'!BM30</f>
        <v>4680.9521822275929</v>
      </c>
      <c r="AY37" s="224">
        <f>'18 KMP- Tháng'!BN30</f>
        <v>4678.4225169732681</v>
      </c>
      <c r="AZ37" s="224">
        <f>'18 KMP- Tháng'!BO30</f>
        <v>4551.8494989087394</v>
      </c>
      <c r="BA37" s="224">
        <f>'18 KMP- Tháng'!BP30</f>
        <v>4763.6231018888839</v>
      </c>
      <c r="BB37" s="224">
        <f>'18 KMP- Tháng'!BQ30</f>
        <v>4457.6262974285746</v>
      </c>
      <c r="BC37" s="224">
        <f>'18 KMP- Tháng'!BR30</f>
        <v>4709.2431243544625</v>
      </c>
      <c r="BD37" s="509">
        <f>'18 KMP- Tháng'!BS30</f>
        <v>4773.5204185700304</v>
      </c>
      <c r="BE37" s="511">
        <f>AVERAGE(AS37:BD37)</f>
        <v>4572.3333335155603</v>
      </c>
      <c r="BF37" s="510">
        <v>4106.8499999999995</v>
      </c>
      <c r="BG37" s="224">
        <v>3166.7500000000005</v>
      </c>
      <c r="BH37" s="224">
        <v>5734.1250000000009</v>
      </c>
      <c r="BI37" s="224">
        <v>5105.2749999999996</v>
      </c>
      <c r="BJ37" s="224">
        <v>4987.1499999999996</v>
      </c>
      <c r="BK37" s="224">
        <v>3754.7984999999999</v>
      </c>
      <c r="BL37" s="224"/>
      <c r="BM37" s="224"/>
      <c r="BN37" s="224"/>
      <c r="BO37" s="224"/>
      <c r="BP37" s="224"/>
      <c r="BQ37" s="509"/>
      <c r="BR37" s="511">
        <f>AVERAGE(BF37:BQ37)</f>
        <v>4475.8247500000007</v>
      </c>
      <c r="BS37" s="510">
        <f>SUM(BF37:BQ37)</f>
        <v>26854.948500000002</v>
      </c>
      <c r="BT37" s="225"/>
      <c r="BU37" s="219"/>
      <c r="BV37" s="222"/>
      <c r="BW37" s="222"/>
      <c r="BX37" s="222"/>
      <c r="BY37" s="219"/>
      <c r="BZ37" s="219"/>
      <c r="CA37" s="219"/>
      <c r="CB37" s="219"/>
      <c r="CC37" s="219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</row>
    <row r="38" spans="1:92" ht="16.5" thickBot="1" x14ac:dyDescent="0.45">
      <c r="D38" s="164"/>
    </row>
    <row r="39" spans="1:92" s="186" customFormat="1" ht="48.5" thickTop="1" x14ac:dyDescent="0.4">
      <c r="A39" s="174">
        <v>1</v>
      </c>
      <c r="B39" s="228" t="s">
        <v>57</v>
      </c>
      <c r="C39" s="228" t="s">
        <v>58</v>
      </c>
      <c r="D39" s="229" t="s">
        <v>206</v>
      </c>
      <c r="E39" s="743" t="s">
        <v>115</v>
      </c>
      <c r="F39" s="743" t="s">
        <v>118</v>
      </c>
      <c r="G39" s="743" t="s">
        <v>119</v>
      </c>
      <c r="H39" s="743" t="s">
        <v>120</v>
      </c>
      <c r="I39" s="743" t="s">
        <v>121</v>
      </c>
      <c r="J39" s="743" t="s">
        <v>122</v>
      </c>
      <c r="K39" s="743" t="s">
        <v>123</v>
      </c>
      <c r="L39" s="743" t="s">
        <v>258</v>
      </c>
      <c r="M39" s="743" t="s">
        <v>124</v>
      </c>
      <c r="N39" s="743" t="s">
        <v>69</v>
      </c>
      <c r="O39" s="743" t="s">
        <v>70</v>
      </c>
      <c r="P39" s="744" t="s">
        <v>71</v>
      </c>
      <c r="Q39" s="618" t="s">
        <v>257</v>
      </c>
      <c r="R39" s="745" t="s">
        <v>72</v>
      </c>
      <c r="S39" s="745" t="s">
        <v>73</v>
      </c>
      <c r="T39" s="745" t="s">
        <v>74</v>
      </c>
      <c r="U39" s="745" t="s">
        <v>75</v>
      </c>
      <c r="V39" s="745" t="s">
        <v>76</v>
      </c>
      <c r="W39" s="745" t="s">
        <v>77</v>
      </c>
      <c r="X39" s="745" t="s">
        <v>78</v>
      </c>
      <c r="Y39" s="745" t="s">
        <v>79</v>
      </c>
      <c r="Z39" s="745" t="s">
        <v>80</v>
      </c>
      <c r="AA39" s="745" t="s">
        <v>81</v>
      </c>
      <c r="AB39" s="745" t="s">
        <v>82</v>
      </c>
      <c r="AC39" s="746" t="s">
        <v>83</v>
      </c>
      <c r="AD39" s="617" t="s">
        <v>174</v>
      </c>
      <c r="AE39" s="748" t="s">
        <v>228</v>
      </c>
      <c r="AF39" s="536" t="s">
        <v>229</v>
      </c>
      <c r="AG39" s="536" t="s">
        <v>230</v>
      </c>
      <c r="AH39" s="536" t="s">
        <v>231</v>
      </c>
      <c r="AI39" s="536" t="s">
        <v>232</v>
      </c>
      <c r="AJ39" s="536" t="s">
        <v>233</v>
      </c>
      <c r="AK39" s="536" t="s">
        <v>234</v>
      </c>
      <c r="AL39" s="536" t="s">
        <v>235</v>
      </c>
      <c r="AM39" s="536" t="s">
        <v>236</v>
      </c>
      <c r="AN39" s="536" t="s">
        <v>237</v>
      </c>
      <c r="AO39" s="536" t="s">
        <v>238</v>
      </c>
      <c r="AP39" s="535" t="s">
        <v>239</v>
      </c>
      <c r="AQ39" s="370" t="s">
        <v>240</v>
      </c>
      <c r="AR39" s="748" t="s">
        <v>248</v>
      </c>
      <c r="AS39" s="350" t="str">
        <f>AS8</f>
        <v>KH T1.2026</v>
      </c>
      <c r="AT39" s="350" t="str">
        <f t="shared" ref="AT39:BE39" si="54">AT8</f>
        <v>KH T2.2026</v>
      </c>
      <c r="AU39" s="350" t="str">
        <f t="shared" si="54"/>
        <v>KH T3.2026</v>
      </c>
      <c r="AV39" s="350" t="str">
        <f t="shared" si="54"/>
        <v>KH T4.2026</v>
      </c>
      <c r="AW39" s="350" t="str">
        <f t="shared" si="54"/>
        <v>KH T5.2026</v>
      </c>
      <c r="AX39" s="350" t="str">
        <f t="shared" si="54"/>
        <v>KH T6.2026</v>
      </c>
      <c r="AY39" s="350" t="str">
        <f t="shared" si="54"/>
        <v>KH T7.2026</v>
      </c>
      <c r="AZ39" s="350" t="str">
        <f t="shared" si="54"/>
        <v>KH T8.2026</v>
      </c>
      <c r="BA39" s="350" t="str">
        <f t="shared" si="54"/>
        <v>KH T9.2026</v>
      </c>
      <c r="BB39" s="350" t="str">
        <f t="shared" si="54"/>
        <v>KH T10.2026</v>
      </c>
      <c r="BC39" s="350" t="str">
        <f t="shared" si="54"/>
        <v>KH T11.2026</v>
      </c>
      <c r="BD39" s="350" t="str">
        <f t="shared" si="54"/>
        <v>KH T12.2026</v>
      </c>
      <c r="BE39" s="350" t="str">
        <f t="shared" si="54"/>
        <v>BQ KH 2026</v>
      </c>
      <c r="BF39" s="367" t="str">
        <f>BF8</f>
        <v>T1.26</v>
      </c>
      <c r="BG39" s="367" t="str">
        <f t="shared" ref="BG39:BR39" si="55">BG8</f>
        <v>T2.26</v>
      </c>
      <c r="BH39" s="367" t="str">
        <f t="shared" si="55"/>
        <v>T3.26</v>
      </c>
      <c r="BI39" s="367" t="str">
        <f t="shared" si="55"/>
        <v>T4.26</v>
      </c>
      <c r="BJ39" s="367" t="str">
        <f t="shared" si="55"/>
        <v>T5.26</v>
      </c>
      <c r="BK39" s="367" t="str">
        <f t="shared" si="55"/>
        <v>T6.26</v>
      </c>
      <c r="BL39" s="367" t="str">
        <f t="shared" si="55"/>
        <v>T7.26</v>
      </c>
      <c r="BM39" s="367" t="str">
        <f t="shared" si="55"/>
        <v>T8.26</v>
      </c>
      <c r="BN39" s="367" t="str">
        <f t="shared" si="55"/>
        <v>T9.26</v>
      </c>
      <c r="BO39" s="367" t="str">
        <f t="shared" si="55"/>
        <v>T10.26</v>
      </c>
      <c r="BP39" s="367" t="str">
        <f t="shared" si="55"/>
        <v>T11.26</v>
      </c>
      <c r="BQ39" s="367" t="str">
        <f t="shared" si="55"/>
        <v>T12.26</v>
      </c>
      <c r="BR39" s="358" t="str">
        <f t="shared" si="55"/>
        <v>BQ TT 2026</v>
      </c>
      <c r="BS39" s="367" t="s">
        <v>290</v>
      </c>
      <c r="BT39" s="231" t="s">
        <v>291</v>
      </c>
      <c r="BU39" s="339" t="str">
        <f>"KH T"&amp;$D$4&amp;".26"</f>
        <v>KH T6.26</v>
      </c>
      <c r="BV39" s="535" t="str">
        <f>"T"&amp;$D$4&amp;".26"&amp; "sv KHT"&amp;D4&amp;".26"</f>
        <v>T6.26sv KHT6.26</v>
      </c>
      <c r="BW39" s="406" t="s">
        <v>178</v>
      </c>
      <c r="BX39" s="607" t="s">
        <v>247</v>
      </c>
      <c r="BY39" s="407" t="s">
        <v>310</v>
      </c>
      <c r="BZ39" s="408" t="s">
        <v>309</v>
      </c>
      <c r="CA39" s="367" t="s">
        <v>311</v>
      </c>
      <c r="CB39" s="367" t="s">
        <v>292</v>
      </c>
      <c r="CC39" s="231" t="s">
        <v>176</v>
      </c>
      <c r="CD39" s="233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</row>
    <row r="40" spans="1:92" x14ac:dyDescent="0.4">
      <c r="A40" s="170">
        <v>2</v>
      </c>
      <c r="B40" s="175" t="s">
        <v>161</v>
      </c>
      <c r="C40" s="176"/>
      <c r="D40" s="177" t="s">
        <v>162</v>
      </c>
      <c r="E40" s="409">
        <f t="shared" ref="E40:O40" si="56">SUM(E41:E51)</f>
        <v>26.012887611434014</v>
      </c>
      <c r="F40" s="409">
        <f t="shared" si="56"/>
        <v>25.591419942053992</v>
      </c>
      <c r="G40" s="409">
        <f t="shared" si="56"/>
        <v>25.167345217605202</v>
      </c>
      <c r="H40" s="409">
        <f t="shared" si="56"/>
        <v>24.565129581440026</v>
      </c>
      <c r="I40" s="409">
        <f t="shared" si="56"/>
        <v>24.0818356080105</v>
      </c>
      <c r="J40" s="409">
        <f t="shared" si="56"/>
        <v>25.73218650115065</v>
      </c>
      <c r="K40" s="409">
        <f t="shared" si="56"/>
        <v>21.50443947466734</v>
      </c>
      <c r="L40" s="409">
        <f t="shared" si="56"/>
        <v>20.384035757168984</v>
      </c>
      <c r="M40" s="409">
        <f t="shared" si="56"/>
        <v>21.242199175054022</v>
      </c>
      <c r="N40" s="409">
        <f t="shared" si="56"/>
        <v>19.920693122245044</v>
      </c>
      <c r="O40" s="409">
        <f t="shared" si="56"/>
        <v>21.643473166644831</v>
      </c>
      <c r="P40" s="409">
        <f>SUM(P41:P51)</f>
        <v>20.966796622919013</v>
      </c>
      <c r="Q40" s="410">
        <f>SUM(Q41:Q51)</f>
        <v>21.103404110336594</v>
      </c>
      <c r="R40" s="409">
        <f t="shared" ref="R40:Z40" si="57">SUM(R41:R51)</f>
        <v>19.698608855078604</v>
      </c>
      <c r="S40" s="409">
        <f t="shared" si="57"/>
        <v>21.321266947751965</v>
      </c>
      <c r="T40" s="409">
        <f t="shared" si="57"/>
        <v>20.93268349603796</v>
      </c>
      <c r="U40" s="409">
        <f t="shared" si="57"/>
        <v>22.022813645991203</v>
      </c>
      <c r="V40" s="409">
        <f t="shared" si="57"/>
        <v>21.02281823673156</v>
      </c>
      <c r="W40" s="409">
        <f t="shared" si="57"/>
        <v>21.208976815792511</v>
      </c>
      <c r="X40" s="409">
        <f t="shared" si="57"/>
        <v>21.77509672713494</v>
      </c>
      <c r="Y40" s="409">
        <f t="shared" si="57"/>
        <v>21.182126365745155</v>
      </c>
      <c r="Z40" s="409">
        <f t="shared" si="57"/>
        <v>21.922782947897737</v>
      </c>
      <c r="AA40" s="409">
        <f t="shared" ref="AA40:AB40" si="58">SUM(AA41:AA51)</f>
        <v>21.2036794198176</v>
      </c>
      <c r="AB40" s="409">
        <f t="shared" si="58"/>
        <v>20.834891042122816</v>
      </c>
      <c r="AC40" s="409">
        <f t="shared" ref="AC40:BF40" si="59">SUM(AC41:AC51)</f>
        <v>21.069638306985681</v>
      </c>
      <c r="AD40" s="410">
        <f t="shared" si="59"/>
        <v>21.105215855282399</v>
      </c>
      <c r="AE40" s="411">
        <f t="shared" ref="AE40:AP40" si="60">SUM(AE41:AE51)</f>
        <v>21.486452431877474</v>
      </c>
      <c r="AF40" s="409">
        <f t="shared" si="60"/>
        <v>21.262699021048785</v>
      </c>
      <c r="AG40" s="409">
        <f t="shared" si="60"/>
        <v>21.765906279440944</v>
      </c>
      <c r="AH40" s="409">
        <f t="shared" si="60"/>
        <v>22.814571225836321</v>
      </c>
      <c r="AI40" s="409">
        <f t="shared" si="60"/>
        <v>22.681636953780796</v>
      </c>
      <c r="AJ40" s="409">
        <f t="shared" si="60"/>
        <v>22.827407319656501</v>
      </c>
      <c r="AK40" s="409">
        <f t="shared" si="60"/>
        <v>23.478913149544145</v>
      </c>
      <c r="AL40" s="409">
        <f t="shared" si="60"/>
        <v>23.494317816650501</v>
      </c>
      <c r="AM40" s="409">
        <f t="shared" si="60"/>
        <v>23.335579232531547</v>
      </c>
      <c r="AN40" s="409">
        <f t="shared" si="60"/>
        <v>22.682762260643443</v>
      </c>
      <c r="AO40" s="409">
        <f t="shared" si="60"/>
        <v>21.535411519371866</v>
      </c>
      <c r="AP40" s="412">
        <f t="shared" si="60"/>
        <v>21.390297213736524</v>
      </c>
      <c r="AQ40" s="410">
        <f>SUM(AQ41:AQ51)</f>
        <v>22.537179165276907</v>
      </c>
      <c r="AR40" s="413">
        <f>SUM(AR41:AR51)</f>
        <v>1.4319633099945064</v>
      </c>
      <c r="AS40" s="411">
        <f t="shared" si="59"/>
        <v>20.147678699428837</v>
      </c>
      <c r="AT40" s="409">
        <f t="shared" si="59"/>
        <v>20.238752994287129</v>
      </c>
      <c r="AU40" s="409">
        <f t="shared" si="59"/>
        <v>20.12086880770844</v>
      </c>
      <c r="AV40" s="409">
        <f t="shared" si="59"/>
        <v>20.143455033869976</v>
      </c>
      <c r="AW40" s="409">
        <f t="shared" si="59"/>
        <v>20.124577269291272</v>
      </c>
      <c r="AX40" s="409">
        <f t="shared" si="59"/>
        <v>20.151321433514315</v>
      </c>
      <c r="AY40" s="409">
        <f t="shared" si="59"/>
        <v>20.185842609884336</v>
      </c>
      <c r="AZ40" s="409">
        <f t="shared" si="59"/>
        <v>20.200691862370007</v>
      </c>
      <c r="BA40" s="409">
        <f t="shared" si="59"/>
        <v>20.188004787050371</v>
      </c>
      <c r="BB40" s="409">
        <f t="shared" si="59"/>
        <v>20.247775906325909</v>
      </c>
      <c r="BC40" s="409">
        <f t="shared" si="59"/>
        <v>20.22649523146378</v>
      </c>
      <c r="BD40" s="412">
        <f t="shared" si="59"/>
        <v>20.21300769874772</v>
      </c>
      <c r="BE40" s="410">
        <f t="shared" si="59"/>
        <v>20.182001543448386</v>
      </c>
      <c r="BF40" s="411">
        <f t="shared" si="59"/>
        <v>21.773668561837258</v>
      </c>
      <c r="BG40" s="409">
        <f t="shared" ref="BG40:BQ40" si="61">SUM(BG41:BG51)</f>
        <v>20.618295506418431</v>
      </c>
      <c r="BH40" s="409">
        <f t="shared" si="61"/>
        <v>21.397890233153475</v>
      </c>
      <c r="BI40" s="409">
        <f t="shared" si="61"/>
        <v>20.698947335239502</v>
      </c>
      <c r="BJ40" s="409">
        <f t="shared" si="61"/>
        <v>22.1318724822078</v>
      </c>
      <c r="BK40" s="409">
        <f t="shared" si="61"/>
        <v>22.391829866709809</v>
      </c>
      <c r="BL40" s="409">
        <f t="shared" si="61"/>
        <v>0</v>
      </c>
      <c r="BM40" s="409">
        <f t="shared" si="61"/>
        <v>0</v>
      </c>
      <c r="BN40" s="409">
        <f t="shared" si="61"/>
        <v>0</v>
      </c>
      <c r="BO40" s="409">
        <f t="shared" si="61"/>
        <v>0</v>
      </c>
      <c r="BP40" s="409">
        <f t="shared" si="61"/>
        <v>0</v>
      </c>
      <c r="BQ40" s="412">
        <f t="shared" si="61"/>
        <v>0</v>
      </c>
      <c r="BR40" s="410">
        <f>SUM(BR41:BR51)</f>
        <v>21.544340995938114</v>
      </c>
      <c r="BS40" s="413">
        <f>SUM(BS41:BS51)</f>
        <v>-0.99283816933879732</v>
      </c>
      <c r="BT40" s="409">
        <f>SUM(BT41:BT51)</f>
        <v>20.182001543448386</v>
      </c>
      <c r="BU40" s="409">
        <f>SUM(BU41:BU51)</f>
        <v>20.151321433514315</v>
      </c>
      <c r="BV40" s="414" cm="1">
        <f t="array" ref="BV40">INDEX($BF40:$BQ40,,$D$4)-BU40</f>
        <v>2.2405084331954939</v>
      </c>
      <c r="BW40" s="415">
        <f t="shared" ref="BW40:BW60" si="62">AD40/$AD$60</f>
        <v>0.74480594889834051</v>
      </c>
      <c r="BX40" s="608">
        <f>AQ40/$AQ$60</f>
        <v>0.71567874606163273</v>
      </c>
      <c r="BY40" s="416">
        <f t="shared" ref="BY40:BY60" si="63">BE40/$BE$60</f>
        <v>0.6971582060491428</v>
      </c>
      <c r="BZ40" s="417">
        <f t="shared" ref="BZ40:BZ60" si="64">BR40/$BR$60</f>
        <v>0.70278060975248746</v>
      </c>
      <c r="CA40" s="418">
        <f>BZ40-BX40</f>
        <v>-1.2898136309145269E-2</v>
      </c>
      <c r="CB40" s="419">
        <f t="shared" ref="CB40:CB60" si="65">BZ40-BY40</f>
        <v>5.6224037033446583E-3</v>
      </c>
      <c r="CC40" s="420"/>
    </row>
    <row r="41" spans="1:92" x14ac:dyDescent="0.4">
      <c r="A41" s="170">
        <v>3</v>
      </c>
      <c r="B41" s="181">
        <v>1</v>
      </c>
      <c r="C41" s="182" t="s">
        <v>96</v>
      </c>
      <c r="D41" s="182" t="s">
        <v>260</v>
      </c>
      <c r="E41" s="421">
        <f t="shared" ref="E41:AD41" si="66">E10/E$31</f>
        <v>22.787976772724683</v>
      </c>
      <c r="F41" s="421">
        <f t="shared" si="66"/>
        <v>22.500568382617356</v>
      </c>
      <c r="G41" s="421">
        <f t="shared" si="66"/>
        <v>21.921839870945607</v>
      </c>
      <c r="H41" s="421">
        <f t="shared" si="66"/>
        <v>21.077276720038153</v>
      </c>
      <c r="I41" s="421">
        <f t="shared" si="66"/>
        <v>20.804906279042552</v>
      </c>
      <c r="J41" s="421">
        <f t="shared" si="66"/>
        <v>21.787397200858489</v>
      </c>
      <c r="K41" s="421">
        <f t="shared" si="66"/>
        <v>18.394117330278288</v>
      </c>
      <c r="L41" s="421">
        <f t="shared" si="66"/>
        <v>17.565370316755306</v>
      </c>
      <c r="M41" s="421">
        <f t="shared" si="66"/>
        <v>18.266013295648243</v>
      </c>
      <c r="N41" s="421">
        <f t="shared" si="66"/>
        <v>16.836670943127327</v>
      </c>
      <c r="O41" s="421">
        <f t="shared" si="66"/>
        <v>18.010185937316315</v>
      </c>
      <c r="P41" s="421">
        <f t="shared" si="66"/>
        <v>18.373415593987865</v>
      </c>
      <c r="Q41" s="422">
        <f t="shared" si="66"/>
        <v>19.326224119829444</v>
      </c>
      <c r="R41" s="421">
        <f t="shared" si="66"/>
        <v>17.351007297036663</v>
      </c>
      <c r="S41" s="421">
        <f t="shared" si="66"/>
        <v>18.684196801383731</v>
      </c>
      <c r="T41" s="421">
        <f t="shared" si="66"/>
        <v>18.83512308069216</v>
      </c>
      <c r="U41" s="421">
        <f t="shared" si="66"/>
        <v>19.509038092149947</v>
      </c>
      <c r="V41" s="421">
        <f t="shared" si="66"/>
        <v>18.677036197917399</v>
      </c>
      <c r="W41" s="421">
        <f t="shared" si="66"/>
        <v>18.148150232044589</v>
      </c>
      <c r="X41" s="421">
        <f t="shared" si="66"/>
        <v>18.283593702204584</v>
      </c>
      <c r="Y41" s="421">
        <f t="shared" si="66"/>
        <v>18.161253005227746</v>
      </c>
      <c r="Z41" s="421">
        <f t="shared" si="66"/>
        <v>18.997197306667314</v>
      </c>
      <c r="AA41" s="421">
        <f t="shared" si="66"/>
        <v>18.690373015370334</v>
      </c>
      <c r="AB41" s="421">
        <f t="shared" si="66"/>
        <v>18.319005490374114</v>
      </c>
      <c r="AC41" s="421">
        <f t="shared" si="66"/>
        <v>18.284387312413024</v>
      </c>
      <c r="AD41" s="422">
        <f t="shared" si="66"/>
        <v>18.507378036232243</v>
      </c>
      <c r="AE41" s="423">
        <f t="shared" ref="AE41:AE42" si="67">AE10/AE$31</f>
        <v>18.312543345592342</v>
      </c>
      <c r="AF41" s="427">
        <f t="shared" ref="AF41" si="68">IFERROR(AF10/AF$31,0)</f>
        <v>18.593106932798833</v>
      </c>
      <c r="AG41" s="427">
        <f>IFERROR(AG10/AG$31,0)</f>
        <v>19.38928178326266</v>
      </c>
      <c r="AH41" s="427">
        <f t="shared" ref="AH41:AP41" si="69">IFERROR(AH10/AH$31,0)</f>
        <v>20.007140382474947</v>
      </c>
      <c r="AI41" s="427">
        <f t="shared" si="69"/>
        <v>20.139657074540278</v>
      </c>
      <c r="AJ41" s="427">
        <f t="shared" si="69"/>
        <v>20.023008833411428</v>
      </c>
      <c r="AK41" s="427">
        <f t="shared" si="69"/>
        <v>20.520410238978375</v>
      </c>
      <c r="AL41" s="427">
        <f t="shared" si="69"/>
        <v>20.479350977628648</v>
      </c>
      <c r="AM41" s="427">
        <f t="shared" si="69"/>
        <v>20.244864144352331</v>
      </c>
      <c r="AN41" s="427">
        <f t="shared" si="69"/>
        <v>19.089916937073646</v>
      </c>
      <c r="AO41" s="427">
        <f t="shared" si="69"/>
        <v>17.98575426523988</v>
      </c>
      <c r="AP41" s="428">
        <f t="shared" si="69"/>
        <v>18.684364862765758</v>
      </c>
      <c r="AQ41" s="422">
        <f>AQ10/AQ$31</f>
        <v>19.649038096535882</v>
      </c>
      <c r="AR41" s="429">
        <f>AQ41-AD41</f>
        <v>1.1416600603036393</v>
      </c>
      <c r="AS41" s="423">
        <f t="shared" ref="AS41:BD41" si="70">AS10/AS$31</f>
        <v>17.812843069157459</v>
      </c>
      <c r="AT41" s="424">
        <f t="shared" si="70"/>
        <v>17.824923409943459</v>
      </c>
      <c r="AU41" s="424">
        <f t="shared" si="70"/>
        <v>17.818768695321094</v>
      </c>
      <c r="AV41" s="424">
        <f t="shared" si="70"/>
        <v>17.816697779741421</v>
      </c>
      <c r="AW41" s="424">
        <f t="shared" si="70"/>
        <v>17.818768695321094</v>
      </c>
      <c r="AX41" s="424">
        <f t="shared" si="70"/>
        <v>17.816918280639356</v>
      </c>
      <c r="AY41" s="424">
        <f t="shared" si="70"/>
        <v>17.823654708306016</v>
      </c>
      <c r="AZ41" s="424">
        <f t="shared" si="70"/>
        <v>17.83067947934212</v>
      </c>
      <c r="BA41" s="424">
        <f t="shared" si="70"/>
        <v>17.818687134044602</v>
      </c>
      <c r="BB41" s="424">
        <f t="shared" si="70"/>
        <v>17.828687752841265</v>
      </c>
      <c r="BC41" s="424">
        <f t="shared" si="70"/>
        <v>17.825657836630874</v>
      </c>
      <c r="BD41" s="425">
        <f t="shared" si="70"/>
        <v>17.83067947934212</v>
      </c>
      <c r="BE41" s="426">
        <f>BE10/BE$31</f>
        <v>17.822332942135915</v>
      </c>
      <c r="BF41" s="423">
        <f>BF10/BF$31</f>
        <v>18.923355557251615</v>
      </c>
      <c r="BG41" s="427">
        <f t="shared" ref="BG41:BQ41" si="71">IFERROR(BG10/BG$31,0)</f>
        <v>18.104205808086963</v>
      </c>
      <c r="BH41" s="427">
        <f>IFERROR(BH10/BH$31,0)</f>
        <v>18.460638735672415</v>
      </c>
      <c r="BI41" s="427">
        <f t="shared" si="71"/>
        <v>17.780534371153539</v>
      </c>
      <c r="BJ41" s="427">
        <f t="shared" si="71"/>
        <v>18.757434115061756</v>
      </c>
      <c r="BK41" s="427">
        <f t="shared" si="71"/>
        <v>19.22237794033779</v>
      </c>
      <c r="BL41" s="427">
        <f t="shared" si="71"/>
        <v>0</v>
      </c>
      <c r="BM41" s="427">
        <f t="shared" si="71"/>
        <v>0</v>
      </c>
      <c r="BN41" s="427">
        <f t="shared" si="71"/>
        <v>0</v>
      </c>
      <c r="BO41" s="427">
        <f t="shared" si="71"/>
        <v>0</v>
      </c>
      <c r="BP41" s="427">
        <f t="shared" si="71"/>
        <v>0</v>
      </c>
      <c r="BQ41" s="428">
        <f t="shared" si="71"/>
        <v>0</v>
      </c>
      <c r="BR41" s="422">
        <f>BR10/BR$31</f>
        <v>18.545280312850014</v>
      </c>
      <c r="BS41" s="606">
        <f>BR41-AQ41</f>
        <v>-1.1037577836858681</v>
      </c>
      <c r="BT41" s="427">
        <f>BE41</f>
        <v>17.822332942135915</v>
      </c>
      <c r="BU41" s="427" cm="1">
        <f t="array" ref="BU41">INDEX($AS41:$BD41,,$D$4)</f>
        <v>17.816918280639356</v>
      </c>
      <c r="BV41" s="430" cm="1">
        <f t="array" ref="BV41">INDEX($BF41:$BQ41,,$D$4)-BU41</f>
        <v>1.4054596596984332</v>
      </c>
      <c r="BW41" s="431">
        <f t="shared" si="62"/>
        <v>0.65312789759722734</v>
      </c>
      <c r="BX41" s="609">
        <f t="shared" ref="BX41:BX60" si="72">AQ41/$AQ$60</f>
        <v>0.62396446525623883</v>
      </c>
      <c r="BY41" s="432">
        <f t="shared" si="63"/>
        <v>0.61564684923847379</v>
      </c>
      <c r="BZ41" s="433">
        <f t="shared" si="64"/>
        <v>0.60495066471296455</v>
      </c>
      <c r="CA41" s="434">
        <f t="shared" ref="CA41:CA60" si="73">BZ41-BX41</f>
        <v>-1.9013800543274284E-2</v>
      </c>
      <c r="CB41" s="434">
        <f t="shared" si="65"/>
        <v>-1.0696184525509245E-2</v>
      </c>
      <c r="CC41" s="435"/>
      <c r="CD41" s="158" t="s">
        <v>146</v>
      </c>
    </row>
    <row r="42" spans="1:92" x14ac:dyDescent="0.4">
      <c r="A42" s="170">
        <v>4</v>
      </c>
      <c r="B42" s="187">
        <f>B41+1</f>
        <v>2</v>
      </c>
      <c r="C42" s="188" t="s">
        <v>96</v>
      </c>
      <c r="D42" s="188" t="s">
        <v>25</v>
      </c>
      <c r="E42" s="421">
        <f t="shared" ref="E42:P42" si="74">E11/E$31</f>
        <v>1.6355703055772661</v>
      </c>
      <c r="F42" s="421">
        <f t="shared" si="74"/>
        <v>1.6970403423469187</v>
      </c>
      <c r="G42" s="421">
        <f t="shared" si="74"/>
        <v>1.5294980442704695</v>
      </c>
      <c r="H42" s="421">
        <f t="shared" si="74"/>
        <v>1.5999950084799575</v>
      </c>
      <c r="I42" s="421">
        <f t="shared" si="74"/>
        <v>1.4673998426013419</v>
      </c>
      <c r="J42" s="421">
        <f t="shared" si="74"/>
        <v>1.7522353347905459</v>
      </c>
      <c r="K42" s="436">
        <f t="shared" si="74"/>
        <v>1.439343975022231</v>
      </c>
      <c r="L42" s="421">
        <f t="shared" si="74"/>
        <v>1.2544633706012231</v>
      </c>
      <c r="M42" s="421">
        <f t="shared" si="74"/>
        <v>1.4452928587946869</v>
      </c>
      <c r="N42" s="421">
        <f t="shared" si="74"/>
        <v>1.3344620640897271</v>
      </c>
      <c r="O42" s="421">
        <f t="shared" si="74"/>
        <v>1.6169318394056482</v>
      </c>
      <c r="P42" s="421">
        <f t="shared" si="74"/>
        <v>1.3372299144579243</v>
      </c>
      <c r="Q42" s="437">
        <f>Q11/$AD$31</f>
        <v>0.77740656314822498</v>
      </c>
      <c r="R42" s="421">
        <f t="shared" ref="R42:AC42" si="75">R11/R$31</f>
        <v>1.1622871322930903</v>
      </c>
      <c r="S42" s="421">
        <f t="shared" si="75"/>
        <v>1.4181931192939561</v>
      </c>
      <c r="T42" s="421">
        <f t="shared" si="75"/>
        <v>1.045268805609302</v>
      </c>
      <c r="U42" s="421">
        <f t="shared" si="75"/>
        <v>1.3086985539623484</v>
      </c>
      <c r="V42" s="421">
        <f t="shared" si="75"/>
        <v>1.2767598223127639</v>
      </c>
      <c r="W42" s="421">
        <f t="shared" si="75"/>
        <v>1.3856628521080161</v>
      </c>
      <c r="X42" s="436">
        <f t="shared" si="75"/>
        <v>1.6408391126560737</v>
      </c>
      <c r="Y42" s="421">
        <f t="shared" si="75"/>
        <v>1.6168249997434536</v>
      </c>
      <c r="Z42" s="421">
        <f t="shared" si="75"/>
        <v>1.6678543639195218</v>
      </c>
      <c r="AA42" s="421">
        <f t="shared" si="75"/>
        <v>1.2978444293588236</v>
      </c>
      <c r="AB42" s="421">
        <f t="shared" si="75"/>
        <v>1.347615559502173</v>
      </c>
      <c r="AC42" s="421">
        <f t="shared" si="75"/>
        <v>1.4725653212197847</v>
      </c>
      <c r="AD42" s="437">
        <f>AD11/$AD$31</f>
        <v>1.3413999867901256</v>
      </c>
      <c r="AE42" s="438">
        <f t="shared" si="67"/>
        <v>1.7505206005660614</v>
      </c>
      <c r="AF42" s="421">
        <f t="shared" ref="AF42:AP42" si="76">IFERROR(AF11/AF$31,0)</f>
        <v>1.4215826858321166</v>
      </c>
      <c r="AG42" s="421">
        <f t="shared" si="76"/>
        <v>1.3607828018714536</v>
      </c>
      <c r="AH42" s="421">
        <f t="shared" si="76"/>
        <v>1.5153341381603718</v>
      </c>
      <c r="AI42" s="421">
        <f t="shared" si="76"/>
        <v>1.3728528071508401</v>
      </c>
      <c r="AJ42" s="421">
        <f t="shared" si="76"/>
        <v>1.5185464126831412</v>
      </c>
      <c r="AK42" s="421">
        <f t="shared" si="76"/>
        <v>1.563839696942394</v>
      </c>
      <c r="AL42" s="421">
        <f t="shared" si="76"/>
        <v>1.5936069551146252</v>
      </c>
      <c r="AM42" s="421">
        <f t="shared" si="76"/>
        <v>1.5546075184150701</v>
      </c>
      <c r="AN42" s="421">
        <f t="shared" si="76"/>
        <v>1.9739461756730958</v>
      </c>
      <c r="AO42" s="421">
        <f t="shared" si="76"/>
        <v>1.8736695419330482</v>
      </c>
      <c r="AP42" s="439">
        <f t="shared" si="76"/>
        <v>1.3890400192318204</v>
      </c>
      <c r="AQ42" s="437">
        <f>AQ11/AQ$31</f>
        <v>1.5446285178469712</v>
      </c>
      <c r="AR42" s="429">
        <f t="shared" ref="AR42:AR51" si="77">AQ42-AD42</f>
        <v>0.20322853105684557</v>
      </c>
      <c r="AS42" s="438">
        <f t="shared" ref="AS42:BE42" si="78">AS11/AS$31</f>
        <v>1.1876964859025252</v>
      </c>
      <c r="AT42" s="421">
        <f t="shared" si="78"/>
        <v>1.1999991367516889</v>
      </c>
      <c r="AU42" s="421">
        <f t="shared" si="78"/>
        <v>1.1682459895644122</v>
      </c>
      <c r="AV42" s="421">
        <f t="shared" si="78"/>
        <v>1.1759953522824378</v>
      </c>
      <c r="AW42" s="421">
        <f t="shared" si="78"/>
        <v>1.1702205199797147</v>
      </c>
      <c r="AX42" s="421">
        <f t="shared" si="78"/>
        <v>1.1857427751143095</v>
      </c>
      <c r="AY42" s="421">
        <f t="shared" si="78"/>
        <v>1.2369834741891641</v>
      </c>
      <c r="AZ42" s="421">
        <f t="shared" si="78"/>
        <v>1.2409797872400641</v>
      </c>
      <c r="BA42" s="421">
        <f t="shared" si="78"/>
        <v>1.2472029766253954</v>
      </c>
      <c r="BB42" s="421">
        <f t="shared" si="78"/>
        <v>1.2743256393367179</v>
      </c>
      <c r="BC42" s="421">
        <f t="shared" si="78"/>
        <v>1.2794990591870163</v>
      </c>
      <c r="BD42" s="439">
        <f t="shared" si="78"/>
        <v>1.2727500051017904</v>
      </c>
      <c r="BE42" s="437">
        <f t="shared" si="78"/>
        <v>1.2213584388998098</v>
      </c>
      <c r="BF42" s="438">
        <f t="shared" ref="BF42" si="79">BF11/BF$31</f>
        <v>1.4296972387889886</v>
      </c>
      <c r="BG42" s="421">
        <f t="shared" ref="BG42:BQ42" si="80">IFERROR(BG11/BG$31,0)</f>
        <v>1.3841663171553198</v>
      </c>
      <c r="BH42" s="421">
        <f t="shared" si="80"/>
        <v>1.3377107135922071</v>
      </c>
      <c r="BI42" s="421">
        <f t="shared" si="80"/>
        <v>1.3171969173912532</v>
      </c>
      <c r="BJ42" s="421">
        <f t="shared" si="80"/>
        <v>1.6388900857353923</v>
      </c>
      <c r="BK42" s="421">
        <f t="shared" si="80"/>
        <v>1.5572081459561684</v>
      </c>
      <c r="BL42" s="421">
        <f t="shared" si="80"/>
        <v>0</v>
      </c>
      <c r="BM42" s="421">
        <f t="shared" si="80"/>
        <v>0</v>
      </c>
      <c r="BN42" s="421">
        <f t="shared" si="80"/>
        <v>0</v>
      </c>
      <c r="BO42" s="421">
        <f t="shared" si="80"/>
        <v>0</v>
      </c>
      <c r="BP42" s="421">
        <f t="shared" si="80"/>
        <v>0</v>
      </c>
      <c r="BQ42" s="439">
        <f t="shared" si="80"/>
        <v>0</v>
      </c>
      <c r="BR42" s="437">
        <f>BR11/BR$31</f>
        <v>1.4433239679249066</v>
      </c>
      <c r="BS42" s="429">
        <f>BR42-AQ42</f>
        <v>-0.10130454992206461</v>
      </c>
      <c r="BT42" s="421">
        <f t="shared" ref="BT42:BT51" si="81">BE42</f>
        <v>1.2213584388998098</v>
      </c>
      <c r="BU42" s="421" cm="1">
        <f t="array" ref="BU42">INDEX($AS42:$BD42,,$D$4)</f>
        <v>1.1857427751143095</v>
      </c>
      <c r="BV42" s="440" cm="1">
        <f t="array" ref="BV42">INDEX($BF42:$BQ42,,$D$4)-BU42</f>
        <v>0.37146537084185893</v>
      </c>
      <c r="BW42" s="441">
        <f t="shared" si="62"/>
        <v>4.7338188666920536E-2</v>
      </c>
      <c r="BX42" s="610">
        <f t="shared" si="72"/>
        <v>4.9050406560504273E-2</v>
      </c>
      <c r="BY42" s="442">
        <f t="shared" si="63"/>
        <v>4.2190070017251877E-2</v>
      </c>
      <c r="BZ42" s="443">
        <f t="shared" si="64"/>
        <v>4.70815096381869E-2</v>
      </c>
      <c r="CA42" s="444">
        <f t="shared" si="73"/>
        <v>-1.968896922317373E-3</v>
      </c>
      <c r="CB42" s="444">
        <f t="shared" si="65"/>
        <v>4.891439620935023E-3</v>
      </c>
      <c r="CC42" s="445"/>
    </row>
    <row r="43" spans="1:92" x14ac:dyDescent="0.4">
      <c r="A43" s="170">
        <v>6</v>
      </c>
      <c r="B43" s="187">
        <f t="shared" ref="B43:B51" si="82">B42+1</f>
        <v>3</v>
      </c>
      <c r="C43" s="188" t="s">
        <v>96</v>
      </c>
      <c r="D43" s="188" t="s">
        <v>165</v>
      </c>
      <c r="E43" s="421">
        <f t="shared" ref="E43:AD43" si="83">E12/E37</f>
        <v>0</v>
      </c>
      <c r="F43" s="421">
        <f t="shared" si="83"/>
        <v>0</v>
      </c>
      <c r="G43" s="421">
        <f t="shared" si="83"/>
        <v>0.26946632905994294</v>
      </c>
      <c r="H43" s="421">
        <f t="shared" si="83"/>
        <v>0.21436547703722297</v>
      </c>
      <c r="I43" s="421">
        <f t="shared" si="83"/>
        <v>0.22879719268161985</v>
      </c>
      <c r="J43" s="421">
        <f t="shared" si="83"/>
        <v>0.41097603329150717</v>
      </c>
      <c r="K43" s="421">
        <f t="shared" si="83"/>
        <v>0.29017757755682266</v>
      </c>
      <c r="L43" s="421">
        <f t="shared" si="83"/>
        <v>0.29152150050609871</v>
      </c>
      <c r="M43" s="421">
        <f t="shared" si="83"/>
        <v>0.20179355939086294</v>
      </c>
      <c r="N43" s="421">
        <f t="shared" si="83"/>
        <v>0.32027102905997573</v>
      </c>
      <c r="O43" s="421">
        <f t="shared" si="83"/>
        <v>0.29701082511380883</v>
      </c>
      <c r="P43" s="421">
        <f t="shared" si="83"/>
        <v>0.16340699981627779</v>
      </c>
      <c r="Q43" s="437">
        <f t="shared" si="83"/>
        <v>0.24640421535210622</v>
      </c>
      <c r="R43" s="421">
        <f t="shared" si="83"/>
        <v>0.24444623502090104</v>
      </c>
      <c r="S43" s="421">
        <f t="shared" si="83"/>
        <v>0.1791780523255814</v>
      </c>
      <c r="T43" s="421">
        <f t="shared" si="83"/>
        <v>0.20244940852819809</v>
      </c>
      <c r="U43" s="421">
        <f t="shared" si="83"/>
        <v>0.32910320587316466</v>
      </c>
      <c r="V43" s="421">
        <f t="shared" si="83"/>
        <v>0.25994087445346664</v>
      </c>
      <c r="W43" s="421">
        <f t="shared" si="83"/>
        <v>0.77022842940243263</v>
      </c>
      <c r="X43" s="421">
        <f t="shared" si="83"/>
        <v>0.44817642376681616</v>
      </c>
      <c r="Y43" s="421">
        <f t="shared" si="83"/>
        <v>0.40354968683582737</v>
      </c>
      <c r="Z43" s="421">
        <f t="shared" si="83"/>
        <v>0.27436569754035361</v>
      </c>
      <c r="AA43" s="421">
        <f t="shared" si="83"/>
        <v>0.27069232984238251</v>
      </c>
      <c r="AB43" s="421">
        <f t="shared" si="83"/>
        <v>0.38238949351521989</v>
      </c>
      <c r="AC43" s="421">
        <f t="shared" si="83"/>
        <v>0.57456559857891953</v>
      </c>
      <c r="AD43" s="437">
        <f t="shared" si="83"/>
        <v>0.3481741263468533</v>
      </c>
      <c r="AE43" s="438">
        <f t="shared" ref="AE43:AQ43" si="84">IFERROR(AE12/AE37,0)</f>
        <v>0.40320445935869303</v>
      </c>
      <c r="AF43" s="421">
        <f t="shared" si="84"/>
        <v>0.34628584423943359</v>
      </c>
      <c r="AG43" s="421">
        <f t="shared" si="84"/>
        <v>0.22081367102979224</v>
      </c>
      <c r="AH43" s="421">
        <f t="shared" si="84"/>
        <v>0.30956230697819359</v>
      </c>
      <c r="AI43" s="421">
        <f t="shared" si="84"/>
        <v>0.23381471278994462</v>
      </c>
      <c r="AJ43" s="421">
        <f t="shared" si="84"/>
        <v>0.27547120010628312</v>
      </c>
      <c r="AK43" s="421">
        <f t="shared" si="84"/>
        <v>0.25848504901112157</v>
      </c>
      <c r="AL43" s="421">
        <f t="shared" si="84"/>
        <v>0.33623307057815127</v>
      </c>
      <c r="AM43" s="421">
        <f t="shared" si="84"/>
        <v>0.47505852671560078</v>
      </c>
      <c r="AN43" s="421">
        <f t="shared" si="84"/>
        <v>0.6748114562802191</v>
      </c>
      <c r="AO43" s="421">
        <f t="shared" si="84"/>
        <v>0.60892140502665892</v>
      </c>
      <c r="AP43" s="439">
        <f t="shared" si="84"/>
        <v>0.36191026967280343</v>
      </c>
      <c r="AQ43" s="437">
        <f t="shared" si="84"/>
        <v>0.35394856377166722</v>
      </c>
      <c r="AR43" s="429">
        <f t="shared" si="77"/>
        <v>5.7744374248139274E-3</v>
      </c>
      <c r="AS43" s="438">
        <f t="shared" ref="AS43:BE43" si="85">AS12/AS37</f>
        <v>0.16839993086688171</v>
      </c>
      <c r="AT43" s="421">
        <f t="shared" si="85"/>
        <v>0.16292663663680934</v>
      </c>
      <c r="AU43" s="421">
        <f t="shared" si="85"/>
        <v>0.1543282667620765</v>
      </c>
      <c r="AV43" s="421">
        <f t="shared" si="85"/>
        <v>0.17305310952863076</v>
      </c>
      <c r="AW43" s="421">
        <f t="shared" si="85"/>
        <v>0.16150261887789097</v>
      </c>
      <c r="AX43" s="421">
        <f t="shared" si="85"/>
        <v>0.16463117739523198</v>
      </c>
      <c r="AY43" s="421">
        <f t="shared" si="85"/>
        <v>0.16167429648493012</v>
      </c>
      <c r="AZ43" s="421">
        <f t="shared" si="85"/>
        <v>0.16930055997582086</v>
      </c>
      <c r="BA43" s="421">
        <f t="shared" si="85"/>
        <v>0.15773302232768369</v>
      </c>
      <c r="BB43" s="421">
        <f t="shared" si="85"/>
        <v>0.17400082854373397</v>
      </c>
      <c r="BC43" s="421">
        <f t="shared" si="85"/>
        <v>0.15997100790887209</v>
      </c>
      <c r="BD43" s="439">
        <f t="shared" si="85"/>
        <v>0.15380756856819927</v>
      </c>
      <c r="BE43" s="437">
        <f t="shared" si="85"/>
        <v>0.16328223971593384</v>
      </c>
      <c r="BF43" s="438">
        <f t="shared" ref="BF43:BR43" si="86">IFERROR(BF12/BF37,0)</f>
        <v>0.39672845368104515</v>
      </c>
      <c r="BG43" s="421">
        <f t="shared" si="86"/>
        <v>0.37364425578274252</v>
      </c>
      <c r="BH43" s="421">
        <f t="shared" si="86"/>
        <v>0.55097182133280997</v>
      </c>
      <c r="BI43" s="421">
        <f t="shared" si="86"/>
        <v>0.59141362120551788</v>
      </c>
      <c r="BJ43" s="421">
        <f t="shared" si="86"/>
        <v>0.55539730868331616</v>
      </c>
      <c r="BK43" s="421">
        <f t="shared" si="86"/>
        <v>0.46760362027416386</v>
      </c>
      <c r="BL43" s="421">
        <f t="shared" si="86"/>
        <v>0</v>
      </c>
      <c r="BM43" s="421">
        <f t="shared" si="86"/>
        <v>0</v>
      </c>
      <c r="BN43" s="421">
        <f t="shared" si="86"/>
        <v>0</v>
      </c>
      <c r="BO43" s="421">
        <f t="shared" si="86"/>
        <v>0</v>
      </c>
      <c r="BP43" s="421">
        <f t="shared" si="86"/>
        <v>0</v>
      </c>
      <c r="BQ43" s="439">
        <f t="shared" si="86"/>
        <v>0</v>
      </c>
      <c r="BR43" s="437">
        <f t="shared" si="86"/>
        <v>0.50332696512153052</v>
      </c>
      <c r="BS43" s="429">
        <f t="shared" ref="BS43:BS59" si="87">BR43-AQ43</f>
        <v>0.1493784013498633</v>
      </c>
      <c r="BT43" s="421">
        <f t="shared" si="81"/>
        <v>0.16328223971593384</v>
      </c>
      <c r="BU43" s="421" cm="1">
        <f t="array" ref="BU43">INDEX($AS43:$BD43,,$D$4)</f>
        <v>0.16463117739523198</v>
      </c>
      <c r="BV43" s="440" cm="1">
        <f t="array" ref="BV43">INDEX($BF43:$BQ43,,$D$4)-BU43</f>
        <v>0.30297244287893188</v>
      </c>
      <c r="BW43" s="441">
        <f t="shared" si="62"/>
        <v>1.2287112452854318E-2</v>
      </c>
      <c r="BX43" s="610">
        <f t="shared" si="72"/>
        <v>1.1239803456889734E-2</v>
      </c>
      <c r="BY43" s="442">
        <f t="shared" si="63"/>
        <v>5.6403500453105415E-3</v>
      </c>
      <c r="BZ43" s="443">
        <f t="shared" si="64"/>
        <v>1.6418623875275127E-2</v>
      </c>
      <c r="CA43" s="444">
        <f t="shared" si="73"/>
        <v>5.1788204183853929E-3</v>
      </c>
      <c r="CB43" s="444">
        <f t="shared" si="65"/>
        <v>1.0778273829964585E-2</v>
      </c>
      <c r="CC43" s="445"/>
      <c r="CD43" s="158" t="s">
        <v>146</v>
      </c>
    </row>
    <row r="44" spans="1:92" x14ac:dyDescent="0.4">
      <c r="A44" s="170">
        <v>7</v>
      </c>
      <c r="B44" s="187">
        <f t="shared" si="82"/>
        <v>4</v>
      </c>
      <c r="C44" s="188" t="s">
        <v>96</v>
      </c>
      <c r="D44" s="188" t="s">
        <v>54</v>
      </c>
      <c r="E44" s="421">
        <f t="shared" ref="E44:P44" si="88">E13/E$31</f>
        <v>8.0188869699078971E-2</v>
      </c>
      <c r="F44" s="421">
        <f t="shared" si="88"/>
        <v>0.11212763652720448</v>
      </c>
      <c r="G44" s="421">
        <f t="shared" si="88"/>
        <v>0.30447516772942329</v>
      </c>
      <c r="H44" s="421">
        <f t="shared" si="88"/>
        <v>0.44827166408115038</v>
      </c>
      <c r="I44" s="421">
        <f t="shared" si="88"/>
        <v>0.51911638446333108</v>
      </c>
      <c r="J44" s="421">
        <f t="shared" si="88"/>
        <v>0.30147998223898326</v>
      </c>
      <c r="K44" s="436">
        <f t="shared" si="88"/>
        <v>0.4841848555978473</v>
      </c>
      <c r="L44" s="421">
        <f t="shared" si="88"/>
        <v>0.49676765227454295</v>
      </c>
      <c r="M44" s="421">
        <f t="shared" si="88"/>
        <v>0.57133953783963121</v>
      </c>
      <c r="N44" s="421">
        <f t="shared" si="88"/>
        <v>0.71146845018922378</v>
      </c>
      <c r="O44" s="421">
        <f t="shared" si="88"/>
        <v>0.89308413748066706</v>
      </c>
      <c r="P44" s="421">
        <f t="shared" si="88"/>
        <v>0.52306922728406158</v>
      </c>
      <c r="Q44" s="437">
        <f t="shared" ref="Q44:Q51" si="89">Q13/$AD$31</f>
        <v>0.26214899795194962</v>
      </c>
      <c r="R44" s="421">
        <f t="shared" ref="R44:AC44" si="90">R13/R$31</f>
        <v>0.36425936944763326</v>
      </c>
      <c r="S44" s="421">
        <f t="shared" si="90"/>
        <v>0.51852029658616339</v>
      </c>
      <c r="T44" s="421">
        <f t="shared" si="90"/>
        <v>0.36103649265037152</v>
      </c>
      <c r="U44" s="421">
        <f t="shared" si="90"/>
        <v>0.23105783178525657</v>
      </c>
      <c r="V44" s="421">
        <f t="shared" si="90"/>
        <v>0.22002076224429171</v>
      </c>
      <c r="W44" s="421">
        <f t="shared" si="90"/>
        <v>0.16915105042825263</v>
      </c>
      <c r="X44" s="436">
        <f t="shared" si="90"/>
        <v>0.57719568503729857</v>
      </c>
      <c r="Y44" s="421">
        <f t="shared" si="90"/>
        <v>0.25052672670239096</v>
      </c>
      <c r="Z44" s="421">
        <f t="shared" si="90"/>
        <v>0.38290180712672073</v>
      </c>
      <c r="AA44" s="421">
        <f t="shared" si="90"/>
        <v>0.44104005837972288</v>
      </c>
      <c r="AB44" s="421">
        <f t="shared" si="90"/>
        <v>0.36032087970905868</v>
      </c>
      <c r="AC44" s="421">
        <f t="shared" si="90"/>
        <v>9.6922859503289022E-2</v>
      </c>
      <c r="AD44" s="437">
        <f t="shared" ref="AD44:AD51" si="91">AD13/$AD$31</f>
        <v>0.32217463623852971</v>
      </c>
      <c r="AE44" s="438">
        <f t="shared" ref="AE44:AE51" si="92">AE13/AE$31</f>
        <v>0.18100559375256492</v>
      </c>
      <c r="AF44" s="421">
        <f t="shared" ref="AF44:AP44" si="93">IFERROR(AF13/AF$31,0)</f>
        <v>0.29789234685009736</v>
      </c>
      <c r="AG44" s="421">
        <f t="shared" si="93"/>
        <v>0.32568813045425887</v>
      </c>
      <c r="AH44" s="421">
        <f t="shared" si="93"/>
        <v>0.4005681645124845</v>
      </c>
      <c r="AI44" s="421">
        <f t="shared" si="93"/>
        <v>0.40608490193873598</v>
      </c>
      <c r="AJ44" s="421">
        <f t="shared" si="93"/>
        <v>0.46447620233467446</v>
      </c>
      <c r="AK44" s="421">
        <f t="shared" si="93"/>
        <v>0.55837626722488676</v>
      </c>
      <c r="AL44" s="421">
        <f t="shared" si="93"/>
        <v>0.50070695074973781</v>
      </c>
      <c r="AM44" s="421">
        <f t="shared" si="93"/>
        <v>0.43078913789636625</v>
      </c>
      <c r="AN44" s="421">
        <f t="shared" si="93"/>
        <v>0.19577298657369221</v>
      </c>
      <c r="AO44" s="421">
        <f t="shared" si="93"/>
        <v>0.249065889656057</v>
      </c>
      <c r="AP44" s="439">
        <f t="shared" si="93"/>
        <v>0.32178934485996619</v>
      </c>
      <c r="AQ44" s="437">
        <f t="shared" ref="AQ44:AQ51" si="94">AQ13/AQ$31</f>
        <v>0.38434713500609036</v>
      </c>
      <c r="AR44" s="429">
        <f t="shared" si="77"/>
        <v>6.2172498767560647E-2</v>
      </c>
      <c r="AS44" s="438">
        <f t="shared" ref="AS44:BE44" si="95">AS13/AS$31</f>
        <v>0.31886622544462456</v>
      </c>
      <c r="AT44" s="421">
        <f t="shared" si="95"/>
        <v>0.32720666102440171</v>
      </c>
      <c r="AU44" s="421">
        <f t="shared" si="95"/>
        <v>0.32224191510539973</v>
      </c>
      <c r="AV44" s="421">
        <f t="shared" si="95"/>
        <v>0.32146636296314846</v>
      </c>
      <c r="AW44" s="421">
        <f t="shared" si="95"/>
        <v>0.32224191510539973</v>
      </c>
      <c r="AX44" s="421">
        <f t="shared" si="95"/>
        <v>0.32329927126707048</v>
      </c>
      <c r="AY44" s="421">
        <f t="shared" si="95"/>
        <v>0.31872981197987044</v>
      </c>
      <c r="AZ44" s="421">
        <f t="shared" si="95"/>
        <v>0.32310372201845883</v>
      </c>
      <c r="BA44" s="421">
        <f t="shared" si="95"/>
        <v>0.31690013452878046</v>
      </c>
      <c r="BB44" s="421">
        <f t="shared" si="95"/>
        <v>0.32236604228782306</v>
      </c>
      <c r="BC44" s="421">
        <f t="shared" si="95"/>
        <v>0.31946761247056454</v>
      </c>
      <c r="BD44" s="439">
        <f t="shared" si="95"/>
        <v>0.32310372201845883</v>
      </c>
      <c r="BE44" s="437">
        <f t="shared" si="95"/>
        <v>0.32147451443467079</v>
      </c>
      <c r="BF44" s="438">
        <f t="shared" ref="BF44" si="96">BF13/BF$31</f>
        <v>0.31066962702748069</v>
      </c>
      <c r="BG44" s="421">
        <f t="shared" ref="BG44:BQ44" si="97">IFERROR(BG13/BG$31,0)</f>
        <v>0.15932930042515597</v>
      </c>
      <c r="BH44" s="421">
        <f t="shared" si="97"/>
        <v>0.41204349514626631</v>
      </c>
      <c r="BI44" s="421">
        <f t="shared" si="97"/>
        <v>0.3172782155142545</v>
      </c>
      <c r="BJ44" s="421">
        <f t="shared" si="97"/>
        <v>0.50520515119345388</v>
      </c>
      <c r="BK44" s="421">
        <f t="shared" si="97"/>
        <v>0.43635774500297686</v>
      </c>
      <c r="BL44" s="421">
        <f t="shared" si="97"/>
        <v>0</v>
      </c>
      <c r="BM44" s="421">
        <f t="shared" si="97"/>
        <v>0</v>
      </c>
      <c r="BN44" s="421">
        <f t="shared" si="97"/>
        <v>0</v>
      </c>
      <c r="BO44" s="421">
        <f t="shared" si="97"/>
        <v>0</v>
      </c>
      <c r="BP44" s="421">
        <f t="shared" si="97"/>
        <v>0</v>
      </c>
      <c r="BQ44" s="439">
        <f t="shared" si="97"/>
        <v>0</v>
      </c>
      <c r="BR44" s="437">
        <f t="shared" ref="BR44:BR51" si="98">BR13/BR$31</f>
        <v>0.37690167871130464</v>
      </c>
      <c r="BS44" s="429">
        <f t="shared" si="87"/>
        <v>-7.4454562947857128E-3</v>
      </c>
      <c r="BT44" s="421">
        <f t="shared" si="81"/>
        <v>0.32147451443467079</v>
      </c>
      <c r="BU44" s="421" cm="1">
        <f t="array" ref="BU44">INDEX($AS44:$BD44,,$D$4)</f>
        <v>0.32329927126707048</v>
      </c>
      <c r="BV44" s="440" cm="1">
        <f t="array" ref="BV44">INDEX($BF44:$BQ44,,$D$4)-BU44</f>
        <v>0.11305847373590638</v>
      </c>
      <c r="BW44" s="441">
        <f t="shared" si="62"/>
        <v>1.1369586897380967E-2</v>
      </c>
      <c r="BX44" s="610">
        <f t="shared" si="72"/>
        <v>1.2205124413144813E-2</v>
      </c>
      <c r="BY44" s="442">
        <f t="shared" si="63"/>
        <v>1.110487457308461E-2</v>
      </c>
      <c r="BZ44" s="443">
        <f t="shared" si="64"/>
        <v>1.2294606348433034E-2</v>
      </c>
      <c r="CA44" s="444">
        <f t="shared" si="73"/>
        <v>8.9481935288220765E-5</v>
      </c>
      <c r="CB44" s="444">
        <f t="shared" si="65"/>
        <v>1.1897317753484238E-3</v>
      </c>
      <c r="CC44" s="445"/>
      <c r="CD44" s="158" t="s">
        <v>146</v>
      </c>
    </row>
    <row r="45" spans="1:92" x14ac:dyDescent="0.4">
      <c r="A45" s="170">
        <v>8</v>
      </c>
      <c r="B45" s="187">
        <f t="shared" si="82"/>
        <v>5</v>
      </c>
      <c r="C45" s="188" t="s">
        <v>96</v>
      </c>
      <c r="D45" s="188" t="s">
        <v>49</v>
      </c>
      <c r="E45" s="421">
        <f t="shared" ref="E45:P45" si="99">E14/E$31</f>
        <v>0.60126000046833838</v>
      </c>
      <c r="F45" s="421">
        <f t="shared" si="99"/>
        <v>0.51470454655731868</v>
      </c>
      <c r="G45" s="421">
        <f t="shared" si="99"/>
        <v>0.332692488462702</v>
      </c>
      <c r="H45" s="421">
        <f t="shared" si="99"/>
        <v>0.37539963020036121</v>
      </c>
      <c r="I45" s="421">
        <f t="shared" si="99"/>
        <v>0.42068124124596873</v>
      </c>
      <c r="J45" s="421">
        <f t="shared" si="99"/>
        <v>0.57616758278915625</v>
      </c>
      <c r="K45" s="436">
        <f t="shared" si="99"/>
        <v>0.34974411270767669</v>
      </c>
      <c r="L45" s="421">
        <f t="shared" si="99"/>
        <v>0.27182426117310265</v>
      </c>
      <c r="M45" s="421">
        <f t="shared" si="99"/>
        <v>0.17359166060022005</v>
      </c>
      <c r="N45" s="421">
        <f t="shared" si="99"/>
        <v>0.25199911026478528</v>
      </c>
      <c r="O45" s="421">
        <f t="shared" si="99"/>
        <v>0.19769562401861837</v>
      </c>
      <c r="P45" s="421">
        <f t="shared" si="99"/>
        <v>0.16890052024676713</v>
      </c>
      <c r="Q45" s="437">
        <f t="shared" si="89"/>
        <v>0.16637840604902243</v>
      </c>
      <c r="R45" s="421">
        <f t="shared" ref="R45:AC45" si="100">R14/R$31</f>
        <v>0.22104349144633051</v>
      </c>
      <c r="S45" s="421">
        <f t="shared" si="100"/>
        <v>0.17413834605272782</v>
      </c>
      <c r="T45" s="421">
        <f t="shared" si="100"/>
        <v>0.17437910803731205</v>
      </c>
      <c r="U45" s="421">
        <f t="shared" si="100"/>
        <v>0.29511833591119069</v>
      </c>
      <c r="V45" s="421">
        <f t="shared" si="100"/>
        <v>0.21873103381150444</v>
      </c>
      <c r="W45" s="421">
        <f t="shared" si="100"/>
        <v>0.26118333300191449</v>
      </c>
      <c r="X45" s="436">
        <f t="shared" si="100"/>
        <v>0.27901386019468244</v>
      </c>
      <c r="Y45" s="421">
        <f t="shared" si="100"/>
        <v>0.25763787223513829</v>
      </c>
      <c r="Z45" s="421">
        <f t="shared" si="100"/>
        <v>0.21259091368767383</v>
      </c>
      <c r="AA45" s="421">
        <f t="shared" si="100"/>
        <v>0.14382199704817183</v>
      </c>
      <c r="AB45" s="421">
        <f t="shared" si="100"/>
        <v>8.1993322649404857E-2</v>
      </c>
      <c r="AC45" s="421">
        <f t="shared" si="100"/>
        <v>0.21483632356740126</v>
      </c>
      <c r="AD45" s="437">
        <f t="shared" si="91"/>
        <v>0.20405670269460893</v>
      </c>
      <c r="AE45" s="438">
        <f t="shared" si="92"/>
        <v>0.35435973302618701</v>
      </c>
      <c r="AF45" s="421">
        <f t="shared" ref="AF45:AP45" si="101">IFERROR(AF14/AF$31,0)</f>
        <v>0.21981091352620966</v>
      </c>
      <c r="AG45" s="421">
        <f t="shared" si="101"/>
        <v>0.1432400985499552</v>
      </c>
      <c r="AH45" s="421">
        <f t="shared" si="101"/>
        <v>0.24487784917210284</v>
      </c>
      <c r="AI45" s="421">
        <f t="shared" si="101"/>
        <v>0.15347613145740571</v>
      </c>
      <c r="AJ45" s="421">
        <f t="shared" si="101"/>
        <v>0.17247604379776924</v>
      </c>
      <c r="AK45" s="421">
        <f t="shared" si="101"/>
        <v>0.1623471128043614</v>
      </c>
      <c r="AL45" s="421">
        <f t="shared" si="101"/>
        <v>0.18448897264221953</v>
      </c>
      <c r="AM45" s="421">
        <f t="shared" si="101"/>
        <v>0.18343999659313515</v>
      </c>
      <c r="AN45" s="421">
        <f t="shared" si="101"/>
        <v>0.18375251313991098</v>
      </c>
      <c r="AO45" s="421">
        <f t="shared" si="101"/>
        <v>0.30035538550736612</v>
      </c>
      <c r="AP45" s="439">
        <f t="shared" si="101"/>
        <v>0.19748934534971216</v>
      </c>
      <c r="AQ45" s="437">
        <f t="shared" si="94"/>
        <v>0.19485262570948264</v>
      </c>
      <c r="AR45" s="429">
        <f t="shared" si="77"/>
        <v>-9.2040769851262916E-3</v>
      </c>
      <c r="AS45" s="438">
        <f t="shared" ref="AS45:BE45" si="102">AS14/AS$31</f>
        <v>0.21576464198462625</v>
      </c>
      <c r="AT45" s="421">
        <f t="shared" si="102"/>
        <v>0.26016092184248485</v>
      </c>
      <c r="AU45" s="421">
        <f t="shared" si="102"/>
        <v>0.22022850084658718</v>
      </c>
      <c r="AV45" s="421">
        <f t="shared" si="102"/>
        <v>0.21856112162204286</v>
      </c>
      <c r="AW45" s="421">
        <f t="shared" si="102"/>
        <v>0.21531319931446263</v>
      </c>
      <c r="AX45" s="421">
        <f t="shared" si="102"/>
        <v>0.21761778373555224</v>
      </c>
      <c r="AY45" s="421">
        <f t="shared" si="102"/>
        <v>0.20955000492934658</v>
      </c>
      <c r="AZ45" s="421">
        <f t="shared" si="102"/>
        <v>0.20281257686037144</v>
      </c>
      <c r="BA45" s="421">
        <f t="shared" si="102"/>
        <v>0.20890688661934964</v>
      </c>
      <c r="BB45" s="421">
        <f t="shared" si="102"/>
        <v>0.21301121497975761</v>
      </c>
      <c r="BC45" s="421">
        <f t="shared" si="102"/>
        <v>0.20893286169191896</v>
      </c>
      <c r="BD45" s="439">
        <f t="shared" si="102"/>
        <v>0.20245451078855298</v>
      </c>
      <c r="BE45" s="437">
        <f t="shared" si="102"/>
        <v>0.21510547305708302</v>
      </c>
      <c r="BF45" s="438">
        <f t="shared" ref="BF45" si="103">BF14/BF$31</f>
        <v>0.2522662187778803</v>
      </c>
      <c r="BG45" s="421">
        <f t="shared" ref="BG45:BQ45" si="104">IFERROR(BG14/BG$31,0)</f>
        <v>0.2127243862845784</v>
      </c>
      <c r="BH45" s="421">
        <f t="shared" si="104"/>
        <v>0.19017469912879792</v>
      </c>
      <c r="BI45" s="421">
        <f t="shared" si="104"/>
        <v>0.19992040359652483</v>
      </c>
      <c r="BJ45" s="421">
        <f t="shared" si="104"/>
        <v>0.19067251624274012</v>
      </c>
      <c r="BK45" s="421">
        <f t="shared" si="104"/>
        <v>0.20764811782901132</v>
      </c>
      <c r="BL45" s="421">
        <f t="shared" si="104"/>
        <v>0</v>
      </c>
      <c r="BM45" s="421">
        <f t="shared" si="104"/>
        <v>0</v>
      </c>
      <c r="BN45" s="421">
        <f t="shared" si="104"/>
        <v>0</v>
      </c>
      <c r="BO45" s="421">
        <f t="shared" si="104"/>
        <v>0</v>
      </c>
      <c r="BP45" s="421">
        <f t="shared" si="104"/>
        <v>0</v>
      </c>
      <c r="BQ45" s="439">
        <f t="shared" si="104"/>
        <v>0</v>
      </c>
      <c r="BR45" s="437">
        <f t="shared" si="98"/>
        <v>0.20609603746432653</v>
      </c>
      <c r="BS45" s="429">
        <f t="shared" si="87"/>
        <v>1.1243411754843891E-2</v>
      </c>
      <c r="BT45" s="421">
        <f t="shared" si="81"/>
        <v>0.21510547305708302</v>
      </c>
      <c r="BU45" s="421" cm="1">
        <f t="array" ref="BU45">INDEX($AS45:$BD45,,$D$4)</f>
        <v>0.21761778373555224</v>
      </c>
      <c r="BV45" s="440" cm="1">
        <f t="array" ref="BV45">INDEX($BF45:$BQ45,,$D$4)-BU45</f>
        <v>-9.9696659065409143E-3</v>
      </c>
      <c r="BW45" s="441">
        <f t="shared" si="62"/>
        <v>7.2011888967003961E-3</v>
      </c>
      <c r="BX45" s="610">
        <f t="shared" si="72"/>
        <v>6.1876369625455657E-3</v>
      </c>
      <c r="BY45" s="442">
        <f t="shared" si="63"/>
        <v>7.4305090793390632E-3</v>
      </c>
      <c r="BZ45" s="443">
        <f t="shared" si="64"/>
        <v>6.7228929816910395E-3</v>
      </c>
      <c r="CA45" s="444">
        <f t="shared" si="73"/>
        <v>5.3525601914547385E-4</v>
      </c>
      <c r="CB45" s="444">
        <f t="shared" si="65"/>
        <v>-7.0761609764802367E-4</v>
      </c>
      <c r="CC45" s="445"/>
    </row>
    <row r="46" spans="1:92" x14ac:dyDescent="0.4">
      <c r="A46" s="170">
        <v>9</v>
      </c>
      <c r="B46" s="187">
        <f t="shared" si="82"/>
        <v>6</v>
      </c>
      <c r="C46" s="188" t="s">
        <v>96</v>
      </c>
      <c r="D46" s="188" t="s">
        <v>56</v>
      </c>
      <c r="E46" s="421">
        <f t="shared" ref="E46:P46" si="105">E15/E$31</f>
        <v>0.18060981111367147</v>
      </c>
      <c r="F46" s="421">
        <f t="shared" si="105"/>
        <v>0.22610341092340033</v>
      </c>
      <c r="G46" s="421">
        <f t="shared" si="105"/>
        <v>0.181608016560589</v>
      </c>
      <c r="H46" s="421">
        <f t="shared" si="105"/>
        <v>0.18620849308608828</v>
      </c>
      <c r="I46" s="421">
        <f t="shared" si="105"/>
        <v>0.19773086777196672</v>
      </c>
      <c r="J46" s="421">
        <f t="shared" si="105"/>
        <v>0.24403987783692985</v>
      </c>
      <c r="K46" s="421">
        <f t="shared" si="105"/>
        <v>0.17774368084206774</v>
      </c>
      <c r="L46" s="421">
        <f t="shared" si="105"/>
        <v>0.16483302135214681</v>
      </c>
      <c r="M46" s="421">
        <f t="shared" si="105"/>
        <v>0.18885801292704624</v>
      </c>
      <c r="N46" s="421">
        <f t="shared" si="105"/>
        <v>0.16768972593756101</v>
      </c>
      <c r="O46" s="421">
        <f t="shared" si="105"/>
        <v>0.18436035860472857</v>
      </c>
      <c r="P46" s="421">
        <f t="shared" si="105"/>
        <v>0.17536261693775601</v>
      </c>
      <c r="Q46" s="437">
        <f t="shared" si="89"/>
        <v>9.8549699727078097E-2</v>
      </c>
      <c r="R46" s="421">
        <f t="shared" ref="R46:AC46" si="106">R15/R$31</f>
        <v>0.19249577376217616</v>
      </c>
      <c r="S46" s="421">
        <f t="shared" si="106"/>
        <v>0.14601927283835794</v>
      </c>
      <c r="T46" s="421">
        <f t="shared" si="106"/>
        <v>0.15544548159294574</v>
      </c>
      <c r="U46" s="421">
        <f t="shared" si="106"/>
        <v>0.14937582176795572</v>
      </c>
      <c r="V46" s="421">
        <f t="shared" si="106"/>
        <v>0.15687076841241551</v>
      </c>
      <c r="W46" s="421">
        <f t="shared" si="106"/>
        <v>0.22402134747056165</v>
      </c>
      <c r="X46" s="421">
        <f t="shared" si="106"/>
        <v>0.17222814108691273</v>
      </c>
      <c r="Y46" s="421">
        <f t="shared" si="106"/>
        <v>0.16486599386796169</v>
      </c>
      <c r="Z46" s="421">
        <f t="shared" si="106"/>
        <v>0.18446355088199803</v>
      </c>
      <c r="AA46" s="421">
        <f t="shared" si="106"/>
        <v>0.16472709680717845</v>
      </c>
      <c r="AB46" s="421">
        <f t="shared" si="106"/>
        <v>0.17266014867454996</v>
      </c>
      <c r="AC46" s="421">
        <f t="shared" si="106"/>
        <v>0.18448353831225128</v>
      </c>
      <c r="AD46" s="437">
        <f t="shared" si="91"/>
        <v>0.17167991598156684</v>
      </c>
      <c r="AE46" s="438">
        <f t="shared" si="92"/>
        <v>0.1633613935950419</v>
      </c>
      <c r="AF46" s="421">
        <f t="shared" ref="AF46:AP46" si="107">IFERROR(AF15/AF$31,0)</f>
        <v>0.17165219090876505</v>
      </c>
      <c r="AG46" s="421">
        <f t="shared" si="107"/>
        <v>0.1638446017354083</v>
      </c>
      <c r="AH46" s="421">
        <f t="shared" si="107"/>
        <v>0.16203070336469236</v>
      </c>
      <c r="AI46" s="421">
        <f t="shared" si="107"/>
        <v>0.19792947772931332</v>
      </c>
      <c r="AJ46" s="421">
        <f t="shared" si="107"/>
        <v>0.17862377562137133</v>
      </c>
      <c r="AK46" s="421">
        <f t="shared" si="107"/>
        <v>0.18766000437123392</v>
      </c>
      <c r="AL46" s="421">
        <f t="shared" si="107"/>
        <v>0.19050488249317998</v>
      </c>
      <c r="AM46" s="421">
        <f t="shared" si="107"/>
        <v>0.19457824242653066</v>
      </c>
      <c r="AN46" s="421">
        <f t="shared" si="107"/>
        <v>0.20030612889179875</v>
      </c>
      <c r="AO46" s="421">
        <f t="shared" si="107"/>
        <v>0.22983563634422788</v>
      </c>
      <c r="AP46" s="439">
        <f t="shared" si="107"/>
        <v>0.20697703665253742</v>
      </c>
      <c r="AQ46" s="437">
        <f t="shared" si="94"/>
        <v>0.18658236910573509</v>
      </c>
      <c r="AR46" s="429">
        <f t="shared" si="77"/>
        <v>1.4902453124168241E-2</v>
      </c>
      <c r="AS46" s="438">
        <f t="shared" ref="AS46:BE46" si="108">AS15/AS$31</f>
        <v>0.17168348253330823</v>
      </c>
      <c r="AT46" s="421">
        <f t="shared" si="108"/>
        <v>0.17328352155292137</v>
      </c>
      <c r="AU46" s="421">
        <f t="shared" si="108"/>
        <v>0.17175222641212443</v>
      </c>
      <c r="AV46" s="421">
        <f t="shared" si="108"/>
        <v>0.17213277351734957</v>
      </c>
      <c r="AW46" s="421">
        <f t="shared" si="108"/>
        <v>0.17175222641212443</v>
      </c>
      <c r="AX46" s="421">
        <f t="shared" si="108"/>
        <v>0.1738441984748357</v>
      </c>
      <c r="AY46" s="421">
        <f t="shared" si="108"/>
        <v>0.1721393956543803</v>
      </c>
      <c r="AZ46" s="421">
        <f t="shared" si="108"/>
        <v>0.17253259372203042</v>
      </c>
      <c r="BA46" s="421">
        <f t="shared" si="108"/>
        <v>0.17304485003428161</v>
      </c>
      <c r="BB46" s="421">
        <f t="shared" si="108"/>
        <v>0.17289181051406499</v>
      </c>
      <c r="BC46" s="421">
        <f t="shared" si="108"/>
        <v>0.17177427955952199</v>
      </c>
      <c r="BD46" s="439">
        <f t="shared" si="108"/>
        <v>0.17253259372203042</v>
      </c>
      <c r="BE46" s="437">
        <f t="shared" si="108"/>
        <v>0.17243903166580332</v>
      </c>
      <c r="BF46" s="438">
        <f t="shared" ref="BF46" si="109">BF15/BF$31</f>
        <v>0.21148088999420181</v>
      </c>
      <c r="BG46" s="421">
        <f t="shared" ref="BG46:BQ46" si="110">IFERROR(BG15/BG$31,0)</f>
        <v>0.19195791673568549</v>
      </c>
      <c r="BH46" s="421">
        <f t="shared" si="110"/>
        <v>0.19018723917738778</v>
      </c>
      <c r="BI46" s="421">
        <f t="shared" si="110"/>
        <v>0.23440053869250738</v>
      </c>
      <c r="BJ46" s="421">
        <f t="shared" si="110"/>
        <v>0.21860373559363172</v>
      </c>
      <c r="BK46" s="421">
        <f t="shared" si="110"/>
        <v>0.2217302990743211</v>
      </c>
      <c r="BL46" s="421">
        <f t="shared" si="110"/>
        <v>0</v>
      </c>
      <c r="BM46" s="421">
        <f t="shared" si="110"/>
        <v>0</v>
      </c>
      <c r="BN46" s="421">
        <f t="shared" si="110"/>
        <v>0</v>
      </c>
      <c r="BO46" s="421">
        <f t="shared" si="110"/>
        <v>0</v>
      </c>
      <c r="BP46" s="421">
        <f t="shared" si="110"/>
        <v>0</v>
      </c>
      <c r="BQ46" s="439">
        <f t="shared" si="110"/>
        <v>0</v>
      </c>
      <c r="BR46" s="437">
        <f t="shared" si="98"/>
        <v>0.21337498641700078</v>
      </c>
      <c r="BS46" s="429">
        <f t="shared" si="87"/>
        <v>2.6792617311265698E-2</v>
      </c>
      <c r="BT46" s="421">
        <f t="shared" si="81"/>
        <v>0.17243903166580332</v>
      </c>
      <c r="BU46" s="421" cm="1">
        <f t="array" ref="BU46">INDEX($AS46:$BD46,,$D$4)</f>
        <v>0.1738441984748357</v>
      </c>
      <c r="BV46" s="440" cm="1">
        <f t="array" ref="BV46">INDEX($BF46:$BQ46,,$D$4)-BU46</f>
        <v>4.7886100599485393E-2</v>
      </c>
      <c r="BW46" s="441">
        <f t="shared" si="62"/>
        <v>6.0586076733934128E-3</v>
      </c>
      <c r="BX46" s="610">
        <f t="shared" si="72"/>
        <v>5.9250110663598898E-3</v>
      </c>
      <c r="BY46" s="442">
        <f t="shared" si="63"/>
        <v>5.9566582486962737E-3</v>
      </c>
      <c r="BZ46" s="443">
        <f t="shared" si="64"/>
        <v>6.96033371771922E-3</v>
      </c>
      <c r="CA46" s="444">
        <f t="shared" si="73"/>
        <v>1.0353226513593302E-3</v>
      </c>
      <c r="CB46" s="444">
        <f t="shared" si="65"/>
        <v>1.0036754690229462E-3</v>
      </c>
      <c r="CC46" s="445"/>
      <c r="CD46" s="158" t="s">
        <v>146</v>
      </c>
    </row>
    <row r="47" spans="1:92" x14ac:dyDescent="0.4">
      <c r="A47" s="170">
        <v>10</v>
      </c>
      <c r="B47" s="187">
        <f t="shared" si="82"/>
        <v>7</v>
      </c>
      <c r="C47" s="188" t="s">
        <v>96</v>
      </c>
      <c r="D47" s="188" t="s">
        <v>28</v>
      </c>
      <c r="E47" s="421">
        <f t="shared" ref="E47:P47" si="111">E16/E$31</f>
        <v>0.21688327461568246</v>
      </c>
      <c r="F47" s="421">
        <f t="shared" si="111"/>
        <v>0.19599831855888714</v>
      </c>
      <c r="G47" s="421">
        <f t="shared" si="111"/>
        <v>0.17920475968435087</v>
      </c>
      <c r="H47" s="421">
        <f t="shared" si="111"/>
        <v>0.20039261868591468</v>
      </c>
      <c r="I47" s="421">
        <f t="shared" si="111"/>
        <v>9.9995261194913768E-2</v>
      </c>
      <c r="J47" s="421">
        <f t="shared" si="111"/>
        <v>0.2479303163796556</v>
      </c>
      <c r="K47" s="421">
        <f t="shared" si="111"/>
        <v>0.14704682551232476</v>
      </c>
      <c r="L47" s="421">
        <f t="shared" si="111"/>
        <v>0.15480873819647784</v>
      </c>
      <c r="M47" s="421">
        <f t="shared" si="111"/>
        <v>0.17525356160523012</v>
      </c>
      <c r="N47" s="421">
        <f t="shared" si="111"/>
        <v>0.15526461285121548</v>
      </c>
      <c r="O47" s="421">
        <f t="shared" si="111"/>
        <v>0.2567947651596611</v>
      </c>
      <c r="P47" s="421">
        <f t="shared" si="111"/>
        <v>0.10083797901245536</v>
      </c>
      <c r="Q47" s="437">
        <f t="shared" si="89"/>
        <v>8.7574391456592168E-2</v>
      </c>
      <c r="R47" s="421">
        <f t="shared" ref="R47:AC47" si="112">R16/R$31</f>
        <v>8.0946318197641975E-2</v>
      </c>
      <c r="S47" s="421">
        <f t="shared" si="112"/>
        <v>9.2151969142682991E-2</v>
      </c>
      <c r="T47" s="421">
        <f t="shared" si="112"/>
        <v>8.4277115323424898E-2</v>
      </c>
      <c r="U47" s="421">
        <f t="shared" si="112"/>
        <v>8.6304032437479139E-2</v>
      </c>
      <c r="V47" s="421">
        <f t="shared" si="112"/>
        <v>8.8939596751832065E-2</v>
      </c>
      <c r="W47" s="421">
        <f t="shared" si="112"/>
        <v>0.10167778111739818</v>
      </c>
      <c r="X47" s="421">
        <f t="shared" si="112"/>
        <v>0.169231411512068</v>
      </c>
      <c r="Y47" s="421">
        <f t="shared" si="112"/>
        <v>0.12214887011093087</v>
      </c>
      <c r="Z47" s="421">
        <f t="shared" si="112"/>
        <v>9.4340654533898824E-2</v>
      </c>
      <c r="AA47" s="421">
        <f t="shared" si="112"/>
        <v>7.2484702400022943E-2</v>
      </c>
      <c r="AB47" s="421">
        <f t="shared" si="112"/>
        <v>6.6348175031311532E-2</v>
      </c>
      <c r="AC47" s="421">
        <f t="shared" si="112"/>
        <v>8.7713977955019617E-2</v>
      </c>
      <c r="AD47" s="437">
        <f t="shared" si="91"/>
        <v>8.9762188913614802E-2</v>
      </c>
      <c r="AE47" s="438">
        <f t="shared" si="92"/>
        <v>9.4472927835645551E-2</v>
      </c>
      <c r="AF47" s="421">
        <f t="shared" ref="AF47:AP47" si="113">IFERROR(AF16/AF$31,0)</f>
        <v>7.4916739650744982E-2</v>
      </c>
      <c r="AG47" s="421">
        <f t="shared" si="113"/>
        <v>5.867962346948933E-2</v>
      </c>
      <c r="AH47" s="421">
        <f t="shared" si="113"/>
        <v>5.8127548737858199E-2</v>
      </c>
      <c r="AI47" s="421">
        <f t="shared" si="113"/>
        <v>5.1440311610900125E-2</v>
      </c>
      <c r="AJ47" s="421">
        <f t="shared" si="113"/>
        <v>5.4473926349566076E-2</v>
      </c>
      <c r="AK47" s="421">
        <f t="shared" si="113"/>
        <v>5.684030571454439E-2</v>
      </c>
      <c r="AL47" s="421">
        <f t="shared" si="113"/>
        <v>4.0998243214815148E-2</v>
      </c>
      <c r="AM47" s="421">
        <f t="shared" si="113"/>
        <v>6.0443821194035866E-2</v>
      </c>
      <c r="AN47" s="421">
        <f t="shared" si="113"/>
        <v>6.7993004860239001E-2</v>
      </c>
      <c r="AO47" s="421">
        <f t="shared" si="113"/>
        <v>8.263402808894213E-2</v>
      </c>
      <c r="AP47" s="439">
        <f t="shared" si="113"/>
        <v>5.3668125509413286E-2</v>
      </c>
      <c r="AQ47" s="437">
        <f t="shared" si="94"/>
        <v>5.9670505342240596E-2</v>
      </c>
      <c r="AR47" s="429">
        <f t="shared" si="77"/>
        <v>-3.0091683571374206E-2</v>
      </c>
      <c r="AS47" s="438">
        <f t="shared" ref="AS47:BE47" si="114">AS16/AS$31</f>
        <v>5.863969658659924E-2</v>
      </c>
      <c r="AT47" s="421">
        <f t="shared" si="114"/>
        <v>7.1469953775038522E-2</v>
      </c>
      <c r="AU47" s="421">
        <f t="shared" si="114"/>
        <v>5.595174909529553E-2</v>
      </c>
      <c r="AV47" s="421">
        <f t="shared" si="114"/>
        <v>5.5817087845968706E-2</v>
      </c>
      <c r="AW47" s="421">
        <f t="shared" si="114"/>
        <v>5.595174909529553E-2</v>
      </c>
      <c r="AX47" s="421">
        <f t="shared" si="114"/>
        <v>5.4827423167848693E-2</v>
      </c>
      <c r="AY47" s="421">
        <f t="shared" si="114"/>
        <v>5.3561200923787529E-2</v>
      </c>
      <c r="AZ47" s="421">
        <f t="shared" si="114"/>
        <v>5.3070938215102975E-2</v>
      </c>
      <c r="BA47" s="421">
        <f t="shared" si="114"/>
        <v>5.3253731343283581E-2</v>
      </c>
      <c r="BB47" s="421">
        <f t="shared" si="114"/>
        <v>5.2949771689497716E-2</v>
      </c>
      <c r="BC47" s="421">
        <f t="shared" si="114"/>
        <v>5.3685185185185183E-2</v>
      </c>
      <c r="BD47" s="439">
        <f t="shared" si="114"/>
        <v>5.3070938215102975E-2</v>
      </c>
      <c r="BE47" s="437">
        <f t="shared" si="114"/>
        <v>5.5660800000000003E-2</v>
      </c>
      <c r="BF47" s="438">
        <f t="shared" ref="BF47" si="115">BF16/BF$31</f>
        <v>5.6262493227242111E-2</v>
      </c>
      <c r="BG47" s="421">
        <f t="shared" ref="BG47:BQ47" si="116">IFERROR(BG16/BG$31,0)</f>
        <v>5.9392774004748496E-2</v>
      </c>
      <c r="BH47" s="421">
        <f t="shared" si="116"/>
        <v>8.0017806565223101E-2</v>
      </c>
      <c r="BI47" s="421">
        <f t="shared" si="116"/>
        <v>9.0513135824035668E-2</v>
      </c>
      <c r="BJ47" s="421">
        <f t="shared" si="116"/>
        <v>9.9345284664771341E-2</v>
      </c>
      <c r="BK47" s="421">
        <f t="shared" si="116"/>
        <v>8.5881495490382168E-2</v>
      </c>
      <c r="BL47" s="421">
        <f t="shared" si="116"/>
        <v>0</v>
      </c>
      <c r="BM47" s="421">
        <f t="shared" si="116"/>
        <v>0</v>
      </c>
      <c r="BN47" s="421">
        <f t="shared" si="116"/>
        <v>0</v>
      </c>
      <c r="BO47" s="421">
        <f t="shared" si="116"/>
        <v>0</v>
      </c>
      <c r="BP47" s="421">
        <f t="shared" si="116"/>
        <v>0</v>
      </c>
      <c r="BQ47" s="439">
        <f t="shared" si="116"/>
        <v>0</v>
      </c>
      <c r="BR47" s="437">
        <f t="shared" si="98"/>
        <v>8.1591889582223465E-2</v>
      </c>
      <c r="BS47" s="429">
        <f t="shared" si="87"/>
        <v>2.1921384239982869E-2</v>
      </c>
      <c r="BT47" s="421">
        <f t="shared" si="81"/>
        <v>5.5660800000000003E-2</v>
      </c>
      <c r="BU47" s="421" cm="1">
        <f t="array" ref="BU47">INDEX($AS47:$BD47,,$D$4)</f>
        <v>5.4827423167848693E-2</v>
      </c>
      <c r="BV47" s="440" cm="1">
        <f t="array" ref="BV47">INDEX($BF47:$BQ47,,$D$4)-BU47</f>
        <v>3.1054072322533474E-2</v>
      </c>
      <c r="BW47" s="441">
        <f t="shared" si="62"/>
        <v>3.1677199014415107E-3</v>
      </c>
      <c r="BX47" s="610">
        <f t="shared" si="72"/>
        <v>1.8948650195759317E-3</v>
      </c>
      <c r="BY47" s="442">
        <f t="shared" si="63"/>
        <v>1.9227222528806643E-3</v>
      </c>
      <c r="BZ47" s="443">
        <f t="shared" si="64"/>
        <v>2.6615433687325837E-3</v>
      </c>
      <c r="CA47" s="444">
        <f t="shared" si="73"/>
        <v>7.6667834915665196E-4</v>
      </c>
      <c r="CB47" s="444">
        <f t="shared" si="65"/>
        <v>7.3882111585191939E-4</v>
      </c>
      <c r="CC47" s="445"/>
    </row>
    <row r="48" spans="1:92" x14ac:dyDescent="0.4">
      <c r="A48" s="170">
        <v>11</v>
      </c>
      <c r="B48" s="187">
        <f t="shared" si="82"/>
        <v>8</v>
      </c>
      <c r="C48" s="188" t="s">
        <v>96</v>
      </c>
      <c r="D48" s="188" t="s">
        <v>53</v>
      </c>
      <c r="E48" s="421">
        <f t="shared" ref="E48:P48" si="117">E17/E$31</f>
        <v>0.22405215814092708</v>
      </c>
      <c r="F48" s="421">
        <f t="shared" si="117"/>
        <v>0.1501586353246451</v>
      </c>
      <c r="G48" s="421">
        <f t="shared" si="117"/>
        <v>0.27349383878373518</v>
      </c>
      <c r="H48" s="421">
        <f t="shared" si="117"/>
        <v>0.25579786554243594</v>
      </c>
      <c r="I48" s="421">
        <f t="shared" si="117"/>
        <v>0.14712185972568417</v>
      </c>
      <c r="J48" s="421">
        <f t="shared" si="117"/>
        <v>0.17766667414406351</v>
      </c>
      <c r="K48" s="421">
        <f t="shared" si="117"/>
        <v>9.4097759355301056E-2</v>
      </c>
      <c r="L48" s="421">
        <f t="shared" si="117"/>
        <v>6.0892762134734602E-2</v>
      </c>
      <c r="M48" s="421">
        <f t="shared" si="117"/>
        <v>0.10406742368980243</v>
      </c>
      <c r="N48" s="421">
        <f t="shared" si="117"/>
        <v>7.1622517538780475E-2</v>
      </c>
      <c r="O48" s="421">
        <f t="shared" si="117"/>
        <v>8.0112975263217964E-2</v>
      </c>
      <c r="P48" s="421">
        <f t="shared" si="117"/>
        <v>5.9962660562601786E-2</v>
      </c>
      <c r="Q48" s="437">
        <f t="shared" si="89"/>
        <v>6.5260353702097512E-2</v>
      </c>
      <c r="R48" s="421">
        <f t="shared" ref="R48:AC48" si="118">R17/R$31</f>
        <v>3.5576873302160153E-2</v>
      </c>
      <c r="S48" s="421">
        <f t="shared" si="118"/>
        <v>4.7517225001042211E-2</v>
      </c>
      <c r="T48" s="421">
        <f t="shared" si="118"/>
        <v>2.6750609524719804E-2</v>
      </c>
      <c r="U48" s="421">
        <f t="shared" si="118"/>
        <v>4.7752052472964539E-2</v>
      </c>
      <c r="V48" s="421">
        <f t="shared" si="118"/>
        <v>6.9009795206971689E-2</v>
      </c>
      <c r="W48" s="421">
        <f t="shared" si="118"/>
        <v>8.4457196835146117E-2</v>
      </c>
      <c r="X48" s="421">
        <f t="shared" si="118"/>
        <v>0.1000915965504087</v>
      </c>
      <c r="Y48" s="421">
        <f t="shared" si="118"/>
        <v>0.10593187896008477</v>
      </c>
      <c r="Z48" s="421">
        <f t="shared" si="118"/>
        <v>5.1820617470238355E-2</v>
      </c>
      <c r="AA48" s="421">
        <f t="shared" si="118"/>
        <v>6.341755768299305E-2</v>
      </c>
      <c r="AB48" s="421">
        <f t="shared" si="118"/>
        <v>5.700006826657552E-2</v>
      </c>
      <c r="AC48" s="421">
        <f t="shared" si="118"/>
        <v>9.246188764977098E-2</v>
      </c>
      <c r="AD48" s="437">
        <f t="shared" si="91"/>
        <v>6.0344766034073405E-2</v>
      </c>
      <c r="AE48" s="438">
        <f t="shared" si="92"/>
        <v>0.11456202836175508</v>
      </c>
      <c r="AF48" s="421">
        <f t="shared" ref="AF48:AP48" si="119">IFERROR(AF17/AF$31,0)</f>
        <v>6.3708095585584795E-2</v>
      </c>
      <c r="AG48" s="421">
        <f t="shared" si="119"/>
        <v>5.8668690065368151E-2</v>
      </c>
      <c r="AH48" s="421">
        <f t="shared" si="119"/>
        <v>4.7861923527652062E-2</v>
      </c>
      <c r="AI48" s="421">
        <f t="shared" si="119"/>
        <v>6.0989997454944329E-2</v>
      </c>
      <c r="AJ48" s="421">
        <f t="shared" si="119"/>
        <v>7.347957980868304E-2</v>
      </c>
      <c r="AK48" s="421">
        <f t="shared" si="119"/>
        <v>0.10387239635911724</v>
      </c>
      <c r="AL48" s="421">
        <f t="shared" si="119"/>
        <v>9.6310601458528808E-2</v>
      </c>
      <c r="AM48" s="421">
        <f t="shared" si="119"/>
        <v>9.846264236612029E-2</v>
      </c>
      <c r="AN48" s="421">
        <f t="shared" si="119"/>
        <v>0.14697629711920726</v>
      </c>
      <c r="AO48" s="421">
        <f t="shared" si="119"/>
        <v>7.5826069196642823E-2</v>
      </c>
      <c r="AP48" s="439">
        <f t="shared" si="119"/>
        <v>7.8889053607432758E-2</v>
      </c>
      <c r="AQ48" s="437">
        <f t="shared" si="94"/>
        <v>8.2818258735924938E-2</v>
      </c>
      <c r="AR48" s="429">
        <f t="shared" si="77"/>
        <v>2.2473492701851533E-2</v>
      </c>
      <c r="AS48" s="438">
        <f t="shared" ref="AS48:BE48" si="120">AS17/AS$31</f>
        <v>0.11440967467187646</v>
      </c>
      <c r="AT48" s="421">
        <f t="shared" si="120"/>
        <v>0.11155383995741668</v>
      </c>
      <c r="AU48" s="421">
        <f t="shared" si="120"/>
        <v>0.11384383671511566</v>
      </c>
      <c r="AV48" s="421">
        <f t="shared" si="120"/>
        <v>0.11356984432831635</v>
      </c>
      <c r="AW48" s="421">
        <f t="shared" si="120"/>
        <v>0.11384383671511566</v>
      </c>
      <c r="AX48" s="421">
        <f t="shared" si="120"/>
        <v>0.11155619460618307</v>
      </c>
      <c r="AY48" s="421">
        <f t="shared" si="120"/>
        <v>0.11475571741849341</v>
      </c>
      <c r="AZ48" s="421">
        <f t="shared" si="120"/>
        <v>0.11370532183571544</v>
      </c>
      <c r="BA48" s="421">
        <f t="shared" si="120"/>
        <v>0.11409695899473626</v>
      </c>
      <c r="BB48" s="421">
        <f t="shared" si="120"/>
        <v>0.11344572064430969</v>
      </c>
      <c r="BC48" s="421">
        <f t="shared" si="120"/>
        <v>0.11502135565325844</v>
      </c>
      <c r="BD48" s="439">
        <f t="shared" si="120"/>
        <v>0.11370532183571544</v>
      </c>
      <c r="BE48" s="437">
        <f t="shared" si="120"/>
        <v>0.11366733650516329</v>
      </c>
      <c r="BF48" s="438">
        <f t="shared" ref="BF48" si="121">BF17/BF$31</f>
        <v>8.7970545943766215E-2</v>
      </c>
      <c r="BG48" s="421">
        <f t="shared" ref="BG48:BQ48" si="122">IFERROR(BG17/BG$31,0)</f>
        <v>4.4184172050135272E-2</v>
      </c>
      <c r="BH48" s="421">
        <f t="shared" si="122"/>
        <v>8.1501785143039282E-2</v>
      </c>
      <c r="BI48" s="421">
        <f t="shared" si="122"/>
        <v>0.1048695744218444</v>
      </c>
      <c r="BJ48" s="421">
        <f t="shared" si="122"/>
        <v>0.10735032685887591</v>
      </c>
      <c r="BK48" s="421">
        <f t="shared" si="122"/>
        <v>0.10463956804199133</v>
      </c>
      <c r="BL48" s="421">
        <f t="shared" si="122"/>
        <v>0</v>
      </c>
      <c r="BM48" s="421">
        <f t="shared" si="122"/>
        <v>0</v>
      </c>
      <c r="BN48" s="421">
        <f t="shared" si="122"/>
        <v>0</v>
      </c>
      <c r="BO48" s="421">
        <f t="shared" si="122"/>
        <v>0</v>
      </c>
      <c r="BP48" s="421">
        <f t="shared" si="122"/>
        <v>0</v>
      </c>
      <c r="BQ48" s="439">
        <f t="shared" si="122"/>
        <v>0</v>
      </c>
      <c r="BR48" s="437">
        <f t="shared" si="98"/>
        <v>9.2858541761157209E-2</v>
      </c>
      <c r="BS48" s="429">
        <f t="shared" si="87"/>
        <v>1.0040283025232272E-2</v>
      </c>
      <c r="BT48" s="421">
        <f t="shared" si="81"/>
        <v>0.11366733650516329</v>
      </c>
      <c r="BU48" s="421" cm="1">
        <f t="array" ref="BU48">INDEX($AS48:$BD48,,$D$4)</f>
        <v>0.11155619460618307</v>
      </c>
      <c r="BV48" s="440" cm="1">
        <f t="array" ref="BV48">INDEX($BF48:$BQ48,,$D$4)-BU48</f>
        <v>-6.916626564191744E-3</v>
      </c>
      <c r="BW48" s="441">
        <f t="shared" si="62"/>
        <v>2.1295750318425254E-3</v>
      </c>
      <c r="BX48" s="610">
        <f t="shared" si="72"/>
        <v>2.6299328380214515E-3</v>
      </c>
      <c r="BY48" s="442">
        <f t="shared" si="63"/>
        <v>3.9264745983556134E-3</v>
      </c>
      <c r="BZ48" s="443">
        <f t="shared" si="64"/>
        <v>3.0290637625878924E-3</v>
      </c>
      <c r="CA48" s="444">
        <f t="shared" si="73"/>
        <v>3.9913092456644091E-4</v>
      </c>
      <c r="CB48" s="444">
        <f t="shared" si="65"/>
        <v>-8.9741083576772105E-4</v>
      </c>
      <c r="CC48" s="445"/>
      <c r="CD48" s="158" t="s">
        <v>146</v>
      </c>
    </row>
    <row r="49" spans="1:82" x14ac:dyDescent="0.4">
      <c r="A49" s="170">
        <v>12</v>
      </c>
      <c r="B49" s="187">
        <f t="shared" si="82"/>
        <v>9</v>
      </c>
      <c r="C49" s="188" t="s">
        <v>96</v>
      </c>
      <c r="D49" s="188" t="s">
        <v>42</v>
      </c>
      <c r="E49" s="421">
        <f t="shared" ref="E49:P49" si="123">E18/E$31</f>
        <v>0.11029086736621045</v>
      </c>
      <c r="F49" s="421">
        <f t="shared" si="123"/>
        <v>8.6613786440148957E-2</v>
      </c>
      <c r="G49" s="421">
        <f t="shared" si="123"/>
        <v>9.4851200613003131E-2</v>
      </c>
      <c r="H49" s="421">
        <f t="shared" si="123"/>
        <v>7.2547910420568379E-2</v>
      </c>
      <c r="I49" s="421">
        <f t="shared" si="123"/>
        <v>8.5681208232107745E-2</v>
      </c>
      <c r="J49" s="421">
        <f t="shared" si="123"/>
        <v>0.12757359902723464</v>
      </c>
      <c r="K49" s="421">
        <f t="shared" si="123"/>
        <v>6.2026953201573552E-2</v>
      </c>
      <c r="L49" s="421">
        <f t="shared" si="123"/>
        <v>3.9568686465856068E-2</v>
      </c>
      <c r="M49" s="421">
        <f t="shared" si="123"/>
        <v>2.9329126602713057E-2</v>
      </c>
      <c r="N49" s="421">
        <f t="shared" si="123"/>
        <v>2.2354418924927944E-2</v>
      </c>
      <c r="O49" s="421">
        <f t="shared" si="123"/>
        <v>2.8882135325543502E-2</v>
      </c>
      <c r="P49" s="421">
        <f t="shared" si="123"/>
        <v>3.0372483986942249E-2</v>
      </c>
      <c r="Q49" s="437">
        <f t="shared" si="89"/>
        <v>3.0350639052575047E-2</v>
      </c>
      <c r="R49" s="421">
        <f t="shared" ref="R49:AC49" si="124">R18/R$31</f>
        <v>1.46039738745108E-2</v>
      </c>
      <c r="S49" s="421">
        <f t="shared" si="124"/>
        <v>2.2448970135677343E-2</v>
      </c>
      <c r="T49" s="421">
        <f t="shared" si="124"/>
        <v>1.469996781333696E-2</v>
      </c>
      <c r="U49" s="421">
        <f t="shared" si="124"/>
        <v>3.4134321793031018E-2</v>
      </c>
      <c r="V49" s="421">
        <f t="shared" si="124"/>
        <v>2.5952324816795408E-2</v>
      </c>
      <c r="W49" s="421">
        <f t="shared" si="124"/>
        <v>2.3417864483289263E-2</v>
      </c>
      <c r="X49" s="421">
        <f t="shared" si="124"/>
        <v>3.9132589379476473E-2</v>
      </c>
      <c r="Y49" s="421">
        <f t="shared" si="124"/>
        <v>3.6270317308470724E-2</v>
      </c>
      <c r="Z49" s="421">
        <f t="shared" si="124"/>
        <v>2.1561051106778355E-2</v>
      </c>
      <c r="AA49" s="421">
        <f t="shared" si="124"/>
        <v>2.0357381311664084E-2</v>
      </c>
      <c r="AB49" s="421">
        <f t="shared" si="124"/>
        <v>1.5656766128554336E-2</v>
      </c>
      <c r="AC49" s="421">
        <f t="shared" si="124"/>
        <v>2.1628591706228283E-2</v>
      </c>
      <c r="AD49" s="437">
        <f t="shared" si="91"/>
        <v>2.2706169441688132E-2</v>
      </c>
      <c r="AE49" s="438">
        <f t="shared" si="92"/>
        <v>2.4855471805388944E-2</v>
      </c>
      <c r="AF49" s="421">
        <f t="shared" ref="AF49:AP49" si="125">IFERROR(AF18/AF$31,0)</f>
        <v>1.7936448733390908E-2</v>
      </c>
      <c r="AG49" s="421">
        <f t="shared" si="125"/>
        <v>1.4196899367886649E-2</v>
      </c>
      <c r="AH49" s="421">
        <f t="shared" si="125"/>
        <v>2.4297692728598483E-2</v>
      </c>
      <c r="AI49" s="421">
        <f t="shared" si="125"/>
        <v>1.7596875400577056E-2</v>
      </c>
      <c r="AJ49" s="421">
        <f t="shared" si="125"/>
        <v>1.717739736271141E-2</v>
      </c>
      <c r="AK49" s="421">
        <f t="shared" si="125"/>
        <v>3.043917221894489E-2</v>
      </c>
      <c r="AL49" s="421">
        <f t="shared" si="125"/>
        <v>2.0961030524785283E-2</v>
      </c>
      <c r="AM49" s="421">
        <f t="shared" si="125"/>
        <v>3.1065872126665121E-2</v>
      </c>
      <c r="AN49" s="421">
        <f t="shared" si="125"/>
        <v>4.3083517595602659E-2</v>
      </c>
      <c r="AO49" s="421">
        <f t="shared" si="125"/>
        <v>2.3265903601959827E-2</v>
      </c>
      <c r="AP49" s="439">
        <f t="shared" si="125"/>
        <v>2.2513588904583905E-2</v>
      </c>
      <c r="AQ49" s="437">
        <f t="shared" si="94"/>
        <v>2.3539575467960615E-2</v>
      </c>
      <c r="AR49" s="429">
        <f t="shared" si="77"/>
        <v>8.3340602627248253E-4</v>
      </c>
      <c r="AS49" s="438">
        <f t="shared" ref="AS49:BE49" si="126">AS18/AS$31</f>
        <v>2.9799893569321535E-2</v>
      </c>
      <c r="AT49" s="421">
        <f t="shared" si="126"/>
        <v>4.0095093703133022E-2</v>
      </c>
      <c r="AU49" s="421">
        <f t="shared" si="126"/>
        <v>3.0378905975070369E-2</v>
      </c>
      <c r="AV49" s="421">
        <f t="shared" si="126"/>
        <v>2.9186658307260333E-2</v>
      </c>
      <c r="AW49" s="421">
        <f t="shared" si="126"/>
        <v>2.9519560691596305E-2</v>
      </c>
      <c r="AX49" s="421">
        <f t="shared" si="126"/>
        <v>3.1516918502758083E-2</v>
      </c>
      <c r="AY49" s="421">
        <f t="shared" si="126"/>
        <v>2.9046319923017708E-2</v>
      </c>
      <c r="AZ49" s="421">
        <f t="shared" si="126"/>
        <v>3.055390509534707E-2</v>
      </c>
      <c r="BA49" s="421">
        <f t="shared" si="126"/>
        <v>2.8130557765021054E-2</v>
      </c>
      <c r="BB49" s="421">
        <f t="shared" si="126"/>
        <v>3.0484147321156778E-2</v>
      </c>
      <c r="BC49" s="421">
        <f t="shared" si="126"/>
        <v>2.8071890108024695E-2</v>
      </c>
      <c r="BD49" s="439">
        <f t="shared" si="126"/>
        <v>2.6969926559877958E-2</v>
      </c>
      <c r="BE49" s="437">
        <f t="shared" si="126"/>
        <v>3.0105657043999999E-2</v>
      </c>
      <c r="BF49" s="438">
        <f t="shared" ref="BF49" si="127">BF18/BF$31</f>
        <v>2.4412645084304661E-2</v>
      </c>
      <c r="BG49" s="421">
        <f t="shared" ref="BG49:BQ49" si="128">IFERROR(BG18/BG$31,0)</f>
        <v>2.2889018828336369E-2</v>
      </c>
      <c r="BH49" s="421">
        <f t="shared" si="128"/>
        <v>2.320619541258314E-2</v>
      </c>
      <c r="BI49" s="421">
        <f t="shared" si="128"/>
        <v>2.5077589211908221E-2</v>
      </c>
      <c r="BJ49" s="421">
        <f t="shared" si="128"/>
        <v>2.3418515192828088E-2</v>
      </c>
      <c r="BK49" s="421">
        <f t="shared" si="128"/>
        <v>2.7871038392987914E-2</v>
      </c>
      <c r="BL49" s="421">
        <f t="shared" si="128"/>
        <v>0</v>
      </c>
      <c r="BM49" s="421">
        <f t="shared" si="128"/>
        <v>0</v>
      </c>
      <c r="BN49" s="421">
        <f t="shared" si="128"/>
        <v>0</v>
      </c>
      <c r="BO49" s="421">
        <f t="shared" si="128"/>
        <v>0</v>
      </c>
      <c r="BP49" s="421">
        <f t="shared" si="128"/>
        <v>0</v>
      </c>
      <c r="BQ49" s="439">
        <f t="shared" si="128"/>
        <v>0</v>
      </c>
      <c r="BR49" s="437">
        <f t="shared" si="98"/>
        <v>2.4651564310448171E-2</v>
      </c>
      <c r="BS49" s="429">
        <f t="shared" si="87"/>
        <v>1.1119888424875567E-3</v>
      </c>
      <c r="BT49" s="421">
        <f t="shared" si="81"/>
        <v>3.0105657043999999E-2</v>
      </c>
      <c r="BU49" s="421" cm="1">
        <f t="array" ref="BU49">INDEX($AS49:$BD49,,$D$4)</f>
        <v>3.1516918502758083E-2</v>
      </c>
      <c r="BV49" s="440" cm="1">
        <f t="array" ref="BV49">INDEX($BF49:$BQ49,,$D$4)-BU49</f>
        <v>-3.6458801097701693E-3</v>
      </c>
      <c r="BW49" s="441">
        <f t="shared" si="62"/>
        <v>8.013038195309538E-4</v>
      </c>
      <c r="BX49" s="610">
        <f t="shared" si="72"/>
        <v>7.4751031307809346E-4</v>
      </c>
      <c r="BY49" s="442">
        <f t="shared" si="63"/>
        <v>1.0399566074525037E-3</v>
      </c>
      <c r="BZ49" s="443">
        <f t="shared" si="64"/>
        <v>8.0413884094740907E-4</v>
      </c>
      <c r="CA49" s="444">
        <f t="shared" si="73"/>
        <v>5.6628527869315615E-5</v>
      </c>
      <c r="CB49" s="444">
        <f t="shared" si="65"/>
        <v>-2.3581776650509468E-4</v>
      </c>
      <c r="CC49" s="445"/>
    </row>
    <row r="50" spans="1:82" x14ac:dyDescent="0.4">
      <c r="A50" s="170">
        <v>13</v>
      </c>
      <c r="B50" s="187">
        <f t="shared" si="82"/>
        <v>10</v>
      </c>
      <c r="C50" s="188" t="s">
        <v>96</v>
      </c>
      <c r="D50" s="188" t="s">
        <v>52</v>
      </c>
      <c r="E50" s="421">
        <f t="shared" ref="E50:P50" si="129">E19/E$31</f>
        <v>0.1760555517281519</v>
      </c>
      <c r="F50" s="421">
        <f t="shared" si="129"/>
        <v>0.10810488275811422</v>
      </c>
      <c r="G50" s="421">
        <f t="shared" si="129"/>
        <v>8.0215501495383174E-2</v>
      </c>
      <c r="H50" s="421">
        <f t="shared" si="129"/>
        <v>8.0337215626699682E-2</v>
      </c>
      <c r="I50" s="421">
        <f t="shared" si="129"/>
        <v>8.1967325301965904E-2</v>
      </c>
      <c r="J50" s="421">
        <f t="shared" si="129"/>
        <v>6.607995492449259E-2</v>
      </c>
      <c r="K50" s="421">
        <f t="shared" si="129"/>
        <v>5.0517455011047825E-2</v>
      </c>
      <c r="L50" s="421">
        <f t="shared" si="129"/>
        <v>5.5136656182133564E-2</v>
      </c>
      <c r="M50" s="421">
        <f t="shared" si="129"/>
        <v>6.4390838289973412E-2</v>
      </c>
      <c r="N50" s="421">
        <f t="shared" si="129"/>
        <v>4.8890250261522175E-2</v>
      </c>
      <c r="O50" s="421">
        <f t="shared" si="129"/>
        <v>6.5526330992819806E-2</v>
      </c>
      <c r="P50" s="421">
        <f t="shared" si="129"/>
        <v>3.4204029614716323E-2</v>
      </c>
      <c r="Q50" s="437">
        <f t="shared" si="89"/>
        <v>3.4821989353318636E-2</v>
      </c>
      <c r="R50" s="421">
        <f t="shared" ref="R50:AC50" si="130">R19/R$31</f>
        <v>2.7104194689777188E-2</v>
      </c>
      <c r="S50" s="421">
        <f t="shared" si="130"/>
        <v>3.8902894992041699E-2</v>
      </c>
      <c r="T50" s="421">
        <f t="shared" si="130"/>
        <v>2.8546751740755216E-2</v>
      </c>
      <c r="U50" s="421">
        <f t="shared" si="130"/>
        <v>3.2231397837869602E-2</v>
      </c>
      <c r="V50" s="421">
        <f t="shared" si="130"/>
        <v>2.9557060804119632E-2</v>
      </c>
      <c r="W50" s="421">
        <f t="shared" si="130"/>
        <v>3.801910374156544E-2</v>
      </c>
      <c r="X50" s="421">
        <f t="shared" si="130"/>
        <v>5.474811725524318E-2</v>
      </c>
      <c r="Y50" s="421">
        <f t="shared" si="130"/>
        <v>4.9621029083284217E-2</v>
      </c>
      <c r="Z50" s="421">
        <f t="shared" si="130"/>
        <v>3.5646642385508576E-2</v>
      </c>
      <c r="AA50" s="421">
        <f t="shared" si="130"/>
        <v>2.9550425590368565E-2</v>
      </c>
      <c r="AB50" s="421">
        <f t="shared" si="130"/>
        <v>2.9545313195949986E-2</v>
      </c>
      <c r="AC50" s="421">
        <f t="shared" si="130"/>
        <v>3.7812935597966411E-2</v>
      </c>
      <c r="AD50" s="437">
        <f t="shared" si="91"/>
        <v>3.3800688161189509E-2</v>
      </c>
      <c r="AE50" s="438">
        <f t="shared" si="92"/>
        <v>4.9870877862035271E-2</v>
      </c>
      <c r="AF50" s="421">
        <f t="shared" ref="AF50:AP50" si="131">IFERROR(AF19/AF$31,0)</f>
        <v>4.7440439919844889E-2</v>
      </c>
      <c r="AG50" s="421">
        <f t="shared" si="131"/>
        <v>2.5097927796396455E-2</v>
      </c>
      <c r="AH50" s="421">
        <f t="shared" si="131"/>
        <v>3.0239938907830718E-2</v>
      </c>
      <c r="AI50" s="421">
        <f t="shared" si="131"/>
        <v>3.4370510818971571E-2</v>
      </c>
      <c r="AJ50" s="421">
        <f t="shared" si="131"/>
        <v>3.7621965323655096E-2</v>
      </c>
      <c r="AK50" s="421">
        <f t="shared" si="131"/>
        <v>3.6613709846960767E-2</v>
      </c>
      <c r="AL50" s="421">
        <f t="shared" si="131"/>
        <v>4.62491230569003E-2</v>
      </c>
      <c r="AM50" s="421">
        <f t="shared" si="131"/>
        <v>3.9553964124308415E-2</v>
      </c>
      <c r="AN50" s="421">
        <f t="shared" si="131"/>
        <v>5.9610487731567109E-2</v>
      </c>
      <c r="AO50" s="421">
        <f t="shared" si="131"/>
        <v>6.0457124311797658E-2</v>
      </c>
      <c r="AP50" s="439">
        <f t="shared" si="131"/>
        <v>3.8493025537891738E-2</v>
      </c>
      <c r="AQ50" s="437">
        <f t="shared" si="94"/>
        <v>4.014621582572539E-2</v>
      </c>
      <c r="AR50" s="429">
        <f t="shared" si="77"/>
        <v>6.3455276645358813E-3</v>
      </c>
      <c r="AS50" s="438">
        <f t="shared" ref="AS50:BE50" si="132">AS19/AS$31</f>
        <v>5.5651580176283195E-2</v>
      </c>
      <c r="AT50" s="421">
        <f t="shared" si="132"/>
        <v>5.2627001418058567E-2</v>
      </c>
      <c r="AU50" s="421">
        <f t="shared" si="132"/>
        <v>5.3100603039131493E-2</v>
      </c>
      <c r="AV50" s="421">
        <f t="shared" si="132"/>
        <v>5.3051616981275578E-2</v>
      </c>
      <c r="AW50" s="421">
        <f t="shared" si="132"/>
        <v>5.3434828906441509E-2</v>
      </c>
      <c r="AX50" s="421">
        <f t="shared" si="132"/>
        <v>5.2308184410685576E-2</v>
      </c>
      <c r="AY50" s="421">
        <f t="shared" si="132"/>
        <v>5.2065835426605103E-2</v>
      </c>
      <c r="AZ50" s="421">
        <f t="shared" si="132"/>
        <v>5.1589260273958833E-2</v>
      </c>
      <c r="BA50" s="421">
        <f t="shared" si="132"/>
        <v>5.1855753560780718E-2</v>
      </c>
      <c r="BB50" s="421">
        <f t="shared" si="132"/>
        <v>5.1452175273333352E-2</v>
      </c>
      <c r="BC50" s="421">
        <f t="shared" si="132"/>
        <v>5.2551291818796302E-2</v>
      </c>
      <c r="BD50" s="439">
        <f t="shared" si="132"/>
        <v>5.1569914804851277E-2</v>
      </c>
      <c r="BE50" s="437">
        <f t="shared" si="132"/>
        <v>5.2572473016616016E-2</v>
      </c>
      <c r="BF50" s="438">
        <f t="shared" ref="BF50" si="133">BF19/BF$31</f>
        <v>3.8964302500279539E-2</v>
      </c>
      <c r="BG50" s="421">
        <f t="shared" ref="BG50:BQ50" si="134">IFERROR(BG19/BG$31,0)</f>
        <v>4.3897741703936836E-2</v>
      </c>
      <c r="BH50" s="421">
        <f t="shared" si="134"/>
        <v>2.4758423260347207E-2</v>
      </c>
      <c r="BI50" s="421">
        <f t="shared" si="134"/>
        <v>2.8485416535954381E-2</v>
      </c>
      <c r="BJ50" s="421">
        <f t="shared" si="134"/>
        <v>3.4816440753732171E-2</v>
      </c>
      <c r="BK50" s="421">
        <f t="shared" si="134"/>
        <v>3.9387297379177642E-2</v>
      </c>
      <c r="BL50" s="421">
        <f t="shared" si="134"/>
        <v>0</v>
      </c>
      <c r="BM50" s="421">
        <f t="shared" si="134"/>
        <v>0</v>
      </c>
      <c r="BN50" s="421">
        <f t="shared" si="134"/>
        <v>0</v>
      </c>
      <c r="BO50" s="421">
        <f t="shared" si="134"/>
        <v>0</v>
      </c>
      <c r="BP50" s="421">
        <f t="shared" si="134"/>
        <v>0</v>
      </c>
      <c r="BQ50" s="439">
        <f t="shared" si="134"/>
        <v>0</v>
      </c>
      <c r="BR50" s="437">
        <f t="shared" si="98"/>
        <v>3.3644337311773596E-2</v>
      </c>
      <c r="BS50" s="429">
        <f t="shared" si="87"/>
        <v>-6.5018785139517934E-3</v>
      </c>
      <c r="BT50" s="421">
        <f t="shared" si="81"/>
        <v>5.2572473016616016E-2</v>
      </c>
      <c r="BU50" s="421" cm="1">
        <f t="array" ref="BU50">INDEX($AS50:$BD50,,$D$4)</f>
        <v>5.2308184410685576E-2</v>
      </c>
      <c r="BV50" s="440" cm="1">
        <f t="array" ref="BV50">INDEX($BF50:$BQ50,,$D$4)-BU50</f>
        <v>-1.2920887031507934E-2</v>
      </c>
      <c r="BW50" s="441">
        <f t="shared" si="62"/>
        <v>1.19283089980862E-3</v>
      </c>
      <c r="BX50" s="610">
        <f t="shared" si="72"/>
        <v>1.2748620042716782E-3</v>
      </c>
      <c r="BY50" s="442">
        <f t="shared" si="63"/>
        <v>1.8160404406335497E-3</v>
      </c>
      <c r="BZ50" s="443">
        <f t="shared" si="64"/>
        <v>1.0974848520613589E-3</v>
      </c>
      <c r="CA50" s="444">
        <f t="shared" si="73"/>
        <v>-1.7737715221031927E-4</v>
      </c>
      <c r="CB50" s="444">
        <f t="shared" si="65"/>
        <v>-7.1855558857219083E-4</v>
      </c>
      <c r="CC50" s="445"/>
    </row>
    <row r="51" spans="1:82" x14ac:dyDescent="0.4">
      <c r="A51" s="170">
        <v>14</v>
      </c>
      <c r="B51" s="187">
        <f t="shared" si="82"/>
        <v>11</v>
      </c>
      <c r="C51" s="193" t="s">
        <v>96</v>
      </c>
      <c r="D51" s="193" t="s">
        <v>55</v>
      </c>
      <c r="E51" s="421">
        <f t="shared" ref="E51:P51" si="135">E20/E$31</f>
        <v>0</v>
      </c>
      <c r="F51" s="421">
        <f t="shared" si="135"/>
        <v>0</v>
      </c>
      <c r="G51" s="421">
        <f t="shared" si="135"/>
        <v>0</v>
      </c>
      <c r="H51" s="421">
        <f t="shared" si="135"/>
        <v>5.4536978241473827E-2</v>
      </c>
      <c r="I51" s="421">
        <f t="shared" si="135"/>
        <v>2.8438145749051791E-2</v>
      </c>
      <c r="J51" s="421">
        <f t="shared" si="135"/>
        <v>4.0639944869593096E-2</v>
      </c>
      <c r="K51" s="421">
        <f t="shared" si="135"/>
        <v>1.5438949582165925E-2</v>
      </c>
      <c r="L51" s="446">
        <f t="shared" si="135"/>
        <v>2.8848791527363037E-2</v>
      </c>
      <c r="M51" s="421">
        <f t="shared" si="135"/>
        <v>2.2269299665608044E-2</v>
      </c>
      <c r="N51" s="421">
        <f t="shared" si="135"/>
        <v>0</v>
      </c>
      <c r="O51" s="421">
        <f t="shared" si="135"/>
        <v>1.2888237963802089E-2</v>
      </c>
      <c r="P51" s="421">
        <f t="shared" si="135"/>
        <v>3.4597011646860974E-5</v>
      </c>
      <c r="Q51" s="447">
        <f t="shared" si="89"/>
        <v>8.2847347141852372E-3</v>
      </c>
      <c r="R51" s="421">
        <f t="shared" ref="R51:AC51" si="136">R20/R$31</f>
        <v>4.8381960077189517E-3</v>
      </c>
      <c r="S51" s="421">
        <f t="shared" si="136"/>
        <v>0</v>
      </c>
      <c r="T51" s="421">
        <f t="shared" si="136"/>
        <v>4.7066745254407388E-3</v>
      </c>
      <c r="U51" s="421">
        <f t="shared" si="136"/>
        <v>0</v>
      </c>
      <c r="V51" s="421">
        <f t="shared" si="136"/>
        <v>0</v>
      </c>
      <c r="W51" s="421">
        <f t="shared" si="136"/>
        <v>3.007625159349249E-3</v>
      </c>
      <c r="X51" s="421">
        <f t="shared" si="136"/>
        <v>1.0846087491373878E-2</v>
      </c>
      <c r="Y51" s="446">
        <f t="shared" si="136"/>
        <v>1.3495985669866473E-2</v>
      </c>
      <c r="Z51" s="421">
        <f t="shared" si="136"/>
        <v>4.0342577731933028E-5</v>
      </c>
      <c r="AA51" s="421">
        <f t="shared" si="136"/>
        <v>9.3704260259338378E-3</v>
      </c>
      <c r="AB51" s="421">
        <f t="shared" si="136"/>
        <v>2.3558250759046833E-3</v>
      </c>
      <c r="AC51" s="421">
        <f t="shared" si="136"/>
        <v>2.2599604820296836E-3</v>
      </c>
      <c r="AD51" s="447">
        <f t="shared" si="91"/>
        <v>3.7386384479061699E-3</v>
      </c>
      <c r="AE51" s="448">
        <f t="shared" si="92"/>
        <v>3.7696000121756931E-2</v>
      </c>
      <c r="AF51" s="446">
        <f t="shared" ref="AF51:AP51" si="137">IFERROR(AF20/AF$31,0)</f>
        <v>8.3663830037609063E-3</v>
      </c>
      <c r="AG51" s="446">
        <f t="shared" si="137"/>
        <v>5.6120518382718919E-3</v>
      </c>
      <c r="AH51" s="446">
        <f t="shared" si="137"/>
        <v>1.4530577271589868E-2</v>
      </c>
      <c r="AI51" s="446">
        <f t="shared" si="137"/>
        <v>1.3424152888886678E-2</v>
      </c>
      <c r="AJ51" s="446">
        <f t="shared" si="137"/>
        <v>1.2051982857222513E-2</v>
      </c>
      <c r="AK51" s="446">
        <f t="shared" si="137"/>
        <v>2.9196072202963799E-5</v>
      </c>
      <c r="AL51" s="446">
        <f t="shared" si="137"/>
        <v>4.9070091889087215E-3</v>
      </c>
      <c r="AM51" s="446">
        <f t="shared" si="137"/>
        <v>2.271536632138501E-2</v>
      </c>
      <c r="AN51" s="446">
        <f t="shared" si="137"/>
        <v>4.6592755704463702E-2</v>
      </c>
      <c r="AO51" s="446">
        <f t="shared" si="137"/>
        <v>4.562627046528954E-2</v>
      </c>
      <c r="AP51" s="452">
        <f t="shared" si="137"/>
        <v>3.5162541644597603E-2</v>
      </c>
      <c r="AQ51" s="447">
        <f t="shared" si="94"/>
        <v>1.7607301929225636E-2</v>
      </c>
      <c r="AR51" s="453">
        <f t="shared" si="77"/>
        <v>1.3868663481319467E-2</v>
      </c>
      <c r="AS51" s="448">
        <f t="shared" ref="AS51:BE51" si="138">AS20/AS$31</f>
        <v>1.3924018535331541E-2</v>
      </c>
      <c r="AT51" s="449">
        <f t="shared" si="138"/>
        <v>1.4506817681715353E-2</v>
      </c>
      <c r="AU51" s="449">
        <f t="shared" si="138"/>
        <v>1.2028118872133269E-2</v>
      </c>
      <c r="AV51" s="449">
        <f t="shared" si="138"/>
        <v>1.39233267521209E-2</v>
      </c>
      <c r="AW51" s="449">
        <f t="shared" si="138"/>
        <v>1.2028118872133269E-2</v>
      </c>
      <c r="AX51" s="449">
        <f t="shared" si="138"/>
        <v>1.9059226200487764E-2</v>
      </c>
      <c r="AY51" s="449">
        <f t="shared" si="138"/>
        <v>1.3681844648724106E-2</v>
      </c>
      <c r="AZ51" s="449">
        <f t="shared" si="138"/>
        <v>1.236371779101408E-2</v>
      </c>
      <c r="BA51" s="449">
        <f t="shared" si="138"/>
        <v>1.8192781206463882E-2</v>
      </c>
      <c r="BB51" s="449">
        <f t="shared" si="138"/>
        <v>1.4160802894246909E-2</v>
      </c>
      <c r="BC51" s="449">
        <f t="shared" si="138"/>
        <v>1.186285124974663E-2</v>
      </c>
      <c r="BD51" s="450">
        <f t="shared" si="138"/>
        <v>1.236371779101408E-2</v>
      </c>
      <c r="BE51" s="451">
        <f t="shared" si="138"/>
        <v>1.400263697339617E-2</v>
      </c>
      <c r="BF51" s="448">
        <f t="shared" ref="BF51" si="139">BF20/BF$31</f>
        <v>4.1860589560457712E-2</v>
      </c>
      <c r="BG51" s="446">
        <f t="shared" ref="BG51:BQ51" si="140">IFERROR(BG20/BG$31,0)</f>
        <v>2.1903815360830435E-2</v>
      </c>
      <c r="BH51" s="446">
        <f t="shared" si="140"/>
        <v>4.6679318722398874E-2</v>
      </c>
      <c r="BI51" s="446">
        <f t="shared" si="140"/>
        <v>9.2575516921617976E-3</v>
      </c>
      <c r="BJ51" s="446">
        <f t="shared" si="140"/>
        <v>7.3900222730539466E-4</v>
      </c>
      <c r="BK51" s="446">
        <f t="shared" si="140"/>
        <v>2.1124598930835674E-2</v>
      </c>
      <c r="BL51" s="446">
        <f t="shared" si="140"/>
        <v>0</v>
      </c>
      <c r="BM51" s="446">
        <f t="shared" si="140"/>
        <v>0</v>
      </c>
      <c r="BN51" s="446">
        <f t="shared" si="140"/>
        <v>0</v>
      </c>
      <c r="BO51" s="446">
        <f t="shared" si="140"/>
        <v>0</v>
      </c>
      <c r="BP51" s="446">
        <f t="shared" si="140"/>
        <v>0</v>
      </c>
      <c r="BQ51" s="452">
        <f t="shared" si="140"/>
        <v>0</v>
      </c>
      <c r="BR51" s="447">
        <f t="shared" si="98"/>
        <v>2.3290714483422716E-2</v>
      </c>
      <c r="BS51" s="453">
        <f t="shared" si="87"/>
        <v>5.6834125541970794E-3</v>
      </c>
      <c r="BT51" s="421">
        <f t="shared" si="81"/>
        <v>1.400263697339617E-2</v>
      </c>
      <c r="BU51" s="421" cm="1">
        <f t="array" ref="BU51">INDEX($AS51:$BD51,,$D$4)</f>
        <v>1.9059226200487764E-2</v>
      </c>
      <c r="BV51" s="454" cm="1">
        <f t="array" ref="BV51">INDEX($BF51:$BQ51,,$D$4)-BU51</f>
        <v>2.06537273034791E-3</v>
      </c>
      <c r="BW51" s="455">
        <f t="shared" si="62"/>
        <v>1.3193706123994128E-4</v>
      </c>
      <c r="BX51" s="611">
        <f t="shared" si="72"/>
        <v>5.5912817100249308E-4</v>
      </c>
      <c r="BY51" s="456">
        <f t="shared" si="63"/>
        <v>4.8370094766439525E-4</v>
      </c>
      <c r="BZ51" s="457">
        <f t="shared" si="64"/>
        <v>7.5974765388817946E-4</v>
      </c>
      <c r="CA51" s="458">
        <f t="shared" si="73"/>
        <v>2.0061948288568638E-4</v>
      </c>
      <c r="CB51" s="458">
        <f t="shared" si="65"/>
        <v>2.7604670622378421E-4</v>
      </c>
      <c r="CC51" s="459"/>
      <c r="CD51" s="158" t="s">
        <v>146</v>
      </c>
    </row>
    <row r="52" spans="1:82" x14ac:dyDescent="0.4">
      <c r="A52" s="170">
        <v>15</v>
      </c>
      <c r="B52" s="175" t="s">
        <v>163</v>
      </c>
      <c r="C52" s="176"/>
      <c r="D52" s="177" t="s">
        <v>164</v>
      </c>
      <c r="E52" s="409">
        <f t="shared" ref="E52:M52" si="141">SUM(E53:E59)</f>
        <v>14.89654115778696</v>
      </c>
      <c r="F52" s="409">
        <f t="shared" si="141"/>
        <v>9.8405455128930885</v>
      </c>
      <c r="G52" s="409">
        <f t="shared" si="141"/>
        <v>8.0638896511168578</v>
      </c>
      <c r="H52" s="409">
        <f t="shared" si="141"/>
        <v>8.1779893812980102</v>
      </c>
      <c r="I52" s="409">
        <f t="shared" si="141"/>
        <v>6.7980356973839715</v>
      </c>
      <c r="J52" s="409">
        <f t="shared" si="141"/>
        <v>8.6069676870894174</v>
      </c>
      <c r="K52" s="409">
        <f t="shared" si="141"/>
        <v>6.1348622609728789</v>
      </c>
      <c r="L52" s="409">
        <f t="shared" si="141"/>
        <v>5.8945728412551288</v>
      </c>
      <c r="M52" s="409">
        <f t="shared" si="141"/>
        <v>6.1535007632940681</v>
      </c>
      <c r="N52" s="409">
        <f t="shared" ref="N52:P52" si="142">SUM(N53:N59)</f>
        <v>5.0826574719363533</v>
      </c>
      <c r="O52" s="409">
        <f t="shared" si="142"/>
        <v>7.6435060645542547</v>
      </c>
      <c r="P52" s="409">
        <f t="shared" si="142"/>
        <v>3.7299814366552648</v>
      </c>
      <c r="Q52" s="410">
        <f>SUM(Q53:Q59)</f>
        <v>3.5587910560271734</v>
      </c>
      <c r="R52" s="409">
        <f t="shared" ref="R52:Z52" si="143">SUM(R53:R59)</f>
        <v>4.6662141029877349</v>
      </c>
      <c r="S52" s="409">
        <f t="shared" si="143"/>
        <v>7.7259821295184512</v>
      </c>
      <c r="T52" s="409">
        <f t="shared" si="143"/>
        <v>4.7776203197099605</v>
      </c>
      <c r="U52" s="409">
        <f t="shared" si="143"/>
        <v>5.5033558088171786</v>
      </c>
      <c r="V52" s="409">
        <f t="shared" si="143"/>
        <v>5.8738982447443648</v>
      </c>
      <c r="W52" s="409">
        <f t="shared" si="143"/>
        <v>7.3887494080598257</v>
      </c>
      <c r="X52" s="409">
        <f t="shared" si="143"/>
        <v>13.494624100954551</v>
      </c>
      <c r="Y52" s="409">
        <f t="shared" si="143"/>
        <v>12.128159170749566</v>
      </c>
      <c r="Z52" s="409">
        <f t="shared" si="143"/>
        <v>10.143610598014995</v>
      </c>
      <c r="AA52" s="409">
        <f t="shared" ref="AA52:AC52" si="144">SUM(AA53:AA59)</f>
        <v>6.5216230135923174</v>
      </c>
      <c r="AB52" s="409">
        <f t="shared" si="144"/>
        <v>5.9284165293482394</v>
      </c>
      <c r="AC52" s="409">
        <f t="shared" si="144"/>
        <v>11.662029235692518</v>
      </c>
      <c r="AD52" s="410">
        <f t="shared" ref="AD52:BE52" si="145">SUM(AD53:AD59)</f>
        <v>7.2313137958295535</v>
      </c>
      <c r="AE52" s="411">
        <f t="shared" si="145"/>
        <v>16.615308772858643</v>
      </c>
      <c r="AF52" s="409">
        <f t="shared" si="145"/>
        <v>10.00509858802015</v>
      </c>
      <c r="AG52" s="409">
        <f t="shared" si="145"/>
        <v>6.396643092585526</v>
      </c>
      <c r="AH52" s="409">
        <f t="shared" si="145"/>
        <v>7.5228140707672182</v>
      </c>
      <c r="AI52" s="409">
        <f t="shared" si="145"/>
        <v>6.6064860706349231</v>
      </c>
      <c r="AJ52" s="409">
        <f t="shared" si="145"/>
        <v>7.7876775463306975</v>
      </c>
      <c r="AK52" s="409">
        <f t="shared" si="145"/>
        <v>7.4283158025806939</v>
      </c>
      <c r="AL52" s="409">
        <f t="shared" si="145"/>
        <v>7.5727558090472176</v>
      </c>
      <c r="AM52" s="409">
        <f t="shared" si="145"/>
        <v>8.1273210517904904</v>
      </c>
      <c r="AN52" s="409">
        <f t="shared" si="145"/>
        <v>11.39836974710752</v>
      </c>
      <c r="AO52" s="409">
        <f t="shared" si="145"/>
        <v>15.490207063944116</v>
      </c>
      <c r="AP52" s="412">
        <f t="shared" si="145"/>
        <v>12.140767956693391</v>
      </c>
      <c r="AQ52" s="410">
        <f t="shared" si="145"/>
        <v>8.953457226118811</v>
      </c>
      <c r="AR52" s="413">
        <f t="shared" si="145"/>
        <v>1.7221434302892593</v>
      </c>
      <c r="AS52" s="411">
        <f t="shared" si="145"/>
        <v>9.1493427081736822</v>
      </c>
      <c r="AT52" s="409">
        <f t="shared" si="145"/>
        <v>10.36797370761616</v>
      </c>
      <c r="AU52" s="409">
        <f t="shared" si="145"/>
        <v>8.4390177623038483</v>
      </c>
      <c r="AV52" s="409">
        <f t="shared" si="145"/>
        <v>8.6270856067296879</v>
      </c>
      <c r="AW52" s="409">
        <f t="shared" si="145"/>
        <v>8.8946364763845569</v>
      </c>
      <c r="AX52" s="409">
        <f t="shared" si="145"/>
        <v>8.7632318547281507</v>
      </c>
      <c r="AY52" s="409">
        <f t="shared" si="145"/>
        <v>8.5551519984125939</v>
      </c>
      <c r="AZ52" s="409">
        <f t="shared" si="145"/>
        <v>8.5308268828325442</v>
      </c>
      <c r="BA52" s="409">
        <f t="shared" si="145"/>
        <v>8.763959796041469</v>
      </c>
      <c r="BB52" s="409">
        <f t="shared" si="145"/>
        <v>8.25745148882101</v>
      </c>
      <c r="BC52" s="409">
        <f t="shared" si="145"/>
        <v>8.4668467874284481</v>
      </c>
      <c r="BD52" s="412">
        <f t="shared" si="145"/>
        <v>8.8148645101993104</v>
      </c>
      <c r="BE52" s="410">
        <f t="shared" si="145"/>
        <v>8.7669534689605975</v>
      </c>
      <c r="BF52" s="411">
        <f t="shared" ref="BF52:BS52" si="146">SUM(BF53:BF59)</f>
        <v>11.221398182037962</v>
      </c>
      <c r="BG52" s="409">
        <f t="shared" ref="BG52:BQ52" si="147">SUM(BG53:BG59)</f>
        <v>16.523061022030809</v>
      </c>
      <c r="BH52" s="409">
        <f t="shared" si="147"/>
        <v>7.0711972541581503</v>
      </c>
      <c r="BI52" s="409">
        <f t="shared" si="147"/>
        <v>7.4741788133562173</v>
      </c>
      <c r="BJ52" s="409">
        <f t="shared" si="147"/>
        <v>9.0136825004272563</v>
      </c>
      <c r="BK52" s="409">
        <f t="shared" si="147"/>
        <v>8.2865064527651526</v>
      </c>
      <c r="BL52" s="409">
        <f t="shared" si="147"/>
        <v>0</v>
      </c>
      <c r="BM52" s="409">
        <f t="shared" si="147"/>
        <v>0</v>
      </c>
      <c r="BN52" s="409">
        <f t="shared" si="147"/>
        <v>0</v>
      </c>
      <c r="BO52" s="409">
        <f t="shared" si="147"/>
        <v>0</v>
      </c>
      <c r="BP52" s="409">
        <f t="shared" si="147"/>
        <v>0</v>
      </c>
      <c r="BQ52" s="412">
        <f t="shared" si="147"/>
        <v>0</v>
      </c>
      <c r="BR52" s="410">
        <f t="shared" si="146"/>
        <v>9.1115147533060519</v>
      </c>
      <c r="BS52" s="413">
        <f t="shared" si="146"/>
        <v>0.15805752718723914</v>
      </c>
      <c r="BT52" s="409">
        <f>SUM(BT53:BT59)</f>
        <v>8.7669534689605975</v>
      </c>
      <c r="BU52" s="409">
        <f>SUM(BU53:BU59)</f>
        <v>8.7632318547281507</v>
      </c>
      <c r="BV52" s="414" cm="1">
        <f t="array" ref="BV52">INDEX($BF52:$BQ52,,$D$4)-BU52</f>
        <v>-0.47672540196299806</v>
      </c>
      <c r="BW52" s="415">
        <f t="shared" si="62"/>
        <v>0.25519405110165949</v>
      </c>
      <c r="BX52" s="608">
        <f t="shared" si="72"/>
        <v>0.28432125393836727</v>
      </c>
      <c r="BY52" s="416">
        <f t="shared" si="63"/>
        <v>0.30284179395085725</v>
      </c>
      <c r="BZ52" s="417">
        <f t="shared" si="64"/>
        <v>0.29721939024751248</v>
      </c>
      <c r="CA52" s="418">
        <f t="shared" si="73"/>
        <v>1.2898136309145214E-2</v>
      </c>
      <c r="CB52" s="419">
        <f t="shared" si="65"/>
        <v>-5.6224037033447694E-3</v>
      </c>
      <c r="CC52" s="420"/>
    </row>
    <row r="53" spans="1:82" x14ac:dyDescent="0.4">
      <c r="A53" s="170">
        <v>16</v>
      </c>
      <c r="B53" s="181">
        <v>1</v>
      </c>
      <c r="C53" s="182" t="s">
        <v>97</v>
      </c>
      <c r="D53" s="182" t="s">
        <v>168</v>
      </c>
      <c r="E53" s="421">
        <f t="shared" ref="E53:P53" si="148">E22/E$31</f>
        <v>3.5980569652279057</v>
      </c>
      <c r="F53" s="421">
        <f t="shared" si="148"/>
        <v>2.3172518260236288</v>
      </c>
      <c r="G53" s="421">
        <f t="shared" si="148"/>
        <v>1.79929456761597</v>
      </c>
      <c r="H53" s="421">
        <f t="shared" si="148"/>
        <v>0.80378744644766142</v>
      </c>
      <c r="I53" s="421">
        <f t="shared" si="148"/>
        <v>0.72731675506084059</v>
      </c>
      <c r="J53" s="421">
        <f t="shared" si="148"/>
        <v>0.86945730725305281</v>
      </c>
      <c r="K53" s="421">
        <f t="shared" si="148"/>
        <v>0.60498746566635619</v>
      </c>
      <c r="L53" s="421">
        <f t="shared" si="148"/>
        <v>0.49667889829441392</v>
      </c>
      <c r="M53" s="421">
        <f t="shared" si="148"/>
        <v>0</v>
      </c>
      <c r="N53" s="421">
        <f t="shared" si="148"/>
        <v>3.1757821672270335E-2</v>
      </c>
      <c r="O53" s="421">
        <f t="shared" si="148"/>
        <v>4.5653771279257502E-2</v>
      </c>
      <c r="P53" s="421">
        <f t="shared" si="148"/>
        <v>2.0332194496152235E-2</v>
      </c>
      <c r="Q53" s="422">
        <f>Q22/$AD$31</f>
        <v>0.35525716778196231</v>
      </c>
      <c r="R53" s="421">
        <f t="shared" ref="R53:AC53" si="149">R22/R$31</f>
        <v>1.2538456321223979</v>
      </c>
      <c r="S53" s="421">
        <f t="shared" si="149"/>
        <v>2.5811195464756223</v>
      </c>
      <c r="T53" s="421">
        <f t="shared" si="149"/>
        <v>1.5528944540909126</v>
      </c>
      <c r="U53" s="421">
        <f t="shared" si="149"/>
        <v>1.6878503129108564</v>
      </c>
      <c r="V53" s="421">
        <f t="shared" si="149"/>
        <v>1.7125503399258697</v>
      </c>
      <c r="W53" s="421">
        <f t="shared" si="149"/>
        <v>2.164713036302945</v>
      </c>
      <c r="X53" s="421">
        <f t="shared" si="149"/>
        <v>4.0536519745781234</v>
      </c>
      <c r="Y53" s="421">
        <f t="shared" si="149"/>
        <v>3.4506493292726734</v>
      </c>
      <c r="Z53" s="421">
        <f t="shared" si="149"/>
        <v>2.7026627648063259</v>
      </c>
      <c r="AA53" s="421">
        <f t="shared" si="149"/>
        <v>1.6225000755251564</v>
      </c>
      <c r="AB53" s="421">
        <f t="shared" si="149"/>
        <v>1.4272809848060797</v>
      </c>
      <c r="AC53" s="421">
        <f t="shared" si="149"/>
        <v>2.1442002854119164</v>
      </c>
      <c r="AD53" s="573">
        <f>AD22/$AD$31</f>
        <v>1.976610732784837</v>
      </c>
      <c r="AE53" s="423">
        <f t="shared" ref="AE53:AE59" si="150">AE22/AE$31</f>
        <v>4.134876676535864</v>
      </c>
      <c r="AF53" s="427">
        <f t="shared" ref="AF53:AP53" si="151">IFERROR(AF22/AF$31,0)</f>
        <v>2.5723289021007916</v>
      </c>
      <c r="AG53" s="427">
        <f t="shared" si="151"/>
        <v>1.5887988193499685</v>
      </c>
      <c r="AH53" s="427">
        <f t="shared" si="151"/>
        <v>1.8372317349065581</v>
      </c>
      <c r="AI53" s="427">
        <f t="shared" si="151"/>
        <v>1.5608005935425993</v>
      </c>
      <c r="AJ53" s="427">
        <f t="shared" si="151"/>
        <v>1.9531804461856987</v>
      </c>
      <c r="AK53" s="427">
        <f t="shared" si="151"/>
        <v>1.8731545492071819</v>
      </c>
      <c r="AL53" s="427">
        <f t="shared" si="151"/>
        <v>1.9679535407497255</v>
      </c>
      <c r="AM53" s="427">
        <f t="shared" si="151"/>
        <v>1.9759505616058624</v>
      </c>
      <c r="AN53" s="427">
        <f t="shared" si="151"/>
        <v>2.8392852591024722</v>
      </c>
      <c r="AO53" s="427">
        <f t="shared" si="151"/>
        <v>3.8788800884790047</v>
      </c>
      <c r="AP53" s="428">
        <f t="shared" si="151"/>
        <v>2.2845410398456818</v>
      </c>
      <c r="AQ53" s="422">
        <f>AQ22/AQ$31</f>
        <v>2.1726815716690489</v>
      </c>
      <c r="AR53" s="460">
        <f t="shared" ref="AR53:AR64" si="152">AQ53-AD53</f>
        <v>0.19607083888421184</v>
      </c>
      <c r="AS53" s="423">
        <f t="shared" ref="AS53:BE53" si="153">AS22/AS$31</f>
        <v>1.4715549936788874</v>
      </c>
      <c r="AT53" s="427">
        <f t="shared" si="153"/>
        <v>1.7935285053929122</v>
      </c>
      <c r="AU53" s="427">
        <f t="shared" si="153"/>
        <v>1.4041013268998794</v>
      </c>
      <c r="AV53" s="427">
        <f t="shared" si="153"/>
        <v>1.4007220216606497</v>
      </c>
      <c r="AW53" s="427">
        <f t="shared" si="153"/>
        <v>1.4041013268998794</v>
      </c>
      <c r="AX53" s="427">
        <f t="shared" si="153"/>
        <v>1.375886524822695</v>
      </c>
      <c r="AY53" s="427">
        <f t="shared" si="153"/>
        <v>1.3441108545034641</v>
      </c>
      <c r="AZ53" s="427">
        <f t="shared" si="153"/>
        <v>1.3318077803203661</v>
      </c>
      <c r="BA53" s="427">
        <f t="shared" si="153"/>
        <v>1.3363949483352469</v>
      </c>
      <c r="BB53" s="427">
        <f t="shared" si="153"/>
        <v>1.3287671232876712</v>
      </c>
      <c r="BC53" s="427">
        <f t="shared" si="153"/>
        <v>1.3472222222222223</v>
      </c>
      <c r="BD53" s="428">
        <f t="shared" si="153"/>
        <v>1.3318077803203661</v>
      </c>
      <c r="BE53" s="422">
        <f t="shared" si="153"/>
        <v>1.3967999999999998</v>
      </c>
      <c r="BF53" s="423">
        <f t="shared" ref="BF53" si="154">BF22/BF$31</f>
        <v>3.2548165500972308</v>
      </c>
      <c r="BG53" s="427">
        <f t="shared" ref="BG53:BQ53" si="155">IFERROR(BG22/BG$31,0)</f>
        <v>5.1552463530451105</v>
      </c>
      <c r="BH53" s="427">
        <f t="shared" si="155"/>
        <v>2.1817246568457125</v>
      </c>
      <c r="BI53" s="427">
        <f t="shared" si="155"/>
        <v>2.1363974696023287</v>
      </c>
      <c r="BJ53" s="427">
        <f t="shared" si="155"/>
        <v>2.5988013030376749</v>
      </c>
      <c r="BK53" s="427">
        <f t="shared" si="155"/>
        <v>2.3383647279560624</v>
      </c>
      <c r="BL53" s="427">
        <f t="shared" si="155"/>
        <v>0</v>
      </c>
      <c r="BM53" s="427">
        <f t="shared" si="155"/>
        <v>0</v>
      </c>
      <c r="BN53" s="427">
        <f t="shared" si="155"/>
        <v>0</v>
      </c>
      <c r="BO53" s="427">
        <f t="shared" si="155"/>
        <v>0</v>
      </c>
      <c r="BP53" s="427">
        <f t="shared" si="155"/>
        <v>0</v>
      </c>
      <c r="BQ53" s="428">
        <f t="shared" si="155"/>
        <v>0</v>
      </c>
      <c r="BR53" s="422">
        <f>BR22/BR$31</f>
        <v>2.6796013578300317</v>
      </c>
      <c r="BS53" s="460">
        <f t="shared" si="87"/>
        <v>0.50691978616098288</v>
      </c>
      <c r="BT53" s="421">
        <f t="shared" ref="BT53:BT59" si="156">BE53</f>
        <v>1.3967999999999998</v>
      </c>
      <c r="BU53" s="421" cm="1">
        <f t="array" ref="BU53">INDEX($AS53:$BD53,,$D$4)</f>
        <v>1.375886524822695</v>
      </c>
      <c r="BV53" s="430" cm="1">
        <f t="array" ref="BV53">INDEX($BF53:$BQ53,,$D$4)-BU53</f>
        <v>0.9624782031333674</v>
      </c>
      <c r="BW53" s="431">
        <f t="shared" si="62"/>
        <v>6.9754862614493554E-2</v>
      </c>
      <c r="BX53" s="609">
        <f t="shared" si="72"/>
        <v>6.899452728312272E-2</v>
      </c>
      <c r="BY53" s="432">
        <f t="shared" si="63"/>
        <v>4.8250446325308144E-2</v>
      </c>
      <c r="BZ53" s="433">
        <f t="shared" si="64"/>
        <v>8.7409119476173761E-2</v>
      </c>
      <c r="CA53" s="434">
        <f t="shared" si="73"/>
        <v>1.8414592193051041E-2</v>
      </c>
      <c r="CB53" s="434">
        <f t="shared" si="65"/>
        <v>3.9158673150865617E-2</v>
      </c>
      <c r="CC53" s="461"/>
      <c r="CD53" s="158" t="s">
        <v>146</v>
      </c>
    </row>
    <row r="54" spans="1:82" x14ac:dyDescent="0.4">
      <c r="A54" s="170">
        <v>17</v>
      </c>
      <c r="B54" s="187">
        <f t="shared" ref="B54:B59" si="157">B53+1</f>
        <v>2</v>
      </c>
      <c r="C54" s="188" t="s">
        <v>97</v>
      </c>
      <c r="D54" s="188" t="s">
        <v>48</v>
      </c>
      <c r="E54" s="421">
        <f t="shared" ref="E54:P54" si="158">E23/E$31</f>
        <v>7.2760067052152202</v>
      </c>
      <c r="F54" s="421">
        <f t="shared" si="158"/>
        <v>4.6863791305465368</v>
      </c>
      <c r="G54" s="421">
        <f t="shared" si="158"/>
        <v>3.8057815944615876</v>
      </c>
      <c r="H54" s="421">
        <f t="shared" si="158"/>
        <v>4.7181569528953764</v>
      </c>
      <c r="I54" s="421">
        <f t="shared" si="158"/>
        <v>3.8808113642884026</v>
      </c>
      <c r="J54" s="421">
        <f t="shared" si="158"/>
        <v>4.9955123189012971</v>
      </c>
      <c r="K54" s="421">
        <f t="shared" si="158"/>
        <v>3.4412395456550806</v>
      </c>
      <c r="L54" s="421">
        <f t="shared" si="158"/>
        <v>3.498299672493451</v>
      </c>
      <c r="M54" s="421">
        <f t="shared" si="158"/>
        <v>3.9868155391255442</v>
      </c>
      <c r="N54" s="421">
        <f t="shared" si="158"/>
        <v>3.1726138501182053</v>
      </c>
      <c r="O54" s="421">
        <f t="shared" si="158"/>
        <v>4.7665471679728766</v>
      </c>
      <c r="P54" s="421">
        <f t="shared" si="158"/>
        <v>2.1806124976990713</v>
      </c>
      <c r="Q54" s="437">
        <f t="shared" ref="Q54:Q59" si="159">Q23/$AD$31</f>
        <v>2.0163215022259338</v>
      </c>
      <c r="R54" s="421">
        <f t="shared" ref="R54:AC54" si="160">R23/R$31</f>
        <v>2.0703840174394568</v>
      </c>
      <c r="S54" s="421">
        <f t="shared" si="160"/>
        <v>2.9978696190879086</v>
      </c>
      <c r="T54" s="421">
        <f t="shared" si="160"/>
        <v>1.9442526173107879</v>
      </c>
      <c r="U54" s="421">
        <f t="shared" si="160"/>
        <v>2.2813262270486567</v>
      </c>
      <c r="V54" s="421">
        <f t="shared" si="160"/>
        <v>2.3862962039442044</v>
      </c>
      <c r="W54" s="421">
        <f t="shared" si="160"/>
        <v>2.9813722972142647</v>
      </c>
      <c r="X54" s="421">
        <f t="shared" si="160"/>
        <v>5.5545867986052473</v>
      </c>
      <c r="Y54" s="421">
        <f t="shared" si="160"/>
        <v>4.6739959782585156</v>
      </c>
      <c r="Z54" s="421">
        <f t="shared" si="160"/>
        <v>3.9260306854358813</v>
      </c>
      <c r="AA54" s="421">
        <f t="shared" si="160"/>
        <v>2.5759220617657195</v>
      </c>
      <c r="AB54" s="421">
        <f t="shared" si="160"/>
        <v>2.3756022230193632</v>
      </c>
      <c r="AC54" s="421">
        <f t="shared" si="160"/>
        <v>3.931346341324363</v>
      </c>
      <c r="AD54" s="437">
        <f t="shared" ref="AD54:AD59" si="161">AD23/$AD$31</f>
        <v>2.8576456359988054</v>
      </c>
      <c r="AE54" s="438">
        <f t="shared" si="150"/>
        <v>6.786166549348791</v>
      </c>
      <c r="AF54" s="421">
        <f t="shared" ref="AF54:AP54" si="162">IFERROR(AF23/AF$31,0)</f>
        <v>4.2066771142670287</v>
      </c>
      <c r="AG54" s="421">
        <f t="shared" si="162"/>
        <v>2.5864102314015995</v>
      </c>
      <c r="AH54" s="421">
        <f t="shared" si="162"/>
        <v>3.363621185500199</v>
      </c>
      <c r="AI54" s="421">
        <f t="shared" si="162"/>
        <v>2.8653549012822812</v>
      </c>
      <c r="AJ54" s="421">
        <f t="shared" si="162"/>
        <v>3.3511240320920277</v>
      </c>
      <c r="AK54" s="421">
        <f t="shared" si="162"/>
        <v>3.2233019437522592</v>
      </c>
      <c r="AL54" s="421">
        <f t="shared" si="162"/>
        <v>3.2762095426068263</v>
      </c>
      <c r="AM54" s="421">
        <f t="shared" si="162"/>
        <v>3.3650236447834132</v>
      </c>
      <c r="AN54" s="421">
        <f t="shared" si="162"/>
        <v>4.5701282358271387</v>
      </c>
      <c r="AO54" s="421">
        <f t="shared" si="162"/>
        <v>6.0644561024731161</v>
      </c>
      <c r="AP54" s="439">
        <f t="shared" si="162"/>
        <v>5.8972073022936051</v>
      </c>
      <c r="AQ54" s="437">
        <f t="shared" ref="AQ54:AQ59" si="163">AQ23/AQ$31</f>
        <v>3.8175230472634105</v>
      </c>
      <c r="AR54" s="429">
        <f t="shared" si="152"/>
        <v>0.95987741126460513</v>
      </c>
      <c r="AS54" s="438">
        <f t="shared" ref="AS54:BE54" si="164">AS23/AS$31</f>
        <v>4.0280833874550224</v>
      </c>
      <c r="AT54" s="421">
        <f t="shared" si="164"/>
        <v>4.8660241230769241</v>
      </c>
      <c r="AU54" s="421">
        <f t="shared" si="164"/>
        <v>3.6662991557390741</v>
      </c>
      <c r="AV54" s="421">
        <f t="shared" si="164"/>
        <v>3.9223824444182172</v>
      </c>
      <c r="AW54" s="421">
        <f t="shared" si="164"/>
        <v>3.8221588510717273</v>
      </c>
      <c r="AX54" s="421">
        <f t="shared" si="164"/>
        <v>3.9263319516002912</v>
      </c>
      <c r="AY54" s="421">
        <f t="shared" si="164"/>
        <v>3.7479606564531891</v>
      </c>
      <c r="AZ54" s="421">
        <f t="shared" si="164"/>
        <v>3.7584824277239925</v>
      </c>
      <c r="BA54" s="421">
        <f t="shared" si="164"/>
        <v>3.8125818548882799</v>
      </c>
      <c r="BB54" s="421">
        <f t="shared" si="164"/>
        <v>3.6212442503029507</v>
      </c>
      <c r="BC54" s="421">
        <f t="shared" si="164"/>
        <v>3.8395703706641742</v>
      </c>
      <c r="BD54" s="439">
        <f t="shared" si="164"/>
        <v>4.2289350593029402</v>
      </c>
      <c r="BE54" s="437">
        <f t="shared" si="164"/>
        <v>3.9170466316642312</v>
      </c>
      <c r="BF54" s="438">
        <f t="shared" ref="BF54" si="165">BF23/BF$31</f>
        <v>5.024001240688194</v>
      </c>
      <c r="BG54" s="421">
        <f t="shared" ref="BG54:BQ54" si="166">IFERROR(BG23/BG$31,0)</f>
        <v>7.1171892960079504</v>
      </c>
      <c r="BH54" s="421">
        <f t="shared" si="166"/>
        <v>3.2451779803616745</v>
      </c>
      <c r="BI54" s="421">
        <f t="shared" si="166"/>
        <v>3.5580893357674079</v>
      </c>
      <c r="BJ54" s="421">
        <f t="shared" si="166"/>
        <v>4.0775622476467444</v>
      </c>
      <c r="BK54" s="421">
        <f t="shared" si="166"/>
        <v>3.9463907659669766</v>
      </c>
      <c r="BL54" s="421">
        <f t="shared" si="166"/>
        <v>0</v>
      </c>
      <c r="BM54" s="421">
        <f t="shared" si="166"/>
        <v>0</v>
      </c>
      <c r="BN54" s="421">
        <f t="shared" si="166"/>
        <v>0</v>
      </c>
      <c r="BO54" s="421">
        <f t="shared" si="166"/>
        <v>0</v>
      </c>
      <c r="BP54" s="421">
        <f t="shared" si="166"/>
        <v>0</v>
      </c>
      <c r="BQ54" s="439">
        <f t="shared" si="166"/>
        <v>0</v>
      </c>
      <c r="BR54" s="437">
        <f t="shared" ref="BR54:BR59" si="167">BR23/BR$31</f>
        <v>4.1674111860503746</v>
      </c>
      <c r="BS54" s="429">
        <f t="shared" si="87"/>
        <v>0.34988813878696412</v>
      </c>
      <c r="BT54" s="421">
        <f t="shared" si="156"/>
        <v>3.9170466316642312</v>
      </c>
      <c r="BU54" s="421" cm="1">
        <f t="array" ref="BU54">INDEX($AS54:$BD54,,$D$4)</f>
        <v>3.9263319516002912</v>
      </c>
      <c r="BV54" s="440" cm="1">
        <f t="array" ref="BV54">INDEX($BF54:$BQ54,,$D$4)-BU54</f>
        <v>2.0058814366685329E-2</v>
      </c>
      <c r="BW54" s="441">
        <f t="shared" si="62"/>
        <v>0.10084670463119567</v>
      </c>
      <c r="BX54" s="610">
        <f t="shared" si="72"/>
        <v>0.12122724354679869</v>
      </c>
      <c r="BY54" s="442">
        <f t="shared" si="63"/>
        <v>0.135308740159539</v>
      </c>
      <c r="BZ54" s="443">
        <f t="shared" si="64"/>
        <v>0.13594176656292245</v>
      </c>
      <c r="CA54" s="444">
        <f t="shared" si="73"/>
        <v>1.4714523016123762E-2</v>
      </c>
      <c r="CB54" s="444">
        <f t="shared" si="65"/>
        <v>6.3302640338344651E-4</v>
      </c>
      <c r="CC54" s="445"/>
    </row>
    <row r="55" spans="1:82" x14ac:dyDescent="0.4">
      <c r="A55" s="170">
        <v>5</v>
      </c>
      <c r="B55" s="187">
        <f t="shared" si="157"/>
        <v>3</v>
      </c>
      <c r="C55" s="188" t="s">
        <v>96</v>
      </c>
      <c r="D55" s="188" t="s">
        <v>16</v>
      </c>
      <c r="E55" s="421">
        <f t="shared" ref="E55:P55" si="168">E24/E$31</f>
        <v>2.3753269840666507</v>
      </c>
      <c r="F55" s="421">
        <f t="shared" si="168"/>
        <v>1.6516728939146827</v>
      </c>
      <c r="G55" s="421">
        <f t="shared" si="168"/>
        <v>1.3991038125588426</v>
      </c>
      <c r="H55" s="421">
        <f t="shared" si="168"/>
        <v>1.6767953195456993</v>
      </c>
      <c r="I55" s="421">
        <f t="shared" si="168"/>
        <v>1.2916093323191036</v>
      </c>
      <c r="J55" s="421">
        <f t="shared" si="168"/>
        <v>1.6468401442521801</v>
      </c>
      <c r="K55" s="421">
        <f t="shared" si="168"/>
        <v>1.1962829124387067</v>
      </c>
      <c r="L55" s="421">
        <f t="shared" si="168"/>
        <v>1.1569816685610135</v>
      </c>
      <c r="M55" s="421">
        <f t="shared" si="168"/>
        <v>1.4124854079341438</v>
      </c>
      <c r="N55" s="421">
        <f t="shared" si="168"/>
        <v>1.1530784030672474</v>
      </c>
      <c r="O55" s="421">
        <f t="shared" si="168"/>
        <v>1.6602100759639351</v>
      </c>
      <c r="P55" s="421">
        <f t="shared" si="168"/>
        <v>0.77704741949052636</v>
      </c>
      <c r="Q55" s="437">
        <f t="shared" si="159"/>
        <v>0.69993570427820995</v>
      </c>
      <c r="R55" s="421">
        <f t="shared" ref="R55:AC55" si="169">R24/R$31</f>
        <v>0.63148312021553754</v>
      </c>
      <c r="S55" s="421">
        <f t="shared" si="169"/>
        <v>1.0262623302495608</v>
      </c>
      <c r="T55" s="421">
        <f t="shared" si="169"/>
        <v>0.61248175367481417</v>
      </c>
      <c r="U55" s="421">
        <f t="shared" si="169"/>
        <v>0.70277619853794515</v>
      </c>
      <c r="V55" s="421">
        <f t="shared" si="169"/>
        <v>0.73309549908044047</v>
      </c>
      <c r="W55" s="421">
        <f t="shared" si="169"/>
        <v>0.92714476415309577</v>
      </c>
      <c r="X55" s="421">
        <f t="shared" si="169"/>
        <v>1.7544226183332405</v>
      </c>
      <c r="Y55" s="421">
        <f t="shared" si="169"/>
        <v>1.5029901018547767</v>
      </c>
      <c r="Z55" s="421">
        <f t="shared" si="169"/>
        <v>1.2269457705521651</v>
      </c>
      <c r="AA55" s="421">
        <f t="shared" si="169"/>
        <v>0.80004080920575393</v>
      </c>
      <c r="AB55" s="421">
        <f t="shared" si="169"/>
        <v>0.72224079819960507</v>
      </c>
      <c r="AC55" s="421">
        <f t="shared" si="169"/>
        <v>1.1337349878735041</v>
      </c>
      <c r="AD55" s="572">
        <f t="shared" si="161"/>
        <v>0.88827791301693937</v>
      </c>
      <c r="AE55" s="438">
        <f t="shared" si="150"/>
        <v>2.0672338336419838</v>
      </c>
      <c r="AF55" s="421">
        <f t="shared" ref="AF55:AP55" si="170">IFERROR(AF24/AF$31,0)</f>
        <v>1.2865594823056159</v>
      </c>
      <c r="AG55" s="421">
        <f t="shared" si="170"/>
        <v>0.8300913277283738</v>
      </c>
      <c r="AH55" s="421">
        <f t="shared" si="170"/>
        <v>0.95522457854206055</v>
      </c>
      <c r="AI55" s="421">
        <f t="shared" si="170"/>
        <v>0.84735546889803215</v>
      </c>
      <c r="AJ55" s="421">
        <f t="shared" si="170"/>
        <v>0.96574453112651215</v>
      </c>
      <c r="AK55" s="421">
        <f t="shared" si="170"/>
        <v>0.89561137121487633</v>
      </c>
      <c r="AL55" s="421">
        <f t="shared" si="170"/>
        <v>0.89551195700224762</v>
      </c>
      <c r="AM55" s="421">
        <f t="shared" si="170"/>
        <v>0.96751011039822543</v>
      </c>
      <c r="AN55" s="421">
        <f t="shared" si="170"/>
        <v>1.3424596010356917</v>
      </c>
      <c r="AO55" s="421">
        <f t="shared" si="170"/>
        <v>1.9033361961172708</v>
      </c>
      <c r="AP55" s="439">
        <f t="shared" si="170"/>
        <v>1.2503493220591919</v>
      </c>
      <c r="AQ55" s="437">
        <f t="shared" si="163"/>
        <v>1.0856965759960384</v>
      </c>
      <c r="AR55" s="429">
        <f t="shared" si="152"/>
        <v>0.19741866297909905</v>
      </c>
      <c r="AS55" s="438">
        <f t="shared" ref="AS55:BE55" si="171">AS24/AS$31</f>
        <v>1.3409582960608886</v>
      </c>
      <c r="AT55" s="421">
        <f t="shared" si="171"/>
        <v>1.7528141796366146</v>
      </c>
      <c r="AU55" s="421">
        <f t="shared" si="171"/>
        <v>1.3934622998602688</v>
      </c>
      <c r="AV55" s="421">
        <f t="shared" si="171"/>
        <v>1.3983493407751659</v>
      </c>
      <c r="AW55" s="421">
        <f t="shared" si="171"/>
        <v>1.4055716687384354</v>
      </c>
      <c r="AX55" s="421">
        <f t="shared" si="171"/>
        <v>1.4108911831964102</v>
      </c>
      <c r="AY55" s="421">
        <f t="shared" si="171"/>
        <v>1.3783070912057309</v>
      </c>
      <c r="AZ55" s="421">
        <f t="shared" si="171"/>
        <v>1.3656910079910332</v>
      </c>
      <c r="BA55" s="421">
        <f t="shared" si="171"/>
        <v>1.3703948805788324</v>
      </c>
      <c r="BB55" s="421">
        <f t="shared" si="171"/>
        <v>1.3654998031782681</v>
      </c>
      <c r="BC55" s="421">
        <f t="shared" si="171"/>
        <v>1.3844650782224108</v>
      </c>
      <c r="BD55" s="439">
        <f t="shared" si="171"/>
        <v>1.3714334411718112</v>
      </c>
      <c r="BE55" s="437">
        <f t="shared" si="171"/>
        <v>1.4046146123609957</v>
      </c>
      <c r="BF55" s="438">
        <f t="shared" ref="BF55" si="172">BF24/BF$31</f>
        <v>0.74391400695660381</v>
      </c>
      <c r="BG55" s="421">
        <f t="shared" ref="BG55:BQ55" si="173">IFERROR(BG24/BG$31,0)</f>
        <v>1.1611774545856108</v>
      </c>
      <c r="BH55" s="421">
        <f t="shared" si="173"/>
        <v>0.49494497076636962</v>
      </c>
      <c r="BI55" s="421">
        <f t="shared" si="173"/>
        <v>0.5212386296327467</v>
      </c>
      <c r="BJ55" s="421">
        <f t="shared" si="173"/>
        <v>0.64881265778602182</v>
      </c>
      <c r="BK55" s="421">
        <f t="shared" si="173"/>
        <v>0.59382330164882058</v>
      </c>
      <c r="BL55" s="421">
        <f t="shared" si="173"/>
        <v>0</v>
      </c>
      <c r="BM55" s="421">
        <f t="shared" si="173"/>
        <v>0</v>
      </c>
      <c r="BN55" s="421">
        <f t="shared" si="173"/>
        <v>0</v>
      </c>
      <c r="BO55" s="421">
        <f t="shared" si="173"/>
        <v>0</v>
      </c>
      <c r="BP55" s="421">
        <f t="shared" si="173"/>
        <v>0</v>
      </c>
      <c r="BQ55" s="439">
        <f t="shared" si="173"/>
        <v>0</v>
      </c>
      <c r="BR55" s="437">
        <f t="shared" si="167"/>
        <v>0.63773098572062825</v>
      </c>
      <c r="BS55" s="429">
        <f t="shared" si="87"/>
        <v>-0.44796559027541016</v>
      </c>
      <c r="BT55" s="421">
        <f t="shared" si="156"/>
        <v>1.4046146123609957</v>
      </c>
      <c r="BU55" s="421" cm="1">
        <f t="array" ref="BU55">INDEX($AS55:$BD55,,$D$4)</f>
        <v>1.4108911831964102</v>
      </c>
      <c r="BV55" s="440" cm="1">
        <f t="array" ref="BV55">INDEX($BF55:$BQ55,,$D$4)-BU55</f>
        <v>-0.81706788154758958</v>
      </c>
      <c r="BW55" s="441">
        <f t="shared" si="62"/>
        <v>3.1347448821492596E-2</v>
      </c>
      <c r="BX55" s="610">
        <f t="shared" si="72"/>
        <v>3.4476806454527116E-2</v>
      </c>
      <c r="BY55" s="442">
        <f t="shared" si="63"/>
        <v>4.8520390865884694E-2</v>
      </c>
      <c r="BZ55" s="443">
        <f t="shared" si="64"/>
        <v>2.0802909269181036E-2</v>
      </c>
      <c r="CA55" s="444">
        <f t="shared" si="73"/>
        <v>-1.367389718534608E-2</v>
      </c>
      <c r="CB55" s="444">
        <f t="shared" si="65"/>
        <v>-2.7717481596703657E-2</v>
      </c>
      <c r="CC55" s="445"/>
      <c r="CD55" s="158" t="s">
        <v>146</v>
      </c>
    </row>
    <row r="56" spans="1:82" x14ac:dyDescent="0.4">
      <c r="A56" s="170">
        <v>18</v>
      </c>
      <c r="B56" s="187">
        <f t="shared" si="157"/>
        <v>4</v>
      </c>
      <c r="C56" s="188" t="s">
        <v>97</v>
      </c>
      <c r="D56" s="188" t="s">
        <v>36</v>
      </c>
      <c r="E56" s="421">
        <f t="shared" ref="E56:P56" si="174">E25/E$31</f>
        <v>0.74905477727282421</v>
      </c>
      <c r="F56" s="421">
        <f t="shared" si="174"/>
        <v>0.65341938262500665</v>
      </c>
      <c r="G56" s="421">
        <f t="shared" si="174"/>
        <v>0.57403420937740368</v>
      </c>
      <c r="H56" s="421">
        <f t="shared" si="174"/>
        <v>0.50536370176270584</v>
      </c>
      <c r="I56" s="421">
        <f t="shared" si="174"/>
        <v>0.34678964590566086</v>
      </c>
      <c r="J56" s="421">
        <f t="shared" si="174"/>
        <v>0.50688632157600655</v>
      </c>
      <c r="K56" s="421">
        <f t="shared" si="174"/>
        <v>0.36855831061256766</v>
      </c>
      <c r="L56" s="421">
        <f t="shared" si="174"/>
        <v>0.27632944665837617</v>
      </c>
      <c r="M56" s="421">
        <f t="shared" si="174"/>
        <v>0.29314519144565343</v>
      </c>
      <c r="N56" s="421">
        <f t="shared" si="174"/>
        <v>0.25122340071594701</v>
      </c>
      <c r="O56" s="421">
        <f t="shared" si="174"/>
        <v>0.3674876048783165</v>
      </c>
      <c r="P56" s="421">
        <f t="shared" si="174"/>
        <v>0.27917276104567529</v>
      </c>
      <c r="Q56" s="437">
        <f t="shared" si="159"/>
        <v>0.20428741164902431</v>
      </c>
      <c r="R56" s="421">
        <f t="shared" ref="R56:AC56" si="175">R25/R$31</f>
        <v>0.34926318315578608</v>
      </c>
      <c r="S56" s="421">
        <f t="shared" si="175"/>
        <v>0.47114511830164479</v>
      </c>
      <c r="T56" s="421">
        <f t="shared" si="175"/>
        <v>0.2351371842143207</v>
      </c>
      <c r="U56" s="421">
        <f t="shared" si="175"/>
        <v>0.29546526454206451</v>
      </c>
      <c r="V56" s="421">
        <f t="shared" si="175"/>
        <v>0.43068418481736143</v>
      </c>
      <c r="W56" s="421">
        <f t="shared" si="175"/>
        <v>0.53303961617985518</v>
      </c>
      <c r="X56" s="421">
        <f t="shared" si="175"/>
        <v>0.84129485047341901</v>
      </c>
      <c r="Y56" s="421">
        <f t="shared" si="175"/>
        <v>1.3264316831863798</v>
      </c>
      <c r="Z56" s="421">
        <f t="shared" si="175"/>
        <v>1.2866721033084345</v>
      </c>
      <c r="AA56" s="421">
        <f t="shared" si="175"/>
        <v>0.89888867265906691</v>
      </c>
      <c r="AB56" s="421">
        <f t="shared" si="175"/>
        <v>0.74834742242372709</v>
      </c>
      <c r="AC56" s="421">
        <f t="shared" si="175"/>
        <v>3.3687147625831679</v>
      </c>
      <c r="AD56" s="437">
        <f t="shared" si="161"/>
        <v>0.81309305486877004</v>
      </c>
      <c r="AE56" s="438">
        <f t="shared" si="150"/>
        <v>2.0417659641545427</v>
      </c>
      <c r="AF56" s="421">
        <f t="shared" ref="AF56:AP56" si="176">IFERROR(AF25/AF$31,0)</f>
        <v>0.89604942774846774</v>
      </c>
      <c r="AG56" s="421">
        <f t="shared" si="176"/>
        <v>0.84111325364170286</v>
      </c>
      <c r="AH56" s="421">
        <f t="shared" si="176"/>
        <v>0.60618446210101207</v>
      </c>
      <c r="AI56" s="421">
        <f t="shared" si="176"/>
        <v>0.64043433352571377</v>
      </c>
      <c r="AJ56" s="421">
        <f t="shared" si="176"/>
        <v>0.65940337766302415</v>
      </c>
      <c r="AK56" s="421">
        <f t="shared" si="176"/>
        <v>0.65865223852556554</v>
      </c>
      <c r="AL56" s="421">
        <f t="shared" si="176"/>
        <v>0.66173516706743774</v>
      </c>
      <c r="AM56" s="421">
        <f t="shared" si="176"/>
        <v>1.0124164119566907</v>
      </c>
      <c r="AN56" s="421">
        <f t="shared" si="176"/>
        <v>1.5118511483283443</v>
      </c>
      <c r="AO56" s="421">
        <f t="shared" si="176"/>
        <v>2.1752029464593545</v>
      </c>
      <c r="AP56" s="439">
        <f t="shared" si="176"/>
        <v>1.7978080861462165</v>
      </c>
      <c r="AQ56" s="437">
        <f t="shared" si="163"/>
        <v>1.0043486235017731</v>
      </c>
      <c r="AR56" s="429">
        <f t="shared" si="152"/>
        <v>0.19125556863300308</v>
      </c>
      <c r="AS56" s="438">
        <f t="shared" ref="AS56:BE56" si="177">AS25/AS$31</f>
        <v>1.4125177920074563</v>
      </c>
      <c r="AT56" s="421">
        <f t="shared" si="177"/>
        <v>0.7877266697045654</v>
      </c>
      <c r="AU56" s="421">
        <f t="shared" si="177"/>
        <v>0.78596111201320051</v>
      </c>
      <c r="AV56" s="421">
        <f t="shared" si="177"/>
        <v>0.75728994422626872</v>
      </c>
      <c r="AW56" s="421">
        <f t="shared" si="177"/>
        <v>1.0702419557631782</v>
      </c>
      <c r="AX56" s="421">
        <f t="shared" si="177"/>
        <v>0.76778400244498857</v>
      </c>
      <c r="AY56" s="421">
        <f t="shared" si="177"/>
        <v>0.86505466542819909</v>
      </c>
      <c r="AZ56" s="421">
        <f t="shared" si="177"/>
        <v>0.86158249199205494</v>
      </c>
      <c r="BA56" s="421">
        <f t="shared" si="177"/>
        <v>0.99980774039682441</v>
      </c>
      <c r="BB56" s="421">
        <f t="shared" si="177"/>
        <v>0.73964285751169678</v>
      </c>
      <c r="BC56" s="421">
        <f t="shared" si="177"/>
        <v>0.70014558330417187</v>
      </c>
      <c r="BD56" s="439">
        <f t="shared" si="177"/>
        <v>0.70706020851636897</v>
      </c>
      <c r="BE56" s="437">
        <f t="shared" si="177"/>
        <v>0.86899982645691332</v>
      </c>
      <c r="BF56" s="438">
        <f t="shared" ref="BF56" si="178">BF25/BF$31</f>
        <v>1.2247128152823921</v>
      </c>
      <c r="BG56" s="421">
        <f t="shared" ref="BG56:BQ56" si="179">IFERROR(BG25/BG$31,0)</f>
        <v>1.7770846844459167</v>
      </c>
      <c r="BH56" s="421">
        <f t="shared" si="179"/>
        <v>0.58153306457850462</v>
      </c>
      <c r="BI56" s="421">
        <f t="shared" si="179"/>
        <v>0.65035303575368331</v>
      </c>
      <c r="BJ56" s="421">
        <f t="shared" si="179"/>
        <v>0.9339719257089828</v>
      </c>
      <c r="BK56" s="421">
        <f t="shared" si="179"/>
        <v>0.75585699459371947</v>
      </c>
      <c r="BL56" s="421">
        <f t="shared" si="179"/>
        <v>0</v>
      </c>
      <c r="BM56" s="421">
        <f t="shared" si="179"/>
        <v>0</v>
      </c>
      <c r="BN56" s="421">
        <f t="shared" si="179"/>
        <v>0</v>
      </c>
      <c r="BO56" s="421">
        <f t="shared" si="179"/>
        <v>0</v>
      </c>
      <c r="BP56" s="421">
        <f t="shared" si="179"/>
        <v>0</v>
      </c>
      <c r="BQ56" s="439">
        <f t="shared" si="179"/>
        <v>0</v>
      </c>
      <c r="BR56" s="437">
        <f t="shared" si="167"/>
        <v>0.8818941504862442</v>
      </c>
      <c r="BS56" s="429">
        <f t="shared" si="87"/>
        <v>-0.12245447301552892</v>
      </c>
      <c r="BT56" s="421">
        <f t="shared" si="156"/>
        <v>0.86899982645691332</v>
      </c>
      <c r="BU56" s="421" cm="1">
        <f t="array" ref="BU56">INDEX($AS56:$BD56,,$D$4)</f>
        <v>0.76778400244498857</v>
      </c>
      <c r="BV56" s="440" cm="1">
        <f t="array" ref="BV56">INDEX($BF56:$BQ56,,$D$4)-BU56</f>
        <v>-1.19270078512691E-2</v>
      </c>
      <c r="BW56" s="441">
        <f t="shared" si="62"/>
        <v>2.8694164912917045E-2</v>
      </c>
      <c r="BX56" s="610">
        <f t="shared" si="72"/>
        <v>3.1893563884158094E-2</v>
      </c>
      <c r="BY56" s="442">
        <f t="shared" si="63"/>
        <v>3.0018348713603517E-2</v>
      </c>
      <c r="BZ56" s="443">
        <f t="shared" si="64"/>
        <v>2.8767559375927312E-2</v>
      </c>
      <c r="CA56" s="444">
        <f t="shared" si="73"/>
        <v>-3.126004508230782E-3</v>
      </c>
      <c r="CB56" s="444">
        <f t="shared" si="65"/>
        <v>-1.2507893376762051E-3</v>
      </c>
      <c r="CC56" s="445"/>
    </row>
    <row r="57" spans="1:82" x14ac:dyDescent="0.4">
      <c r="A57" s="170">
        <v>19</v>
      </c>
      <c r="B57" s="187">
        <f t="shared" si="157"/>
        <v>5</v>
      </c>
      <c r="C57" s="188"/>
      <c r="D57" s="188" t="s">
        <v>12</v>
      </c>
      <c r="E57" s="421">
        <f t="shared" ref="E57:P57" si="180">E26/E$31</f>
        <v>0.55266565860773831</v>
      </c>
      <c r="F57" s="421">
        <f t="shared" si="180"/>
        <v>0.3816440110708898</v>
      </c>
      <c r="G57" s="421">
        <f t="shared" si="180"/>
        <v>0.28823221711716257</v>
      </c>
      <c r="H57" s="421">
        <f t="shared" si="180"/>
        <v>0.2893428274027216</v>
      </c>
      <c r="I57" s="421">
        <f t="shared" si="180"/>
        <v>0.30460954130661944</v>
      </c>
      <c r="J57" s="421">
        <f t="shared" si="180"/>
        <v>0.31739081296237526</v>
      </c>
      <c r="K57" s="421">
        <f t="shared" si="180"/>
        <v>0.23087348508463418</v>
      </c>
      <c r="L57" s="421">
        <f t="shared" si="180"/>
        <v>0.23341556609951367</v>
      </c>
      <c r="M57" s="421">
        <f t="shared" si="180"/>
        <v>0.23274453034549372</v>
      </c>
      <c r="N57" s="421">
        <f t="shared" si="180"/>
        <v>0.21901193924688017</v>
      </c>
      <c r="O57" s="421">
        <f t="shared" si="180"/>
        <v>0.35407915781752508</v>
      </c>
      <c r="P57" s="421">
        <f t="shared" si="180"/>
        <v>0.1743591535755861</v>
      </c>
      <c r="Q57" s="437">
        <f t="shared" si="159"/>
        <v>0.14263415361924967</v>
      </c>
      <c r="R57" s="421">
        <f t="shared" ref="R57:AC57" si="181">R26/R$31</f>
        <v>0.15080901532818075</v>
      </c>
      <c r="S57" s="421">
        <f t="shared" si="181"/>
        <v>0.23632096407246608</v>
      </c>
      <c r="T57" s="421">
        <f t="shared" si="181"/>
        <v>0.17019324088245372</v>
      </c>
      <c r="U57" s="421">
        <f t="shared" si="181"/>
        <v>0.19442879093595775</v>
      </c>
      <c r="V57" s="421">
        <f t="shared" si="181"/>
        <v>0.21785472359448835</v>
      </c>
      <c r="W57" s="421">
        <f t="shared" si="181"/>
        <v>0.22316807896369584</v>
      </c>
      <c r="X57" s="421">
        <f t="shared" si="181"/>
        <v>0.36376563042481241</v>
      </c>
      <c r="Y57" s="421">
        <f t="shared" si="181"/>
        <v>0.37659068792166323</v>
      </c>
      <c r="Z57" s="421">
        <f t="shared" si="181"/>
        <v>0.36146725278280195</v>
      </c>
      <c r="AA57" s="421">
        <f t="shared" si="181"/>
        <v>0.19350533852797341</v>
      </c>
      <c r="AB57" s="421">
        <f t="shared" si="181"/>
        <v>0.20957559591380567</v>
      </c>
      <c r="AC57" s="421">
        <f t="shared" si="181"/>
        <v>0.32548831915318621</v>
      </c>
      <c r="AD57" s="437">
        <f t="shared" si="161"/>
        <v>0.23255042210577787</v>
      </c>
      <c r="AE57" s="438">
        <f t="shared" si="150"/>
        <v>0.46028342186982779</v>
      </c>
      <c r="AF57" s="421">
        <f t="shared" ref="AF57:AP57" si="182">IFERROR(AF26/AF$31,0)</f>
        <v>0.33843064100422482</v>
      </c>
      <c r="AG57" s="421">
        <f t="shared" si="182"/>
        <v>0.19639416580947008</v>
      </c>
      <c r="AH57" s="421">
        <f t="shared" si="182"/>
        <v>0.26852021831351275</v>
      </c>
      <c r="AI57" s="421">
        <f t="shared" si="182"/>
        <v>0.2245554804532891</v>
      </c>
      <c r="AJ57" s="421">
        <f t="shared" si="182"/>
        <v>0.21054846232196789</v>
      </c>
      <c r="AK57" s="421">
        <f t="shared" si="182"/>
        <v>0.21223069132358288</v>
      </c>
      <c r="AL57" s="421">
        <f t="shared" si="182"/>
        <v>0.20159242430557536</v>
      </c>
      <c r="AM57" s="421">
        <f t="shared" si="182"/>
        <v>0.20692248460544901</v>
      </c>
      <c r="AN57" s="421">
        <f t="shared" si="182"/>
        <v>0.3011981453207046</v>
      </c>
      <c r="AO57" s="421">
        <f t="shared" si="182"/>
        <v>0.43146501924233277</v>
      </c>
      <c r="AP57" s="439">
        <f t="shared" si="182"/>
        <v>0.24819036811395254</v>
      </c>
      <c r="AQ57" s="437">
        <f t="shared" si="163"/>
        <v>0.25359604392146062</v>
      </c>
      <c r="AR57" s="429">
        <f t="shared" si="152"/>
        <v>2.1045621815682758E-2</v>
      </c>
      <c r="AS57" s="438">
        <f t="shared" ref="AS57:BE57" si="183">AS26/AS$31</f>
        <v>0.27748736454987039</v>
      </c>
      <c r="AT57" s="421">
        <f t="shared" si="183"/>
        <v>0.21090549736518913</v>
      </c>
      <c r="AU57" s="421">
        <f t="shared" si="183"/>
        <v>0.2193025637914239</v>
      </c>
      <c r="AV57" s="421">
        <f t="shared" si="183"/>
        <v>0.22880421214988117</v>
      </c>
      <c r="AW57" s="421">
        <f t="shared" si="183"/>
        <v>0.18992578524853149</v>
      </c>
      <c r="AX57" s="421">
        <f t="shared" si="183"/>
        <v>0.19910078636907305</v>
      </c>
      <c r="AY57" s="421">
        <f t="shared" si="183"/>
        <v>0.19001164782225713</v>
      </c>
      <c r="AZ57" s="421">
        <f t="shared" si="183"/>
        <v>0.17807244558038546</v>
      </c>
      <c r="BA57" s="421">
        <f t="shared" si="183"/>
        <v>0.18502952846408868</v>
      </c>
      <c r="BB57" s="421">
        <f t="shared" si="183"/>
        <v>0.18014406007843944</v>
      </c>
      <c r="BC57" s="421">
        <f t="shared" si="183"/>
        <v>0.15753206059426347</v>
      </c>
      <c r="BD57" s="439">
        <f t="shared" si="183"/>
        <v>0.17951148742636125</v>
      </c>
      <c r="BE57" s="437">
        <f t="shared" si="183"/>
        <v>0.19863491008042142</v>
      </c>
      <c r="BF57" s="438">
        <f t="shared" ref="BF57" si="184">BF26/BF$31</f>
        <v>0.20940053756763932</v>
      </c>
      <c r="BG57" s="421">
        <f t="shared" ref="BG57:BQ57" si="185">IFERROR(BG26/BG$31,0)</f>
        <v>0.2875632416763293</v>
      </c>
      <c r="BH57" s="421">
        <f t="shared" si="185"/>
        <v>0.14167265203859622</v>
      </c>
      <c r="BI57" s="421">
        <f t="shared" si="185"/>
        <v>0.13201920565645439</v>
      </c>
      <c r="BJ57" s="421">
        <f t="shared" si="185"/>
        <v>0.16986217399703063</v>
      </c>
      <c r="BK57" s="421">
        <f t="shared" si="185"/>
        <v>0.15964176541239578</v>
      </c>
      <c r="BL57" s="421">
        <f t="shared" si="185"/>
        <v>0</v>
      </c>
      <c r="BM57" s="421">
        <f t="shared" si="185"/>
        <v>0</v>
      </c>
      <c r="BN57" s="421">
        <f t="shared" si="185"/>
        <v>0</v>
      </c>
      <c r="BO57" s="421">
        <f t="shared" si="185"/>
        <v>0</v>
      </c>
      <c r="BP57" s="421">
        <f t="shared" si="185"/>
        <v>0</v>
      </c>
      <c r="BQ57" s="439">
        <f t="shared" si="185"/>
        <v>0</v>
      </c>
      <c r="BR57" s="437">
        <f t="shared" si="167"/>
        <v>0.16988460688866486</v>
      </c>
      <c r="BS57" s="429">
        <f t="shared" si="87"/>
        <v>-8.3711437032795766E-2</v>
      </c>
      <c r="BT57" s="421">
        <f t="shared" si="156"/>
        <v>0.19863491008042142</v>
      </c>
      <c r="BU57" s="421" cm="1">
        <f t="array" ref="BU57">INDEX($AS57:$BD57,,$D$4)</f>
        <v>0.19910078636907305</v>
      </c>
      <c r="BV57" s="440" cm="1">
        <f t="array" ref="BV57">INDEX($BF57:$BQ57,,$D$4)-BU57</f>
        <v>-3.9459020956677276E-2</v>
      </c>
      <c r="BW57" s="441">
        <f t="shared" si="62"/>
        <v>8.2067361447929581E-3</v>
      </c>
      <c r="BX57" s="610">
        <f t="shared" si="72"/>
        <v>8.0530618933681332E-3</v>
      </c>
      <c r="BY57" s="442">
        <f t="shared" si="63"/>
        <v>6.8615571786710943E-3</v>
      </c>
      <c r="BZ57" s="443">
        <f t="shared" si="64"/>
        <v>5.5416690461447459E-3</v>
      </c>
      <c r="CA57" s="444">
        <f t="shared" si="73"/>
        <v>-2.5113928472233872E-3</v>
      </c>
      <c r="CB57" s="444">
        <f t="shared" si="65"/>
        <v>-1.3198881325263484E-3</v>
      </c>
      <c r="CC57" s="445"/>
    </row>
    <row r="58" spans="1:82" x14ac:dyDescent="0.4">
      <c r="A58" s="170">
        <v>20</v>
      </c>
      <c r="B58" s="187">
        <f t="shared" si="157"/>
        <v>6</v>
      </c>
      <c r="C58" s="188"/>
      <c r="D58" s="188" t="s">
        <v>51</v>
      </c>
      <c r="E58" s="421">
        <f t="shared" ref="E58:P58" si="186">E27/E$31</f>
        <v>0.29278446148034992</v>
      </c>
      <c r="F58" s="421">
        <f t="shared" si="186"/>
        <v>0.15017826871234352</v>
      </c>
      <c r="G58" s="421">
        <f t="shared" si="186"/>
        <v>0.16850238043617072</v>
      </c>
      <c r="H58" s="421">
        <f t="shared" si="186"/>
        <v>0.13351100585961048</v>
      </c>
      <c r="I58" s="421">
        <f t="shared" si="186"/>
        <v>0.21068079446841101</v>
      </c>
      <c r="J58" s="421">
        <f t="shared" si="186"/>
        <v>0.25224251770988448</v>
      </c>
      <c r="K58" s="421">
        <f t="shared" si="186"/>
        <v>0.25096202192854195</v>
      </c>
      <c r="L58" s="421">
        <f t="shared" si="186"/>
        <v>0.19334724032461764</v>
      </c>
      <c r="M58" s="421">
        <f t="shared" si="186"/>
        <v>0.17407766092690347</v>
      </c>
      <c r="N58" s="421">
        <f t="shared" si="186"/>
        <v>0.20298891329940214</v>
      </c>
      <c r="O58" s="421">
        <f t="shared" si="186"/>
        <v>0.35893033329108165</v>
      </c>
      <c r="P58" s="421">
        <f t="shared" si="186"/>
        <v>0.21733056061255021</v>
      </c>
      <c r="Q58" s="437">
        <f t="shared" si="159"/>
        <v>0.11402198351550413</v>
      </c>
      <c r="R58" s="421">
        <f t="shared" ref="R58:AC58" si="187">R27/R$31</f>
        <v>0.11345537267656955</v>
      </c>
      <c r="S58" s="421">
        <f t="shared" si="187"/>
        <v>0.22057392067389675</v>
      </c>
      <c r="T58" s="421">
        <f t="shared" si="187"/>
        <v>0.14271348314836213</v>
      </c>
      <c r="U58" s="421">
        <f t="shared" si="187"/>
        <v>0.14141305669069404</v>
      </c>
      <c r="V58" s="421">
        <f t="shared" si="187"/>
        <v>0.17287913216195575</v>
      </c>
      <c r="W58" s="421">
        <f t="shared" si="187"/>
        <v>0.24027518841157741</v>
      </c>
      <c r="X58" s="421">
        <f t="shared" si="187"/>
        <v>0.30495190749797474</v>
      </c>
      <c r="Y58" s="421">
        <f t="shared" si="187"/>
        <v>0.36897245462827516</v>
      </c>
      <c r="Z58" s="421">
        <f t="shared" si="187"/>
        <v>0.33282187713315825</v>
      </c>
      <c r="AA58" s="421">
        <f t="shared" si="187"/>
        <v>0.23507251195271492</v>
      </c>
      <c r="AB58" s="421">
        <f t="shared" si="187"/>
        <v>0.25917365969782191</v>
      </c>
      <c r="AC58" s="421">
        <f t="shared" si="187"/>
        <v>0.44740435252117139</v>
      </c>
      <c r="AD58" s="437">
        <f t="shared" si="161"/>
        <v>0.22975674715586125</v>
      </c>
      <c r="AE58" s="438">
        <f t="shared" si="150"/>
        <v>0.5190109782354051</v>
      </c>
      <c r="AF58" s="421">
        <f t="shared" ref="AF58:AP58" si="188">IFERROR(AF27/AF$31,0)</f>
        <v>0.39112140909880944</v>
      </c>
      <c r="AG58" s="421">
        <f t="shared" si="188"/>
        <v>0.21406383660450609</v>
      </c>
      <c r="AH58" s="421">
        <f t="shared" si="188"/>
        <v>0.27472774676884909</v>
      </c>
      <c r="AI58" s="421">
        <f t="shared" si="188"/>
        <v>0.22173604873584868</v>
      </c>
      <c r="AJ58" s="421">
        <f t="shared" si="188"/>
        <v>0.30534570779640086</v>
      </c>
      <c r="AK58" s="421">
        <f t="shared" si="188"/>
        <v>0.29308945552707893</v>
      </c>
      <c r="AL58" s="421">
        <f t="shared" si="188"/>
        <v>0.28454531951140821</v>
      </c>
      <c r="AM58" s="421">
        <f t="shared" si="188"/>
        <v>0.24920444525616023</v>
      </c>
      <c r="AN58" s="421">
        <f t="shared" si="188"/>
        <v>0.40218151319599316</v>
      </c>
      <c r="AO58" s="421">
        <f t="shared" si="188"/>
        <v>0.49619082041077567</v>
      </c>
      <c r="AP58" s="439">
        <f t="shared" si="188"/>
        <v>0.30912490432360756</v>
      </c>
      <c r="AQ58" s="437">
        <f t="shared" si="163"/>
        <v>0.30611705046950782</v>
      </c>
      <c r="AR58" s="429">
        <f t="shared" si="152"/>
        <v>7.6360303313646571E-2</v>
      </c>
      <c r="AS58" s="438">
        <f t="shared" ref="AS58:BE58" si="189">AS27/AS$31</f>
        <v>0.25446042155446902</v>
      </c>
      <c r="AT58" s="421">
        <f t="shared" si="189"/>
        <v>0.24375393378886701</v>
      </c>
      <c r="AU58" s="421">
        <f t="shared" si="189"/>
        <v>0.30527245988585133</v>
      </c>
      <c r="AV58" s="421">
        <f t="shared" si="189"/>
        <v>0.27959204110600044</v>
      </c>
      <c r="AW58" s="421">
        <f t="shared" si="189"/>
        <v>0.28259735725215612</v>
      </c>
      <c r="AX58" s="421">
        <f t="shared" si="189"/>
        <v>0.35421473663406589</v>
      </c>
      <c r="AY58" s="421">
        <f t="shared" si="189"/>
        <v>0.30462182695935847</v>
      </c>
      <c r="AZ58" s="421">
        <f t="shared" si="189"/>
        <v>0.27510353157529116</v>
      </c>
      <c r="BA58" s="421">
        <f t="shared" si="189"/>
        <v>0.31386292523473797</v>
      </c>
      <c r="BB58" s="421">
        <f t="shared" si="189"/>
        <v>0.27906362627108572</v>
      </c>
      <c r="BC58" s="421">
        <f t="shared" si="189"/>
        <v>0.28282016202290522</v>
      </c>
      <c r="BD58" s="439">
        <f t="shared" si="189"/>
        <v>0.28619546663440626</v>
      </c>
      <c r="BE58" s="437">
        <f t="shared" si="189"/>
        <v>0.28953940193002714</v>
      </c>
      <c r="BF58" s="438">
        <f t="shared" ref="BF58" si="190">BF27/BF$31</f>
        <v>0.33224167448633146</v>
      </c>
      <c r="BG58" s="421">
        <f t="shared" ref="BG58:BQ58" si="191">IFERROR(BG27/BG$31,0)</f>
        <v>0.38635958699133122</v>
      </c>
      <c r="BH58" s="421">
        <f t="shared" si="191"/>
        <v>0.20188384524414019</v>
      </c>
      <c r="BI58" s="421">
        <f t="shared" si="191"/>
        <v>0.23305708295389591</v>
      </c>
      <c r="BJ58" s="421">
        <f t="shared" si="191"/>
        <v>0.35118734972925519</v>
      </c>
      <c r="BK58" s="421">
        <f t="shared" si="191"/>
        <v>0.27403213391046954</v>
      </c>
      <c r="BL58" s="421">
        <f t="shared" si="191"/>
        <v>0</v>
      </c>
      <c r="BM58" s="421">
        <f t="shared" si="191"/>
        <v>0</v>
      </c>
      <c r="BN58" s="421">
        <f t="shared" si="191"/>
        <v>0</v>
      </c>
      <c r="BO58" s="421">
        <f t="shared" si="191"/>
        <v>0</v>
      </c>
      <c r="BP58" s="421">
        <f t="shared" si="191"/>
        <v>0</v>
      </c>
      <c r="BQ58" s="439">
        <f t="shared" si="191"/>
        <v>0</v>
      </c>
      <c r="BR58" s="437">
        <f t="shared" si="167"/>
        <v>0.28169702086255372</v>
      </c>
      <c r="BS58" s="429">
        <f t="shared" si="87"/>
        <v>-2.4420029606954108E-2</v>
      </c>
      <c r="BT58" s="421">
        <f t="shared" si="156"/>
        <v>0.28953940193002714</v>
      </c>
      <c r="BU58" s="421" cm="1">
        <f t="array" ref="BU58">INDEX($AS58:$BD58,,$D$4)</f>
        <v>0.35421473663406589</v>
      </c>
      <c r="BV58" s="440" cm="1">
        <f t="array" ref="BV58">INDEX($BF58:$BQ58,,$D$4)-BU58</f>
        <v>-8.0182602723596341E-2</v>
      </c>
      <c r="BW58" s="441">
        <f t="shared" si="62"/>
        <v>8.108146974407128E-3</v>
      </c>
      <c r="BX58" s="610">
        <f t="shared" si="72"/>
        <v>9.7208912092087516E-3</v>
      </c>
      <c r="BY58" s="442">
        <f t="shared" si="63"/>
        <v>1.0001722058910794E-2</v>
      </c>
      <c r="BZ58" s="443">
        <f t="shared" si="64"/>
        <v>9.1890118209960285E-3</v>
      </c>
      <c r="CA58" s="444">
        <f t="shared" si="73"/>
        <v>-5.3187938821272311E-4</v>
      </c>
      <c r="CB58" s="444">
        <f t="shared" si="65"/>
        <v>-8.1271023791476549E-4</v>
      </c>
      <c r="CC58" s="445"/>
    </row>
    <row r="59" spans="1:82" x14ac:dyDescent="0.4">
      <c r="A59" s="170">
        <v>21</v>
      </c>
      <c r="B59" s="187">
        <f t="shared" si="157"/>
        <v>7</v>
      </c>
      <c r="C59" s="193" t="s">
        <v>97</v>
      </c>
      <c r="D59" s="193" t="s">
        <v>40</v>
      </c>
      <c r="E59" s="421">
        <f t="shared" ref="E59:P59" si="192">E28/E$31</f>
        <v>5.2645605916268545E-2</v>
      </c>
      <c r="F59" s="421">
        <f t="shared" si="192"/>
        <v>0</v>
      </c>
      <c r="G59" s="421">
        <f t="shared" si="192"/>
        <v>2.8940869549721863E-2</v>
      </c>
      <c r="H59" s="421">
        <f t="shared" si="192"/>
        <v>5.1032127384234509E-2</v>
      </c>
      <c r="I59" s="421">
        <f t="shared" si="192"/>
        <v>3.6218264034933022E-2</v>
      </c>
      <c r="J59" s="421">
        <f t="shared" si="192"/>
        <v>1.8638264434619731E-2</v>
      </c>
      <c r="K59" s="421">
        <f t="shared" si="192"/>
        <v>4.1958519586990879E-2</v>
      </c>
      <c r="L59" s="446">
        <f t="shared" si="192"/>
        <v>3.9520348823743195E-2</v>
      </c>
      <c r="M59" s="421">
        <f t="shared" si="192"/>
        <v>5.4232433516330579E-2</v>
      </c>
      <c r="N59" s="421">
        <f t="shared" si="192"/>
        <v>5.1983143816400242E-2</v>
      </c>
      <c r="O59" s="421">
        <f t="shared" si="192"/>
        <v>9.0597953351263E-2</v>
      </c>
      <c r="P59" s="421">
        <f t="shared" si="192"/>
        <v>8.1126849735703582E-2</v>
      </c>
      <c r="Q59" s="447">
        <f t="shared" si="159"/>
        <v>2.6333132957288691E-2</v>
      </c>
      <c r="R59" s="421">
        <f t="shared" ref="R59:AC59" si="193">R28/R$31</f>
        <v>9.6973762049805901E-2</v>
      </c>
      <c r="S59" s="421">
        <f t="shared" si="193"/>
        <v>0.1926906306573514</v>
      </c>
      <c r="T59" s="421">
        <f t="shared" si="193"/>
        <v>0.11994758638830921</v>
      </c>
      <c r="U59" s="421">
        <f t="shared" si="193"/>
        <v>0.20009595815100359</v>
      </c>
      <c r="V59" s="421">
        <f t="shared" si="193"/>
        <v>0.2205381612200436</v>
      </c>
      <c r="W59" s="421">
        <f t="shared" si="193"/>
        <v>0.31903642683439215</v>
      </c>
      <c r="X59" s="421">
        <f t="shared" si="193"/>
        <v>0.62195032104173542</v>
      </c>
      <c r="Y59" s="446">
        <f t="shared" si="193"/>
        <v>0.42852893562727984</v>
      </c>
      <c r="Z59" s="421">
        <f t="shared" si="193"/>
        <v>0.30701014399622895</v>
      </c>
      <c r="AA59" s="421">
        <f t="shared" si="193"/>
        <v>0.19569354395593203</v>
      </c>
      <c r="AB59" s="421">
        <f t="shared" si="193"/>
        <v>0.18619584528783678</v>
      </c>
      <c r="AC59" s="421">
        <f t="shared" si="193"/>
        <v>0.31114018682520783</v>
      </c>
      <c r="AD59" s="447">
        <f t="shared" si="161"/>
        <v>0.23337928989856116</v>
      </c>
      <c r="AE59" s="448">
        <f t="shared" si="150"/>
        <v>0.6059713490722286</v>
      </c>
      <c r="AF59" s="446">
        <f t="shared" ref="AF59:AP59" si="194">IFERROR(AF28/AF$31,0)</f>
        <v>0.31393161149521215</v>
      </c>
      <c r="AG59" s="446">
        <f t="shared" si="194"/>
        <v>0.13977145804990543</v>
      </c>
      <c r="AH59" s="446">
        <f t="shared" si="194"/>
        <v>0.21730414463502595</v>
      </c>
      <c r="AI59" s="446">
        <f t="shared" si="194"/>
        <v>0.24624924419715916</v>
      </c>
      <c r="AJ59" s="446">
        <f t="shared" si="194"/>
        <v>0.34233098914506549</v>
      </c>
      <c r="AK59" s="446">
        <f t="shared" si="194"/>
        <v>0.27227555303014855</v>
      </c>
      <c r="AL59" s="446">
        <f t="shared" si="194"/>
        <v>0.28520785780399771</v>
      </c>
      <c r="AM59" s="446">
        <f t="shared" si="194"/>
        <v>0.35029339318468977</v>
      </c>
      <c r="AN59" s="446">
        <f t="shared" si="194"/>
        <v>0.43126584429717468</v>
      </c>
      <c r="AO59" s="446">
        <f t="shared" si="194"/>
        <v>0.54067589076225975</v>
      </c>
      <c r="AP59" s="452">
        <f t="shared" si="194"/>
        <v>0.35354693391113612</v>
      </c>
      <c r="AQ59" s="447">
        <f t="shared" si="163"/>
        <v>0.31349431329757194</v>
      </c>
      <c r="AR59" s="462">
        <f t="shared" si="152"/>
        <v>8.0115023399010776E-2</v>
      </c>
      <c r="AS59" s="448">
        <f t="shared" ref="AS59:BE59" si="195">AS28/AS$31</f>
        <v>0.36428045286708838</v>
      </c>
      <c r="AT59" s="446">
        <f t="shared" si="195"/>
        <v>0.71322079865108989</v>
      </c>
      <c r="AU59" s="446">
        <f t="shared" si="195"/>
        <v>0.66461884411414851</v>
      </c>
      <c r="AV59" s="446">
        <f t="shared" si="195"/>
        <v>0.6399456023935054</v>
      </c>
      <c r="AW59" s="446">
        <f t="shared" si="195"/>
        <v>0.72003953141064891</v>
      </c>
      <c r="AX59" s="446">
        <f t="shared" si="195"/>
        <v>0.72902266966062668</v>
      </c>
      <c r="AY59" s="446">
        <f t="shared" si="195"/>
        <v>0.72508525604039498</v>
      </c>
      <c r="AZ59" s="446">
        <f t="shared" si="195"/>
        <v>0.76008719764942234</v>
      </c>
      <c r="BA59" s="446">
        <f t="shared" si="195"/>
        <v>0.74588791814345934</v>
      </c>
      <c r="BB59" s="446">
        <f t="shared" si="195"/>
        <v>0.74308976819089778</v>
      </c>
      <c r="BC59" s="446">
        <f t="shared" si="195"/>
        <v>0.75509131039830024</v>
      </c>
      <c r="BD59" s="452">
        <f t="shared" si="195"/>
        <v>0.70992106682705736</v>
      </c>
      <c r="BE59" s="447">
        <f t="shared" si="195"/>
        <v>0.69131808646801118</v>
      </c>
      <c r="BF59" s="448">
        <f t="shared" ref="BF59" si="196">BF28/BF$31</f>
        <v>0.4323113569595714</v>
      </c>
      <c r="BG59" s="446">
        <f t="shared" ref="BG59:BQ59" si="197">IFERROR(BG28/BG$31,0)</f>
        <v>0.63844040527855994</v>
      </c>
      <c r="BH59" s="446">
        <f t="shared" si="197"/>
        <v>0.2242600843231517</v>
      </c>
      <c r="BI59" s="446">
        <f t="shared" si="197"/>
        <v>0.24302405398970056</v>
      </c>
      <c r="BJ59" s="446">
        <f t="shared" si="197"/>
        <v>0.23348484252154797</v>
      </c>
      <c r="BK59" s="446">
        <f t="shared" si="197"/>
        <v>0.21839676327670773</v>
      </c>
      <c r="BL59" s="446">
        <f t="shared" si="197"/>
        <v>0</v>
      </c>
      <c r="BM59" s="446">
        <f t="shared" si="197"/>
        <v>0</v>
      </c>
      <c r="BN59" s="446">
        <f t="shared" si="197"/>
        <v>0</v>
      </c>
      <c r="BO59" s="446">
        <f t="shared" si="197"/>
        <v>0</v>
      </c>
      <c r="BP59" s="446">
        <f t="shared" si="197"/>
        <v>0</v>
      </c>
      <c r="BQ59" s="452">
        <f t="shared" si="197"/>
        <v>0</v>
      </c>
      <c r="BR59" s="447">
        <f t="shared" si="167"/>
        <v>0.29329544546755304</v>
      </c>
      <c r="BS59" s="462">
        <f t="shared" si="87"/>
        <v>-2.0198867830018896E-2</v>
      </c>
      <c r="BT59" s="421">
        <f t="shared" si="156"/>
        <v>0.69131808646801118</v>
      </c>
      <c r="BU59" s="421" cm="1">
        <f t="array" ref="BU59">INDEX($AS59:$BD59,,$D$4)</f>
        <v>0.72902266966062668</v>
      </c>
      <c r="BV59" s="454" cm="1">
        <f t="array" ref="BV59">INDEX($BF59:$BQ59,,$D$4)-BU59</f>
        <v>-0.51062590638391891</v>
      </c>
      <c r="BW59" s="455">
        <f t="shared" si="62"/>
        <v>8.2359870023605078E-3</v>
      </c>
      <c r="BX59" s="611">
        <f t="shared" si="72"/>
        <v>9.9551596671837647E-3</v>
      </c>
      <c r="BY59" s="456">
        <f t="shared" si="63"/>
        <v>2.3880588648940087E-2</v>
      </c>
      <c r="BZ59" s="457">
        <f t="shared" si="64"/>
        <v>9.5673546961671206E-3</v>
      </c>
      <c r="CA59" s="458">
        <f t="shared" si="73"/>
        <v>-3.878049710166441E-4</v>
      </c>
      <c r="CB59" s="458">
        <f t="shared" si="65"/>
        <v>-1.4313233952772966E-2</v>
      </c>
      <c r="CC59" s="459"/>
      <c r="CD59" s="158" t="s">
        <v>146</v>
      </c>
    </row>
    <row r="60" spans="1:82" x14ac:dyDescent="0.4">
      <c r="A60" s="170">
        <v>22</v>
      </c>
      <c r="B60" s="463" t="s">
        <v>188</v>
      </c>
      <c r="C60" s="464"/>
      <c r="D60" s="463"/>
      <c r="E60" s="465">
        <f t="shared" ref="E60:P60" si="198">E40+E52</f>
        <v>40.909428769220973</v>
      </c>
      <c r="F60" s="465">
        <f t="shared" si="198"/>
        <v>35.431965454947083</v>
      </c>
      <c r="G60" s="465">
        <f t="shared" si="198"/>
        <v>33.231234868722062</v>
      </c>
      <c r="H60" s="465">
        <f t="shared" si="198"/>
        <v>32.743118962738038</v>
      </c>
      <c r="I60" s="465">
        <f t="shared" si="198"/>
        <v>30.879871305394474</v>
      </c>
      <c r="J60" s="465">
        <f t="shared" si="198"/>
        <v>34.339154188240066</v>
      </c>
      <c r="K60" s="465">
        <f t="shared" si="198"/>
        <v>27.639301735640217</v>
      </c>
      <c r="L60" s="465">
        <f t="shared" si="198"/>
        <v>26.278608598424114</v>
      </c>
      <c r="M60" s="465">
        <f t="shared" si="198"/>
        <v>27.395699938348091</v>
      </c>
      <c r="N60" s="465">
        <f t="shared" si="198"/>
        <v>25.003350594181398</v>
      </c>
      <c r="O60" s="465">
        <f t="shared" si="198"/>
        <v>29.286979231199087</v>
      </c>
      <c r="P60" s="465">
        <f t="shared" si="198"/>
        <v>24.696778059574278</v>
      </c>
      <c r="Q60" s="466">
        <f>Q40+Q52</f>
        <v>24.662195166363766</v>
      </c>
      <c r="R60" s="465">
        <f t="shared" ref="R60:W60" si="199">R40+R52</f>
        <v>24.364822958066338</v>
      </c>
      <c r="S60" s="465">
        <f t="shared" si="199"/>
        <v>29.047249077270415</v>
      </c>
      <c r="T60" s="465">
        <f t="shared" si="199"/>
        <v>25.71030381574792</v>
      </c>
      <c r="U60" s="465">
        <f t="shared" si="199"/>
        <v>27.526169454808382</v>
      </c>
      <c r="V60" s="465">
        <f t="shared" si="199"/>
        <v>26.896716481475924</v>
      </c>
      <c r="W60" s="465">
        <f t="shared" si="199"/>
        <v>28.597726223852337</v>
      </c>
      <c r="X60" s="465">
        <f t="shared" ref="X60:AC60" si="200">X40+X52</f>
        <v>35.26972082808949</v>
      </c>
      <c r="Y60" s="465">
        <f t="shared" si="200"/>
        <v>33.310285536494717</v>
      </c>
      <c r="Z60" s="465">
        <f t="shared" si="200"/>
        <v>32.066393545912732</v>
      </c>
      <c r="AA60" s="465">
        <f t="shared" si="200"/>
        <v>27.725302433409919</v>
      </c>
      <c r="AB60" s="465">
        <f t="shared" si="200"/>
        <v>26.763307571471056</v>
      </c>
      <c r="AC60" s="465">
        <f t="shared" si="200"/>
        <v>32.731667542678196</v>
      </c>
      <c r="AD60" s="571">
        <f t="shared" ref="AD60:BE60" si="201">AD40+AD52</f>
        <v>28.336529651111952</v>
      </c>
      <c r="AE60" s="467">
        <f t="shared" si="201"/>
        <v>38.101761204736121</v>
      </c>
      <c r="AF60" s="465">
        <f>AF40+AF52</f>
        <v>31.267797609068936</v>
      </c>
      <c r="AG60" s="465">
        <f t="shared" ref="AG60:AQ60" si="202">AG40+AG52</f>
        <v>28.162549372026469</v>
      </c>
      <c r="AH60" s="465">
        <f t="shared" si="202"/>
        <v>30.337385296603539</v>
      </c>
      <c r="AI60" s="465">
        <f t="shared" si="202"/>
        <v>29.288123024415718</v>
      </c>
      <c r="AJ60" s="465">
        <f t="shared" si="202"/>
        <v>30.6150848659872</v>
      </c>
      <c r="AK60" s="465">
        <f t="shared" si="202"/>
        <v>30.907228952124839</v>
      </c>
      <c r="AL60" s="465">
        <f t="shared" si="202"/>
        <v>31.067073625697716</v>
      </c>
      <c r="AM60" s="465">
        <f t="shared" si="202"/>
        <v>31.462900284322039</v>
      </c>
      <c r="AN60" s="465">
        <f t="shared" si="202"/>
        <v>34.081132007750966</v>
      </c>
      <c r="AO60" s="465">
        <f t="shared" si="202"/>
        <v>37.025618583315982</v>
      </c>
      <c r="AP60" s="468">
        <f t="shared" si="202"/>
        <v>33.531065170429912</v>
      </c>
      <c r="AQ60" s="466">
        <f t="shared" si="202"/>
        <v>31.490636391395718</v>
      </c>
      <c r="AR60" s="469">
        <f>AR40+AR52</f>
        <v>3.1541067402837655</v>
      </c>
      <c r="AS60" s="467">
        <f t="shared" si="201"/>
        <v>29.297021407602521</v>
      </c>
      <c r="AT60" s="465">
        <f t="shared" si="201"/>
        <v>30.606726701903291</v>
      </c>
      <c r="AU60" s="465">
        <f t="shared" si="201"/>
        <v>28.559886570012289</v>
      </c>
      <c r="AV60" s="465">
        <f t="shared" si="201"/>
        <v>28.770540640599663</v>
      </c>
      <c r="AW60" s="465">
        <f t="shared" si="201"/>
        <v>29.019213745675827</v>
      </c>
      <c r="AX60" s="465">
        <f t="shared" si="201"/>
        <v>28.914553288242466</v>
      </c>
      <c r="AY60" s="465">
        <f t="shared" si="201"/>
        <v>28.74099460829693</v>
      </c>
      <c r="AZ60" s="465">
        <f t="shared" si="201"/>
        <v>28.73151874520255</v>
      </c>
      <c r="BA60" s="465">
        <f t="shared" si="201"/>
        <v>28.95196458309184</v>
      </c>
      <c r="BB60" s="465">
        <f t="shared" si="201"/>
        <v>28.505227395146918</v>
      </c>
      <c r="BC60" s="465">
        <f t="shared" si="201"/>
        <v>28.693342018892228</v>
      </c>
      <c r="BD60" s="468">
        <f t="shared" si="201"/>
        <v>29.027872208947031</v>
      </c>
      <c r="BE60" s="466">
        <f t="shared" si="201"/>
        <v>28.948955012408984</v>
      </c>
      <c r="BF60" s="943">
        <f t="shared" ref="BF60:BR60" si="203">BF40+BF52</f>
        <v>32.995066743875221</v>
      </c>
      <c r="BG60" s="944">
        <f>BG40+BG52</f>
        <v>37.141356528449236</v>
      </c>
      <c r="BH60" s="944">
        <f t="shared" ref="BH60:BQ60" si="204">BH40+BH52</f>
        <v>28.469087487311626</v>
      </c>
      <c r="BI60" s="944">
        <f t="shared" si="204"/>
        <v>28.173126148595721</v>
      </c>
      <c r="BJ60" s="944">
        <f t="shared" si="204"/>
        <v>31.145554982635055</v>
      </c>
      <c r="BK60" s="465">
        <f t="shared" si="204"/>
        <v>30.678336319474962</v>
      </c>
      <c r="BL60" s="465">
        <f t="shared" si="204"/>
        <v>0</v>
      </c>
      <c r="BM60" s="465">
        <f t="shared" si="204"/>
        <v>0</v>
      </c>
      <c r="BN60" s="465">
        <f t="shared" si="204"/>
        <v>0</v>
      </c>
      <c r="BO60" s="465">
        <f t="shared" si="204"/>
        <v>0</v>
      </c>
      <c r="BP60" s="465">
        <f t="shared" si="204"/>
        <v>0</v>
      </c>
      <c r="BQ60" s="468">
        <f t="shared" si="204"/>
        <v>0</v>
      </c>
      <c r="BR60" s="466">
        <f t="shared" si="203"/>
        <v>30.655855749244168</v>
      </c>
      <c r="BS60" s="469">
        <f>BS40+BS52</f>
        <v>-0.83478064215155823</v>
      </c>
      <c r="BT60" s="465">
        <f>BT40+BT52</f>
        <v>28.948955012408984</v>
      </c>
      <c r="BU60" s="465">
        <f>BU40+BU52</f>
        <v>28.914553288242466</v>
      </c>
      <c r="BV60" s="414" cm="1">
        <f t="array" ref="BV60">INDEX($BF60:$BQ60,,$D$4)-BU60</f>
        <v>1.7637830312324958</v>
      </c>
      <c r="BW60" s="470">
        <f t="shared" si="62"/>
        <v>1</v>
      </c>
      <c r="BX60" s="612">
        <f t="shared" si="72"/>
        <v>1</v>
      </c>
      <c r="BY60" s="471">
        <f t="shared" si="63"/>
        <v>1</v>
      </c>
      <c r="BZ60" s="472">
        <f t="shared" si="64"/>
        <v>1</v>
      </c>
      <c r="CA60" s="418">
        <f t="shared" si="73"/>
        <v>0</v>
      </c>
      <c r="CB60" s="419">
        <f t="shared" si="65"/>
        <v>0</v>
      </c>
      <c r="CC60" s="473"/>
    </row>
    <row r="61" spans="1:82" x14ac:dyDescent="0.4">
      <c r="A61" s="508">
        <v>27</v>
      </c>
      <c r="B61" s="463" t="s">
        <v>254</v>
      </c>
      <c r="C61" s="498"/>
      <c r="D61" s="463"/>
      <c r="E61" s="486">
        <f>E60-E53-E55</f>
        <v>34.936044819926416</v>
      </c>
      <c r="F61" s="486">
        <f t="shared" ref="F61:Q61" si="205">F60-F53-F55</f>
        <v>31.463040735008772</v>
      </c>
      <c r="G61" s="486">
        <f t="shared" si="205"/>
        <v>30.03283648854725</v>
      </c>
      <c r="H61" s="486">
        <f t="shared" si="205"/>
        <v>30.262536196744676</v>
      </c>
      <c r="I61" s="486">
        <f t="shared" si="205"/>
        <v>28.860945218014528</v>
      </c>
      <c r="J61" s="486">
        <f t="shared" si="205"/>
        <v>31.822856736734835</v>
      </c>
      <c r="K61" s="486">
        <f t="shared" si="205"/>
        <v>25.838031357535154</v>
      </c>
      <c r="L61" s="486">
        <f t="shared" si="205"/>
        <v>24.624948031568689</v>
      </c>
      <c r="M61" s="486">
        <f t="shared" si="205"/>
        <v>25.983214530413946</v>
      </c>
      <c r="N61" s="486">
        <f t="shared" si="205"/>
        <v>23.818514369441882</v>
      </c>
      <c r="O61" s="486">
        <f t="shared" si="205"/>
        <v>27.581115383955893</v>
      </c>
      <c r="P61" s="486">
        <f t="shared" si="205"/>
        <v>23.8993984455876</v>
      </c>
      <c r="Q61" s="466">
        <f t="shared" si="205"/>
        <v>23.607002294303594</v>
      </c>
      <c r="R61" s="486">
        <f>R60-R53-R55</f>
        <v>22.4794942057284</v>
      </c>
      <c r="S61" s="486">
        <f t="shared" ref="S61:BR61" si="206">S60-S53-S55</f>
        <v>25.43986720054523</v>
      </c>
      <c r="T61" s="486">
        <f t="shared" si="206"/>
        <v>23.544927607982196</v>
      </c>
      <c r="U61" s="486">
        <f t="shared" si="206"/>
        <v>25.135542943359582</v>
      </c>
      <c r="V61" s="486">
        <f t="shared" si="206"/>
        <v>24.451070642469613</v>
      </c>
      <c r="W61" s="486">
        <f t="shared" si="206"/>
        <v>25.505868423396297</v>
      </c>
      <c r="X61" s="486">
        <f t="shared" si="206"/>
        <v>29.461646235178126</v>
      </c>
      <c r="Y61" s="486">
        <f t="shared" si="206"/>
        <v>28.356646105367268</v>
      </c>
      <c r="Z61" s="486">
        <f t="shared" si="206"/>
        <v>28.136785010554238</v>
      </c>
      <c r="AA61" s="486">
        <f t="shared" si="206"/>
        <v>25.302761548679008</v>
      </c>
      <c r="AB61" s="486">
        <f t="shared" si="206"/>
        <v>24.613785788465375</v>
      </c>
      <c r="AC61" s="486">
        <f t="shared" si="206"/>
        <v>29.453732269392777</v>
      </c>
      <c r="AD61" s="466">
        <f t="shared" si="206"/>
        <v>25.471641005310175</v>
      </c>
      <c r="AE61" s="467">
        <f t="shared" ref="AE61:AF61" si="207">AE60-AE53-AE55</f>
        <v>31.899650694558268</v>
      </c>
      <c r="AF61" s="465">
        <f t="shared" si="207"/>
        <v>27.408909224662526</v>
      </c>
      <c r="AG61" s="465">
        <f>AG60-AG53-AG55</f>
        <v>25.743659224948125</v>
      </c>
      <c r="AH61" s="465">
        <f t="shared" ref="AH61:AQ61" si="208">AH60-AH53-AH55</f>
        <v>27.544928983154918</v>
      </c>
      <c r="AI61" s="465">
        <f t="shared" si="208"/>
        <v>26.879966961975086</v>
      </c>
      <c r="AJ61" s="465">
        <f t="shared" si="208"/>
        <v>27.696159888674991</v>
      </c>
      <c r="AK61" s="465">
        <f t="shared" si="208"/>
        <v>28.138463031702781</v>
      </c>
      <c r="AL61" s="465">
        <f t="shared" si="208"/>
        <v>28.203608127945742</v>
      </c>
      <c r="AM61" s="465">
        <f t="shared" si="208"/>
        <v>28.519439612317949</v>
      </c>
      <c r="AN61" s="465">
        <f t="shared" si="208"/>
        <v>29.899387147612803</v>
      </c>
      <c r="AO61" s="465">
        <f t="shared" si="208"/>
        <v>31.243402298719705</v>
      </c>
      <c r="AP61" s="468">
        <f t="shared" si="208"/>
        <v>29.996174808525037</v>
      </c>
      <c r="AQ61" s="466">
        <f t="shared" si="208"/>
        <v>28.23225824373063</v>
      </c>
      <c r="AR61" s="469">
        <f t="shared" si="152"/>
        <v>2.7606172384204548</v>
      </c>
      <c r="AS61" s="467">
        <f t="shared" ref="AS61:BE61" si="209">AS60-AS53-AS55</f>
        <v>26.484508117862745</v>
      </c>
      <c r="AT61" s="465">
        <f t="shared" si="209"/>
        <v>27.060384016873762</v>
      </c>
      <c r="AU61" s="465">
        <f t="shared" si="209"/>
        <v>25.762322943252141</v>
      </c>
      <c r="AV61" s="465">
        <f t="shared" si="209"/>
        <v>25.971469278163848</v>
      </c>
      <c r="AW61" s="465">
        <f t="shared" si="209"/>
        <v>26.209540750037512</v>
      </c>
      <c r="AX61" s="465">
        <f t="shared" si="209"/>
        <v>26.127775580223361</v>
      </c>
      <c r="AY61" s="465">
        <f t="shared" si="209"/>
        <v>26.018576662587737</v>
      </c>
      <c r="AZ61" s="465">
        <f t="shared" si="209"/>
        <v>26.03401995689115</v>
      </c>
      <c r="BA61" s="465">
        <f t="shared" si="209"/>
        <v>26.245174754177761</v>
      </c>
      <c r="BB61" s="465">
        <f t="shared" si="209"/>
        <v>25.810960468680978</v>
      </c>
      <c r="BC61" s="465">
        <f t="shared" si="209"/>
        <v>25.961654718447594</v>
      </c>
      <c r="BD61" s="468">
        <f t="shared" si="209"/>
        <v>26.324630987454853</v>
      </c>
      <c r="BE61" s="466">
        <f t="shared" si="209"/>
        <v>26.147540400047991</v>
      </c>
      <c r="BF61" s="467">
        <f t="shared" si="206"/>
        <v>28.996336186821384</v>
      </c>
      <c r="BG61" s="465">
        <f t="shared" si="206"/>
        <v>30.824932720818513</v>
      </c>
      <c r="BH61" s="465">
        <f>BH60-BH53-BH55</f>
        <v>25.792417859699544</v>
      </c>
      <c r="BI61" s="465">
        <f>BI60-BI53-BI55</f>
        <v>25.515490049360643</v>
      </c>
      <c r="BJ61" s="465">
        <f t="shared" si="206"/>
        <v>27.897941021811359</v>
      </c>
      <c r="BK61" s="465">
        <f t="shared" si="206"/>
        <v>27.746148289870078</v>
      </c>
      <c r="BL61" s="465">
        <f t="shared" si="206"/>
        <v>0</v>
      </c>
      <c r="BM61" s="465">
        <f t="shared" si="206"/>
        <v>0</v>
      </c>
      <c r="BN61" s="465">
        <f t="shared" si="206"/>
        <v>0</v>
      </c>
      <c r="BO61" s="465">
        <f t="shared" si="206"/>
        <v>0</v>
      </c>
      <c r="BP61" s="465">
        <f t="shared" si="206"/>
        <v>0</v>
      </c>
      <c r="BQ61" s="468">
        <f t="shared" si="206"/>
        <v>0</v>
      </c>
      <c r="BR61" s="466">
        <f t="shared" si="206"/>
        <v>27.338523405693508</v>
      </c>
      <c r="BS61" s="469">
        <f>BR61-AD61</f>
        <v>1.8668824003833322</v>
      </c>
      <c r="BT61" s="465">
        <f>BE61</f>
        <v>26.147540400047991</v>
      </c>
      <c r="BU61" s="465">
        <f t="shared" ref="BU61" si="210">BU60-BU53-BU55</f>
        <v>26.127775580223361</v>
      </c>
      <c r="BV61" s="499" cm="1">
        <f t="array" ref="BV61">INDEX($BF61:$BQ61,,$D$4)-BU61</f>
        <v>1.6183727096467173</v>
      </c>
      <c r="BW61" s="500"/>
      <c r="BX61" s="613"/>
      <c r="BY61" s="501"/>
      <c r="BZ61" s="472"/>
      <c r="CA61" s="502"/>
      <c r="CB61" s="502"/>
      <c r="CC61" s="473"/>
    </row>
    <row r="62" spans="1:82" x14ac:dyDescent="0.4">
      <c r="A62" s="278">
        <v>24</v>
      </c>
      <c r="B62" s="323" t="s">
        <v>171</v>
      </c>
      <c r="C62" s="323"/>
      <c r="D62" s="323"/>
      <c r="E62" s="329">
        <f>E31</f>
        <v>841.88200000000006</v>
      </c>
      <c r="F62" s="329">
        <f t="shared" ref="F62:BQ62" si="211">F31</f>
        <v>1307.212</v>
      </c>
      <c r="G62" s="329">
        <f t="shared" si="211"/>
        <v>1683.5150000000001</v>
      </c>
      <c r="H62" s="329">
        <f t="shared" si="211"/>
        <v>1492.932</v>
      </c>
      <c r="I62" s="329">
        <f t="shared" si="211"/>
        <v>1899.635</v>
      </c>
      <c r="J62" s="329">
        <f t="shared" si="211"/>
        <v>1515.6790000000001</v>
      </c>
      <c r="K62" s="329">
        <f t="shared" si="211"/>
        <v>2178.2570000000001</v>
      </c>
      <c r="L62" s="329">
        <f t="shared" si="211"/>
        <v>2374.6089999999999</v>
      </c>
      <c r="M62" s="329">
        <f t="shared" si="211"/>
        <v>2017.2435</v>
      </c>
      <c r="N62" s="329">
        <f t="shared" si="211"/>
        <v>2500.7439999999997</v>
      </c>
      <c r="O62" s="329">
        <f t="shared" si="211"/>
        <v>1739.5754999999999</v>
      </c>
      <c r="P62" s="329">
        <f t="shared" si="211"/>
        <v>3906.0309999999995</v>
      </c>
      <c r="Q62" s="487">
        <f>SUM(E62:P62)/(12-COUNTIF(E10:P10,0))</f>
        <v>1954.7762499999999</v>
      </c>
      <c r="R62" s="329">
        <f t="shared" si="211"/>
        <v>4748.3130000000001</v>
      </c>
      <c r="S62" s="329">
        <f t="shared" si="211"/>
        <v>2926.5019999999995</v>
      </c>
      <c r="T62" s="329">
        <f t="shared" si="211"/>
        <v>4896.4380000000001</v>
      </c>
      <c r="U62" s="329">
        <f t="shared" si="211"/>
        <v>4526.3689999999997</v>
      </c>
      <c r="V62" s="329">
        <f t="shared" si="211"/>
        <v>4417.8749999999991</v>
      </c>
      <c r="W62" s="329">
        <f t="shared" si="211"/>
        <v>3495.0745000000011</v>
      </c>
      <c r="X62" s="329">
        <f t="shared" si="211"/>
        <v>1866.424</v>
      </c>
      <c r="Y62" s="329">
        <f t="shared" si="211"/>
        <v>2192.5824999999995</v>
      </c>
      <c r="Z62" s="329">
        <f t="shared" si="211"/>
        <v>2799.3996999999999</v>
      </c>
      <c r="AA62" s="329">
        <f t="shared" si="211"/>
        <v>4293.2714999999989</v>
      </c>
      <c r="AB62" s="329">
        <f t="shared" si="211"/>
        <v>4775.3970000000008</v>
      </c>
      <c r="AC62" s="329">
        <f t="shared" si="211"/>
        <v>3318.6420999999996</v>
      </c>
      <c r="AD62" s="487">
        <f>SUM(R62:AC62)/(12-COUNTIF(R10:AC10,0))</f>
        <v>3688.0240250000002</v>
      </c>
      <c r="AE62" s="490">
        <f t="shared" ref="AE62" si="212">AE31</f>
        <v>1839.7309999999998</v>
      </c>
      <c r="AF62" s="491">
        <f>AF31</f>
        <v>2957.2660000000001</v>
      </c>
      <c r="AG62" s="491">
        <f t="shared" ref="AG62:AP62" si="213">AG31</f>
        <v>4821.92</v>
      </c>
      <c r="AH62" s="491">
        <f t="shared" si="213"/>
        <v>4088.2489999999993</v>
      </c>
      <c r="AI62" s="491">
        <f t="shared" si="213"/>
        <v>4828.9710000000005</v>
      </c>
      <c r="AJ62" s="491">
        <f t="shared" si="213"/>
        <v>4232.4530000000004</v>
      </c>
      <c r="AK62" s="491">
        <f t="shared" si="213"/>
        <v>4561.6410000000005</v>
      </c>
      <c r="AL62" s="491">
        <f t="shared" si="213"/>
        <v>4570.5645000000004</v>
      </c>
      <c r="AM62" s="491">
        <f t="shared" si="213"/>
        <v>4555.5080000000007</v>
      </c>
      <c r="AN62" s="491">
        <f t="shared" si="213"/>
        <v>3173.9179999999997</v>
      </c>
      <c r="AO62" s="491">
        <f t="shared" si="213"/>
        <v>2323.2630000000004</v>
      </c>
      <c r="AP62" s="492">
        <f t="shared" si="213"/>
        <v>3552.8617999999997</v>
      </c>
      <c r="AQ62" s="487">
        <f>SUM(AE62:AP62)/(12-COUNTIF(AE10:AP10,0))</f>
        <v>3792.1955249999996</v>
      </c>
      <c r="AR62" s="493">
        <f t="shared" si="152"/>
        <v>104.17149999999947</v>
      </c>
      <c r="AS62" s="488">
        <f t="shared" ref="AS62:BD62" si="214">AS31</f>
        <v>3955</v>
      </c>
      <c r="AT62" s="329">
        <f t="shared" si="214"/>
        <v>3245</v>
      </c>
      <c r="AU62" s="329">
        <f t="shared" si="214"/>
        <v>4145</v>
      </c>
      <c r="AV62" s="329">
        <f t="shared" si="214"/>
        <v>4155</v>
      </c>
      <c r="AW62" s="329">
        <f t="shared" si="214"/>
        <v>4145</v>
      </c>
      <c r="AX62" s="329">
        <f t="shared" si="214"/>
        <v>4230</v>
      </c>
      <c r="AY62" s="329">
        <f t="shared" si="214"/>
        <v>4330</v>
      </c>
      <c r="AZ62" s="329">
        <f t="shared" si="214"/>
        <v>4370</v>
      </c>
      <c r="BA62" s="329">
        <f t="shared" si="214"/>
        <v>4355</v>
      </c>
      <c r="BB62" s="329">
        <f t="shared" si="214"/>
        <v>4380</v>
      </c>
      <c r="BC62" s="329">
        <f t="shared" si="214"/>
        <v>4320</v>
      </c>
      <c r="BD62" s="378">
        <f t="shared" si="214"/>
        <v>4370</v>
      </c>
      <c r="BE62" s="489">
        <f>SUM(AS62:BD62)/(12-COUNTIF(AS10:BD10,0))</f>
        <v>4166.666666666667</v>
      </c>
      <c r="BF62" s="490">
        <f t="shared" si="211"/>
        <v>2868.56925</v>
      </c>
      <c r="BG62" s="491">
        <f>BG31</f>
        <v>1811.1000000000001</v>
      </c>
      <c r="BH62" s="491">
        <f t="shared" si="211"/>
        <v>4279.4889999999996</v>
      </c>
      <c r="BI62" s="491">
        <f t="shared" si="211"/>
        <v>4370.2853999999998</v>
      </c>
      <c r="BJ62" s="491">
        <f t="shared" si="211"/>
        <v>3592.6819999999998</v>
      </c>
      <c r="BK62" s="491">
        <f t="shared" si="211"/>
        <v>3923.3257999999996</v>
      </c>
      <c r="BL62" s="491">
        <f t="shared" si="211"/>
        <v>0</v>
      </c>
      <c r="BM62" s="491">
        <f t="shared" si="211"/>
        <v>0</v>
      </c>
      <c r="BN62" s="491">
        <f t="shared" si="211"/>
        <v>0</v>
      </c>
      <c r="BO62" s="491">
        <f t="shared" si="211"/>
        <v>0</v>
      </c>
      <c r="BP62" s="491">
        <f t="shared" si="211"/>
        <v>0</v>
      </c>
      <c r="BQ62" s="492">
        <f t="shared" si="211"/>
        <v>0</v>
      </c>
      <c r="BR62" s="487">
        <f>SUM(BF62:BQ62)/(12-COUNTIF(BF10:BQ10,0))</f>
        <v>3474.2419083333334</v>
      </c>
      <c r="BS62" s="493">
        <f>BR62-AQ62</f>
        <v>-317.95361666666622</v>
      </c>
      <c r="BT62" s="491">
        <f>BE62</f>
        <v>4166.666666666667</v>
      </c>
      <c r="BU62" s="491" cm="1">
        <f t="array" ref="BU62">INDEX($AS62:$BD62,,$D$4)</f>
        <v>4230</v>
      </c>
      <c r="BV62" s="494" cm="1">
        <f t="array" ref="BV62">INDEX($BF62:$BQ62,,$D$4)-BU62</f>
        <v>-306.67420000000038</v>
      </c>
      <c r="BW62" s="474"/>
      <c r="BX62" s="614"/>
      <c r="BY62" s="475"/>
      <c r="BZ62" s="495"/>
      <c r="CA62" s="496"/>
      <c r="CB62" s="497"/>
      <c r="CC62" s="491"/>
    </row>
    <row r="63" spans="1:82" x14ac:dyDescent="0.4">
      <c r="A63" s="170">
        <v>25</v>
      </c>
      <c r="B63" s="993" t="s">
        <v>181</v>
      </c>
      <c r="C63" s="993"/>
      <c r="D63" s="993"/>
      <c r="E63" s="289">
        <f t="shared" ref="E63:G63" si="215">SUM(E41,E44,E46,E48,E51)</f>
        <v>23.272827611678363</v>
      </c>
      <c r="F63" s="289">
        <f t="shared" si="215"/>
        <v>22.988958065392605</v>
      </c>
      <c r="G63" s="289">
        <f t="shared" si="215"/>
        <v>22.681416894019357</v>
      </c>
      <c r="H63" s="289">
        <f>SUM(H41,H44,H46,H48,H51)</f>
        <v>22.022091720989302</v>
      </c>
      <c r="I63" s="289">
        <f t="shared" ref="I63:Q63" si="216">SUM(I41,I44,I46,I48,I51)</f>
        <v>21.697313536752585</v>
      </c>
      <c r="J63" s="289">
        <f t="shared" si="216"/>
        <v>22.551223679948059</v>
      </c>
      <c r="K63" s="289">
        <f t="shared" si="216"/>
        <v>19.165582575655666</v>
      </c>
      <c r="L63" s="289">
        <f t="shared" si="216"/>
        <v>18.316712544044094</v>
      </c>
      <c r="M63" s="289">
        <f t="shared" si="216"/>
        <v>19.152547569770331</v>
      </c>
      <c r="N63" s="289">
        <f t="shared" si="216"/>
        <v>17.787451636792891</v>
      </c>
      <c r="O63" s="289">
        <f t="shared" si="216"/>
        <v>19.180631646628733</v>
      </c>
      <c r="P63" s="289">
        <f t="shared" si="216"/>
        <v>19.131844695783933</v>
      </c>
      <c r="Q63" s="374">
        <f t="shared" si="216"/>
        <v>19.760467905924752</v>
      </c>
      <c r="R63" s="289">
        <f t="shared" ref="R63:W63" si="217">SUM(R41,R44,R46,R48,R51)</f>
        <v>17.948177509556348</v>
      </c>
      <c r="S63" s="289">
        <f t="shared" si="217"/>
        <v>19.396253595809295</v>
      </c>
      <c r="T63" s="289">
        <f t="shared" si="217"/>
        <v>19.383062338985635</v>
      </c>
      <c r="U63" s="289">
        <f>SUM(U41,U44,U46,U48,U51)</f>
        <v>19.937223798176124</v>
      </c>
      <c r="V63" s="289">
        <f t="shared" si="217"/>
        <v>19.122937523781076</v>
      </c>
      <c r="W63" s="289">
        <f t="shared" si="217"/>
        <v>18.628787451937896</v>
      </c>
      <c r="X63" s="289">
        <f t="shared" ref="X63:AQ63" si="218">SUM(X41,X44,X46,X48,X51)</f>
        <v>19.143955212370578</v>
      </c>
      <c r="Y63" s="289">
        <f t="shared" si="218"/>
        <v>18.69607359042805</v>
      </c>
      <c r="Z63" s="289">
        <f t="shared" si="218"/>
        <v>19.616423624724003</v>
      </c>
      <c r="AA63" s="289">
        <f t="shared" si="218"/>
        <v>19.368928154266165</v>
      </c>
      <c r="AB63" s="289">
        <f t="shared" si="218"/>
        <v>18.911342412100201</v>
      </c>
      <c r="AC63" s="289">
        <f t="shared" si="218"/>
        <v>18.660515558360363</v>
      </c>
      <c r="AD63" s="374">
        <f t="shared" si="218"/>
        <v>19.06531599293432</v>
      </c>
      <c r="AE63" s="372">
        <f t="shared" si="218"/>
        <v>18.809168361423463</v>
      </c>
      <c r="AF63" s="289">
        <f t="shared" si="218"/>
        <v>19.134725949147043</v>
      </c>
      <c r="AG63" s="289">
        <f t="shared" si="218"/>
        <v>19.943095257355971</v>
      </c>
      <c r="AH63" s="289">
        <f t="shared" si="218"/>
        <v>20.632131751151366</v>
      </c>
      <c r="AI63" s="289">
        <f t="shared" si="218"/>
        <v>20.818085604552159</v>
      </c>
      <c r="AJ63" s="289">
        <f t="shared" si="218"/>
        <v>20.751640374033379</v>
      </c>
      <c r="AK63" s="289">
        <f t="shared" si="218"/>
        <v>21.370348103005817</v>
      </c>
      <c r="AL63" s="289">
        <f t="shared" si="218"/>
        <v>21.271780421519004</v>
      </c>
      <c r="AM63" s="289">
        <f t="shared" si="218"/>
        <v>20.991409533362731</v>
      </c>
      <c r="AN63" s="289">
        <f t="shared" si="218"/>
        <v>19.679565105362808</v>
      </c>
      <c r="AO63" s="289">
        <f t="shared" si="218"/>
        <v>18.586108130902094</v>
      </c>
      <c r="AP63" s="384">
        <f t="shared" si="218"/>
        <v>19.327182839530295</v>
      </c>
      <c r="AQ63" s="374">
        <f t="shared" si="218"/>
        <v>20.320393161312861</v>
      </c>
      <c r="AR63" s="476">
        <f t="shared" si="152"/>
        <v>1.2550771683785413</v>
      </c>
      <c r="AS63" s="372">
        <f t="shared" ref="AS63:BE63" si="219">SUM(AS41,AS44,AS46,AS48,AS51)</f>
        <v>18.431726470342596</v>
      </c>
      <c r="AT63" s="332">
        <f t="shared" si="219"/>
        <v>18.451474250159915</v>
      </c>
      <c r="AU63" s="332">
        <f t="shared" si="219"/>
        <v>18.438634792425869</v>
      </c>
      <c r="AV63" s="332">
        <f t="shared" si="219"/>
        <v>18.437790087302357</v>
      </c>
      <c r="AW63" s="332">
        <f t="shared" si="219"/>
        <v>18.438634792425869</v>
      </c>
      <c r="AX63" s="332">
        <f t="shared" si="219"/>
        <v>18.444677171187934</v>
      </c>
      <c r="AY63" s="332">
        <f t="shared" si="219"/>
        <v>18.442961478007483</v>
      </c>
      <c r="AZ63" s="332">
        <f t="shared" si="219"/>
        <v>18.452384834709342</v>
      </c>
      <c r="BA63" s="332">
        <f t="shared" si="219"/>
        <v>18.44092185880886</v>
      </c>
      <c r="BB63" s="332">
        <f t="shared" si="219"/>
        <v>18.45155212918171</v>
      </c>
      <c r="BC63" s="332">
        <f t="shared" si="219"/>
        <v>18.443783935563964</v>
      </c>
      <c r="BD63" s="381">
        <f t="shared" si="219"/>
        <v>18.452384834709342</v>
      </c>
      <c r="BE63" s="383">
        <f t="shared" si="219"/>
        <v>18.443916461714945</v>
      </c>
      <c r="BF63" s="372">
        <f t="shared" ref="BF63:BR63" si="220">SUM(BF41,BF44,BF46,BF48,BF51)</f>
        <v>19.575337209777519</v>
      </c>
      <c r="BG63" s="289">
        <f t="shared" ref="BG63:BQ63" si="221">SUM(BG41,BG44,BG46,BG48,BG51)</f>
        <v>18.521581012658768</v>
      </c>
      <c r="BH63" s="289">
        <f t="shared" si="221"/>
        <v>19.19105057386151</v>
      </c>
      <c r="BI63" s="289">
        <f t="shared" si="221"/>
        <v>18.446340251474307</v>
      </c>
      <c r="BJ63" s="289">
        <f t="shared" si="221"/>
        <v>19.589332330935022</v>
      </c>
      <c r="BK63" s="289">
        <f t="shared" si="221"/>
        <v>20.006230151387914</v>
      </c>
      <c r="BL63" s="289">
        <f t="shared" si="221"/>
        <v>0</v>
      </c>
      <c r="BM63" s="289">
        <f t="shared" si="221"/>
        <v>0</v>
      </c>
      <c r="BN63" s="289">
        <f t="shared" si="221"/>
        <v>0</v>
      </c>
      <c r="BO63" s="289">
        <f t="shared" si="221"/>
        <v>0</v>
      </c>
      <c r="BP63" s="289">
        <f t="shared" si="221"/>
        <v>0</v>
      </c>
      <c r="BQ63" s="384">
        <f t="shared" si="221"/>
        <v>0</v>
      </c>
      <c r="BR63" s="374">
        <f t="shared" si="220"/>
        <v>19.251706234222901</v>
      </c>
      <c r="BS63" s="476">
        <f t="shared" ref="BS63:BS64" si="222">BR63-AQ63</f>
        <v>-1.0686869270899599</v>
      </c>
      <c r="BT63" s="289">
        <f t="shared" ref="BT63:BU63" si="223">SUM(BT41,BT44,BT46,BT48,BT51)</f>
        <v>18.443916461714945</v>
      </c>
      <c r="BU63" s="289">
        <f t="shared" si="223"/>
        <v>18.444677171187934</v>
      </c>
      <c r="BV63" s="430" cm="1">
        <f t="array" ref="BV63">INDEX($BF63:$BQ63,,$D$4)-BU63</f>
        <v>1.5615529801999806</v>
      </c>
      <c r="BW63" s="477">
        <f>AD63/$AD$60</f>
        <v>0.67281760426108417</v>
      </c>
      <c r="BX63" s="615">
        <f>AQ63/$AQ$60</f>
        <v>0.64528366174476748</v>
      </c>
      <c r="BY63" s="478">
        <f>BE63/$BE$60</f>
        <v>0.63711855760627456</v>
      </c>
      <c r="BZ63" s="479">
        <f>BR63/$BR$60</f>
        <v>0.62799441619559293</v>
      </c>
      <c r="CA63" s="434">
        <f t="shared" ref="CA63:CA64" si="224">BZ63-BX63</f>
        <v>-1.7289245549174548E-2</v>
      </c>
      <c r="CB63" s="434">
        <f>BZ63-BY63</f>
        <v>-9.1241414106816299E-3</v>
      </c>
      <c r="CC63" s="461"/>
    </row>
    <row r="64" spans="1:82" ht="16.5" thickBot="1" x14ac:dyDescent="0.45">
      <c r="A64" s="170">
        <v>26</v>
      </c>
      <c r="B64" s="994" t="s">
        <v>182</v>
      </c>
      <c r="C64" s="994"/>
      <c r="D64" s="994"/>
      <c r="E64" s="293">
        <f t="shared" ref="E64:K64" si="225">E60-E63</f>
        <v>17.636601157542611</v>
      </c>
      <c r="F64" s="293">
        <f t="shared" si="225"/>
        <v>12.443007389554477</v>
      </c>
      <c r="G64" s="293">
        <f t="shared" si="225"/>
        <v>10.549817974702705</v>
      </c>
      <c r="H64" s="293">
        <f t="shared" si="225"/>
        <v>10.721027241748736</v>
      </c>
      <c r="I64" s="293">
        <f t="shared" si="225"/>
        <v>9.1825577686418889</v>
      </c>
      <c r="J64" s="293">
        <f t="shared" si="225"/>
        <v>11.787930508292007</v>
      </c>
      <c r="K64" s="293">
        <f t="shared" si="225"/>
        <v>8.4737191599845509</v>
      </c>
      <c r="L64" s="293">
        <f>L60-L63</f>
        <v>7.9618960543800199</v>
      </c>
      <c r="M64" s="293">
        <f t="shared" ref="M64:P64" si="226">M60-M63</f>
        <v>8.2431523685777606</v>
      </c>
      <c r="N64" s="293">
        <f t="shared" si="226"/>
        <v>7.2158989573885073</v>
      </c>
      <c r="O64" s="293">
        <f t="shared" si="226"/>
        <v>10.106347584570354</v>
      </c>
      <c r="P64" s="293">
        <f t="shared" si="226"/>
        <v>5.5649333637903453</v>
      </c>
      <c r="Q64" s="375">
        <f>Q60-Q63</f>
        <v>4.9017272604390136</v>
      </c>
      <c r="R64" s="293">
        <f t="shared" ref="R64:X64" si="227">R60-R63</f>
        <v>6.4166454485099891</v>
      </c>
      <c r="S64" s="293">
        <f t="shared" si="227"/>
        <v>9.6509954814611199</v>
      </c>
      <c r="T64" s="293">
        <f t="shared" si="227"/>
        <v>6.3272414767622855</v>
      </c>
      <c r="U64" s="293">
        <f t="shared" si="227"/>
        <v>7.5889456566322586</v>
      </c>
      <c r="V64" s="293">
        <f t="shared" si="227"/>
        <v>7.7737789576948479</v>
      </c>
      <c r="W64" s="293">
        <f t="shared" si="227"/>
        <v>9.9689387719144413</v>
      </c>
      <c r="X64" s="293">
        <f t="shared" si="227"/>
        <v>16.125765615718912</v>
      </c>
      <c r="Y64" s="293">
        <f>Y60-Y63</f>
        <v>14.614211946066668</v>
      </c>
      <c r="Z64" s="293">
        <f t="shared" ref="Z64:AA64" si="228">Z60-Z63</f>
        <v>12.449969921188728</v>
      </c>
      <c r="AA64" s="293">
        <f t="shared" si="228"/>
        <v>8.3563742791437541</v>
      </c>
      <c r="AB64" s="293">
        <f t="shared" ref="AB64:AC64" si="229">AB60-AB63</f>
        <v>7.8519651593708559</v>
      </c>
      <c r="AC64" s="293">
        <f t="shared" si="229"/>
        <v>14.071151984317833</v>
      </c>
      <c r="AD64" s="375">
        <f>AD60-AD63</f>
        <v>9.2712136581776328</v>
      </c>
      <c r="AE64" s="373">
        <f t="shared" ref="AE64:AQ64" si="230">AE60-AE63</f>
        <v>19.292592843312658</v>
      </c>
      <c r="AF64" s="293">
        <f t="shared" si="230"/>
        <v>12.133071659921892</v>
      </c>
      <c r="AG64" s="293">
        <f t="shared" si="230"/>
        <v>8.2194541146704978</v>
      </c>
      <c r="AH64" s="293">
        <f t="shared" si="230"/>
        <v>9.7052535454521731</v>
      </c>
      <c r="AI64" s="293">
        <f t="shared" si="230"/>
        <v>8.4700374198635586</v>
      </c>
      <c r="AJ64" s="293">
        <f t="shared" si="230"/>
        <v>9.8634444919538211</v>
      </c>
      <c r="AK64" s="293">
        <f t="shared" si="230"/>
        <v>9.5368808491190222</v>
      </c>
      <c r="AL64" s="293">
        <f t="shared" si="230"/>
        <v>9.7952932041787122</v>
      </c>
      <c r="AM64" s="293">
        <f t="shared" si="230"/>
        <v>10.471490750959308</v>
      </c>
      <c r="AN64" s="293">
        <f t="shared" si="230"/>
        <v>14.401566902388158</v>
      </c>
      <c r="AO64" s="293">
        <f t="shared" si="230"/>
        <v>18.439510452413888</v>
      </c>
      <c r="AP64" s="382">
        <f t="shared" si="230"/>
        <v>14.203882330899617</v>
      </c>
      <c r="AQ64" s="375">
        <f t="shared" si="230"/>
        <v>11.170243230082857</v>
      </c>
      <c r="AR64" s="480">
        <f t="shared" si="152"/>
        <v>1.8990295719052241</v>
      </c>
      <c r="AS64" s="373">
        <f>AS60-AS63</f>
        <v>10.865294937259925</v>
      </c>
      <c r="AT64" s="293">
        <f t="shared" ref="AT64:BE64" si="231">AT60-AT63</f>
        <v>12.155252451743376</v>
      </c>
      <c r="AU64" s="293">
        <f t="shared" si="231"/>
        <v>10.121251777586419</v>
      </c>
      <c r="AV64" s="293">
        <f t="shared" si="231"/>
        <v>10.332750553297306</v>
      </c>
      <c r="AW64" s="293">
        <f t="shared" si="231"/>
        <v>10.580578953249958</v>
      </c>
      <c r="AX64" s="293">
        <f t="shared" si="231"/>
        <v>10.469876117054532</v>
      </c>
      <c r="AY64" s="293">
        <f t="shared" si="231"/>
        <v>10.298033130289447</v>
      </c>
      <c r="AZ64" s="293">
        <f t="shared" si="231"/>
        <v>10.279133910493208</v>
      </c>
      <c r="BA64" s="293">
        <f t="shared" si="231"/>
        <v>10.51104272428298</v>
      </c>
      <c r="BB64" s="293">
        <f t="shared" si="231"/>
        <v>10.053675265965207</v>
      </c>
      <c r="BC64" s="293">
        <f t="shared" si="231"/>
        <v>10.249558083328264</v>
      </c>
      <c r="BD64" s="382">
        <f t="shared" si="231"/>
        <v>10.575487374237689</v>
      </c>
      <c r="BE64" s="375">
        <f t="shared" si="231"/>
        <v>10.505038550694039</v>
      </c>
      <c r="BF64" s="373">
        <f t="shared" ref="BF64:BR64" si="232">BF60-BF63</f>
        <v>13.419729534097701</v>
      </c>
      <c r="BG64" s="293">
        <f>BG60-BG63</f>
        <v>18.619775515790469</v>
      </c>
      <c r="BH64" s="293">
        <f t="shared" ref="BH64:BQ64" si="233">BH60-BH63</f>
        <v>9.2780369134501157</v>
      </c>
      <c r="BI64" s="293">
        <f t="shared" si="233"/>
        <v>9.7267858971214132</v>
      </c>
      <c r="BJ64" s="293">
        <f t="shared" si="233"/>
        <v>11.556222651700033</v>
      </c>
      <c r="BK64" s="293">
        <f t="shared" si="233"/>
        <v>10.672106168087048</v>
      </c>
      <c r="BL64" s="293">
        <f t="shared" si="233"/>
        <v>0</v>
      </c>
      <c r="BM64" s="293">
        <f t="shared" si="233"/>
        <v>0</v>
      </c>
      <c r="BN64" s="293">
        <f t="shared" si="233"/>
        <v>0</v>
      </c>
      <c r="BO64" s="293">
        <f t="shared" si="233"/>
        <v>0</v>
      </c>
      <c r="BP64" s="293">
        <f t="shared" si="233"/>
        <v>0</v>
      </c>
      <c r="BQ64" s="382">
        <f t="shared" si="233"/>
        <v>0</v>
      </c>
      <c r="BR64" s="375">
        <f t="shared" si="232"/>
        <v>11.404149515021267</v>
      </c>
      <c r="BS64" s="480">
        <f t="shared" si="222"/>
        <v>0.23390628493840993</v>
      </c>
      <c r="BT64" s="293">
        <f>BT60-BT63</f>
        <v>10.505038550694039</v>
      </c>
      <c r="BU64" s="293">
        <f>BU60-BU63</f>
        <v>10.469876117054532</v>
      </c>
      <c r="BV64" s="454" cm="1">
        <f t="array" ref="BV64">INDEX($BF64:$BQ64,,$D$4)-BU64</f>
        <v>0.20223005103251523</v>
      </c>
      <c r="BW64" s="481">
        <f>AD64/$AD$60</f>
        <v>0.32718239573891583</v>
      </c>
      <c r="BX64" s="616">
        <f>AQ64/$AQ$60</f>
        <v>0.35471633825523247</v>
      </c>
      <c r="BY64" s="482">
        <f>BE64/$BE$60</f>
        <v>0.36288144239372538</v>
      </c>
      <c r="BZ64" s="483">
        <f>BR64/$BR$60</f>
        <v>0.37200558380440713</v>
      </c>
      <c r="CA64" s="484">
        <f t="shared" si="224"/>
        <v>1.7289245549174659E-2</v>
      </c>
      <c r="CB64" s="485">
        <f>BZ64-BY64</f>
        <v>9.1241414106817409E-3</v>
      </c>
      <c r="CC64" s="459"/>
    </row>
    <row r="65" spans="1:81" ht="16.5" thickTop="1" x14ac:dyDescent="0.4">
      <c r="A65" s="170"/>
      <c r="B65" s="213"/>
      <c r="C65" s="213"/>
      <c r="D65" s="213"/>
      <c r="E65" s="213"/>
      <c r="F65" s="213"/>
      <c r="G65" s="213"/>
      <c r="H65" s="213"/>
      <c r="I65" s="297"/>
      <c r="J65" s="297"/>
      <c r="K65" s="297"/>
      <c r="L65" s="297"/>
      <c r="M65" s="297"/>
      <c r="N65" s="297"/>
      <c r="O65" s="297"/>
      <c r="P65" s="297"/>
      <c r="Q65" s="297"/>
      <c r="R65" s="538"/>
      <c r="S65" s="213"/>
      <c r="T65" s="213"/>
      <c r="U65" s="213"/>
      <c r="V65" s="297"/>
      <c r="W65" s="297"/>
      <c r="X65" s="297"/>
      <c r="Y65" s="297"/>
      <c r="Z65" s="297"/>
      <c r="AA65" s="297"/>
      <c r="AB65" s="297"/>
      <c r="AC65" s="297"/>
      <c r="AD65" s="297"/>
      <c r="AE65" s="556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8"/>
      <c r="AS65" s="298"/>
      <c r="AT65" s="298"/>
      <c r="AU65" s="298"/>
      <c r="AV65" s="298"/>
      <c r="AW65" s="298"/>
      <c r="AX65" s="298"/>
      <c r="AY65" s="298"/>
      <c r="AZ65" s="298"/>
      <c r="BA65" s="298"/>
      <c r="BB65" s="298"/>
      <c r="BC65" s="298"/>
      <c r="BD65" s="298"/>
      <c r="BE65" s="298"/>
      <c r="BF65" s="556"/>
      <c r="BG65" s="297"/>
      <c r="BH65" s="297"/>
      <c r="BI65" s="297"/>
      <c r="BJ65" s="297"/>
      <c r="BK65" s="297"/>
      <c r="BL65" s="297"/>
      <c r="BM65" s="297"/>
      <c r="BN65" s="297"/>
      <c r="BO65" s="297"/>
      <c r="BP65" s="297"/>
      <c r="BQ65" s="297"/>
      <c r="BR65" s="297"/>
      <c r="BS65" s="298"/>
      <c r="BT65" s="298"/>
      <c r="BU65" s="213"/>
      <c r="BV65" s="216"/>
      <c r="BW65" s="216"/>
      <c r="BX65" s="216"/>
      <c r="BY65" s="213"/>
      <c r="BZ65" s="213"/>
      <c r="CA65" s="213"/>
      <c r="CB65" s="213"/>
      <c r="CC65" s="213"/>
    </row>
    <row r="66" spans="1:81" x14ac:dyDescent="0.4">
      <c r="A66" s="170"/>
      <c r="B66" s="213"/>
      <c r="C66" s="213"/>
      <c r="D66" s="213"/>
      <c r="E66" s="213"/>
      <c r="F66" s="213"/>
      <c r="G66" s="213"/>
      <c r="H66" s="213"/>
      <c r="I66" s="297"/>
      <c r="J66" s="297"/>
      <c r="K66" s="297"/>
      <c r="L66" s="297"/>
      <c r="M66" s="297"/>
      <c r="N66" s="297"/>
      <c r="O66" s="297"/>
      <c r="P66" s="297"/>
      <c r="Q66" s="297"/>
      <c r="R66" s="213"/>
      <c r="S66" s="213"/>
      <c r="T66" s="213"/>
      <c r="U66" s="213"/>
      <c r="V66" s="297"/>
      <c r="W66" s="297"/>
      <c r="X66" s="297"/>
      <c r="Y66" s="297"/>
      <c r="Z66" s="297"/>
      <c r="AA66" s="297"/>
      <c r="AB66" s="297"/>
      <c r="AC66" s="297"/>
      <c r="AD66" s="297"/>
      <c r="AE66" s="556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9"/>
      <c r="AS66" s="298"/>
      <c r="AT66" s="298"/>
      <c r="AU66" s="298"/>
      <c r="AV66" s="298"/>
      <c r="AW66" s="298"/>
      <c r="AX66" s="298"/>
      <c r="AY66" s="298"/>
      <c r="AZ66" s="298"/>
      <c r="BA66" s="298"/>
      <c r="BB66" s="298"/>
      <c r="BC66" s="298"/>
      <c r="BD66" s="298"/>
      <c r="BE66" s="298"/>
      <c r="BF66" s="556"/>
      <c r="BG66" s="297"/>
      <c r="BH66" s="297"/>
      <c r="BI66" s="297"/>
      <c r="BJ66" s="297"/>
      <c r="BK66" s="297"/>
      <c r="BL66" s="297"/>
      <c r="BM66" s="297"/>
      <c r="BN66" s="297"/>
      <c r="BO66" s="297"/>
      <c r="BP66" s="297"/>
      <c r="BQ66" s="297"/>
      <c r="BR66" s="297"/>
      <c r="BS66" s="299"/>
      <c r="BT66" s="298"/>
      <c r="BU66" s="213"/>
      <c r="BV66" s="216"/>
      <c r="BW66" s="216"/>
      <c r="BX66" s="216"/>
      <c r="BY66" s="213"/>
      <c r="BZ66" s="213"/>
      <c r="CA66" s="213"/>
      <c r="CB66" s="213"/>
      <c r="CC66" s="213"/>
    </row>
    <row r="67" spans="1:81" ht="21" x14ac:dyDescent="0.5">
      <c r="B67" s="162" t="s">
        <v>312</v>
      </c>
      <c r="AQ67" s="166"/>
      <c r="BR67" s="166"/>
    </row>
    <row r="68" spans="1:81" ht="16.5" thickBot="1" x14ac:dyDescent="0.45">
      <c r="D68" s="164" t="s">
        <v>183</v>
      </c>
    </row>
    <row r="69" spans="1:81" ht="32.5" thickTop="1" x14ac:dyDescent="0.4">
      <c r="B69" s="228" t="s">
        <v>57</v>
      </c>
      <c r="C69" s="171" t="s">
        <v>58</v>
      </c>
      <c r="D69" s="228" t="s">
        <v>59</v>
      </c>
      <c r="E69" s="743" t="s">
        <v>115</v>
      </c>
      <c r="F69" s="743" t="s">
        <v>118</v>
      </c>
      <c r="G69" s="743" t="s">
        <v>119</v>
      </c>
      <c r="H69" s="743" t="s">
        <v>120</v>
      </c>
      <c r="I69" s="743" t="s">
        <v>121</v>
      </c>
      <c r="J69" s="743" t="s">
        <v>122</v>
      </c>
      <c r="K69" s="743" t="s">
        <v>123</v>
      </c>
      <c r="L69" s="743" t="s">
        <v>258</v>
      </c>
      <c r="M69" s="743" t="s">
        <v>124</v>
      </c>
      <c r="N69" s="743" t="s">
        <v>69</v>
      </c>
      <c r="O69" s="743" t="s">
        <v>70</v>
      </c>
      <c r="P69" s="744" t="s">
        <v>71</v>
      </c>
      <c r="Q69" s="618" t="s">
        <v>257</v>
      </c>
      <c r="R69" s="745" t="s">
        <v>72</v>
      </c>
      <c r="S69" s="745" t="s">
        <v>73</v>
      </c>
      <c r="T69" s="745" t="s">
        <v>74</v>
      </c>
      <c r="U69" s="745" t="s">
        <v>75</v>
      </c>
      <c r="V69" s="745" t="s">
        <v>76</v>
      </c>
      <c r="W69" s="745" t="s">
        <v>77</v>
      </c>
      <c r="X69" s="745" t="s">
        <v>78</v>
      </c>
      <c r="Y69" s="745" t="s">
        <v>79</v>
      </c>
      <c r="Z69" s="745" t="s">
        <v>80</v>
      </c>
      <c r="AA69" s="745" t="s">
        <v>81</v>
      </c>
      <c r="AB69" s="745" t="s">
        <v>82</v>
      </c>
      <c r="AC69" s="746" t="s">
        <v>83</v>
      </c>
      <c r="AD69" s="617" t="s">
        <v>174</v>
      </c>
      <c r="AE69" s="536" t="s">
        <v>228</v>
      </c>
      <c r="AF69" s="536" t="s">
        <v>229</v>
      </c>
      <c r="AG69" s="536" t="s">
        <v>230</v>
      </c>
      <c r="AH69" s="536" t="s">
        <v>231</v>
      </c>
      <c r="AI69" s="536" t="s">
        <v>232</v>
      </c>
      <c r="AJ69" s="536" t="s">
        <v>233</v>
      </c>
      <c r="AK69" s="536" t="s">
        <v>234</v>
      </c>
      <c r="AL69" s="536" t="s">
        <v>235</v>
      </c>
      <c r="AM69" s="536" t="s">
        <v>236</v>
      </c>
      <c r="AN69" s="536" t="s">
        <v>237</v>
      </c>
      <c r="AO69" s="536" t="s">
        <v>238</v>
      </c>
      <c r="AP69" s="535" t="s">
        <v>239</v>
      </c>
      <c r="AQ69" s="370" t="s">
        <v>240</v>
      </c>
      <c r="AR69" s="370"/>
      <c r="AS69" s="350" t="s">
        <v>277</v>
      </c>
      <c r="AT69" s="339" t="s">
        <v>278</v>
      </c>
      <c r="AU69" s="339" t="s">
        <v>279</v>
      </c>
      <c r="AV69" s="339" t="s">
        <v>280</v>
      </c>
      <c r="AW69" s="339" t="s">
        <v>281</v>
      </c>
      <c r="AX69" s="339" t="s">
        <v>282</v>
      </c>
      <c r="AY69" s="339" t="s">
        <v>283</v>
      </c>
      <c r="AZ69" s="339" t="s">
        <v>284</v>
      </c>
      <c r="BA69" s="339" t="s">
        <v>285</v>
      </c>
      <c r="BB69" s="339" t="s">
        <v>286</v>
      </c>
      <c r="BC69" s="339" t="s">
        <v>287</v>
      </c>
      <c r="BD69" s="376" t="s">
        <v>288</v>
      </c>
      <c r="BE69" s="379" t="s">
        <v>289</v>
      </c>
      <c r="BF69" s="231" t="str">
        <f>BF8</f>
        <v>T1.26</v>
      </c>
      <c r="BG69" s="231" t="str">
        <f t="shared" ref="BG69:BR69" si="234">BG8</f>
        <v>T2.26</v>
      </c>
      <c r="BH69" s="231" t="str">
        <f t="shared" si="234"/>
        <v>T3.26</v>
      </c>
      <c r="BI69" s="231" t="str">
        <f t="shared" si="234"/>
        <v>T4.26</v>
      </c>
      <c r="BJ69" s="231" t="str">
        <f t="shared" si="234"/>
        <v>T5.26</v>
      </c>
      <c r="BK69" s="231" t="str">
        <f t="shared" si="234"/>
        <v>T6.26</v>
      </c>
      <c r="BL69" s="231" t="str">
        <f t="shared" si="234"/>
        <v>T7.26</v>
      </c>
      <c r="BM69" s="231" t="str">
        <f t="shared" si="234"/>
        <v>T8.26</v>
      </c>
      <c r="BN69" s="231" t="str">
        <f t="shared" si="234"/>
        <v>T9.26</v>
      </c>
      <c r="BO69" s="231" t="str">
        <f t="shared" si="234"/>
        <v>T10.26</v>
      </c>
      <c r="BP69" s="231" t="str">
        <f t="shared" si="234"/>
        <v>T11.26</v>
      </c>
      <c r="BQ69" s="340" t="str">
        <f t="shared" si="234"/>
        <v>T12.26</v>
      </c>
      <c r="BR69" s="358" t="str">
        <f t="shared" si="234"/>
        <v>BQ TT 2026</v>
      </c>
      <c r="BS69" s="379" t="s">
        <v>289</v>
      </c>
      <c r="BU69" s="160"/>
      <c r="BV69" s="158"/>
      <c r="BW69" s="158"/>
      <c r="BX69" s="158"/>
    </row>
    <row r="70" spans="1:81" x14ac:dyDescent="0.4">
      <c r="B70" s="236" t="s">
        <v>161</v>
      </c>
      <c r="C70" s="213"/>
      <c r="D70" s="237" t="s">
        <v>162</v>
      </c>
      <c r="E70" s="391">
        <f t="shared" ref="E70:Q70" si="235">SUM(E71:E81)</f>
        <v>0.6358653345706291</v>
      </c>
      <c r="F70" s="391">
        <f t="shared" si="235"/>
        <v>0.72226927333721669</v>
      </c>
      <c r="G70" s="391">
        <f t="shared" si="235"/>
        <v>0.7573400542299209</v>
      </c>
      <c r="H70" s="391">
        <f t="shared" si="235"/>
        <v>0.75023792355869834</v>
      </c>
      <c r="I70" s="391">
        <f t="shared" si="235"/>
        <v>0.77985543948182168</v>
      </c>
      <c r="J70" s="391">
        <f t="shared" si="235"/>
        <v>0.74935411513318539</v>
      </c>
      <c r="K70" s="391">
        <f t="shared" si="235"/>
        <v>0.77803844975352188</v>
      </c>
      <c r="L70" s="391">
        <f t="shared" si="235"/>
        <v>0.77568930945572889</v>
      </c>
      <c r="M70" s="391">
        <f t="shared" si="235"/>
        <v>0.77538442977759081</v>
      </c>
      <c r="N70" s="391">
        <f t="shared" si="235"/>
        <v>0.79672094534725479</v>
      </c>
      <c r="O70" s="391">
        <f t="shared" si="235"/>
        <v>0.7390135047997124</v>
      </c>
      <c r="P70" s="392">
        <f t="shared" si="235"/>
        <v>0.84896890486452536</v>
      </c>
      <c r="Q70" s="393">
        <f t="shared" si="235"/>
        <v>0.85569852837427351</v>
      </c>
      <c r="R70" s="391">
        <f t="shared" ref="R70:Z70" si="236">SUM(R71:R81)</f>
        <v>0.80848561423907594</v>
      </c>
      <c r="S70" s="391">
        <f t="shared" si="236"/>
        <v>0.73402017833199706</v>
      </c>
      <c r="T70" s="391">
        <f t="shared" si="236"/>
        <v>0.8141748789143598</v>
      </c>
      <c r="U70" s="391">
        <f t="shared" si="236"/>
        <v>0.80006822896834895</v>
      </c>
      <c r="V70" s="391">
        <f t="shared" si="236"/>
        <v>0.78161281326701049</v>
      </c>
      <c r="W70" s="391">
        <f t="shared" si="236"/>
        <v>0.7416315776218203</v>
      </c>
      <c r="X70" s="391">
        <f t="shared" si="236"/>
        <v>0.61738783908356965</v>
      </c>
      <c r="Y70" s="391">
        <f t="shared" si="236"/>
        <v>0.6359034761962048</v>
      </c>
      <c r="Z70" s="391">
        <f t="shared" si="236"/>
        <v>0.68366849288831477</v>
      </c>
      <c r="AA70" s="391">
        <f t="shared" ref="AA70:AB70" si="237">SUM(AA71:AA81)</f>
        <v>0.76477720922050074</v>
      </c>
      <c r="AB70" s="391">
        <f t="shared" si="237"/>
        <v>0.77848715023296422</v>
      </c>
      <c r="AC70" s="392">
        <f t="shared" ref="AC70" si="238">SUM(AC71:AC81)</f>
        <v>0.64370806282672244</v>
      </c>
      <c r="AD70" s="393">
        <f>SUM(AD71:AD81)</f>
        <v>0.7448059488983404</v>
      </c>
      <c r="AE70" s="391">
        <f t="shared" ref="AE70:AQ70" si="239">SUM(AE71:AE81)</f>
        <v>0.56392281491719243</v>
      </c>
      <c r="AF70" s="391">
        <f t="shared" si="239"/>
        <v>0.6800190818326689</v>
      </c>
      <c r="AG70" s="391">
        <f t="shared" si="239"/>
        <v>0.77286704381460436</v>
      </c>
      <c r="AH70" s="391">
        <f t="shared" si="239"/>
        <v>0.75202826488776386</v>
      </c>
      <c r="AI70" s="391">
        <f t="shared" si="239"/>
        <v>0.7744312237036326</v>
      </c>
      <c r="AJ70" s="391">
        <f t="shared" si="239"/>
        <v>0.74562613233247443</v>
      </c>
      <c r="AK70" s="391">
        <f t="shared" si="239"/>
        <v>0.75965765762802229</v>
      </c>
      <c r="AL70" s="391">
        <f t="shared" si="239"/>
        <v>0.75624495888202137</v>
      </c>
      <c r="AM70" s="391">
        <f t="shared" si="239"/>
        <v>0.74168557321969664</v>
      </c>
      <c r="AN70" s="391">
        <f t="shared" si="239"/>
        <v>0.66555190289702737</v>
      </c>
      <c r="AO70" s="391">
        <f t="shared" si="239"/>
        <v>0.58163542820796754</v>
      </c>
      <c r="AP70" s="392">
        <f t="shared" si="239"/>
        <v>0.63792477527973102</v>
      </c>
      <c r="AQ70" s="393">
        <f t="shared" si="239"/>
        <v>0.71567874606163262</v>
      </c>
      <c r="AR70" s="393"/>
      <c r="AS70" s="391">
        <f t="shared" ref="AS70:BE70" si="240">SUM(AS71:AS81)</f>
        <v>0.68770399622265188</v>
      </c>
      <c r="AT70" s="391">
        <f t="shared" si="240"/>
        <v>0.66125179577039095</v>
      </c>
      <c r="AU70" s="391">
        <f t="shared" si="240"/>
        <v>0.70451501123380622</v>
      </c>
      <c r="AV70" s="391">
        <f t="shared" si="240"/>
        <v>0.70014169304293339</v>
      </c>
      <c r="AW70" s="391">
        <f t="shared" si="240"/>
        <v>0.69349147243143494</v>
      </c>
      <c r="AX70" s="391">
        <f t="shared" si="240"/>
        <v>0.69692660414395746</v>
      </c>
      <c r="AY70" s="391">
        <f t="shared" si="240"/>
        <v>0.70233625819118661</v>
      </c>
      <c r="AZ70" s="391">
        <f t="shared" si="240"/>
        <v>0.70308472174806347</v>
      </c>
      <c r="BA70" s="391">
        <f t="shared" si="240"/>
        <v>0.6972930879737369</v>
      </c>
      <c r="BB70" s="391">
        <f t="shared" si="240"/>
        <v>0.71031799275430951</v>
      </c>
      <c r="BC70" s="391">
        <f t="shared" si="240"/>
        <v>0.70491946243648707</v>
      </c>
      <c r="BD70" s="392">
        <f t="shared" si="240"/>
        <v>0.6963310143179432</v>
      </c>
      <c r="BE70" s="393">
        <f t="shared" si="240"/>
        <v>0.6971582060491428</v>
      </c>
      <c r="BF70" s="391">
        <f t="shared" ref="BF70:BJ70" si="241">SUM(BF71:BF81)</f>
        <v>0.65990678942569636</v>
      </c>
      <c r="BG70" s="391">
        <f t="shared" si="241"/>
        <v>0.55513038385190383</v>
      </c>
      <c r="BH70" s="391">
        <f t="shared" si="241"/>
        <v>0.75161840865782203</v>
      </c>
      <c r="BI70" s="391">
        <f t="shared" si="241"/>
        <v>0.73470537937697888</v>
      </c>
      <c r="BJ70" s="391">
        <f t="shared" si="241"/>
        <v>0.71059489851913848</v>
      </c>
      <c r="BK70" s="391">
        <f t="shared" ref="BK70:BQ70" si="242">SUM(BK71:BK81)</f>
        <v>0.72989061836756819</v>
      </c>
      <c r="BL70" s="391">
        <f t="shared" si="242"/>
        <v>0</v>
      </c>
      <c r="BM70" s="391">
        <f t="shared" si="242"/>
        <v>0</v>
      </c>
      <c r="BN70" s="391">
        <f t="shared" si="242"/>
        <v>0</v>
      </c>
      <c r="BO70" s="391">
        <f t="shared" si="242"/>
        <v>0</v>
      </c>
      <c r="BP70" s="391">
        <f t="shared" si="242"/>
        <v>0</v>
      </c>
      <c r="BQ70" s="392">
        <f t="shared" si="242"/>
        <v>0</v>
      </c>
      <c r="BR70" s="393">
        <f t="shared" ref="BR70:BS70" si="243">SUM(BR71:BR81)</f>
        <v>0.70278060975248746</v>
      </c>
      <c r="BS70" s="393">
        <f t="shared" si="243"/>
        <v>0.6971582060491428</v>
      </c>
      <c r="BU70" s="160"/>
      <c r="BV70" s="158"/>
      <c r="BW70" s="158"/>
      <c r="BX70" s="158"/>
    </row>
    <row r="71" spans="1:81" x14ac:dyDescent="0.4">
      <c r="B71" s="245">
        <v>1</v>
      </c>
      <c r="C71" s="246" t="s">
        <v>96</v>
      </c>
      <c r="D71" s="246" t="s">
        <v>260</v>
      </c>
      <c r="E71" s="394">
        <f t="shared" ref="E71:Q71" si="244">E41/E$60</f>
        <v>0.55703483178111923</v>
      </c>
      <c r="F71" s="394">
        <f t="shared" si="244"/>
        <v>0.63503585233586812</v>
      </c>
      <c r="G71" s="394">
        <f t="shared" si="244"/>
        <v>0.65967575257273703</v>
      </c>
      <c r="H71" s="394">
        <f t="shared" si="244"/>
        <v>0.6437162184831654</v>
      </c>
      <c r="I71" s="394">
        <f t="shared" si="244"/>
        <v>0.67373681947334074</v>
      </c>
      <c r="J71" s="394">
        <f t="shared" si="244"/>
        <v>0.63447681563222358</v>
      </c>
      <c r="K71" s="394">
        <f t="shared" si="244"/>
        <v>0.66550586213107965</v>
      </c>
      <c r="L71" s="394">
        <f t="shared" si="244"/>
        <v>0.66842847675765726</v>
      </c>
      <c r="M71" s="394">
        <f t="shared" si="244"/>
        <v>0.6667474580592756</v>
      </c>
      <c r="N71" s="394">
        <f t="shared" si="244"/>
        <v>0.67337658925781885</v>
      </c>
      <c r="O71" s="394">
        <f t="shared" si="244"/>
        <v>0.61495539690656342</v>
      </c>
      <c r="P71" s="395">
        <f t="shared" si="244"/>
        <v>0.74396002384063964</v>
      </c>
      <c r="Q71" s="396">
        <f t="shared" si="244"/>
        <v>0.78363762793459935</v>
      </c>
      <c r="R71" s="394">
        <f t="shared" ref="R71:Z71" si="245">R41/R$60</f>
        <v>0.71213352655584772</v>
      </c>
      <c r="S71" s="394">
        <f t="shared" si="245"/>
        <v>0.64323463993718388</v>
      </c>
      <c r="T71" s="394">
        <f t="shared" si="245"/>
        <v>0.73259045150432578</v>
      </c>
      <c r="U71" s="394">
        <f t="shared" si="245"/>
        <v>0.70874511341577273</v>
      </c>
      <c r="V71" s="394">
        <f t="shared" si="245"/>
        <v>0.69439837426923423</v>
      </c>
      <c r="W71" s="394">
        <f t="shared" si="245"/>
        <v>0.63460115989598742</v>
      </c>
      <c r="X71" s="394">
        <f t="shared" si="245"/>
        <v>0.51839349087342856</v>
      </c>
      <c r="Y71" s="394">
        <f t="shared" si="245"/>
        <v>0.54521456999611406</v>
      </c>
      <c r="Z71" s="394">
        <f t="shared" si="245"/>
        <v>0.59243323635590905</v>
      </c>
      <c r="AA71" s="394">
        <f t="shared" ref="AA71:AB71" si="246">AA41/AA$60</f>
        <v>0.67412693009428848</v>
      </c>
      <c r="AB71" s="394">
        <f t="shared" si="246"/>
        <v>0.68448211946350257</v>
      </c>
      <c r="AC71" s="395">
        <f t="shared" ref="AC71:BR71" si="247">AC41/AC$60</f>
        <v>0.55861459818911952</v>
      </c>
      <c r="AD71" s="396">
        <f t="shared" si="247"/>
        <v>0.65312789759722734</v>
      </c>
      <c r="AE71" s="394">
        <f>IFERROR(AE41/AE$60,0)</f>
        <v>0.48062196514202232</v>
      </c>
      <c r="AF71" s="394">
        <f t="shared" ref="AF71:AP71" si="248">IFERROR(AF41/AF$60,0)</f>
        <v>0.59464075996852661</v>
      </c>
      <c r="AG71" s="394">
        <f t="shared" si="248"/>
        <v>0.68847750703002075</v>
      </c>
      <c r="AH71" s="394">
        <f t="shared" si="248"/>
        <v>0.65948796136741794</v>
      </c>
      <c r="AI71" s="394">
        <f t="shared" si="248"/>
        <v>0.68763904937680975</v>
      </c>
      <c r="AJ71" s="394">
        <f t="shared" si="248"/>
        <v>0.6540242798953213</v>
      </c>
      <c r="AK71" s="394">
        <f t="shared" si="248"/>
        <v>0.66393562071722445</v>
      </c>
      <c r="AL71" s="394">
        <f t="shared" si="248"/>
        <v>0.65919794134355691</v>
      </c>
      <c r="AM71" s="394">
        <f t="shared" si="248"/>
        <v>0.64345193740579421</v>
      </c>
      <c r="AN71" s="394">
        <f t="shared" si="248"/>
        <v>0.56013153943161531</v>
      </c>
      <c r="AO71" s="394">
        <f t="shared" si="248"/>
        <v>0.48576512569986863</v>
      </c>
      <c r="AP71" s="395">
        <f t="shared" si="248"/>
        <v>0.55722550917478653</v>
      </c>
      <c r="AQ71" s="396">
        <f t="shared" ref="AQ71:AQ81" si="249">AQ41/AQ$60</f>
        <v>0.62396446525623883</v>
      </c>
      <c r="AR71" s="396"/>
      <c r="AS71" s="394">
        <f t="shared" ref="AS71:BE71" si="250">AS41/AS$60</f>
        <v>0.60800867164383676</v>
      </c>
      <c r="AT71" s="394">
        <f t="shared" si="250"/>
        <v>0.58238581288194435</v>
      </c>
      <c r="AU71" s="394">
        <f t="shared" si="250"/>
        <v>0.62390894486362192</v>
      </c>
      <c r="AV71" s="394">
        <f t="shared" si="250"/>
        <v>0.61926878616244418</v>
      </c>
      <c r="AW71" s="394">
        <f t="shared" si="250"/>
        <v>0.61403347628521743</v>
      </c>
      <c r="AX71" s="394">
        <f t="shared" si="250"/>
        <v>0.61619206435688756</v>
      </c>
      <c r="AY71" s="394">
        <f t="shared" si="250"/>
        <v>0.62014745666319759</v>
      </c>
      <c r="AZ71" s="394">
        <f t="shared" si="250"/>
        <v>0.62059648281973956</v>
      </c>
      <c r="BA71" s="394">
        <f t="shared" si="250"/>
        <v>0.61545692634795657</v>
      </c>
      <c r="BB71" s="394">
        <f t="shared" si="250"/>
        <v>0.62545327233125814</v>
      </c>
      <c r="BC71" s="394">
        <f t="shared" si="250"/>
        <v>0.62124718078828645</v>
      </c>
      <c r="BD71" s="395">
        <f t="shared" si="250"/>
        <v>0.61426064408008219</v>
      </c>
      <c r="BE71" s="396">
        <f t="shared" si="250"/>
        <v>0.61564684923847379</v>
      </c>
      <c r="BF71" s="394">
        <f t="shared" ref="BF71:BJ71" si="251">BF41/BF$60</f>
        <v>0.57352075400072655</v>
      </c>
      <c r="BG71" s="394">
        <f t="shared" si="251"/>
        <v>0.4874406187673746</v>
      </c>
      <c r="BH71" s="394">
        <f t="shared" si="251"/>
        <v>0.64844504566225136</v>
      </c>
      <c r="BI71" s="394">
        <f t="shared" si="251"/>
        <v>0.6311168408281097</v>
      </c>
      <c r="BJ71" s="394">
        <f t="shared" si="251"/>
        <v>0.60225075859203048</v>
      </c>
      <c r="BK71" s="394">
        <f t="shared" ref="BK71:BQ71" si="252">IFERROR(BK41/BK$60,0)</f>
        <v>0.62657823879892738</v>
      </c>
      <c r="BL71" s="394">
        <f t="shared" si="252"/>
        <v>0</v>
      </c>
      <c r="BM71" s="394">
        <f t="shared" si="252"/>
        <v>0</v>
      </c>
      <c r="BN71" s="394">
        <f t="shared" si="252"/>
        <v>0</v>
      </c>
      <c r="BO71" s="394">
        <f t="shared" si="252"/>
        <v>0</v>
      </c>
      <c r="BP71" s="394">
        <f t="shared" si="252"/>
        <v>0</v>
      </c>
      <c r="BQ71" s="395">
        <f t="shared" si="252"/>
        <v>0</v>
      </c>
      <c r="BR71" s="396">
        <f t="shared" si="247"/>
        <v>0.60495066471296455</v>
      </c>
      <c r="BS71" s="396">
        <f t="shared" ref="BS71:BS81" si="253">BE71</f>
        <v>0.61564684923847379</v>
      </c>
      <c r="BU71" s="160"/>
      <c r="BV71" s="158"/>
      <c r="BW71" s="158"/>
      <c r="BX71" s="158"/>
    </row>
    <row r="72" spans="1:81" x14ac:dyDescent="0.4">
      <c r="B72" s="256">
        <f>B71+1</f>
        <v>2</v>
      </c>
      <c r="C72" s="257" t="s">
        <v>96</v>
      </c>
      <c r="D72" s="257" t="s">
        <v>25</v>
      </c>
      <c r="E72" s="397">
        <f t="shared" ref="E72:Q72" si="254">E42/E$60</f>
        <v>3.9980277280425393E-2</v>
      </c>
      <c r="F72" s="397">
        <f t="shared" si="254"/>
        <v>4.7895743872994057E-2</v>
      </c>
      <c r="G72" s="397">
        <f t="shared" si="254"/>
        <v>4.6025916590600888E-2</v>
      </c>
      <c r="H72" s="397">
        <f t="shared" si="254"/>
        <v>4.8865076363090704E-2</v>
      </c>
      <c r="I72" s="397">
        <f t="shared" si="254"/>
        <v>4.7519622996129475E-2</v>
      </c>
      <c r="J72" s="397">
        <f t="shared" si="254"/>
        <v>5.1027329478913724E-2</v>
      </c>
      <c r="K72" s="397">
        <f t="shared" si="254"/>
        <v>5.207598906763377E-2</v>
      </c>
      <c r="L72" s="397">
        <f t="shared" si="254"/>
        <v>4.7737054490641917E-2</v>
      </c>
      <c r="M72" s="397">
        <f t="shared" si="254"/>
        <v>5.2756193929967367E-2</v>
      </c>
      <c r="N72" s="397">
        <f t="shared" si="254"/>
        <v>5.3371329536941084E-2</v>
      </c>
      <c r="O72" s="397">
        <f t="shared" si="254"/>
        <v>5.5209922014871002E-2</v>
      </c>
      <c r="P72" s="398">
        <f t="shared" si="254"/>
        <v>5.4145925886859403E-2</v>
      </c>
      <c r="Q72" s="399">
        <f t="shared" si="254"/>
        <v>3.152219654025417E-2</v>
      </c>
      <c r="R72" s="397">
        <f t="shared" ref="R72:Z72" si="255">R42/R$60</f>
        <v>4.7703491804289837E-2</v>
      </c>
      <c r="S72" s="397">
        <f t="shared" si="255"/>
        <v>4.8823663663341454E-2</v>
      </c>
      <c r="T72" s="397">
        <f t="shared" si="255"/>
        <v>4.0655638031358472E-2</v>
      </c>
      <c r="U72" s="397">
        <f t="shared" si="255"/>
        <v>4.7543794864408191E-2</v>
      </c>
      <c r="V72" s="397">
        <f t="shared" si="255"/>
        <v>4.7468984669265593E-2</v>
      </c>
      <c r="W72" s="397">
        <f t="shared" si="255"/>
        <v>4.8453602264094842E-2</v>
      </c>
      <c r="X72" s="397">
        <f t="shared" si="255"/>
        <v>4.6522599956313734E-2</v>
      </c>
      <c r="Y72" s="397">
        <f t="shared" si="255"/>
        <v>4.8538311026246284E-2</v>
      </c>
      <c r="Z72" s="397">
        <f t="shared" si="255"/>
        <v>5.2012533356190625E-2</v>
      </c>
      <c r="AA72" s="397">
        <f t="shared" ref="AA72:AB72" si="256">AA42/AA$60</f>
        <v>4.6810830376907905E-2</v>
      </c>
      <c r="AB72" s="397">
        <f t="shared" si="256"/>
        <v>5.0353102130720716E-2</v>
      </c>
      <c r="AC72" s="398">
        <f t="shared" ref="AC72:AD72" si="257">AC42/AC$60</f>
        <v>4.4989010086324957E-2</v>
      </c>
      <c r="AD72" s="399">
        <f t="shared" si="257"/>
        <v>4.7338188666920536E-2</v>
      </c>
      <c r="AE72" s="397">
        <f t="shared" ref="AE72:AP81" si="258">IFERROR(AE42/AE$60,0)</f>
        <v>4.594329881917554E-2</v>
      </c>
      <c r="AF72" s="397">
        <f t="shared" si="258"/>
        <v>4.5464752701987542E-2</v>
      </c>
      <c r="AG72" s="397">
        <f t="shared" si="258"/>
        <v>4.8318878518260257E-2</v>
      </c>
      <c r="AH72" s="397">
        <f t="shared" si="258"/>
        <v>4.9949398187919082E-2</v>
      </c>
      <c r="AI72" s="397">
        <f t="shared" si="258"/>
        <v>4.6874045359833291E-2</v>
      </c>
      <c r="AJ72" s="397">
        <f t="shared" si="258"/>
        <v>4.9601247859685615E-2</v>
      </c>
      <c r="AK72" s="397">
        <f t="shared" si="258"/>
        <v>5.0597861728878209E-2</v>
      </c>
      <c r="AL72" s="397">
        <f t="shared" si="258"/>
        <v>5.1295689266221814E-2</v>
      </c>
      <c r="AM72" s="397">
        <f t="shared" si="258"/>
        <v>4.9410814145119698E-2</v>
      </c>
      <c r="AN72" s="397">
        <f t="shared" si="258"/>
        <v>5.7919032009387694E-2</v>
      </c>
      <c r="AO72" s="397">
        <f t="shared" si="258"/>
        <v>5.0604678966183099E-2</v>
      </c>
      <c r="AP72" s="398">
        <f t="shared" si="258"/>
        <v>4.142546656873803E-2</v>
      </c>
      <c r="AQ72" s="399">
        <f t="shared" si="249"/>
        <v>4.9050406560504273E-2</v>
      </c>
      <c r="AR72" s="399"/>
      <c r="AS72" s="397">
        <f t="shared" ref="AS72:BE72" si="259">AS42/AS$60</f>
        <v>4.0539837459186899E-2</v>
      </c>
      <c r="AT72" s="397">
        <f t="shared" si="259"/>
        <v>3.9207039303456988E-2</v>
      </c>
      <c r="AU72" s="397">
        <f t="shared" si="259"/>
        <v>4.0905134083797923E-2</v>
      </c>
      <c r="AV72" s="397">
        <f t="shared" si="259"/>
        <v>4.0874982746168048E-2</v>
      </c>
      <c r="AW72" s="397">
        <f t="shared" si="259"/>
        <v>4.0325714205612824E-2</v>
      </c>
      <c r="AX72" s="397">
        <f t="shared" si="259"/>
        <v>4.1008510949275788E-2</v>
      </c>
      <c r="AY72" s="397">
        <f t="shared" si="259"/>
        <v>4.3038993293296558E-2</v>
      </c>
      <c r="AZ72" s="397">
        <f t="shared" si="259"/>
        <v>4.3192279469990665E-2</v>
      </c>
      <c r="BA72" s="397">
        <f t="shared" si="259"/>
        <v>4.3078353907415705E-2</v>
      </c>
      <c r="BB72" s="397">
        <f t="shared" si="259"/>
        <v>4.4704980657466177E-2</v>
      </c>
      <c r="BC72" s="397">
        <f t="shared" si="259"/>
        <v>4.4592193490203075E-2</v>
      </c>
      <c r="BD72" s="398">
        <f t="shared" si="259"/>
        <v>4.3845790554000744E-2</v>
      </c>
      <c r="BE72" s="399">
        <f t="shared" si="259"/>
        <v>4.2190070017251877E-2</v>
      </c>
      <c r="BF72" s="397">
        <f t="shared" ref="BF72:BJ72" si="260">BF42/BF$60</f>
        <v>4.33306363610972E-2</v>
      </c>
      <c r="BG72" s="397">
        <f t="shared" si="260"/>
        <v>3.7267521882112388E-2</v>
      </c>
      <c r="BH72" s="397">
        <f t="shared" si="260"/>
        <v>4.6988183733967966E-2</v>
      </c>
      <c r="BI72" s="397">
        <f t="shared" si="260"/>
        <v>4.6753665547935953E-2</v>
      </c>
      <c r="BJ72" s="397">
        <f t="shared" si="260"/>
        <v>5.2620352620113588E-2</v>
      </c>
      <c r="BK72" s="397">
        <f t="shared" ref="BK72:BQ72" si="261">IFERROR(BK42/BK$60,0)</f>
        <v>5.0759210986536928E-2</v>
      </c>
      <c r="BL72" s="397">
        <f t="shared" si="261"/>
        <v>0</v>
      </c>
      <c r="BM72" s="397">
        <f t="shared" si="261"/>
        <v>0</v>
      </c>
      <c r="BN72" s="397">
        <f t="shared" si="261"/>
        <v>0</v>
      </c>
      <c r="BO72" s="397">
        <f t="shared" si="261"/>
        <v>0</v>
      </c>
      <c r="BP72" s="397">
        <f t="shared" si="261"/>
        <v>0</v>
      </c>
      <c r="BQ72" s="398">
        <f t="shared" si="261"/>
        <v>0</v>
      </c>
      <c r="BR72" s="399">
        <f t="shared" ref="BR72" si="262">BR42/BR$60</f>
        <v>4.70815096381869E-2</v>
      </c>
      <c r="BS72" s="399">
        <f t="shared" si="253"/>
        <v>4.2190070017251877E-2</v>
      </c>
      <c r="BU72" s="160"/>
      <c r="BV72" s="158"/>
      <c r="BW72" s="158"/>
      <c r="BX72" s="158"/>
    </row>
    <row r="73" spans="1:81" x14ac:dyDescent="0.4">
      <c r="B73" s="256">
        <f t="shared" ref="B73:B81" si="263">B72+1</f>
        <v>3</v>
      </c>
      <c r="C73" s="257" t="s">
        <v>96</v>
      </c>
      <c r="D73" s="257" t="s">
        <v>165</v>
      </c>
      <c r="E73" s="397">
        <f t="shared" ref="E73:Q73" si="264">E43/E$60</f>
        <v>0</v>
      </c>
      <c r="F73" s="397">
        <f>F43/F$60</f>
        <v>0</v>
      </c>
      <c r="G73" s="397">
        <f t="shared" si="264"/>
        <v>8.1088268348875094E-3</v>
      </c>
      <c r="H73" s="397">
        <f t="shared" si="264"/>
        <v>6.5468863024677887E-3</v>
      </c>
      <c r="I73" s="397">
        <f t="shared" si="264"/>
        <v>7.4092663929480416E-3</v>
      </c>
      <c r="J73" s="397">
        <f t="shared" si="264"/>
        <v>1.196814665377669E-2</v>
      </c>
      <c r="K73" s="397">
        <f t="shared" si="264"/>
        <v>1.0498730406877307E-2</v>
      </c>
      <c r="L73" s="397">
        <f t="shared" si="264"/>
        <v>1.1093490715622621E-2</v>
      </c>
      <c r="M73" s="397">
        <f t="shared" si="264"/>
        <v>7.3658844214597096E-3</v>
      </c>
      <c r="N73" s="397">
        <f t="shared" si="264"/>
        <v>1.2809124435286963E-2</v>
      </c>
      <c r="O73" s="397">
        <f t="shared" si="264"/>
        <v>1.0141395012750463E-2</v>
      </c>
      <c r="P73" s="398">
        <f t="shared" si="264"/>
        <v>6.6165310884724613E-3</v>
      </c>
      <c r="Q73" s="399">
        <f t="shared" si="264"/>
        <v>9.9911712517858752E-3</v>
      </c>
      <c r="R73" s="397">
        <f t="shared" ref="R73:Z73" si="265">R43/R$60</f>
        <v>1.0032752359481992E-2</v>
      </c>
      <c r="S73" s="397">
        <f t="shared" si="265"/>
        <v>6.1685033184704892E-3</v>
      </c>
      <c r="T73" s="397">
        <f t="shared" si="265"/>
        <v>7.8742518944562214E-3</v>
      </c>
      <c r="U73" s="397">
        <f t="shared" si="265"/>
        <v>1.1956011765947898E-2</v>
      </c>
      <c r="V73" s="397">
        <f t="shared" si="265"/>
        <v>9.6644092089267063E-3</v>
      </c>
      <c r="W73" s="397">
        <f t="shared" si="265"/>
        <v>2.6933205226645354E-2</v>
      </c>
      <c r="X73" s="397">
        <f t="shared" si="265"/>
        <v>1.2707115714107943E-2</v>
      </c>
      <c r="Y73" s="397">
        <f t="shared" si="265"/>
        <v>1.2114867235037619E-2</v>
      </c>
      <c r="Z73" s="397">
        <f t="shared" si="265"/>
        <v>8.5561757092364066E-3</v>
      </c>
      <c r="AA73" s="397">
        <f t="shared" ref="AA73:AB73" si="266">AA43/AA$60</f>
        <v>9.7633679738039283E-3</v>
      </c>
      <c r="AB73" s="397">
        <f t="shared" si="266"/>
        <v>1.4287826439017444E-2</v>
      </c>
      <c r="AC73" s="398">
        <f t="shared" ref="AC73:AD73" si="267">AC43/AC$60</f>
        <v>1.7553813835783173E-2</v>
      </c>
      <c r="AD73" s="399">
        <f t="shared" si="267"/>
        <v>1.2287112452854318E-2</v>
      </c>
      <c r="AE73" s="397">
        <f t="shared" si="258"/>
        <v>1.0582305032885828E-2</v>
      </c>
      <c r="AF73" s="397">
        <f t="shared" si="258"/>
        <v>1.1074839634339854E-2</v>
      </c>
      <c r="AG73" s="397">
        <f t="shared" si="258"/>
        <v>7.8406847374806153E-3</v>
      </c>
      <c r="AH73" s="397">
        <f t="shared" si="258"/>
        <v>1.0203987718508195E-2</v>
      </c>
      <c r="AI73" s="397">
        <f t="shared" si="258"/>
        <v>7.9832604020075842E-3</v>
      </c>
      <c r="AJ73" s="397">
        <f t="shared" si="258"/>
        <v>8.9978911151844167E-3</v>
      </c>
      <c r="AK73" s="397">
        <f t="shared" si="258"/>
        <v>8.3632553863535863E-3</v>
      </c>
      <c r="AL73" s="397">
        <f t="shared" si="258"/>
        <v>1.082281114176231E-2</v>
      </c>
      <c r="AM73" s="397">
        <f t="shared" si="258"/>
        <v>1.5099006208029793E-2</v>
      </c>
      <c r="AN73" s="397">
        <f t="shared" si="258"/>
        <v>1.9800147956551117E-2</v>
      </c>
      <c r="AO73" s="397">
        <f t="shared" si="258"/>
        <v>1.6445948192774919E-2</v>
      </c>
      <c r="AP73" s="398">
        <f t="shared" si="258"/>
        <v>1.0793282820969308E-2</v>
      </c>
      <c r="AQ73" s="399">
        <f t="shared" si="249"/>
        <v>1.1239803456889734E-2</v>
      </c>
      <c r="AR73" s="399"/>
      <c r="AS73" s="397">
        <f t="shared" ref="AS73:BE73" si="268">AS43/AS$60</f>
        <v>5.7480222485410152E-3</v>
      </c>
      <c r="AT73" s="397">
        <f t="shared" si="268"/>
        <v>5.323229701223741E-3</v>
      </c>
      <c r="AU73" s="397">
        <f t="shared" si="268"/>
        <v>5.4036722584227719E-3</v>
      </c>
      <c r="AV73" s="397">
        <f t="shared" si="268"/>
        <v>6.0149411750860943E-3</v>
      </c>
      <c r="AW73" s="397">
        <f t="shared" si="268"/>
        <v>5.5653685276692445E-3</v>
      </c>
      <c r="AX73" s="397">
        <f t="shared" si="268"/>
        <v>5.6937133267826066E-3</v>
      </c>
      <c r="AY73" s="397">
        <f t="shared" si="268"/>
        <v>5.6252157828336983E-3</v>
      </c>
      <c r="AZ73" s="397">
        <f t="shared" si="268"/>
        <v>5.8925029852134022E-3</v>
      </c>
      <c r="BA73" s="397">
        <f t="shared" si="268"/>
        <v>5.4480939238161731E-3</v>
      </c>
      <c r="BB73" s="397">
        <f t="shared" si="268"/>
        <v>6.1041726182951977E-3</v>
      </c>
      <c r="BC73" s="397">
        <f t="shared" si="268"/>
        <v>5.5751960787120657E-3</v>
      </c>
      <c r="BD73" s="398">
        <f t="shared" si="268"/>
        <v>5.2986167040101678E-3</v>
      </c>
      <c r="BE73" s="399">
        <f t="shared" si="268"/>
        <v>5.6403500453105415E-3</v>
      </c>
      <c r="BF73" s="397">
        <f t="shared" ref="BF73:BK73" si="269">BF43/BF$60</f>
        <v>1.2023871833951925E-2</v>
      </c>
      <c r="BG73" s="397">
        <f t="shared" si="269"/>
        <v>1.0060059478348388E-2</v>
      </c>
      <c r="BH73" s="397">
        <f t="shared" si="269"/>
        <v>1.9353336195913281E-2</v>
      </c>
      <c r="BI73" s="397">
        <f t="shared" si="269"/>
        <v>2.0992119159449287E-2</v>
      </c>
      <c r="BJ73" s="397">
        <f t="shared" si="269"/>
        <v>1.783231376011676E-2</v>
      </c>
      <c r="BK73" s="397">
        <f t="shared" si="269"/>
        <v>1.5242144013439336E-2</v>
      </c>
      <c r="BL73" s="397">
        <f t="shared" ref="BL73:BQ73" si="270">IFERROR(BL43/BL$60,0)</f>
        <v>0</v>
      </c>
      <c r="BM73" s="397">
        <f t="shared" si="270"/>
        <v>0</v>
      </c>
      <c r="BN73" s="397">
        <f t="shared" si="270"/>
        <v>0</v>
      </c>
      <c r="BO73" s="397">
        <f t="shared" si="270"/>
        <v>0</v>
      </c>
      <c r="BP73" s="397">
        <f t="shared" si="270"/>
        <v>0</v>
      </c>
      <c r="BQ73" s="398">
        <f t="shared" si="270"/>
        <v>0</v>
      </c>
      <c r="BR73" s="399">
        <f t="shared" ref="BR73" si="271">BR43/BR$60</f>
        <v>1.6418623875275127E-2</v>
      </c>
      <c r="BS73" s="399">
        <f t="shared" si="253"/>
        <v>5.6403500453105415E-3</v>
      </c>
      <c r="BU73" s="160"/>
      <c r="BV73" s="158"/>
      <c r="BW73" s="158"/>
      <c r="BX73" s="158"/>
    </row>
    <row r="74" spans="1:81" x14ac:dyDescent="0.4">
      <c r="B74" s="256">
        <f t="shared" si="263"/>
        <v>4</v>
      </c>
      <c r="C74" s="257" t="s">
        <v>96</v>
      </c>
      <c r="D74" s="257" t="s">
        <v>54</v>
      </c>
      <c r="E74" s="397">
        <f t="shared" ref="E74:Q74" si="272">E44/E$60</f>
        <v>1.9601561818778234E-3</v>
      </c>
      <c r="F74" s="397">
        <f t="shared" si="272"/>
        <v>3.1645898015389092E-3</v>
      </c>
      <c r="G74" s="397">
        <f t="shared" si="272"/>
        <v>9.1623187923119201E-3</v>
      </c>
      <c r="H74" s="397">
        <f t="shared" si="272"/>
        <v>1.3690560895902664E-2</v>
      </c>
      <c r="I74" s="397">
        <f t="shared" si="272"/>
        <v>1.6810833805924751E-2</v>
      </c>
      <c r="J74" s="397">
        <f t="shared" si="272"/>
        <v>8.7794818878279002E-3</v>
      </c>
      <c r="K74" s="397">
        <f t="shared" si="272"/>
        <v>1.751798436258983E-2</v>
      </c>
      <c r="L74" s="397">
        <f t="shared" si="272"/>
        <v>1.890387957238852E-2</v>
      </c>
      <c r="M74" s="397">
        <f t="shared" si="272"/>
        <v>2.0855080874932444E-2</v>
      </c>
      <c r="N74" s="397">
        <f t="shared" si="272"/>
        <v>2.8454924371407713E-2</v>
      </c>
      <c r="O74" s="397">
        <f t="shared" si="272"/>
        <v>3.0494238768376449E-2</v>
      </c>
      <c r="P74" s="398">
        <f t="shared" si="272"/>
        <v>2.1179654529117076E-2</v>
      </c>
      <c r="Q74" s="399">
        <f t="shared" si="272"/>
        <v>1.0629588979552355E-2</v>
      </c>
      <c r="R74" s="397">
        <f t="shared" ref="R74:Z74" si="273">R44/R$60</f>
        <v>1.4950216140480503E-2</v>
      </c>
      <c r="S74" s="397">
        <f t="shared" si="273"/>
        <v>1.7850926096540671E-2</v>
      </c>
      <c r="T74" s="397">
        <f t="shared" si="273"/>
        <v>1.4042482548542722E-2</v>
      </c>
      <c r="U74" s="397">
        <f t="shared" si="273"/>
        <v>8.3941149953537918E-3</v>
      </c>
      <c r="V74" s="397">
        <f t="shared" si="273"/>
        <v>8.1802090004489039E-3</v>
      </c>
      <c r="W74" s="397">
        <f t="shared" si="273"/>
        <v>5.9148426383342952E-3</v>
      </c>
      <c r="X74" s="397">
        <f t="shared" si="273"/>
        <v>1.6365190069143068E-2</v>
      </c>
      <c r="Y74" s="397">
        <f t="shared" si="273"/>
        <v>7.5210020769084706E-3</v>
      </c>
      <c r="Z74" s="397">
        <f t="shared" si="273"/>
        <v>1.1940906500086487E-2</v>
      </c>
      <c r="AA74" s="397">
        <f t="shared" ref="AA74:AB74" si="274">AA44/AA$60</f>
        <v>1.5907493144177748E-2</v>
      </c>
      <c r="AB74" s="397">
        <f t="shared" si="274"/>
        <v>1.3463241744198716E-2</v>
      </c>
      <c r="AC74" s="398">
        <f t="shared" ref="AC74:AD74" si="275">AC44/AC$60</f>
        <v>2.9611341792138502E-3</v>
      </c>
      <c r="AD74" s="399">
        <f t="shared" si="275"/>
        <v>1.1369586897380967E-2</v>
      </c>
      <c r="AE74" s="397">
        <f t="shared" si="258"/>
        <v>4.7505833858951796E-3</v>
      </c>
      <c r="AF74" s="397">
        <f t="shared" si="258"/>
        <v>9.5271291753435301E-3</v>
      </c>
      <c r="AG74" s="397">
        <f t="shared" si="258"/>
        <v>1.1564582671544683E-2</v>
      </c>
      <c r="AH74" s="397">
        <f t="shared" si="258"/>
        <v>1.3203780108146981E-2</v>
      </c>
      <c r="AI74" s="397">
        <f t="shared" si="258"/>
        <v>1.386517331958104E-2</v>
      </c>
      <c r="AJ74" s="397">
        <f t="shared" si="258"/>
        <v>1.5171481783174772E-2</v>
      </c>
      <c r="AK74" s="397">
        <f t="shared" si="258"/>
        <v>1.8066202832023832E-2</v>
      </c>
      <c r="AL74" s="397">
        <f t="shared" si="258"/>
        <v>1.6116965401452184E-2</v>
      </c>
      <c r="AM74" s="397">
        <f t="shared" si="258"/>
        <v>1.3691971623831145E-2</v>
      </c>
      <c r="AN74" s="397">
        <f t="shared" si="258"/>
        <v>5.7443217123529866E-3</v>
      </c>
      <c r="AO74" s="397">
        <f t="shared" si="258"/>
        <v>6.7268528976930564E-3</v>
      </c>
      <c r="AP74" s="398">
        <f t="shared" si="258"/>
        <v>9.5967528387300681E-3</v>
      </c>
      <c r="AQ74" s="399">
        <f t="shared" si="249"/>
        <v>1.2205124413144813E-2</v>
      </c>
      <c r="AR74" s="399"/>
      <c r="AS74" s="397">
        <f t="shared" ref="AS74:BE74" si="276">AS44/AS$60</f>
        <v>1.0883912770800631E-2</v>
      </c>
      <c r="AT74" s="397">
        <f t="shared" si="276"/>
        <v>1.0690678039872007E-2</v>
      </c>
      <c r="AU74" s="397">
        <f t="shared" si="276"/>
        <v>1.1283025032870818E-2</v>
      </c>
      <c r="AV74" s="397">
        <f t="shared" si="276"/>
        <v>1.1173455757362791E-2</v>
      </c>
      <c r="AW74" s="397">
        <f t="shared" si="276"/>
        <v>1.1104433012194109E-2</v>
      </c>
      <c r="AX74" s="397">
        <f t="shared" si="276"/>
        <v>1.1181195436228086E-2</v>
      </c>
      <c r="AY74" s="397">
        <f t="shared" si="276"/>
        <v>1.1089727976493191E-2</v>
      </c>
      <c r="AZ74" s="397">
        <f t="shared" si="276"/>
        <v>1.1245619310410074E-2</v>
      </c>
      <c r="BA74" s="397">
        <f t="shared" si="276"/>
        <v>1.0945721269424752E-2</v>
      </c>
      <c r="BB74" s="397">
        <f t="shared" si="276"/>
        <v>1.130901493326472E-2</v>
      </c>
      <c r="BC74" s="397">
        <f t="shared" si="276"/>
        <v>1.1133858588526257E-2</v>
      </c>
      <c r="BD74" s="398">
        <f t="shared" si="276"/>
        <v>1.1130809716010501E-2</v>
      </c>
      <c r="BE74" s="399">
        <f t="shared" si="276"/>
        <v>1.110487457308461E-2</v>
      </c>
      <c r="BF74" s="397">
        <f t="shared" ref="BF74:BJ74" si="277">BF44/BF$60</f>
        <v>9.4156386904460324E-3</v>
      </c>
      <c r="BG74" s="397">
        <f t="shared" si="277"/>
        <v>4.2898083246667145E-3</v>
      </c>
      <c r="BH74" s="397">
        <f t="shared" si="277"/>
        <v>1.4473365025482807E-2</v>
      </c>
      <c r="BI74" s="397">
        <f t="shared" si="277"/>
        <v>1.1261732682443872E-2</v>
      </c>
      <c r="BJ74" s="397">
        <f t="shared" si="277"/>
        <v>1.6220778582212672E-2</v>
      </c>
      <c r="BK74" s="397">
        <f t="shared" ref="BK74:BQ74" si="278">IFERROR(BK44/BK$60,0)</f>
        <v>1.4223644348209715E-2</v>
      </c>
      <c r="BL74" s="397">
        <f t="shared" si="278"/>
        <v>0</v>
      </c>
      <c r="BM74" s="397">
        <f>IFERROR(BM44/BM$60,0)</f>
        <v>0</v>
      </c>
      <c r="BN74" s="397">
        <f t="shared" si="278"/>
        <v>0</v>
      </c>
      <c r="BO74" s="397">
        <f t="shared" si="278"/>
        <v>0</v>
      </c>
      <c r="BP74" s="397">
        <f t="shared" si="278"/>
        <v>0</v>
      </c>
      <c r="BQ74" s="398">
        <f t="shared" si="278"/>
        <v>0</v>
      </c>
      <c r="BR74" s="399">
        <f t="shared" ref="BR74" si="279">BR44/BR$60</f>
        <v>1.2294606348433034E-2</v>
      </c>
      <c r="BS74" s="399">
        <f t="shared" si="253"/>
        <v>1.110487457308461E-2</v>
      </c>
      <c r="BU74" s="160"/>
      <c r="BV74" s="158"/>
      <c r="BW74" s="158"/>
      <c r="BX74" s="158"/>
    </row>
    <row r="75" spans="1:81" x14ac:dyDescent="0.4">
      <c r="B75" s="256">
        <f t="shared" si="263"/>
        <v>5</v>
      </c>
      <c r="C75" s="257" t="s">
        <v>96</v>
      </c>
      <c r="D75" s="257" t="s">
        <v>49</v>
      </c>
      <c r="E75" s="397">
        <f t="shared" ref="E75:Q75" si="280">E45/E$60</f>
        <v>1.4697345295632883E-2</v>
      </c>
      <c r="F75" s="397">
        <f t="shared" si="280"/>
        <v>1.4526559279128406E-2</v>
      </c>
      <c r="G75" s="397">
        <f t="shared" si="280"/>
        <v>1.0011439231102398E-2</v>
      </c>
      <c r="H75" s="397">
        <f t="shared" si="280"/>
        <v>1.1464993015099427E-2</v>
      </c>
      <c r="I75" s="397">
        <f t="shared" si="280"/>
        <v>1.3623153966074948E-2</v>
      </c>
      <c r="J75" s="397">
        <f t="shared" si="280"/>
        <v>1.6778735423438971E-2</v>
      </c>
      <c r="K75" s="397">
        <f t="shared" si="280"/>
        <v>1.2653869336239057E-2</v>
      </c>
      <c r="L75" s="397">
        <f t="shared" si="280"/>
        <v>1.0343936595996316E-2</v>
      </c>
      <c r="M75" s="397">
        <f t="shared" si="280"/>
        <v>6.3364564873638817E-3</v>
      </c>
      <c r="N75" s="397">
        <f t="shared" si="280"/>
        <v>1.0078613636823087E-2</v>
      </c>
      <c r="O75" s="397">
        <f t="shared" si="280"/>
        <v>6.7502907164975028E-3</v>
      </c>
      <c r="P75" s="398">
        <f t="shared" si="280"/>
        <v>6.8389698380631045E-3</v>
      </c>
      <c r="Q75" s="399">
        <f t="shared" si="280"/>
        <v>6.7462934636062866E-3</v>
      </c>
      <c r="R75" s="397">
        <f t="shared" ref="R75:Z75" si="281">R45/R$60</f>
        <v>9.072238769260204E-3</v>
      </c>
      <c r="S75" s="397">
        <f t="shared" si="281"/>
        <v>5.9950030238488834E-3</v>
      </c>
      <c r="T75" s="397">
        <f t="shared" si="281"/>
        <v>6.7824600318609381E-3</v>
      </c>
      <c r="U75" s="397">
        <f t="shared" si="281"/>
        <v>1.0721373215249106E-2</v>
      </c>
      <c r="V75" s="397">
        <f t="shared" si="281"/>
        <v>8.1322578524463014E-3</v>
      </c>
      <c r="W75" s="397">
        <f t="shared" si="281"/>
        <v>9.1330104693453165E-3</v>
      </c>
      <c r="X75" s="397">
        <f t="shared" si="281"/>
        <v>7.9108610344448878E-3</v>
      </c>
      <c r="Y75" s="397">
        <f t="shared" si="281"/>
        <v>7.7344840515663092E-3</v>
      </c>
      <c r="Z75" s="397">
        <f t="shared" si="281"/>
        <v>6.6297107401019602E-3</v>
      </c>
      <c r="AA75" s="397">
        <f t="shared" ref="AA75:AB75" si="282">AA45/AA$60</f>
        <v>5.1873914592492059E-3</v>
      </c>
      <c r="AB75" s="397">
        <f t="shared" si="282"/>
        <v>3.0636468392571726E-3</v>
      </c>
      <c r="AC75" s="398">
        <f t="shared" ref="AC75:AD75" si="283">AC45/AC$60</f>
        <v>6.5635618254792638E-3</v>
      </c>
      <c r="AD75" s="399">
        <f t="shared" si="283"/>
        <v>7.2011888967003961E-3</v>
      </c>
      <c r="AE75" s="397">
        <f t="shared" si="258"/>
        <v>9.3003504778183168E-3</v>
      </c>
      <c r="AF75" s="397">
        <f t="shared" si="258"/>
        <v>7.0299455137337701E-3</v>
      </c>
      <c r="AG75" s="397">
        <f t="shared" si="258"/>
        <v>5.0861907655360885E-3</v>
      </c>
      <c r="AH75" s="397">
        <f t="shared" si="258"/>
        <v>8.0718178833796353E-3</v>
      </c>
      <c r="AI75" s="397">
        <f t="shared" si="258"/>
        <v>5.2402173853702419E-3</v>
      </c>
      <c r="AJ75" s="397">
        <f t="shared" si="258"/>
        <v>5.6336947799673414E-3</v>
      </c>
      <c r="AK75" s="397">
        <f t="shared" si="258"/>
        <v>5.2527230136301239E-3</v>
      </c>
      <c r="AL75" s="397">
        <f t="shared" si="258"/>
        <v>5.9384084534314166E-3</v>
      </c>
      <c r="AM75" s="397">
        <f t="shared" si="258"/>
        <v>5.8303587697076768E-3</v>
      </c>
      <c r="AN75" s="397">
        <f t="shared" si="258"/>
        <v>5.3916200054071181E-3</v>
      </c>
      <c r="AO75" s="397">
        <f t="shared" si="258"/>
        <v>8.112096353812397E-3</v>
      </c>
      <c r="AP75" s="398">
        <f t="shared" si="258"/>
        <v>5.8897426713384691E-3</v>
      </c>
      <c r="AQ75" s="399">
        <f t="shared" si="249"/>
        <v>6.1876369625455657E-3</v>
      </c>
      <c r="AR75" s="399"/>
      <c r="AS75" s="397">
        <f t="shared" ref="AS75:BE75" si="284">AS45/AS$60</f>
        <v>7.3647296420596437E-3</v>
      </c>
      <c r="AT75" s="397">
        <f t="shared" si="284"/>
        <v>8.5001223546818105E-3</v>
      </c>
      <c r="AU75" s="397">
        <f t="shared" si="284"/>
        <v>7.7111125881650314E-3</v>
      </c>
      <c r="AV75" s="397">
        <f t="shared" si="284"/>
        <v>7.5966984545858506E-3</v>
      </c>
      <c r="AW75" s="397">
        <f t="shared" si="284"/>
        <v>7.4196772249402031E-3</v>
      </c>
      <c r="AX75" s="397">
        <f t="shared" si="284"/>
        <v>7.5262371016481247E-3</v>
      </c>
      <c r="AY75" s="397">
        <f t="shared" si="284"/>
        <v>7.2909795845705989E-3</v>
      </c>
      <c r="AZ75" s="397">
        <f t="shared" si="284"/>
        <v>7.0588881381091666E-3</v>
      </c>
      <c r="BA75" s="397">
        <f t="shared" si="284"/>
        <v>7.2156376821955913E-3</v>
      </c>
      <c r="BB75" s="397">
        <f t="shared" si="284"/>
        <v>7.4727070942792505E-3</v>
      </c>
      <c r="BC75" s="397">
        <f t="shared" si="284"/>
        <v>7.2815798715379233E-3</v>
      </c>
      <c r="BD75" s="398">
        <f t="shared" si="284"/>
        <v>6.9744867736517054E-3</v>
      </c>
      <c r="BE75" s="399">
        <f t="shared" si="284"/>
        <v>7.4305090793390632E-3</v>
      </c>
      <c r="BF75" s="397">
        <f t="shared" ref="BF75:BJ75" si="285">BF45/BF$60</f>
        <v>7.6455738288423907E-3</v>
      </c>
      <c r="BG75" s="397">
        <f t="shared" si="285"/>
        <v>5.727426410008409E-3</v>
      </c>
      <c r="BH75" s="397">
        <f t="shared" si="285"/>
        <v>6.6800419652915388E-3</v>
      </c>
      <c r="BI75" s="397">
        <f t="shared" si="285"/>
        <v>7.0961384456261272E-3</v>
      </c>
      <c r="BJ75" s="397">
        <f t="shared" si="285"/>
        <v>6.1219816551365998E-3</v>
      </c>
      <c r="BK75" s="397">
        <f t="shared" ref="BK75:BQ75" si="286">IFERROR(BK45/BK$60,0)</f>
        <v>6.768558622821861E-3</v>
      </c>
      <c r="BL75" s="397">
        <f t="shared" si="286"/>
        <v>0</v>
      </c>
      <c r="BM75" s="397">
        <f t="shared" si="286"/>
        <v>0</v>
      </c>
      <c r="BN75" s="397">
        <f t="shared" si="286"/>
        <v>0</v>
      </c>
      <c r="BO75" s="397">
        <f t="shared" si="286"/>
        <v>0</v>
      </c>
      <c r="BP75" s="397">
        <f t="shared" si="286"/>
        <v>0</v>
      </c>
      <c r="BQ75" s="398">
        <f t="shared" si="286"/>
        <v>0</v>
      </c>
      <c r="BR75" s="399">
        <f t="shared" ref="BR75" si="287">BR45/BR$60</f>
        <v>6.7228929816910395E-3</v>
      </c>
      <c r="BS75" s="399">
        <f t="shared" si="253"/>
        <v>7.4305090793390632E-3</v>
      </c>
      <c r="BU75" s="160"/>
      <c r="BV75" s="158"/>
      <c r="BW75" s="158"/>
      <c r="BX75" s="158"/>
    </row>
    <row r="76" spans="1:81" x14ac:dyDescent="0.4">
      <c r="B76" s="256">
        <f t="shared" si="263"/>
        <v>6</v>
      </c>
      <c r="C76" s="257" t="s">
        <v>96</v>
      </c>
      <c r="D76" s="257" t="s">
        <v>56</v>
      </c>
      <c r="E76" s="397">
        <f t="shared" ref="E76:Q76" si="288">E46/E$60</f>
        <v>4.4148700323470872E-3</v>
      </c>
      <c r="F76" s="397">
        <f t="shared" si="288"/>
        <v>6.3813397879634512E-3</v>
      </c>
      <c r="G76" s="397">
        <f t="shared" si="288"/>
        <v>5.4649794772303898E-3</v>
      </c>
      <c r="H76" s="397">
        <f t="shared" si="288"/>
        <v>5.6869503878966207E-3</v>
      </c>
      <c r="I76" s="397">
        <f t="shared" si="288"/>
        <v>6.4032283624648615E-3</v>
      </c>
      <c r="J76" s="397">
        <f t="shared" si="288"/>
        <v>7.1067527318568842E-3</v>
      </c>
      <c r="K76" s="397">
        <f t="shared" si="288"/>
        <v>6.4308310876345885E-3</v>
      </c>
      <c r="L76" s="397">
        <f t="shared" si="288"/>
        <v>6.2725170830403697E-3</v>
      </c>
      <c r="M76" s="397">
        <f t="shared" si="288"/>
        <v>6.8937100841393586E-3</v>
      </c>
      <c r="N76" s="397">
        <f t="shared" si="288"/>
        <v>6.7066901816184819E-3</v>
      </c>
      <c r="O76" s="397">
        <f t="shared" si="288"/>
        <v>6.2949598573939494E-3</v>
      </c>
      <c r="P76" s="398">
        <f t="shared" si="288"/>
        <v>7.1006273172452396E-3</v>
      </c>
      <c r="Q76" s="399">
        <f t="shared" si="288"/>
        <v>3.9959824769162438E-3</v>
      </c>
      <c r="R76" s="397">
        <f t="shared" ref="R76:Z76" si="289">R46/R$60</f>
        <v>7.9005611529981406E-3</v>
      </c>
      <c r="S76" s="397">
        <f t="shared" si="289"/>
        <v>5.0269570261170992E-3</v>
      </c>
      <c r="T76" s="397">
        <f t="shared" si="289"/>
        <v>6.0460383007116866E-3</v>
      </c>
      <c r="U76" s="397">
        <f t="shared" si="289"/>
        <v>5.4266839421008555E-3</v>
      </c>
      <c r="V76" s="397">
        <f t="shared" si="289"/>
        <v>5.8323389964888171E-3</v>
      </c>
      <c r="W76" s="397">
        <f t="shared" si="289"/>
        <v>7.833537034273497E-3</v>
      </c>
      <c r="X76" s="397">
        <f t="shared" si="289"/>
        <v>4.8831727908021007E-3</v>
      </c>
      <c r="Y76" s="397">
        <f t="shared" si="289"/>
        <v>4.9494020003921814E-3</v>
      </c>
      <c r="Z76" s="397">
        <f t="shared" si="289"/>
        <v>5.7525505828362865E-3</v>
      </c>
      <c r="AA76" s="397">
        <f t="shared" ref="AA76:AB76" si="290">AA46/AA$60</f>
        <v>5.9413994564285356E-3</v>
      </c>
      <c r="AB76" s="397">
        <f t="shared" si="290"/>
        <v>6.4513755713288927E-3</v>
      </c>
      <c r="AC76" s="398">
        <f t="shared" ref="AC76:AD76" si="291">AC46/AC$60</f>
        <v>5.6362401356944841E-3</v>
      </c>
      <c r="AD76" s="399">
        <f t="shared" si="291"/>
        <v>6.0586076733934128E-3</v>
      </c>
      <c r="AE76" s="397">
        <f t="shared" si="258"/>
        <v>4.2875024258651794E-3</v>
      </c>
      <c r="AF76" s="397">
        <f t="shared" si="258"/>
        <v>5.4897435711614984E-3</v>
      </c>
      <c r="AG76" s="397">
        <f t="shared" si="258"/>
        <v>5.8178185352123421E-3</v>
      </c>
      <c r="AH76" s="397">
        <f t="shared" si="258"/>
        <v>5.3409580878689871E-3</v>
      </c>
      <c r="AI76" s="397">
        <f t="shared" si="258"/>
        <v>6.75801168836636E-3</v>
      </c>
      <c r="AJ76" s="397">
        <f t="shared" si="258"/>
        <v>5.8345020568543017E-3</v>
      </c>
      <c r="AK76" s="397">
        <f t="shared" si="258"/>
        <v>6.0717188416314653E-3</v>
      </c>
      <c r="AL76" s="397">
        <f t="shared" si="258"/>
        <v>6.1320510836785176E-3</v>
      </c>
      <c r="AM76" s="397">
        <f t="shared" si="258"/>
        <v>6.184370819860144E-3</v>
      </c>
      <c r="AN76" s="397">
        <f t="shared" si="258"/>
        <v>5.8773320336379595E-3</v>
      </c>
      <c r="AO76" s="397">
        <f t="shared" si="258"/>
        <v>6.2074759352648201E-3</v>
      </c>
      <c r="AP76" s="398">
        <f t="shared" si="258"/>
        <v>6.1726949502058925E-3</v>
      </c>
      <c r="AQ76" s="399">
        <f t="shared" si="249"/>
        <v>5.9250110663598898E-3</v>
      </c>
      <c r="AR76" s="399"/>
      <c r="AS76" s="397">
        <f t="shared" ref="AS76:BE76" si="292">AS46/AS$60</f>
        <v>5.8601002519920575E-3</v>
      </c>
      <c r="AT76" s="397">
        <f t="shared" si="292"/>
        <v>5.6616156062891127E-3</v>
      </c>
      <c r="AU76" s="397">
        <f t="shared" si="292"/>
        <v>6.0137573022598497E-3</v>
      </c>
      <c r="AV76" s="397">
        <f t="shared" si="292"/>
        <v>5.9829523423846863E-3</v>
      </c>
      <c r="AW76" s="397">
        <f t="shared" si="292"/>
        <v>5.9185692595726284E-3</v>
      </c>
      <c r="AX76" s="397">
        <f t="shared" si="292"/>
        <v>6.0123425301377917E-3</v>
      </c>
      <c r="AY76" s="397">
        <f t="shared" si="292"/>
        <v>5.9893332851009692E-3</v>
      </c>
      <c r="AZ76" s="397">
        <f t="shared" si="292"/>
        <v>6.0049938623881159E-3</v>
      </c>
      <c r="BA76" s="397">
        <f t="shared" si="292"/>
        <v>5.976963999719075E-3</v>
      </c>
      <c r="BB76" s="397">
        <f t="shared" si="292"/>
        <v>6.0652668409689739E-3</v>
      </c>
      <c r="BC76" s="397">
        <f t="shared" si="292"/>
        <v>5.9865553286341695E-3</v>
      </c>
      <c r="BD76" s="398">
        <f t="shared" si="292"/>
        <v>5.9436872423894735E-3</v>
      </c>
      <c r="BE76" s="399">
        <f t="shared" si="292"/>
        <v>5.9566582486962737E-3</v>
      </c>
      <c r="BF76" s="397">
        <f t="shared" ref="BF76:BJ76" si="293">BF46/BF$60</f>
        <v>6.4094699864020851E-3</v>
      </c>
      <c r="BG76" s="397">
        <f t="shared" si="293"/>
        <v>5.1683065638340681E-3</v>
      </c>
      <c r="BH76" s="397">
        <f t="shared" si="293"/>
        <v>6.6804824447623144E-3</v>
      </c>
      <c r="BI76" s="397">
        <f t="shared" si="293"/>
        <v>8.320004583665665E-3</v>
      </c>
      <c r="BJ76" s="397">
        <f t="shared" si="293"/>
        <v>7.0187779834237152E-3</v>
      </c>
      <c r="BK76" s="397">
        <f t="shared" ref="BK76:BQ76" si="294">IFERROR(BK46/BK$60,0)</f>
        <v>7.2275855106772573E-3</v>
      </c>
      <c r="BL76" s="397">
        <f t="shared" si="294"/>
        <v>0</v>
      </c>
      <c r="BM76" s="397">
        <f t="shared" si="294"/>
        <v>0</v>
      </c>
      <c r="BN76" s="397">
        <f t="shared" si="294"/>
        <v>0</v>
      </c>
      <c r="BO76" s="397">
        <f t="shared" si="294"/>
        <v>0</v>
      </c>
      <c r="BP76" s="397">
        <f t="shared" si="294"/>
        <v>0</v>
      </c>
      <c r="BQ76" s="398">
        <f t="shared" si="294"/>
        <v>0</v>
      </c>
      <c r="BR76" s="399">
        <f t="shared" ref="BR76" si="295">BR46/BR$60</f>
        <v>6.96033371771922E-3</v>
      </c>
      <c r="BS76" s="399">
        <f t="shared" si="253"/>
        <v>5.9566582486962737E-3</v>
      </c>
      <c r="BU76" s="160"/>
      <c r="BV76" s="158"/>
      <c r="BW76" s="158"/>
      <c r="BX76" s="158"/>
    </row>
    <row r="77" spans="1:81" x14ac:dyDescent="0.4">
      <c r="B77" s="256">
        <f t="shared" si="263"/>
        <v>7</v>
      </c>
      <c r="C77" s="257" t="s">
        <v>96</v>
      </c>
      <c r="D77" s="257" t="s">
        <v>28</v>
      </c>
      <c r="E77" s="397">
        <f t="shared" ref="E77:Q77" si="296">E47/E$60</f>
        <v>5.3015473728359394E-3</v>
      </c>
      <c r="F77" s="397">
        <f t="shared" si="296"/>
        <v>5.5316806742799944E-3</v>
      </c>
      <c r="G77" s="397">
        <f t="shared" si="296"/>
        <v>5.392660260513586E-3</v>
      </c>
      <c r="H77" s="397">
        <f t="shared" si="296"/>
        <v>6.1201444771942243E-3</v>
      </c>
      <c r="I77" s="397">
        <f t="shared" si="296"/>
        <v>3.2382020056361234E-3</v>
      </c>
      <c r="J77" s="397">
        <f t="shared" si="296"/>
        <v>7.2200472679249299E-3</v>
      </c>
      <c r="K77" s="397">
        <f t="shared" si="296"/>
        <v>5.320207685374027E-3</v>
      </c>
      <c r="L77" s="397">
        <f t="shared" si="296"/>
        <v>5.8910553660653656E-3</v>
      </c>
      <c r="M77" s="397">
        <f t="shared" si="296"/>
        <v>6.3971193289320853E-3</v>
      </c>
      <c r="N77" s="397">
        <f t="shared" si="296"/>
        <v>6.2097522596570543E-3</v>
      </c>
      <c r="O77" s="397">
        <f t="shared" si="296"/>
        <v>8.768223009018989E-3</v>
      </c>
      <c r="P77" s="398">
        <f t="shared" si="296"/>
        <v>4.0830418757139535E-3</v>
      </c>
      <c r="Q77" s="399">
        <f t="shared" si="296"/>
        <v>3.5509568741079862E-3</v>
      </c>
      <c r="R77" s="397">
        <f t="shared" ref="R77:Z77" si="297">R47/R$60</f>
        <v>3.3222617023303054E-3</v>
      </c>
      <c r="S77" s="397">
        <f t="shared" si="297"/>
        <v>3.1724852462807662E-3</v>
      </c>
      <c r="T77" s="397">
        <f t="shared" si="297"/>
        <v>3.2779509696732557E-3</v>
      </c>
      <c r="U77" s="397">
        <f t="shared" si="297"/>
        <v>3.1353448063004348E-3</v>
      </c>
      <c r="V77" s="397">
        <f t="shared" si="297"/>
        <v>3.3067083416329197E-3</v>
      </c>
      <c r="W77" s="397">
        <f t="shared" si="297"/>
        <v>3.5554498396656582E-3</v>
      </c>
      <c r="X77" s="397">
        <f t="shared" si="297"/>
        <v>4.7982067206295779E-3</v>
      </c>
      <c r="Y77" s="397">
        <f t="shared" si="297"/>
        <v>3.6670015925592916E-3</v>
      </c>
      <c r="Z77" s="397">
        <f t="shared" si="297"/>
        <v>2.9420413118432438E-3</v>
      </c>
      <c r="AA77" s="397">
        <f t="shared" ref="AA77:AB77" si="298">AA47/AA$60</f>
        <v>2.6143881594841126E-3</v>
      </c>
      <c r="AB77" s="397">
        <f t="shared" si="298"/>
        <v>2.4790723214658584E-3</v>
      </c>
      <c r="AC77" s="398">
        <f t="shared" ref="AC77:AD77" si="299">AC47/AC$60</f>
        <v>2.6797894681244408E-3</v>
      </c>
      <c r="AD77" s="399">
        <f t="shared" si="299"/>
        <v>3.1677199014415107E-3</v>
      </c>
      <c r="AE77" s="397">
        <f t="shared" si="258"/>
        <v>2.4794897886216971E-3</v>
      </c>
      <c r="AF77" s="397">
        <f t="shared" si="258"/>
        <v>2.3959711069965503E-3</v>
      </c>
      <c r="AG77" s="397">
        <f t="shared" si="258"/>
        <v>2.0836048148316828E-3</v>
      </c>
      <c r="AH77" s="397">
        <f t="shared" si="258"/>
        <v>1.9160368690167226E-3</v>
      </c>
      <c r="AI77" s="397">
        <f t="shared" si="258"/>
        <v>1.7563539858125247E-3</v>
      </c>
      <c r="AJ77" s="397">
        <f t="shared" si="258"/>
        <v>1.7793165228192987E-3</v>
      </c>
      <c r="AK77" s="397">
        <f t="shared" si="258"/>
        <v>1.8390618519243435E-3</v>
      </c>
      <c r="AL77" s="397">
        <f t="shared" si="258"/>
        <v>1.319668653339228E-3</v>
      </c>
      <c r="AM77" s="397">
        <f t="shared" si="258"/>
        <v>1.9211140946263946E-3</v>
      </c>
      <c r="AN77" s="397">
        <f t="shared" si="258"/>
        <v>1.9950336404546526E-3</v>
      </c>
      <c r="AO77" s="397">
        <f t="shared" si="258"/>
        <v>2.2318068205395935E-3</v>
      </c>
      <c r="AP77" s="398">
        <f t="shared" si="258"/>
        <v>1.6005493782148524E-3</v>
      </c>
      <c r="AQ77" s="399">
        <f t="shared" si="249"/>
        <v>1.8948650195759317E-3</v>
      </c>
      <c r="AR77" s="399"/>
      <c r="AS77" s="397">
        <f t="shared" ref="AS77:BE77" si="300">AS47/AS$60</f>
        <v>2.0015583076094675E-3</v>
      </c>
      <c r="AT77" s="397">
        <f t="shared" si="300"/>
        <v>2.3351060853754784E-3</v>
      </c>
      <c r="AU77" s="397">
        <f t="shared" si="300"/>
        <v>1.9591026371247756E-3</v>
      </c>
      <c r="AV77" s="397">
        <f t="shared" si="300"/>
        <v>1.9400778227713317E-3</v>
      </c>
      <c r="AW77" s="397">
        <f t="shared" si="300"/>
        <v>1.928093213884299E-3</v>
      </c>
      <c r="AX77" s="397">
        <f t="shared" si="300"/>
        <v>1.8961877993163804E-3</v>
      </c>
      <c r="AY77" s="397">
        <f t="shared" si="300"/>
        <v>1.8635820246918498E-3</v>
      </c>
      <c r="AZ77" s="397">
        <f t="shared" si="300"/>
        <v>1.8471330626740538E-3</v>
      </c>
      <c r="BA77" s="397">
        <f t="shared" si="300"/>
        <v>1.8393823047982089E-3</v>
      </c>
      <c r="BB77" s="397">
        <f t="shared" si="300"/>
        <v>1.8575460197350518E-3</v>
      </c>
      <c r="BC77" s="397">
        <f t="shared" si="300"/>
        <v>1.8709979879596411E-3</v>
      </c>
      <c r="BD77" s="398">
        <f t="shared" si="300"/>
        <v>1.8282751774945922E-3</v>
      </c>
      <c r="BE77" s="399">
        <f t="shared" si="300"/>
        <v>1.9227222528806643E-3</v>
      </c>
      <c r="BF77" s="397">
        <f t="shared" ref="BF77:BJ77" si="301">BF47/BF$60</f>
        <v>1.7051789488404644E-3</v>
      </c>
      <c r="BG77" s="397">
        <f t="shared" si="301"/>
        <v>1.5991008287286248E-3</v>
      </c>
      <c r="BH77" s="397">
        <f t="shared" si="301"/>
        <v>2.8106909503469754E-3</v>
      </c>
      <c r="BI77" s="397">
        <f t="shared" si="301"/>
        <v>3.2127473304394819E-3</v>
      </c>
      <c r="BJ77" s="397">
        <f t="shared" si="301"/>
        <v>3.189709887017922E-3</v>
      </c>
      <c r="BK77" s="397">
        <f t="shared" ref="BK77:BQ77" si="302">IFERROR(BK47/BK$60,0)</f>
        <v>2.7994182799235957E-3</v>
      </c>
      <c r="BL77" s="397">
        <f t="shared" si="302"/>
        <v>0</v>
      </c>
      <c r="BM77" s="397">
        <f t="shared" si="302"/>
        <v>0</v>
      </c>
      <c r="BN77" s="397">
        <f t="shared" si="302"/>
        <v>0</v>
      </c>
      <c r="BO77" s="397">
        <f t="shared" si="302"/>
        <v>0</v>
      </c>
      <c r="BP77" s="397">
        <f t="shared" si="302"/>
        <v>0</v>
      </c>
      <c r="BQ77" s="398">
        <f t="shared" si="302"/>
        <v>0</v>
      </c>
      <c r="BR77" s="399">
        <f t="shared" ref="BR77" si="303">BR47/BR$60</f>
        <v>2.6615433687325837E-3</v>
      </c>
      <c r="BS77" s="399">
        <f t="shared" si="253"/>
        <v>1.9227222528806643E-3</v>
      </c>
      <c r="BU77" s="160"/>
      <c r="BV77" s="158"/>
      <c r="BW77" s="158"/>
      <c r="BX77" s="158"/>
    </row>
    <row r="78" spans="1:81" x14ac:dyDescent="0.4">
      <c r="B78" s="256">
        <f t="shared" si="263"/>
        <v>8</v>
      </c>
      <c r="C78" s="257" t="s">
        <v>96</v>
      </c>
      <c r="D78" s="257" t="s">
        <v>53</v>
      </c>
      <c r="E78" s="397">
        <f t="shared" ref="E78:Q78" si="304">E48/E$60</f>
        <v>5.4767853006419199E-3</v>
      </c>
      <c r="F78" s="397">
        <f t="shared" si="304"/>
        <v>4.2379425864923241E-3</v>
      </c>
      <c r="G78" s="397">
        <f t="shared" si="304"/>
        <v>8.2300233459320932E-3</v>
      </c>
      <c r="H78" s="397">
        <f t="shared" si="304"/>
        <v>7.8122632676971369E-3</v>
      </c>
      <c r="I78" s="397">
        <f t="shared" si="304"/>
        <v>4.76432878462104E-3</v>
      </c>
      <c r="J78" s="397">
        <f t="shared" si="304"/>
        <v>5.1738803224485944E-3</v>
      </c>
      <c r="K78" s="397">
        <f t="shared" si="304"/>
        <v>3.4044911935660173E-3</v>
      </c>
      <c r="L78" s="397">
        <f t="shared" si="304"/>
        <v>2.3171988694403798E-3</v>
      </c>
      <c r="M78" s="397">
        <f t="shared" si="304"/>
        <v>3.7986773078986166E-3</v>
      </c>
      <c r="N78" s="397">
        <f t="shared" si="304"/>
        <v>2.864516788219894E-3</v>
      </c>
      <c r="O78" s="397">
        <f t="shared" si="304"/>
        <v>2.7354468561194088E-3</v>
      </c>
      <c r="P78" s="398">
        <f t="shared" si="304"/>
        <v>2.4279547889995258E-3</v>
      </c>
      <c r="Q78" s="399">
        <f t="shared" si="304"/>
        <v>2.6461697047594811E-3</v>
      </c>
      <c r="R78" s="397">
        <f t="shared" ref="R78:Z78" si="305">R48/R$60</f>
        <v>1.4601736841425273E-3</v>
      </c>
      <c r="S78" s="397">
        <f t="shared" si="305"/>
        <v>1.6358597289071557E-3</v>
      </c>
      <c r="T78" s="397">
        <f t="shared" si="305"/>
        <v>1.0404625988252492E-3</v>
      </c>
      <c r="U78" s="397">
        <f t="shared" si="305"/>
        <v>1.7347874193451576E-3</v>
      </c>
      <c r="V78" s="397">
        <f t="shared" si="305"/>
        <v>2.565733079519187E-3</v>
      </c>
      <c r="W78" s="397">
        <f t="shared" si="305"/>
        <v>2.9532836343017857E-3</v>
      </c>
      <c r="X78" s="397">
        <f t="shared" si="305"/>
        <v>2.8378902412715956E-3</v>
      </c>
      <c r="Y78" s="397">
        <f t="shared" si="305"/>
        <v>3.1801552359563504E-3</v>
      </c>
      <c r="Z78" s="397">
        <f t="shared" si="305"/>
        <v>1.6160413361122597E-3</v>
      </c>
      <c r="AA78" s="397">
        <f t="shared" ref="AA78:AB78" si="306">AA48/AA$60</f>
        <v>2.2873531437685155E-3</v>
      </c>
      <c r="AB78" s="397">
        <f t="shared" si="306"/>
        <v>2.1297841499731524E-3</v>
      </c>
      <c r="AC78" s="398">
        <f t="shared" ref="AC78:AD78" si="307">AC48/AC$60</f>
        <v>2.824845007643185E-3</v>
      </c>
      <c r="AD78" s="399">
        <f t="shared" si="307"/>
        <v>2.1295750318425254E-3</v>
      </c>
      <c r="AE78" s="397">
        <f t="shared" si="258"/>
        <v>3.0067383957966438E-3</v>
      </c>
      <c r="AF78" s="397">
        <f t="shared" si="258"/>
        <v>2.0374986553932041E-3</v>
      </c>
      <c r="AG78" s="397">
        <f t="shared" si="258"/>
        <v>2.0832165898888072E-3</v>
      </c>
      <c r="AH78" s="397">
        <f t="shared" si="258"/>
        <v>1.5776548657609759E-3</v>
      </c>
      <c r="AI78" s="397">
        <f t="shared" si="258"/>
        <v>2.082414001201125E-3</v>
      </c>
      <c r="AJ78" s="397">
        <f t="shared" si="258"/>
        <v>2.4001102766929615E-3</v>
      </c>
      <c r="AK78" s="397">
        <f t="shared" si="258"/>
        <v>3.3607799819264004E-3</v>
      </c>
      <c r="AL78" s="397">
        <f t="shared" si="258"/>
        <v>3.1000860466903995E-3</v>
      </c>
      <c r="AM78" s="397">
        <f t="shared" si="258"/>
        <v>3.1294839787921339E-3</v>
      </c>
      <c r="AN78" s="397">
        <f t="shared" si="258"/>
        <v>4.3125415284263708E-3</v>
      </c>
      <c r="AO78" s="397">
        <f t="shared" si="258"/>
        <v>2.0479352431618959E-3</v>
      </c>
      <c r="AP78" s="398">
        <f t="shared" si="258"/>
        <v>2.3527154060409257E-3</v>
      </c>
      <c r="AQ78" s="399">
        <f t="shared" si="249"/>
        <v>2.6299328380214515E-3</v>
      </c>
      <c r="AR78" s="399"/>
      <c r="AS78" s="397">
        <f t="shared" ref="AS78:BE78" si="308">AS48/AS$60</f>
        <v>3.9051640465466351E-3</v>
      </c>
      <c r="AT78" s="397">
        <f t="shared" si="308"/>
        <v>3.6447491116545845E-3</v>
      </c>
      <c r="AU78" s="397">
        <f t="shared" si="308"/>
        <v>3.9861445680477951E-3</v>
      </c>
      <c r="AV78" s="397">
        <f t="shared" si="308"/>
        <v>3.9474351819462098E-3</v>
      </c>
      <c r="AW78" s="397">
        <f t="shared" si="308"/>
        <v>3.9230503525299549E-3</v>
      </c>
      <c r="AX78" s="397">
        <f t="shared" si="308"/>
        <v>3.8581330824690695E-3</v>
      </c>
      <c r="AY78" s="397">
        <f t="shared" si="308"/>
        <v>3.9927538689063253E-3</v>
      </c>
      <c r="AZ78" s="397">
        <f t="shared" si="308"/>
        <v>3.9575117084508947E-3</v>
      </c>
      <c r="BA78" s="397">
        <f t="shared" si="308"/>
        <v>3.9409055875044043E-3</v>
      </c>
      <c r="BB78" s="397">
        <f t="shared" si="308"/>
        <v>3.979821633123477E-3</v>
      </c>
      <c r="BC78" s="397">
        <f t="shared" si="308"/>
        <v>4.0086426871267294E-3</v>
      </c>
      <c r="BD78" s="398">
        <f t="shared" si="308"/>
        <v>3.9171083921428094E-3</v>
      </c>
      <c r="BE78" s="399">
        <f t="shared" si="308"/>
        <v>3.9264745983556134E-3</v>
      </c>
      <c r="BF78" s="397">
        <f t="shared" ref="BF78:BJ78" si="309">BF48/BF$60</f>
        <v>2.6661726926221763E-3</v>
      </c>
      <c r="BG78" s="397">
        <f t="shared" si="309"/>
        <v>1.1896219249905812E-3</v>
      </c>
      <c r="BH78" s="397">
        <f t="shared" si="309"/>
        <v>2.8628169125323659E-3</v>
      </c>
      <c r="BI78" s="397">
        <f t="shared" si="309"/>
        <v>3.7223265131715454E-3</v>
      </c>
      <c r="BJ78" s="397">
        <f t="shared" si="309"/>
        <v>3.4467302611473193E-3</v>
      </c>
      <c r="BK78" s="397">
        <f t="shared" ref="BK78:BQ78" si="310">IFERROR(BK48/BK$60,0)</f>
        <v>3.4108618848266853E-3</v>
      </c>
      <c r="BL78" s="397">
        <f t="shared" si="310"/>
        <v>0</v>
      </c>
      <c r="BM78" s="397">
        <f t="shared" si="310"/>
        <v>0</v>
      </c>
      <c r="BN78" s="397">
        <f t="shared" si="310"/>
        <v>0</v>
      </c>
      <c r="BO78" s="397">
        <f t="shared" si="310"/>
        <v>0</v>
      </c>
      <c r="BP78" s="397">
        <f t="shared" si="310"/>
        <v>0</v>
      </c>
      <c r="BQ78" s="398">
        <f t="shared" si="310"/>
        <v>0</v>
      </c>
      <c r="BR78" s="399">
        <f t="shared" ref="BR78" si="311">BR48/BR$60</f>
        <v>3.0290637625878924E-3</v>
      </c>
      <c r="BS78" s="399">
        <f t="shared" si="253"/>
        <v>3.9264745983556134E-3</v>
      </c>
      <c r="BU78" s="160"/>
      <c r="BV78" s="158"/>
      <c r="BW78" s="158"/>
      <c r="BX78" s="158"/>
    </row>
    <row r="79" spans="1:81" x14ac:dyDescent="0.4">
      <c r="B79" s="256">
        <f t="shared" si="263"/>
        <v>9</v>
      </c>
      <c r="C79" s="257" t="s">
        <v>96</v>
      </c>
      <c r="D79" s="257" t="s">
        <v>42</v>
      </c>
      <c r="E79" s="397">
        <f t="shared" ref="E79:Q79" si="312">E49/E$60</f>
        <v>2.6959767145218606E-3</v>
      </c>
      <c r="F79" s="397">
        <f t="shared" si="312"/>
        <v>2.4445097901859623E-3</v>
      </c>
      <c r="G79" s="397">
        <f t="shared" si="312"/>
        <v>2.8542785420917079E-3</v>
      </c>
      <c r="H79" s="397">
        <f t="shared" si="312"/>
        <v>2.2156689013996668E-3</v>
      </c>
      <c r="I79" s="397">
        <f t="shared" si="312"/>
        <v>2.7746620892535878E-3</v>
      </c>
      <c r="J79" s="397">
        <f t="shared" si="312"/>
        <v>3.7151060369135136E-3</v>
      </c>
      <c r="K79" s="397">
        <f t="shared" si="312"/>
        <v>2.244157750251385E-3</v>
      </c>
      <c r="L79" s="397">
        <f t="shared" si="312"/>
        <v>1.5057375019554475E-3</v>
      </c>
      <c r="M79" s="397">
        <f t="shared" si="312"/>
        <v>1.0705740926027075E-3</v>
      </c>
      <c r="N79" s="397">
        <f t="shared" si="312"/>
        <v>8.9405693211893386E-4</v>
      </c>
      <c r="O79" s="397">
        <f t="shared" si="312"/>
        <v>9.8617665883327728E-4</v>
      </c>
      <c r="P79" s="398">
        <f t="shared" si="312"/>
        <v>1.2298156429019554E-3</v>
      </c>
      <c r="Q79" s="399">
        <f t="shared" si="312"/>
        <v>1.2306544023286956E-3</v>
      </c>
      <c r="R79" s="397">
        <f t="shared" ref="R79:Z79" si="313">R49/R$60</f>
        <v>5.9938764585506404E-4</v>
      </c>
      <c r="S79" s="397">
        <f t="shared" si="313"/>
        <v>7.728432415737347E-4</v>
      </c>
      <c r="T79" s="397">
        <f t="shared" si="313"/>
        <v>5.7175395198297979E-4</v>
      </c>
      <c r="U79" s="397">
        <f t="shared" si="313"/>
        <v>1.2400679959872984E-3</v>
      </c>
      <c r="V79" s="397">
        <f t="shared" si="313"/>
        <v>9.6488821729109843E-4</v>
      </c>
      <c r="W79" s="397">
        <f t="shared" si="313"/>
        <v>8.1887155293336792E-4</v>
      </c>
      <c r="X79" s="397">
        <f t="shared" si="313"/>
        <v>1.1095236497678915E-3</v>
      </c>
      <c r="Y79" s="397">
        <f t="shared" si="313"/>
        <v>1.0888623956325141E-3</v>
      </c>
      <c r="Z79" s="397">
        <f t="shared" si="313"/>
        <v>6.7238777806138993E-4</v>
      </c>
      <c r="AA79" s="397">
        <f t="shared" ref="AA79:AB79" si="314">AA49/AA$60</f>
        <v>7.3425281331224569E-4</v>
      </c>
      <c r="AB79" s="397">
        <f t="shared" si="314"/>
        <v>5.850086386648269E-4</v>
      </c>
      <c r="AC79" s="398">
        <f t="shared" ref="AC79:AD79" si="315">AC49/AC$60</f>
        <v>6.6078490128946763E-4</v>
      </c>
      <c r="AD79" s="399">
        <f t="shared" si="315"/>
        <v>8.013038195309538E-4</v>
      </c>
      <c r="AE79" s="397">
        <f t="shared" si="258"/>
        <v>6.5234443289459703E-4</v>
      </c>
      <c r="AF79" s="397">
        <f t="shared" si="258"/>
        <v>5.7363965820824575E-4</v>
      </c>
      <c r="AG79" s="397">
        <f t="shared" si="258"/>
        <v>5.0410561843482334E-4</v>
      </c>
      <c r="AH79" s="397">
        <f t="shared" si="258"/>
        <v>8.0091584990084038E-4</v>
      </c>
      <c r="AI79" s="397">
        <f t="shared" si="258"/>
        <v>6.0081949894527609E-4</v>
      </c>
      <c r="AJ79" s="397">
        <f t="shared" si="258"/>
        <v>5.6107626151953561E-4</v>
      </c>
      <c r="AK79" s="397">
        <f t="shared" si="258"/>
        <v>9.8485607577745104E-4</v>
      </c>
      <c r="AL79" s="397">
        <f t="shared" si="258"/>
        <v>6.7470244469524071E-4</v>
      </c>
      <c r="AM79" s="397">
        <f t="shared" si="258"/>
        <v>9.8738106932072132E-4</v>
      </c>
      <c r="AN79" s="397">
        <f t="shared" si="258"/>
        <v>1.2641457327709745E-3</v>
      </c>
      <c r="AO79" s="397">
        <f t="shared" si="258"/>
        <v>6.283731235875588E-4</v>
      </c>
      <c r="AP79" s="398">
        <f t="shared" si="258"/>
        <v>6.7142480533061014E-4</v>
      </c>
      <c r="AQ79" s="399">
        <f t="shared" si="249"/>
        <v>7.4751031307809346E-4</v>
      </c>
      <c r="AR79" s="399"/>
      <c r="AS79" s="397">
        <f t="shared" ref="AS79:BE79" si="316">AS49/AS$60</f>
        <v>1.0171646173419021E-3</v>
      </c>
      <c r="AT79" s="397">
        <f t="shared" si="316"/>
        <v>1.3100092046314674E-3</v>
      </c>
      <c r="AU79" s="397">
        <f t="shared" si="316"/>
        <v>1.0636914085985216E-3</v>
      </c>
      <c r="AV79" s="397">
        <f t="shared" si="316"/>
        <v>1.0144633245464099E-3</v>
      </c>
      <c r="AW79" s="397">
        <f t="shared" si="316"/>
        <v>1.0172419194505239E-3</v>
      </c>
      <c r="AX79" s="397">
        <f t="shared" si="316"/>
        <v>1.0900019166325428E-3</v>
      </c>
      <c r="AY79" s="397">
        <f t="shared" si="316"/>
        <v>1.0106233385059205E-3</v>
      </c>
      <c r="AZ79" s="397">
        <f t="shared" si="316"/>
        <v>1.063428124573081E-3</v>
      </c>
      <c r="BA79" s="397">
        <f t="shared" si="316"/>
        <v>9.716286328095851E-4</v>
      </c>
      <c r="BB79" s="397">
        <f t="shared" si="316"/>
        <v>1.0694230534834034E-3</v>
      </c>
      <c r="BC79" s="397">
        <f t="shared" si="316"/>
        <v>9.7834159888177705E-4</v>
      </c>
      <c r="BD79" s="398">
        <f t="shared" si="316"/>
        <v>9.2910449535344277E-4</v>
      </c>
      <c r="BE79" s="399">
        <f t="shared" si="316"/>
        <v>1.0399566074525037E-3</v>
      </c>
      <c r="BF79" s="397">
        <f t="shared" ref="BF79:BJ79" si="317">BF49/BF$60</f>
        <v>7.3988773151478196E-4</v>
      </c>
      <c r="BG79" s="397">
        <f t="shared" si="317"/>
        <v>6.1626771253774808E-4</v>
      </c>
      <c r="BH79" s="397">
        <f t="shared" si="317"/>
        <v>8.1513660818689391E-4</v>
      </c>
      <c r="BI79" s="397">
        <f t="shared" si="317"/>
        <v>8.9012447818674905E-4</v>
      </c>
      <c r="BJ79" s="397">
        <f t="shared" si="317"/>
        <v>7.5190553534476708E-4</v>
      </c>
      <c r="BK79" s="397">
        <f t="shared" ref="BK79:BQ79" si="318">IFERROR(BK49/BK$60,0)</f>
        <v>9.0849249785735799E-4</v>
      </c>
      <c r="BL79" s="397">
        <f t="shared" si="318"/>
        <v>0</v>
      </c>
      <c r="BM79" s="397">
        <f t="shared" si="318"/>
        <v>0</v>
      </c>
      <c r="BN79" s="397">
        <f t="shared" si="318"/>
        <v>0</v>
      </c>
      <c r="BO79" s="397">
        <f t="shared" si="318"/>
        <v>0</v>
      </c>
      <c r="BP79" s="397">
        <f t="shared" si="318"/>
        <v>0</v>
      </c>
      <c r="BQ79" s="398">
        <f t="shared" si="318"/>
        <v>0</v>
      </c>
      <c r="BR79" s="399">
        <f t="shared" ref="BR79" si="319">BR49/BR$60</f>
        <v>8.0413884094740907E-4</v>
      </c>
      <c r="BS79" s="399">
        <f t="shared" si="253"/>
        <v>1.0399566074525037E-3</v>
      </c>
      <c r="BU79" s="160"/>
      <c r="BV79" s="158"/>
      <c r="BW79" s="158"/>
      <c r="BX79" s="158"/>
    </row>
    <row r="80" spans="1:81" x14ac:dyDescent="0.4">
      <c r="B80" s="256">
        <f t="shared" si="263"/>
        <v>10</v>
      </c>
      <c r="C80" s="257" t="s">
        <v>96</v>
      </c>
      <c r="D80" s="257" t="s">
        <v>52</v>
      </c>
      <c r="E80" s="397">
        <f t="shared" ref="E80:Q80" si="320">E50/E$60</f>
        <v>4.3035446112269071E-3</v>
      </c>
      <c r="F80" s="397">
        <f t="shared" si="320"/>
        <v>3.0510552087654624E-3</v>
      </c>
      <c r="G80" s="397">
        <f t="shared" si="320"/>
        <v>2.4138585825133961E-3</v>
      </c>
      <c r="H80" s="397">
        <f t="shared" si="320"/>
        <v>2.45356026462E-3</v>
      </c>
      <c r="I80" s="397">
        <f t="shared" si="320"/>
        <v>2.6543933584220231E-3</v>
      </c>
      <c r="J80" s="397">
        <f t="shared" si="320"/>
        <v>1.9243326309744291E-3</v>
      </c>
      <c r="K80" s="397">
        <f t="shared" si="320"/>
        <v>1.8277399152203176E-3</v>
      </c>
      <c r="L80" s="397">
        <f t="shared" si="320"/>
        <v>2.0981573653576172E-3</v>
      </c>
      <c r="M80" s="397">
        <f t="shared" si="320"/>
        <v>2.350399458122261E-3</v>
      </c>
      <c r="N80" s="397">
        <f t="shared" si="320"/>
        <v>1.9553479473626853E-3</v>
      </c>
      <c r="O80" s="397">
        <f t="shared" si="320"/>
        <v>2.2373878328501478E-3</v>
      </c>
      <c r="P80" s="398">
        <f t="shared" si="320"/>
        <v>1.3849591850486885E-3</v>
      </c>
      <c r="Q80" s="399">
        <f t="shared" si="320"/>
        <v>1.411958226687444E-3</v>
      </c>
      <c r="R80" s="397">
        <f t="shared" ref="R80:Z80" si="321">R50/R$60</f>
        <v>1.1124314236317461E-3</v>
      </c>
      <c r="S80" s="397">
        <f t="shared" si="321"/>
        <v>1.3392970497327875E-3</v>
      </c>
      <c r="T80" s="397">
        <f t="shared" si="321"/>
        <v>1.1103233919495705E-3</v>
      </c>
      <c r="U80" s="397">
        <f t="shared" si="321"/>
        <v>1.1709365478835012E-3</v>
      </c>
      <c r="V80" s="397">
        <f t="shared" si="321"/>
        <v>1.0989096317565721E-3</v>
      </c>
      <c r="W80" s="397">
        <f t="shared" si="321"/>
        <v>1.3294449860791753E-3</v>
      </c>
      <c r="X80" s="397">
        <f t="shared" si="321"/>
        <v>1.5522696514127415E-3</v>
      </c>
      <c r="Y80" s="397">
        <f t="shared" si="321"/>
        <v>1.4896608745343675E-3</v>
      </c>
      <c r="Z80" s="397">
        <f t="shared" si="321"/>
        <v>1.1116511226767561E-3</v>
      </c>
      <c r="AA80" s="397">
        <f t="shared" ref="AA80:AB80" si="322">AA50/AA$60</f>
        <v>1.065828791636888E-3</v>
      </c>
      <c r="AB80" s="397">
        <f t="shared" si="322"/>
        <v>1.1039484980340946E-3</v>
      </c>
      <c r="AC80" s="398">
        <f t="shared" ref="AC80:AD80" si="323">AC50/AC$60</f>
        <v>1.1552401217769564E-3</v>
      </c>
      <c r="AD80" s="399">
        <f t="shared" si="323"/>
        <v>1.19283089980862E-3</v>
      </c>
      <c r="AE80" s="397">
        <f t="shared" si="258"/>
        <v>1.3088864211304812E-3</v>
      </c>
      <c r="AF80" s="397">
        <f t="shared" si="258"/>
        <v>1.5172299793217679E-3</v>
      </c>
      <c r="AG80" s="397">
        <f t="shared" si="258"/>
        <v>8.9118096039011063E-4</v>
      </c>
      <c r="AH80" s="397">
        <f t="shared" si="258"/>
        <v>9.9678791076356424E-4</v>
      </c>
      <c r="AI80" s="397">
        <f t="shared" si="258"/>
        <v>1.1735306762512222E-3</v>
      </c>
      <c r="AJ80" s="397">
        <f t="shared" si="258"/>
        <v>1.2288701954719196E-3</v>
      </c>
      <c r="AK80" s="397">
        <f t="shared" si="258"/>
        <v>1.1846325629410273E-3</v>
      </c>
      <c r="AL80" s="397">
        <f t="shared" si="258"/>
        <v>1.4886861766936577E-3</v>
      </c>
      <c r="AM80" s="397">
        <f t="shared" si="258"/>
        <v>1.2571620469463889E-3</v>
      </c>
      <c r="AN80" s="397">
        <f t="shared" si="258"/>
        <v>1.7490759320438675E-3</v>
      </c>
      <c r="AO80" s="397">
        <f t="shared" si="258"/>
        <v>1.6328457599096018E-3</v>
      </c>
      <c r="AP80" s="398">
        <f t="shared" si="258"/>
        <v>1.1479809944074679E-3</v>
      </c>
      <c r="AQ80" s="399">
        <f t="shared" si="249"/>
        <v>1.2748620042716782E-3</v>
      </c>
      <c r="AR80" s="399"/>
      <c r="AS80" s="397">
        <f t="shared" ref="AS80:BE80" si="324">AS50/AS$60</f>
        <v>1.8995644438393902E-3</v>
      </c>
      <c r="AT80" s="397">
        <f t="shared" si="324"/>
        <v>1.719458664450581E-3</v>
      </c>
      <c r="AU80" s="397">
        <f t="shared" si="324"/>
        <v>1.8592721966510474E-3</v>
      </c>
      <c r="AV80" s="397">
        <f t="shared" si="324"/>
        <v>1.8439562065931975E-3</v>
      </c>
      <c r="AW80" s="397">
        <f t="shared" si="324"/>
        <v>1.8413603268077471E-3</v>
      </c>
      <c r="AX80" s="397">
        <f t="shared" si="324"/>
        <v>1.8090607829641162E-3</v>
      </c>
      <c r="AY80" s="397">
        <f t="shared" si="324"/>
        <v>1.8115530146467086E-3</v>
      </c>
      <c r="AZ80" s="397">
        <f t="shared" si="324"/>
        <v>1.7955632882293408E-3</v>
      </c>
      <c r="BA80" s="397">
        <f t="shared" si="324"/>
        <v>1.791096193557271E-3</v>
      </c>
      <c r="BB80" s="397">
        <f t="shared" si="324"/>
        <v>1.8050084133723911E-3</v>
      </c>
      <c r="BC80" s="397">
        <f t="shared" si="324"/>
        <v>1.8314803407771586E-3</v>
      </c>
      <c r="BD80" s="398">
        <f t="shared" si="324"/>
        <v>1.7765654483264638E-3</v>
      </c>
      <c r="BE80" s="399">
        <f t="shared" si="324"/>
        <v>1.8160404406335497E-3</v>
      </c>
      <c r="BF80" s="397">
        <f t="shared" ref="BF80:BJ80" si="325">BF50/BF$60</f>
        <v>1.1809129771653628E-3</v>
      </c>
      <c r="BG80" s="397">
        <f t="shared" si="325"/>
        <v>1.1819100271771817E-3</v>
      </c>
      <c r="BH80" s="397">
        <f t="shared" si="325"/>
        <v>8.6965988184137537E-4</v>
      </c>
      <c r="BI80" s="397">
        <f t="shared" si="325"/>
        <v>1.011084690627214E-3</v>
      </c>
      <c r="BJ80" s="397">
        <f t="shared" si="325"/>
        <v>1.1178622687296402E-3</v>
      </c>
      <c r="BK80" s="397">
        <f t="shared" ref="BK80:BQ80" si="326">IFERROR(BK50/BK$60,0)</f>
        <v>1.2838798352365064E-3</v>
      </c>
      <c r="BL80" s="397">
        <f t="shared" si="326"/>
        <v>0</v>
      </c>
      <c r="BM80" s="397">
        <f t="shared" si="326"/>
        <v>0</v>
      </c>
      <c r="BN80" s="397">
        <f t="shared" si="326"/>
        <v>0</v>
      </c>
      <c r="BO80" s="397">
        <f t="shared" si="326"/>
        <v>0</v>
      </c>
      <c r="BP80" s="397">
        <f t="shared" si="326"/>
        <v>0</v>
      </c>
      <c r="BQ80" s="398">
        <f t="shared" si="326"/>
        <v>0</v>
      </c>
      <c r="BR80" s="399">
        <f t="shared" ref="BR80" si="327">BR50/BR$60</f>
        <v>1.0974848520613589E-3</v>
      </c>
      <c r="BS80" s="399">
        <f t="shared" si="253"/>
        <v>1.8160404406335497E-3</v>
      </c>
      <c r="BU80" s="160"/>
      <c r="BV80" s="158"/>
      <c r="BW80" s="158"/>
      <c r="BX80" s="158"/>
    </row>
    <row r="81" spans="2:76" x14ac:dyDescent="0.4">
      <c r="B81" s="256">
        <f t="shared" si="263"/>
        <v>11</v>
      </c>
      <c r="C81" s="262" t="s">
        <v>96</v>
      </c>
      <c r="D81" s="262" t="s">
        <v>55</v>
      </c>
      <c r="E81" s="400">
        <f t="shared" ref="E81:Q81" si="328">E51/E$60</f>
        <v>0</v>
      </c>
      <c r="F81" s="400">
        <f t="shared" si="328"/>
        <v>0</v>
      </c>
      <c r="G81" s="400">
        <f t="shared" si="328"/>
        <v>0</v>
      </c>
      <c r="H81" s="400">
        <f t="shared" si="328"/>
        <v>1.6656012001647551E-3</v>
      </c>
      <c r="I81" s="400">
        <f t="shared" si="328"/>
        <v>9.2092824700612877E-4</v>
      </c>
      <c r="J81" s="400">
        <f t="shared" si="328"/>
        <v>1.1834870668861969E-3</v>
      </c>
      <c r="K81" s="400">
        <f t="shared" si="328"/>
        <v>5.5858681705615485E-4</v>
      </c>
      <c r="L81" s="400">
        <f t="shared" si="328"/>
        <v>1.0978051375632213E-3</v>
      </c>
      <c r="M81" s="400">
        <f t="shared" si="328"/>
        <v>8.1287573289689195E-4</v>
      </c>
      <c r="N81" s="400">
        <f t="shared" si="328"/>
        <v>0</v>
      </c>
      <c r="O81" s="400">
        <f t="shared" si="328"/>
        <v>4.4006716643799147E-4</v>
      </c>
      <c r="P81" s="401">
        <f t="shared" si="328"/>
        <v>1.4008714644236211E-6</v>
      </c>
      <c r="Q81" s="402">
        <f t="shared" si="328"/>
        <v>3.3592851967551566E-4</v>
      </c>
      <c r="R81" s="400">
        <f t="shared" ref="R81:Z81" si="329">R51/R$60</f>
        <v>1.9857300075793059E-4</v>
      </c>
      <c r="S81" s="400">
        <f t="shared" si="329"/>
        <v>0</v>
      </c>
      <c r="T81" s="400">
        <f t="shared" si="329"/>
        <v>1.8306569067292914E-4</v>
      </c>
      <c r="U81" s="400">
        <f t="shared" si="329"/>
        <v>0</v>
      </c>
      <c r="V81" s="400">
        <f t="shared" si="329"/>
        <v>0</v>
      </c>
      <c r="W81" s="400">
        <f t="shared" si="329"/>
        <v>1.0517008015975398E-4</v>
      </c>
      <c r="X81" s="400">
        <f t="shared" si="329"/>
        <v>3.0751838224746719E-4</v>
      </c>
      <c r="Y81" s="400">
        <f t="shared" si="329"/>
        <v>4.0515971125736175E-4</v>
      </c>
      <c r="Z81" s="400">
        <f t="shared" si="329"/>
        <v>1.2580952602035037E-6</v>
      </c>
      <c r="AA81" s="400">
        <f t="shared" ref="AA81:AB81" si="330">AA51/AA$60</f>
        <v>3.3797380744320251E-4</v>
      </c>
      <c r="AB81" s="400">
        <f t="shared" si="330"/>
        <v>8.8024436800775979E-5</v>
      </c>
      <c r="AC81" s="401">
        <f t="shared" ref="AC81:AD81" si="331">AC51/AC$60</f>
        <v>6.9045076273091318E-5</v>
      </c>
      <c r="AD81" s="402">
        <f t="shared" si="331"/>
        <v>1.3193706123994128E-4</v>
      </c>
      <c r="AE81" s="400">
        <f t="shared" si="258"/>
        <v>9.8935059508669775E-4</v>
      </c>
      <c r="AF81" s="400">
        <f t="shared" si="258"/>
        <v>2.6757186765640043E-4</v>
      </c>
      <c r="AG81" s="400">
        <f t="shared" si="258"/>
        <v>1.992735730042351E-4</v>
      </c>
      <c r="AH81" s="400">
        <f t="shared" si="258"/>
        <v>4.7896603908104953E-4</v>
      </c>
      <c r="AI81" s="400">
        <f t="shared" si="258"/>
        <v>4.5834800945406375E-4</v>
      </c>
      <c r="AJ81" s="400">
        <f t="shared" si="258"/>
        <v>3.9366158578289768E-4</v>
      </c>
      <c r="AK81" s="400">
        <f t="shared" si="258"/>
        <v>9.4463571121786384E-7</v>
      </c>
      <c r="AL81" s="400">
        <f t="shared" si="258"/>
        <v>1.5794887049965967E-4</v>
      </c>
      <c r="AM81" s="400">
        <f t="shared" si="258"/>
        <v>7.2197305766830643E-4</v>
      </c>
      <c r="AN81" s="400">
        <f t="shared" si="258"/>
        <v>1.367112914379348E-3</v>
      </c>
      <c r="AO81" s="400">
        <f t="shared" si="258"/>
        <v>1.2322892151719262E-3</v>
      </c>
      <c r="AP81" s="401">
        <f t="shared" si="258"/>
        <v>1.0486556709688557E-3</v>
      </c>
      <c r="AQ81" s="402">
        <f t="shared" si="249"/>
        <v>5.5912817100249308E-4</v>
      </c>
      <c r="AR81" s="402"/>
      <c r="AS81" s="400">
        <f t="shared" ref="AS81:BE81" si="332">AS51/AS$60</f>
        <v>4.7527079089747617E-4</v>
      </c>
      <c r="AT81" s="400">
        <f t="shared" si="332"/>
        <v>4.7397481681088233E-4</v>
      </c>
      <c r="AU81" s="400">
        <f t="shared" si="332"/>
        <v>4.2115429424578748E-4</v>
      </c>
      <c r="AV81" s="400">
        <f t="shared" si="332"/>
        <v>4.839438690447458E-4</v>
      </c>
      <c r="AW81" s="400">
        <f t="shared" si="332"/>
        <v>4.1448810355606506E-4</v>
      </c>
      <c r="AX81" s="400">
        <f t="shared" si="332"/>
        <v>6.5915686161535213E-4</v>
      </c>
      <c r="AY81" s="400">
        <f t="shared" si="332"/>
        <v>4.7603935894321628E-4</v>
      </c>
      <c r="AZ81" s="400">
        <f t="shared" si="332"/>
        <v>4.3031897828507638E-4</v>
      </c>
      <c r="BA81" s="400">
        <f t="shared" si="332"/>
        <v>6.2837812453972811E-4</v>
      </c>
      <c r="BB81" s="400">
        <f t="shared" si="332"/>
        <v>4.967791590625171E-4</v>
      </c>
      <c r="BC81" s="400">
        <f t="shared" si="332"/>
        <v>4.1343567584200923E-4</v>
      </c>
      <c r="BD81" s="401">
        <f t="shared" si="332"/>
        <v>4.2592573448092108E-4</v>
      </c>
      <c r="BE81" s="402">
        <f t="shared" si="332"/>
        <v>4.8370094766439525E-4</v>
      </c>
      <c r="BF81" s="400">
        <f t="shared" ref="BF81:BJ81" si="333">BF51/BF$60</f>
        <v>1.2686923740873528E-3</v>
      </c>
      <c r="BG81" s="400">
        <f t="shared" si="333"/>
        <v>5.8974193212498111E-4</v>
      </c>
      <c r="BH81" s="400">
        <f t="shared" si="333"/>
        <v>1.6396492772451298E-3</v>
      </c>
      <c r="BI81" s="400">
        <f t="shared" si="333"/>
        <v>3.285951173232949E-4</v>
      </c>
      <c r="BJ81" s="400">
        <f t="shared" si="333"/>
        <v>2.3727373864983919E-5</v>
      </c>
      <c r="BK81" s="400">
        <f t="shared" ref="BK81:BQ81" si="334">IFERROR(BK51/BK$60,0)</f>
        <v>6.8858358911156258E-4</v>
      </c>
      <c r="BL81" s="400">
        <f t="shared" si="334"/>
        <v>0</v>
      </c>
      <c r="BM81" s="400">
        <f t="shared" si="334"/>
        <v>0</v>
      </c>
      <c r="BN81" s="400">
        <f t="shared" si="334"/>
        <v>0</v>
      </c>
      <c r="BO81" s="400">
        <f t="shared" si="334"/>
        <v>0</v>
      </c>
      <c r="BP81" s="400">
        <f t="shared" si="334"/>
        <v>0</v>
      </c>
      <c r="BQ81" s="401">
        <f t="shared" si="334"/>
        <v>0</v>
      </c>
      <c r="BR81" s="402">
        <f t="shared" ref="BR81" si="335">BR51/BR$60</f>
        <v>7.5974765388817946E-4</v>
      </c>
      <c r="BS81" s="402">
        <f t="shared" si="253"/>
        <v>4.8370094766439525E-4</v>
      </c>
      <c r="BU81" s="160"/>
      <c r="BV81" s="158"/>
      <c r="BW81" s="158"/>
      <c r="BX81" s="158"/>
    </row>
    <row r="82" spans="2:76" x14ac:dyDescent="0.4">
      <c r="B82" s="236" t="s">
        <v>163</v>
      </c>
      <c r="C82" s="213"/>
      <c r="D82" s="237" t="s">
        <v>164</v>
      </c>
      <c r="E82" s="391">
        <f t="shared" ref="E82:Q82" si="336">SUM(E83:E89)</f>
        <v>0.36413466542937084</v>
      </c>
      <c r="F82" s="391">
        <f t="shared" si="336"/>
        <v>0.27773072666278337</v>
      </c>
      <c r="G82" s="391">
        <f t="shared" si="336"/>
        <v>0.24265994577007918</v>
      </c>
      <c r="H82" s="391">
        <f t="shared" si="336"/>
        <v>0.24976207644130161</v>
      </c>
      <c r="I82" s="391">
        <f t="shared" si="336"/>
        <v>0.22014456051817829</v>
      </c>
      <c r="J82" s="391">
        <f t="shared" si="336"/>
        <v>0.25064588486681466</v>
      </c>
      <c r="K82" s="391">
        <f t="shared" si="336"/>
        <v>0.22196155024647821</v>
      </c>
      <c r="L82" s="391">
        <f t="shared" si="336"/>
        <v>0.22431069054427089</v>
      </c>
      <c r="M82" s="391">
        <f t="shared" si="336"/>
        <v>0.22461557022240891</v>
      </c>
      <c r="N82" s="391">
        <f t="shared" si="336"/>
        <v>0.20327905465274532</v>
      </c>
      <c r="O82" s="391">
        <f t="shared" si="336"/>
        <v>0.26098649520028738</v>
      </c>
      <c r="P82" s="392">
        <f t="shared" si="336"/>
        <v>0.15103109513547464</v>
      </c>
      <c r="Q82" s="393">
        <f t="shared" si="336"/>
        <v>0.1443014716257266</v>
      </c>
      <c r="R82" s="391">
        <f t="shared" ref="R82:X82" si="337">SUM(R83:R89)</f>
        <v>0.191514385760924</v>
      </c>
      <c r="S82" s="391">
        <f t="shared" si="337"/>
        <v>0.26597982166800305</v>
      </c>
      <c r="T82" s="391">
        <f t="shared" si="337"/>
        <v>0.18582512108564042</v>
      </c>
      <c r="U82" s="391">
        <f t="shared" si="337"/>
        <v>0.19993177103165113</v>
      </c>
      <c r="V82" s="391">
        <f t="shared" si="337"/>
        <v>0.21838718673298968</v>
      </c>
      <c r="W82" s="391">
        <f t="shared" si="337"/>
        <v>0.25836842237817964</v>
      </c>
      <c r="X82" s="391">
        <f t="shared" si="337"/>
        <v>0.38261216091643047</v>
      </c>
      <c r="Y82" s="391">
        <f t="shared" ref="Y82:BS82" si="338">SUM(Y83:Y89)</f>
        <v>0.3640965238037952</v>
      </c>
      <c r="Z82" s="391">
        <f t="shared" si="338"/>
        <v>0.31633150711168539</v>
      </c>
      <c r="AA82" s="391">
        <f t="shared" si="338"/>
        <v>0.23522279077949906</v>
      </c>
      <c r="AB82" s="391">
        <f t="shared" si="338"/>
        <v>0.22151284976703581</v>
      </c>
      <c r="AC82" s="392">
        <f t="shared" si="338"/>
        <v>0.35629193717327784</v>
      </c>
      <c r="AD82" s="393">
        <f t="shared" si="338"/>
        <v>0.25519405110165944</v>
      </c>
      <c r="AE82" s="391">
        <f t="shared" ref="AE82:AQ82" si="339">SUM(AE83:AE89)</f>
        <v>0.43607718508280729</v>
      </c>
      <c r="AF82" s="391">
        <f t="shared" si="339"/>
        <v>0.31998091816733082</v>
      </c>
      <c r="AG82" s="391">
        <f t="shared" si="339"/>
        <v>0.22713295618539547</v>
      </c>
      <c r="AH82" s="391">
        <f t="shared" si="339"/>
        <v>0.24797173511223602</v>
      </c>
      <c r="AI82" s="391">
        <f t="shared" si="339"/>
        <v>0.22556877629636762</v>
      </c>
      <c r="AJ82" s="391">
        <f t="shared" si="339"/>
        <v>0.25437386766752573</v>
      </c>
      <c r="AK82" s="391">
        <f t="shared" si="339"/>
        <v>0.24034234237197782</v>
      </c>
      <c r="AL82" s="391">
        <f t="shared" si="339"/>
        <v>0.24375504111797869</v>
      </c>
      <c r="AM82" s="391">
        <f t="shared" si="339"/>
        <v>0.25831442678030336</v>
      </c>
      <c r="AN82" s="391">
        <f t="shared" si="339"/>
        <v>0.33444809710297252</v>
      </c>
      <c r="AO82" s="391">
        <f t="shared" si="339"/>
        <v>0.41836457179203257</v>
      </c>
      <c r="AP82" s="392">
        <f t="shared" si="339"/>
        <v>0.36207522472026893</v>
      </c>
      <c r="AQ82" s="393">
        <f t="shared" si="339"/>
        <v>0.28432125393836727</v>
      </c>
      <c r="AR82" s="393"/>
      <c r="AS82" s="391">
        <f t="shared" ref="AS82:BE82" si="340">SUM(AS83:AS89)</f>
        <v>0.31229600377734806</v>
      </c>
      <c r="AT82" s="391">
        <f t="shared" si="340"/>
        <v>0.338748204229609</v>
      </c>
      <c r="AU82" s="391">
        <f t="shared" si="340"/>
        <v>0.29548498876619367</v>
      </c>
      <c r="AV82" s="391">
        <f t="shared" si="340"/>
        <v>0.29985830695706639</v>
      </c>
      <c r="AW82" s="391">
        <f t="shared" si="340"/>
        <v>0.30650852756856495</v>
      </c>
      <c r="AX82" s="391">
        <f t="shared" si="340"/>
        <v>0.30307339585604276</v>
      </c>
      <c r="AY82" s="391">
        <f t="shared" si="340"/>
        <v>0.29766374180881328</v>
      </c>
      <c r="AZ82" s="391">
        <f t="shared" si="340"/>
        <v>0.29691527825193659</v>
      </c>
      <c r="BA82" s="391">
        <f t="shared" si="340"/>
        <v>0.30270691202626326</v>
      </c>
      <c r="BB82" s="391">
        <f t="shared" si="340"/>
        <v>0.28968200724569071</v>
      </c>
      <c r="BC82" s="391">
        <f t="shared" si="340"/>
        <v>0.29508053756351282</v>
      </c>
      <c r="BD82" s="392">
        <f t="shared" si="340"/>
        <v>0.3036689856820568</v>
      </c>
      <c r="BE82" s="393">
        <f t="shared" si="340"/>
        <v>0.30284179395085736</v>
      </c>
      <c r="BF82" s="391">
        <f t="shared" ref="BF82:BJ82" si="341">SUM(BF83:BF89)</f>
        <v>0.34009321057430381</v>
      </c>
      <c r="BG82" s="391">
        <f t="shared" si="341"/>
        <v>0.44486961614809645</v>
      </c>
      <c r="BH82" s="391">
        <f t="shared" si="341"/>
        <v>0.24838159134217799</v>
      </c>
      <c r="BI82" s="391">
        <f t="shared" si="341"/>
        <v>0.26529462062302112</v>
      </c>
      <c r="BJ82" s="391">
        <f t="shared" si="341"/>
        <v>0.28940510148086174</v>
      </c>
      <c r="BK82" s="391">
        <f t="shared" ref="BK82:BQ82" si="342">SUM(BK83:BK89)</f>
        <v>0.2701093816324317</v>
      </c>
      <c r="BL82" s="391">
        <f t="shared" si="342"/>
        <v>0</v>
      </c>
      <c r="BM82" s="391">
        <f t="shared" si="342"/>
        <v>0</v>
      </c>
      <c r="BN82" s="391">
        <f t="shared" si="342"/>
        <v>0</v>
      </c>
      <c r="BO82" s="391">
        <f t="shared" si="342"/>
        <v>0</v>
      </c>
      <c r="BP82" s="391">
        <f t="shared" si="342"/>
        <v>0</v>
      </c>
      <c r="BQ82" s="392">
        <f t="shared" si="342"/>
        <v>0</v>
      </c>
      <c r="BR82" s="393">
        <f t="shared" si="338"/>
        <v>0.29721939024751237</v>
      </c>
      <c r="BS82" s="393">
        <f t="shared" si="338"/>
        <v>0.30284179395085736</v>
      </c>
      <c r="BU82" s="160"/>
      <c r="BV82" s="158"/>
      <c r="BW82" s="158"/>
      <c r="BX82" s="158"/>
    </row>
    <row r="83" spans="2:76" x14ac:dyDescent="0.4">
      <c r="B83" s="245">
        <v>1</v>
      </c>
      <c r="C83" s="246" t="s">
        <v>97</v>
      </c>
      <c r="D83" s="246" t="s">
        <v>168</v>
      </c>
      <c r="E83" s="394">
        <f t="shared" ref="E83:Q83" si="343">E53/E$60</f>
        <v>8.7951777218042607E-2</v>
      </c>
      <c r="F83" s="394">
        <f t="shared" si="343"/>
        <v>6.5400036274309736E-2</v>
      </c>
      <c r="G83" s="394">
        <f t="shared" si="343"/>
        <v>5.4144679688370653E-2</v>
      </c>
      <c r="H83" s="394">
        <f t="shared" si="343"/>
        <v>2.4548285927262419E-2</v>
      </c>
      <c r="I83" s="394">
        <f t="shared" si="343"/>
        <v>2.3553101885297818E-2</v>
      </c>
      <c r="J83" s="394">
        <f t="shared" si="343"/>
        <v>2.531970655092055E-2</v>
      </c>
      <c r="K83" s="394">
        <f t="shared" si="343"/>
        <v>2.1888666777939596E-2</v>
      </c>
      <c r="L83" s="394">
        <f t="shared" si="343"/>
        <v>1.8900502149272809E-2</v>
      </c>
      <c r="M83" s="394">
        <f t="shared" si="343"/>
        <v>0</v>
      </c>
      <c r="N83" s="394">
        <f t="shared" si="343"/>
        <v>1.2701426375895713E-3</v>
      </c>
      <c r="O83" s="394">
        <f t="shared" si="343"/>
        <v>1.5588419317285908E-3</v>
      </c>
      <c r="P83" s="395">
        <f t="shared" si="343"/>
        <v>8.2327315923989483E-4</v>
      </c>
      <c r="Q83" s="396">
        <f t="shared" si="343"/>
        <v>1.4404928895643883E-2</v>
      </c>
      <c r="R83" s="394">
        <f t="shared" ref="R83:Z83" si="344">R53/R$60</f>
        <v>5.1461306912853784E-2</v>
      </c>
      <c r="S83" s="394">
        <f t="shared" si="344"/>
        <v>8.8859345668480472E-2</v>
      </c>
      <c r="T83" s="394">
        <f t="shared" si="344"/>
        <v>6.0399692870985955E-2</v>
      </c>
      <c r="U83" s="394">
        <f t="shared" si="344"/>
        <v>6.1318023769413942E-2</v>
      </c>
      <c r="V83" s="394">
        <f t="shared" si="344"/>
        <v>6.367135338268233E-2</v>
      </c>
      <c r="W83" s="394">
        <f t="shared" si="344"/>
        <v>7.5695284980294542E-2</v>
      </c>
      <c r="X83" s="394">
        <f t="shared" si="344"/>
        <v>0.11493291921238334</v>
      </c>
      <c r="Y83" s="394">
        <f t="shared" si="344"/>
        <v>0.103591106281336</v>
      </c>
      <c r="Z83" s="394">
        <f t="shared" si="344"/>
        <v>8.4283340467852977E-2</v>
      </c>
      <c r="AA83" s="394">
        <f t="shared" ref="AA83:AB83" si="345">AA53/AA$60</f>
        <v>5.8520554624139624E-2</v>
      </c>
      <c r="AB83" s="394">
        <f t="shared" si="345"/>
        <v>5.3329768041358298E-2</v>
      </c>
      <c r="AC83" s="395">
        <f t="shared" ref="AC83:AD83" si="346">AC53/AC$60</f>
        <v>6.5508434075842142E-2</v>
      </c>
      <c r="AD83" s="396">
        <f t="shared" si="346"/>
        <v>6.9754862614493554E-2</v>
      </c>
      <c r="AE83" s="394">
        <f t="shared" ref="AE83:AP83" si="347">IFERROR(AE53/AE$60,0)</f>
        <v>0.10852193037265404</v>
      </c>
      <c r="AF83" s="394">
        <f t="shared" si="347"/>
        <v>8.226767149582391E-2</v>
      </c>
      <c r="AG83" s="394">
        <f t="shared" si="347"/>
        <v>5.6415305246765191E-2</v>
      </c>
      <c r="AH83" s="394">
        <f t="shared" si="347"/>
        <v>6.055998949626841E-2</v>
      </c>
      <c r="AI83" s="394">
        <f t="shared" si="347"/>
        <v>5.3291246838913342E-2</v>
      </c>
      <c r="AJ83" s="394">
        <f t="shared" si="347"/>
        <v>6.3797975891147912E-2</v>
      </c>
      <c r="AK83" s="394">
        <f t="shared" si="347"/>
        <v>6.0605709819818852E-2</v>
      </c>
      <c r="AL83" s="394">
        <f t="shared" si="347"/>
        <v>6.3345314221095336E-2</v>
      </c>
      <c r="AM83" s="394">
        <f t="shared" si="347"/>
        <v>6.280255614548283E-2</v>
      </c>
      <c r="AN83" s="394">
        <f t="shared" si="347"/>
        <v>8.33095936618755E-2</v>
      </c>
      <c r="AO83" s="394">
        <f t="shared" si="347"/>
        <v>0.10476206034885416</v>
      </c>
      <c r="AP83" s="395">
        <f t="shared" si="347"/>
        <v>6.8132074785991384E-2</v>
      </c>
      <c r="AQ83" s="396">
        <f t="shared" ref="AQ83:AQ89" si="348">AQ53/AQ$60</f>
        <v>6.899452728312272E-2</v>
      </c>
      <c r="AR83" s="396"/>
      <c r="AS83" s="394">
        <f t="shared" ref="AS83:BE83" si="349">AS53/AS$60</f>
        <v>5.0228826105066834E-2</v>
      </c>
      <c r="AT83" s="394">
        <f t="shared" si="349"/>
        <v>5.8599160990364281E-2</v>
      </c>
      <c r="AU83" s="394">
        <f t="shared" si="349"/>
        <v>4.9163406985452719E-2</v>
      </c>
      <c r="AV83" s="394">
        <f t="shared" si="349"/>
        <v>4.8685981927083267E-2</v>
      </c>
      <c r="AW83" s="394">
        <f t="shared" si="349"/>
        <v>4.8385229841353149E-2</v>
      </c>
      <c r="AX83" s="394">
        <f t="shared" si="349"/>
        <v>4.7584567920064401E-2</v>
      </c>
      <c r="AY83" s="394">
        <f t="shared" si="349"/>
        <v>4.6766330560997604E-2</v>
      </c>
      <c r="AZ83" s="394">
        <f t="shared" si="349"/>
        <v>4.635354615713605E-2</v>
      </c>
      <c r="BA83" s="394">
        <f t="shared" si="349"/>
        <v>4.6159041971048531E-2</v>
      </c>
      <c r="BB83" s="394">
        <f t="shared" si="349"/>
        <v>4.6614857859856855E-2</v>
      </c>
      <c r="BC83" s="394">
        <f t="shared" si="349"/>
        <v>4.6952433123167957E-2</v>
      </c>
      <c r="BD83" s="395">
        <f t="shared" si="349"/>
        <v>4.5880310163067123E-2</v>
      </c>
      <c r="BE83" s="396">
        <f t="shared" si="349"/>
        <v>4.8250446325308144E-2</v>
      </c>
      <c r="BF83" s="394">
        <f t="shared" ref="BF83:BJ83" si="350">BF53/BF$60</f>
        <v>9.8645551329318432E-2</v>
      </c>
      <c r="BG83" s="394">
        <f t="shared" si="350"/>
        <v>0.13880070182941048</v>
      </c>
      <c r="BH83" s="394">
        <f t="shared" si="350"/>
        <v>7.6634864317940796E-2</v>
      </c>
      <c r="BI83" s="394">
        <f t="shared" si="350"/>
        <v>7.5831040486389778E-2</v>
      </c>
      <c r="BJ83" s="394">
        <f t="shared" si="350"/>
        <v>8.3440519987093342E-2</v>
      </c>
      <c r="BK83" s="394">
        <f t="shared" ref="BK83:BQ83" si="351">IFERROR(BK53/BK$60,0)</f>
        <v>7.6222018808485434E-2</v>
      </c>
      <c r="BL83" s="394">
        <f t="shared" si="351"/>
        <v>0</v>
      </c>
      <c r="BM83" s="394">
        <f t="shared" si="351"/>
        <v>0</v>
      </c>
      <c r="BN83" s="394">
        <f t="shared" si="351"/>
        <v>0</v>
      </c>
      <c r="BO83" s="394">
        <f t="shared" si="351"/>
        <v>0</v>
      </c>
      <c r="BP83" s="394">
        <f t="shared" si="351"/>
        <v>0</v>
      </c>
      <c r="BQ83" s="395">
        <f t="shared" si="351"/>
        <v>0</v>
      </c>
      <c r="BR83" s="396">
        <f t="shared" ref="BR83" si="352">BR53/BR$60</f>
        <v>8.7409119476173761E-2</v>
      </c>
      <c r="BS83" s="396">
        <f t="shared" ref="BS83:BS89" si="353">BE83</f>
        <v>4.8250446325308144E-2</v>
      </c>
      <c r="BU83" s="160"/>
      <c r="BV83" s="158"/>
      <c r="BW83" s="158"/>
      <c r="BX83" s="158"/>
    </row>
    <row r="84" spans="2:76" x14ac:dyDescent="0.4">
      <c r="B84" s="256">
        <f t="shared" ref="B84:B89" si="354">B83+1</f>
        <v>2</v>
      </c>
      <c r="C84" s="257" t="s">
        <v>97</v>
      </c>
      <c r="D84" s="257" t="s">
        <v>48</v>
      </c>
      <c r="E84" s="397">
        <f t="shared" ref="E84:Q84" si="355">E54/E$60</f>
        <v>0.17785647280143568</v>
      </c>
      <c r="F84" s="397">
        <f t="shared" si="355"/>
        <v>0.13226415950606588</v>
      </c>
      <c r="G84" s="397">
        <f t="shared" si="355"/>
        <v>0.11452423027600667</v>
      </c>
      <c r="H84" s="397">
        <f t="shared" si="355"/>
        <v>0.1440961369093971</v>
      </c>
      <c r="I84" s="397">
        <f t="shared" si="355"/>
        <v>0.12567446690137127</v>
      </c>
      <c r="J84" s="397">
        <f t="shared" si="355"/>
        <v>0.14547569493170806</v>
      </c>
      <c r="K84" s="397">
        <f t="shared" si="355"/>
        <v>0.12450529968409747</v>
      </c>
      <c r="L84" s="397">
        <f t="shared" si="355"/>
        <v>0.1331234741516428</v>
      </c>
      <c r="M84" s="397">
        <f t="shared" si="355"/>
        <v>0.14552705527135881</v>
      </c>
      <c r="N84" s="397">
        <f t="shared" si="355"/>
        <v>0.12688754805751967</v>
      </c>
      <c r="O84" s="397">
        <f t="shared" si="355"/>
        <v>0.16275311736128553</v>
      </c>
      <c r="P84" s="398">
        <f t="shared" si="355"/>
        <v>8.8295424303483444E-2</v>
      </c>
      <c r="Q84" s="399">
        <f t="shared" si="355"/>
        <v>8.1757584376590739E-2</v>
      </c>
      <c r="R84" s="397">
        <f t="shared" ref="R84:Z84" si="356">R54/R$60</f>
        <v>8.4974309930457556E-2</v>
      </c>
      <c r="S84" s="397">
        <f t="shared" si="356"/>
        <v>0.10320666205302564</v>
      </c>
      <c r="T84" s="397">
        <f t="shared" si="356"/>
        <v>7.5621534122825337E-2</v>
      </c>
      <c r="U84" s="397">
        <f t="shared" si="356"/>
        <v>8.2878448844619229E-2</v>
      </c>
      <c r="V84" s="397">
        <f t="shared" si="356"/>
        <v>8.8720725653916671E-2</v>
      </c>
      <c r="W84" s="397">
        <f t="shared" si="356"/>
        <v>0.10425207493341233</v>
      </c>
      <c r="X84" s="397">
        <f t="shared" si="356"/>
        <v>0.15748882237200659</v>
      </c>
      <c r="Y84" s="397">
        <f t="shared" si="356"/>
        <v>0.14031689920933552</v>
      </c>
      <c r="Z84" s="397">
        <f t="shared" si="356"/>
        <v>0.12243443216695329</v>
      </c>
      <c r="AA84" s="397">
        <f t="shared" ref="AA84:AB84" si="357">AA54/AA$60</f>
        <v>9.2908709217961391E-2</v>
      </c>
      <c r="AB84" s="397">
        <f t="shared" si="357"/>
        <v>8.8763401783406221E-2</v>
      </c>
      <c r="AC84" s="398">
        <f t="shared" ref="AC84:AD84" si="358">AC54/AC$60</f>
        <v>0.12010834266840685</v>
      </c>
      <c r="AD84" s="399">
        <f t="shared" si="358"/>
        <v>0.10084670463119567</v>
      </c>
      <c r="AE84" s="397">
        <f t="shared" ref="AE84:AP84" si="359">IFERROR(AE54/AE$60,0)</f>
        <v>0.17810637447660183</v>
      </c>
      <c r="AF84" s="397">
        <f t="shared" si="359"/>
        <v>0.13453704564874505</v>
      </c>
      <c r="AG84" s="397">
        <f t="shared" si="359"/>
        <v>9.1838639934019986E-2</v>
      </c>
      <c r="AH84" s="397">
        <f t="shared" si="359"/>
        <v>0.1108737998550184</v>
      </c>
      <c r="AI84" s="397">
        <f t="shared" si="359"/>
        <v>9.7833340118573323E-2</v>
      </c>
      <c r="AJ84" s="397">
        <f t="shared" si="359"/>
        <v>0.10945989686982921</v>
      </c>
      <c r="AK84" s="397">
        <f t="shared" si="359"/>
        <v>0.10428958056204714</v>
      </c>
      <c r="AL84" s="397">
        <f t="shared" si="359"/>
        <v>0.10545600728537392</v>
      </c>
      <c r="AM84" s="397">
        <f t="shared" si="359"/>
        <v>0.10695211230924583</v>
      </c>
      <c r="AN84" s="397">
        <f t="shared" si="359"/>
        <v>0.1340955527764679</v>
      </c>
      <c r="AO84" s="397">
        <f t="shared" si="359"/>
        <v>0.16379081118730598</v>
      </c>
      <c r="AP84" s="398">
        <f t="shared" si="359"/>
        <v>0.17587294863195052</v>
      </c>
      <c r="AQ84" s="399">
        <f t="shared" si="348"/>
        <v>0.12122724354679869</v>
      </c>
      <c r="AR84" s="399"/>
      <c r="AS84" s="397">
        <f t="shared" ref="AS84:BE84" si="360">AS54/AS$60</f>
        <v>0.13749122586263129</v>
      </c>
      <c r="AT84" s="397">
        <f t="shared" si="360"/>
        <v>0.1589854469074711</v>
      </c>
      <c r="AU84" s="397">
        <f t="shared" si="360"/>
        <v>0.12837232902698803</v>
      </c>
      <c r="AV84" s="397">
        <f t="shared" si="360"/>
        <v>0.13633328943715195</v>
      </c>
      <c r="AW84" s="397">
        <f t="shared" si="360"/>
        <v>0.13171131666657473</v>
      </c>
      <c r="AX84" s="397">
        <f t="shared" si="360"/>
        <v>0.13579085633658594</v>
      </c>
      <c r="AY84" s="397">
        <f t="shared" si="360"/>
        <v>0.13040469571540961</v>
      </c>
      <c r="AZ84" s="397">
        <f t="shared" si="360"/>
        <v>0.13081391419141619</v>
      </c>
      <c r="BA84" s="397">
        <f t="shared" si="360"/>
        <v>0.13168646445204812</v>
      </c>
      <c r="BB84" s="397">
        <f t="shared" si="360"/>
        <v>0.12703790080690519</v>
      </c>
      <c r="BC84" s="397">
        <f t="shared" si="360"/>
        <v>0.1338139826352793</v>
      </c>
      <c r="BD84" s="398">
        <f t="shared" si="360"/>
        <v>0.14568532715255267</v>
      </c>
      <c r="BE84" s="399">
        <f t="shared" si="360"/>
        <v>0.135308740159539</v>
      </c>
      <c r="BF84" s="397">
        <f t="shared" ref="BF84:BJ84" si="361">BF54/BF$60</f>
        <v>0.15226522436481463</v>
      </c>
      <c r="BG84" s="397">
        <f t="shared" si="361"/>
        <v>0.19162437673907745</v>
      </c>
      <c r="BH84" s="397">
        <f t="shared" si="361"/>
        <v>0.11398953274522819</v>
      </c>
      <c r="BI84" s="397">
        <f t="shared" si="361"/>
        <v>0.12629373527810508</v>
      </c>
      <c r="BJ84" s="397">
        <f t="shared" si="361"/>
        <v>0.13091955657621626</v>
      </c>
      <c r="BK84" s="397">
        <f t="shared" ref="BK84:BQ84" si="362">IFERROR(BK54/BK$60,0)</f>
        <v>0.12863770462877944</v>
      </c>
      <c r="BL84" s="397">
        <f t="shared" si="362"/>
        <v>0</v>
      </c>
      <c r="BM84" s="397">
        <f t="shared" si="362"/>
        <v>0</v>
      </c>
      <c r="BN84" s="397">
        <f t="shared" si="362"/>
        <v>0</v>
      </c>
      <c r="BO84" s="397">
        <f t="shared" si="362"/>
        <v>0</v>
      </c>
      <c r="BP84" s="397">
        <f t="shared" si="362"/>
        <v>0</v>
      </c>
      <c r="BQ84" s="398">
        <f t="shared" si="362"/>
        <v>0</v>
      </c>
      <c r="BR84" s="399">
        <f t="shared" ref="BR84" si="363">BR54/BR$60</f>
        <v>0.13594176656292245</v>
      </c>
      <c r="BS84" s="399">
        <f t="shared" si="353"/>
        <v>0.135308740159539</v>
      </c>
      <c r="BU84" s="160"/>
      <c r="BV84" s="158"/>
      <c r="BW84" s="158"/>
      <c r="BX84" s="158"/>
    </row>
    <row r="85" spans="2:76" x14ac:dyDescent="0.4">
      <c r="B85" s="256">
        <f t="shared" si="354"/>
        <v>3</v>
      </c>
      <c r="C85" s="257" t="s">
        <v>96</v>
      </c>
      <c r="D85" s="257" t="s">
        <v>16</v>
      </c>
      <c r="E85" s="397">
        <f t="shared" ref="E85:Q85" si="364">E55/E$60</f>
        <v>5.8063068967948418E-2</v>
      </c>
      <c r="F85" s="397">
        <f t="shared" si="364"/>
        <v>4.661533371652328E-2</v>
      </c>
      <c r="G85" s="397">
        <f t="shared" si="364"/>
        <v>4.2102071081195618E-2</v>
      </c>
      <c r="H85" s="397">
        <f t="shared" si="364"/>
        <v>5.1210616846058779E-2</v>
      </c>
      <c r="I85" s="397">
        <f t="shared" si="364"/>
        <v>4.182690139947149E-2</v>
      </c>
      <c r="J85" s="397">
        <f t="shared" si="364"/>
        <v>4.7958087005420882E-2</v>
      </c>
      <c r="K85" s="397">
        <f t="shared" si="364"/>
        <v>4.3281951327161373E-2</v>
      </c>
      <c r="L85" s="397">
        <f t="shared" si="364"/>
        <v>4.402750869505305E-2</v>
      </c>
      <c r="M85" s="397">
        <f t="shared" si="364"/>
        <v>5.1558653770950667E-2</v>
      </c>
      <c r="N85" s="397">
        <f t="shared" si="364"/>
        <v>4.61169553545989E-2</v>
      </c>
      <c r="O85" s="397">
        <f t="shared" si="364"/>
        <v>5.668765163036453E-2</v>
      </c>
      <c r="P85" s="398">
        <f t="shared" si="364"/>
        <v>3.1463513888982206E-2</v>
      </c>
      <c r="Q85" s="399">
        <f t="shared" si="364"/>
        <v>2.8380916603597279E-2</v>
      </c>
      <c r="R85" s="397">
        <f t="shared" ref="R85:Z85" si="365">R55/R$60</f>
        <v>2.5917821003762952E-2</v>
      </c>
      <c r="S85" s="397">
        <f t="shared" si="365"/>
        <v>3.5330792513932584E-2</v>
      </c>
      <c r="T85" s="397">
        <f t="shared" si="365"/>
        <v>2.3822423805807402E-2</v>
      </c>
      <c r="U85" s="397">
        <f t="shared" si="365"/>
        <v>2.5531202214377904E-2</v>
      </c>
      <c r="V85" s="397">
        <f t="shared" si="365"/>
        <v>2.7255947750549094E-2</v>
      </c>
      <c r="W85" s="397">
        <f t="shared" si="365"/>
        <v>3.2420226590595083E-2</v>
      </c>
      <c r="X85" s="397">
        <f t="shared" si="365"/>
        <v>4.9743025381022703E-2</v>
      </c>
      <c r="Y85" s="397">
        <f t="shared" si="365"/>
        <v>4.5120901176548073E-2</v>
      </c>
      <c r="Z85" s="397">
        <f t="shared" si="365"/>
        <v>3.8262668010838871E-2</v>
      </c>
      <c r="AA85" s="397">
        <f t="shared" ref="AA85:AB85" si="366">AA55/AA$60</f>
        <v>2.8855981323459901E-2</v>
      </c>
      <c r="AB85" s="397">
        <f t="shared" si="366"/>
        <v>2.6986230915998353E-2</v>
      </c>
      <c r="AC85" s="398">
        <f t="shared" ref="AC85:AD85" si="367">AC55/AC$60</f>
        <v>3.4637251108433409E-2</v>
      </c>
      <c r="AD85" s="399">
        <f t="shared" si="367"/>
        <v>3.1347448821492596E-2</v>
      </c>
      <c r="AE85" s="397">
        <f t="shared" ref="AE85:AP85" si="368">IFERROR(AE55/AE$60,0)</f>
        <v>5.4255597858952058E-2</v>
      </c>
      <c r="AF85" s="397">
        <f t="shared" si="368"/>
        <v>4.1146469552830328E-2</v>
      </c>
      <c r="AG85" s="397">
        <f t="shared" si="368"/>
        <v>2.9475006568577693E-2</v>
      </c>
      <c r="AH85" s="397">
        <f t="shared" si="368"/>
        <v>3.148671413844633E-2</v>
      </c>
      <c r="AI85" s="397">
        <f t="shared" si="368"/>
        <v>2.893170955993471E-2</v>
      </c>
      <c r="AJ85" s="397">
        <f t="shared" si="368"/>
        <v>3.1544728206827112E-2</v>
      </c>
      <c r="AK85" s="397">
        <f t="shared" si="368"/>
        <v>2.8977407602673613E-2</v>
      </c>
      <c r="AL85" s="397">
        <f t="shared" si="368"/>
        <v>2.8825114582453237E-2</v>
      </c>
      <c r="AM85" s="397">
        <f t="shared" si="368"/>
        <v>3.075082403895027E-2</v>
      </c>
      <c r="AN85" s="397">
        <f t="shared" si="368"/>
        <v>3.9390111828749713E-2</v>
      </c>
      <c r="AO85" s="397">
        <f t="shared" si="368"/>
        <v>5.1405925652108567E-2</v>
      </c>
      <c r="AP85" s="398">
        <f t="shared" si="368"/>
        <v>3.7289281318800431E-2</v>
      </c>
      <c r="AQ85" s="399">
        <f t="shared" si="348"/>
        <v>3.4476806454527116E-2</v>
      </c>
      <c r="AR85" s="399"/>
      <c r="AS85" s="397">
        <f t="shared" ref="AS85:BE85" si="369">AS55/AS$60</f>
        <v>4.5771147769749471E-2</v>
      </c>
      <c r="AT85" s="397">
        <f t="shared" si="369"/>
        <v>5.7268919891639868E-2</v>
      </c>
      <c r="AU85" s="397">
        <f t="shared" si="369"/>
        <v>4.8790890553584897E-2</v>
      </c>
      <c r="AV85" s="397">
        <f t="shared" si="369"/>
        <v>4.860351281692217E-2</v>
      </c>
      <c r="AW85" s="397">
        <f t="shared" si="369"/>
        <v>4.8435897714419661E-2</v>
      </c>
      <c r="AX85" s="397">
        <f t="shared" si="369"/>
        <v>4.879519213496275E-2</v>
      </c>
      <c r="AY85" s="397">
        <f t="shared" si="369"/>
        <v>4.795613756553304E-2</v>
      </c>
      <c r="AZ85" s="397">
        <f t="shared" si="369"/>
        <v>4.7532851294854357E-2</v>
      </c>
      <c r="BA85" s="397">
        <f t="shared" si="369"/>
        <v>4.733339862467064E-2</v>
      </c>
      <c r="BB85" s="397">
        <f t="shared" si="369"/>
        <v>4.7903487463872949E-2</v>
      </c>
      <c r="BC85" s="397">
        <f t="shared" si="369"/>
        <v>4.8250394719125206E-2</v>
      </c>
      <c r="BD85" s="398">
        <f t="shared" si="369"/>
        <v>4.724540025875907E-2</v>
      </c>
      <c r="BE85" s="399">
        <f t="shared" si="369"/>
        <v>4.8520390865884694E-2</v>
      </c>
      <c r="BF85" s="397">
        <f t="shared" ref="BF85:BJ85" si="370">BF55/BF$60</f>
        <v>2.2546219188803261E-2</v>
      </c>
      <c r="BG85" s="397">
        <f t="shared" si="370"/>
        <v>3.1263733022141547E-2</v>
      </c>
      <c r="BH85" s="397">
        <f t="shared" si="370"/>
        <v>1.7385347211671655E-2</v>
      </c>
      <c r="BI85" s="397">
        <f t="shared" si="370"/>
        <v>1.8501270568396885E-2</v>
      </c>
      <c r="BJ85" s="397">
        <f t="shared" si="370"/>
        <v>2.0831629365659462E-2</v>
      </c>
      <c r="BK85" s="397">
        <f t="shared" ref="BK85:BQ85" si="371">IFERROR(BK55/BK$60,0)</f>
        <v>1.9356437567700002E-2</v>
      </c>
      <c r="BL85" s="397">
        <f t="shared" si="371"/>
        <v>0</v>
      </c>
      <c r="BM85" s="397">
        <f t="shared" si="371"/>
        <v>0</v>
      </c>
      <c r="BN85" s="397">
        <f t="shared" si="371"/>
        <v>0</v>
      </c>
      <c r="BO85" s="397">
        <f t="shared" si="371"/>
        <v>0</v>
      </c>
      <c r="BP85" s="397">
        <f t="shared" si="371"/>
        <v>0</v>
      </c>
      <c r="BQ85" s="398">
        <f t="shared" si="371"/>
        <v>0</v>
      </c>
      <c r="BR85" s="399">
        <f t="shared" ref="BR85" si="372">BR55/BR$60</f>
        <v>2.0802909269181036E-2</v>
      </c>
      <c r="BS85" s="399">
        <f t="shared" si="353"/>
        <v>4.8520390865884694E-2</v>
      </c>
      <c r="BU85" s="160"/>
      <c r="BV85" s="158"/>
      <c r="BW85" s="158"/>
      <c r="BX85" s="158"/>
    </row>
    <row r="86" spans="2:76" x14ac:dyDescent="0.4">
      <c r="B86" s="256">
        <f t="shared" si="354"/>
        <v>4</v>
      </c>
      <c r="C86" s="257" t="s">
        <v>97</v>
      </c>
      <c r="D86" s="257" t="s">
        <v>36</v>
      </c>
      <c r="E86" s="397">
        <f t="shared" ref="E86:Q86" si="373">E56/E$60</f>
        <v>1.8310076669571847E-2</v>
      </c>
      <c r="F86" s="397">
        <f t="shared" si="373"/>
        <v>1.8441522343880443E-2</v>
      </c>
      <c r="G86" s="397">
        <f t="shared" si="373"/>
        <v>1.7273935550246335E-2</v>
      </c>
      <c r="H86" s="397">
        <f t="shared" si="373"/>
        <v>1.5434195573665852E-2</v>
      </c>
      <c r="I86" s="397">
        <f t="shared" si="373"/>
        <v>1.1230281450204082E-2</v>
      </c>
      <c r="J86" s="397">
        <f t="shared" si="373"/>
        <v>1.4761176667234192E-2</v>
      </c>
      <c r="K86" s="397">
        <f t="shared" si="373"/>
        <v>1.3334573866506929E-2</v>
      </c>
      <c r="L86" s="397">
        <f t="shared" si="373"/>
        <v>1.0515375866397553E-2</v>
      </c>
      <c r="M86" s="397">
        <f t="shared" si="373"/>
        <v>1.0700408900132286E-2</v>
      </c>
      <c r="N86" s="397">
        <f t="shared" si="373"/>
        <v>1.004758941285293E-2</v>
      </c>
      <c r="O86" s="397">
        <f t="shared" si="373"/>
        <v>1.2547815258694762E-2</v>
      </c>
      <c r="P86" s="398">
        <f t="shared" si="373"/>
        <v>1.1304015461945956E-2</v>
      </c>
      <c r="Q86" s="399">
        <f t="shared" si="373"/>
        <v>8.2834236884009212E-3</v>
      </c>
      <c r="R86" s="397">
        <f t="shared" ref="R86:Z86" si="374">R56/R$60</f>
        <v>1.4334731007768612E-2</v>
      </c>
      <c r="S86" s="397">
        <f t="shared" si="374"/>
        <v>1.6219956562782314E-2</v>
      </c>
      <c r="T86" s="397">
        <f t="shared" si="374"/>
        <v>9.1456400476409728E-3</v>
      </c>
      <c r="U86" s="397">
        <f t="shared" si="374"/>
        <v>1.0733976808038993E-2</v>
      </c>
      <c r="V86" s="397">
        <f t="shared" si="374"/>
        <v>1.6012519041645048E-2</v>
      </c>
      <c r="W86" s="397">
        <f t="shared" si="374"/>
        <v>1.8639230685944044E-2</v>
      </c>
      <c r="X86" s="397">
        <f t="shared" si="374"/>
        <v>2.3853175775732125E-2</v>
      </c>
      <c r="Y86" s="397">
        <f t="shared" si="374"/>
        <v>3.9820483728160855E-2</v>
      </c>
      <c r="Z86" s="397">
        <f t="shared" si="374"/>
        <v>4.0125251424553705E-2</v>
      </c>
      <c r="AA86" s="397">
        <f t="shared" ref="AA86:AB86" si="375">AA56/AA$60</f>
        <v>3.2421239581353525E-2</v>
      </c>
      <c r="AB86" s="397">
        <f t="shared" si="375"/>
        <v>2.7961694212319432E-2</v>
      </c>
      <c r="AC86" s="398">
        <f t="shared" ref="AC86:AD86" si="376">AC56/AC$60</f>
        <v>0.10291913047787025</v>
      </c>
      <c r="AD86" s="399">
        <f t="shared" si="376"/>
        <v>2.8694164912917045E-2</v>
      </c>
      <c r="AE86" s="397">
        <f t="shared" ref="AE86:AP86" si="377">IFERROR(AE56/AE$60,0)</f>
        <v>5.3587180739055898E-2</v>
      </c>
      <c r="AF86" s="397">
        <f t="shared" si="377"/>
        <v>2.865726070481462E-2</v>
      </c>
      <c r="AG86" s="397">
        <f t="shared" si="377"/>
        <v>2.9866374756440581E-2</v>
      </c>
      <c r="AH86" s="397">
        <f t="shared" si="377"/>
        <v>1.998143400212141E-2</v>
      </c>
      <c r="AI86" s="397">
        <f t="shared" si="377"/>
        <v>2.1866690910572275E-2</v>
      </c>
      <c r="AJ86" s="397">
        <f t="shared" si="377"/>
        <v>2.1538512159919219E-2</v>
      </c>
      <c r="AK86" s="397">
        <f t="shared" si="377"/>
        <v>2.1310620875970954E-2</v>
      </c>
      <c r="AL86" s="397">
        <f t="shared" si="377"/>
        <v>2.1300209187390954E-2</v>
      </c>
      <c r="AM86" s="397">
        <f t="shared" si="377"/>
        <v>3.2178101917107044E-2</v>
      </c>
      <c r="AN86" s="397">
        <f t="shared" si="377"/>
        <v>4.4360355987720972E-2</v>
      </c>
      <c r="AO86" s="397">
        <f t="shared" si="377"/>
        <v>5.8748591642423416E-2</v>
      </c>
      <c r="AP86" s="398">
        <f t="shared" si="377"/>
        <v>5.3616193729856577E-2</v>
      </c>
      <c r="AQ86" s="399">
        <f t="shared" si="348"/>
        <v>3.1893563884158094E-2</v>
      </c>
      <c r="AR86" s="399"/>
      <c r="AS86" s="397">
        <f t="shared" ref="AS86:BE86" si="378">AS56/AS$60</f>
        <v>4.8213699691700078E-2</v>
      </c>
      <c r="AT86" s="397">
        <f t="shared" si="378"/>
        <v>2.5737043930789905E-2</v>
      </c>
      <c r="AU86" s="397">
        <f t="shared" si="378"/>
        <v>2.7519756077688872E-2</v>
      </c>
      <c r="AV86" s="397">
        <f t="shared" si="378"/>
        <v>2.6321714064615667E-2</v>
      </c>
      <c r="AW86" s="397">
        <f t="shared" si="378"/>
        <v>3.6880460137299745E-2</v>
      </c>
      <c r="AX86" s="397">
        <f t="shared" si="378"/>
        <v>2.6553548823359925E-2</v>
      </c>
      <c r="AY86" s="397">
        <f t="shared" si="378"/>
        <v>3.0098285644522396E-2</v>
      </c>
      <c r="AZ86" s="397">
        <f t="shared" si="378"/>
        <v>2.9987363342423998E-2</v>
      </c>
      <c r="BA86" s="397">
        <f t="shared" si="378"/>
        <v>3.4533329768602974E-2</v>
      </c>
      <c r="BB86" s="397">
        <f t="shared" si="378"/>
        <v>2.5947621720696139E-2</v>
      </c>
      <c r="BC86" s="397">
        <f t="shared" si="378"/>
        <v>2.4400977161990509E-2</v>
      </c>
      <c r="BD86" s="398">
        <f t="shared" si="378"/>
        <v>2.4357975790538219E-2</v>
      </c>
      <c r="BE86" s="399">
        <f t="shared" si="378"/>
        <v>3.0018348713603517E-2</v>
      </c>
      <c r="BF86" s="397">
        <f t="shared" ref="BF86:BJ86" si="379">BF56/BF$60</f>
        <v>3.7118058429438758E-2</v>
      </c>
      <c r="BG86" s="397">
        <f t="shared" si="379"/>
        <v>4.7846520712961027E-2</v>
      </c>
      <c r="BH86" s="397">
        <f t="shared" si="379"/>
        <v>2.0426824879360386E-2</v>
      </c>
      <c r="BI86" s="397">
        <f t="shared" si="379"/>
        <v>2.3084162982960267E-2</v>
      </c>
      <c r="BJ86" s="397">
        <f t="shared" si="379"/>
        <v>2.9987326481409983E-2</v>
      </c>
      <c r="BK86" s="397">
        <f t="shared" ref="BK86:BQ86" si="380">IFERROR(BK56/BK$60,0)</f>
        <v>2.4638135090588102E-2</v>
      </c>
      <c r="BL86" s="397">
        <f t="shared" si="380"/>
        <v>0</v>
      </c>
      <c r="BM86" s="397">
        <f t="shared" si="380"/>
        <v>0</v>
      </c>
      <c r="BN86" s="397">
        <f t="shared" si="380"/>
        <v>0</v>
      </c>
      <c r="BO86" s="397">
        <f t="shared" si="380"/>
        <v>0</v>
      </c>
      <c r="BP86" s="397">
        <f t="shared" si="380"/>
        <v>0</v>
      </c>
      <c r="BQ86" s="398">
        <f t="shared" si="380"/>
        <v>0</v>
      </c>
      <c r="BR86" s="399">
        <f t="shared" ref="BR86" si="381">BR56/BR$60</f>
        <v>2.8767559375927312E-2</v>
      </c>
      <c r="BS86" s="399">
        <f t="shared" si="353"/>
        <v>3.0018348713603517E-2</v>
      </c>
      <c r="BU86" s="160"/>
      <c r="BV86" s="158"/>
      <c r="BW86" s="158"/>
      <c r="BX86" s="158"/>
    </row>
    <row r="87" spans="2:76" x14ac:dyDescent="0.4">
      <c r="B87" s="256">
        <f t="shared" si="354"/>
        <v>5</v>
      </c>
      <c r="C87" s="257" t="s">
        <v>97</v>
      </c>
      <c r="D87" s="257" t="s">
        <v>12</v>
      </c>
      <c r="E87" s="397">
        <f t="shared" ref="E87:Q87" si="382">E57/E$60</f>
        <v>1.3509493415941983E-2</v>
      </c>
      <c r="F87" s="397">
        <f t="shared" si="382"/>
        <v>1.0771178120394218E-2</v>
      </c>
      <c r="G87" s="397">
        <f t="shared" si="382"/>
        <v>8.6735331460237979E-3</v>
      </c>
      <c r="H87" s="397">
        <f t="shared" si="382"/>
        <v>8.8367521656075691E-3</v>
      </c>
      <c r="I87" s="397">
        <f t="shared" si="382"/>
        <v>9.8643397277826898E-3</v>
      </c>
      <c r="J87" s="397">
        <f t="shared" si="382"/>
        <v>9.2428255868652193E-3</v>
      </c>
      <c r="K87" s="397">
        <f t="shared" si="382"/>
        <v>8.3530867491825363E-3</v>
      </c>
      <c r="L87" s="397">
        <f t="shared" si="382"/>
        <v>8.8823411340549895E-3</v>
      </c>
      <c r="M87" s="397">
        <f t="shared" si="382"/>
        <v>8.4956592045199557E-3</v>
      </c>
      <c r="N87" s="397">
        <f t="shared" si="382"/>
        <v>8.7593036150061844E-3</v>
      </c>
      <c r="O87" s="397">
        <f t="shared" si="382"/>
        <v>1.2089985622017602E-2</v>
      </c>
      <c r="P87" s="398">
        <f t="shared" si="382"/>
        <v>7.059995970121768E-3</v>
      </c>
      <c r="Q87" s="399">
        <f t="shared" si="382"/>
        <v>5.7835141055807273E-3</v>
      </c>
      <c r="R87" s="397">
        <f t="shared" ref="R87:Z87" si="383">R57/R$60</f>
        <v>6.1896208147185893E-3</v>
      </c>
      <c r="S87" s="397">
        <f t="shared" si="383"/>
        <v>8.1357433691505113E-3</v>
      </c>
      <c r="T87" s="397">
        <f t="shared" si="383"/>
        <v>6.6196510979464962E-3</v>
      </c>
      <c r="U87" s="397">
        <f t="shared" si="383"/>
        <v>7.0634161885534041E-3</v>
      </c>
      <c r="V87" s="397">
        <f t="shared" si="383"/>
        <v>8.0996772875427895E-3</v>
      </c>
      <c r="W87" s="397">
        <f t="shared" si="383"/>
        <v>7.803700098980574E-3</v>
      </c>
      <c r="X87" s="397">
        <f t="shared" si="383"/>
        <v>1.0313822221555618E-2</v>
      </c>
      <c r="Y87" s="397">
        <f t="shared" si="383"/>
        <v>1.1305537669710781E-2</v>
      </c>
      <c r="Z87" s="397">
        <f t="shared" si="383"/>
        <v>1.1272463561118976E-2</v>
      </c>
      <c r="AA87" s="397">
        <f t="shared" ref="AA87:AB87" si="384">AA57/AA$60</f>
        <v>6.9793770146504511E-3</v>
      </c>
      <c r="AB87" s="397">
        <f t="shared" si="384"/>
        <v>7.8307061021563509E-3</v>
      </c>
      <c r="AC87" s="398">
        <f t="shared" ref="AC87:AD87" si="385">AC57/AC$60</f>
        <v>9.9441410593819647E-3</v>
      </c>
      <c r="AD87" s="399">
        <f t="shared" si="385"/>
        <v>8.2067361447929581E-3</v>
      </c>
      <c r="AE87" s="397">
        <f t="shared" ref="AE87:AP87" si="386">IFERROR(AE57/AE$60,0)</f>
        <v>1.2080371282485852E-2</v>
      </c>
      <c r="AF87" s="397">
        <f t="shared" si="386"/>
        <v>1.0823616208455506E-2</v>
      </c>
      <c r="AG87" s="397">
        <f t="shared" si="386"/>
        <v>6.9735933070230538E-3</v>
      </c>
      <c r="AH87" s="397">
        <f t="shared" si="386"/>
        <v>8.8511325444904209E-3</v>
      </c>
      <c r="AI87" s="397">
        <f t="shared" si="386"/>
        <v>7.667117495583139E-3</v>
      </c>
      <c r="AJ87" s="397">
        <f t="shared" si="386"/>
        <v>6.8772784149908851E-3</v>
      </c>
      <c r="AK87" s="397">
        <f t="shared" si="386"/>
        <v>6.8667007208031263E-3</v>
      </c>
      <c r="AL87" s="397">
        <f t="shared" si="386"/>
        <v>6.4889415312945464E-3</v>
      </c>
      <c r="AM87" s="397">
        <f t="shared" si="386"/>
        <v>6.5767136130345386E-3</v>
      </c>
      <c r="AN87" s="397">
        <f t="shared" si="386"/>
        <v>8.8376801936098856E-3</v>
      </c>
      <c r="AO87" s="397">
        <f t="shared" si="386"/>
        <v>1.1653148164734622E-2</v>
      </c>
      <c r="AP87" s="398">
        <f t="shared" si="386"/>
        <v>7.401803875077149E-3</v>
      </c>
      <c r="AQ87" s="399">
        <f t="shared" si="348"/>
        <v>8.0530618933681332E-3</v>
      </c>
      <c r="AR87" s="399"/>
      <c r="AS87" s="397">
        <f t="shared" ref="AS87:BE87" si="387">AS57/AS$60</f>
        <v>9.4715213771821502E-3</v>
      </c>
      <c r="AT87" s="397">
        <f t="shared" si="387"/>
        <v>6.8908217275019442E-3</v>
      </c>
      <c r="AU87" s="397">
        <f t="shared" si="387"/>
        <v>7.6786916941641598E-3</v>
      </c>
      <c r="AV87" s="397">
        <f t="shared" si="387"/>
        <v>7.9527254982133776E-3</v>
      </c>
      <c r="AW87" s="397">
        <f t="shared" si="387"/>
        <v>6.5448287783755844E-3</v>
      </c>
      <c r="AX87" s="397">
        <f t="shared" si="387"/>
        <v>6.8858330400018136E-3</v>
      </c>
      <c r="AY87" s="397">
        <f t="shared" si="387"/>
        <v>6.6111716178188455E-3</v>
      </c>
      <c r="AZ87" s="397">
        <f t="shared" si="387"/>
        <v>6.1978083079969153E-3</v>
      </c>
      <c r="BA87" s="397">
        <f t="shared" si="387"/>
        <v>6.3909144380532744E-3</v>
      </c>
      <c r="BB87" s="397">
        <f t="shared" si="387"/>
        <v>6.3196850732406152E-3</v>
      </c>
      <c r="BC87" s="397">
        <f t="shared" si="387"/>
        <v>5.4901956171763281E-3</v>
      </c>
      <c r="BD87" s="398">
        <f t="shared" si="387"/>
        <v>6.1841076787926552E-3</v>
      </c>
      <c r="BE87" s="399">
        <f t="shared" si="387"/>
        <v>6.8615571786710943E-3</v>
      </c>
      <c r="BF87" s="397">
        <f t="shared" ref="BF87:BJ87" si="388">BF57/BF$60</f>
        <v>6.3464195782089077E-3</v>
      </c>
      <c r="BG87" s="397">
        <f t="shared" si="388"/>
        <v>7.7424000778233268E-3</v>
      </c>
      <c r="BH87" s="397">
        <f t="shared" si="388"/>
        <v>4.9763678622203201E-3</v>
      </c>
      <c r="BI87" s="397">
        <f t="shared" si="388"/>
        <v>4.6859977469356851E-3</v>
      </c>
      <c r="BJ87" s="397">
        <f t="shared" si="388"/>
        <v>5.4538175380639672E-3</v>
      </c>
      <c r="BK87" s="397">
        <f t="shared" ref="BK87:BQ87" si="389">IFERROR(BK57/BK$60,0)</f>
        <v>5.2037295552775243E-3</v>
      </c>
      <c r="BL87" s="397">
        <f t="shared" si="389"/>
        <v>0</v>
      </c>
      <c r="BM87" s="397">
        <f t="shared" si="389"/>
        <v>0</v>
      </c>
      <c r="BN87" s="397">
        <f t="shared" si="389"/>
        <v>0</v>
      </c>
      <c r="BO87" s="397">
        <f t="shared" si="389"/>
        <v>0</v>
      </c>
      <c r="BP87" s="397">
        <f t="shared" si="389"/>
        <v>0</v>
      </c>
      <c r="BQ87" s="398">
        <f t="shared" si="389"/>
        <v>0</v>
      </c>
      <c r="BR87" s="399">
        <f t="shared" ref="BR87" si="390">BR57/BR$60</f>
        <v>5.5416690461447459E-3</v>
      </c>
      <c r="BS87" s="399">
        <f t="shared" si="353"/>
        <v>6.8615571786710943E-3</v>
      </c>
      <c r="BU87" s="160"/>
      <c r="BV87" s="158"/>
      <c r="BW87" s="158"/>
      <c r="BX87" s="158"/>
    </row>
    <row r="88" spans="2:76" x14ac:dyDescent="0.4">
      <c r="B88" s="256">
        <f t="shared" si="354"/>
        <v>6</v>
      </c>
      <c r="C88" s="257" t="s">
        <v>97</v>
      </c>
      <c r="D88" s="257" t="s">
        <v>51</v>
      </c>
      <c r="E88" s="397">
        <f t="shared" ref="E88:Q88" si="391">E58/E$60</f>
        <v>7.1568943954708102E-3</v>
      </c>
      <c r="F88" s="397">
        <f t="shared" si="391"/>
        <v>4.2384967016097421E-3</v>
      </c>
      <c r="G88" s="397">
        <f t="shared" si="391"/>
        <v>5.0706024347824856E-3</v>
      </c>
      <c r="H88" s="397">
        <f t="shared" si="391"/>
        <v>4.0775286560680796E-3</v>
      </c>
      <c r="I88" s="397">
        <f t="shared" si="391"/>
        <v>6.8225930213513131E-3</v>
      </c>
      <c r="J88" s="397">
        <f t="shared" si="391"/>
        <v>7.3456240746974637E-3</v>
      </c>
      <c r="K88" s="397">
        <f t="shared" si="391"/>
        <v>9.079897326238616E-3</v>
      </c>
      <c r="L88" s="397">
        <f t="shared" si="391"/>
        <v>7.3575904751750198E-3</v>
      </c>
      <c r="M88" s="397">
        <f t="shared" si="391"/>
        <v>6.3541965096220142E-3</v>
      </c>
      <c r="N88" s="397">
        <f t="shared" si="391"/>
        <v>8.1184684642481575E-3</v>
      </c>
      <c r="O88" s="397">
        <f t="shared" si="391"/>
        <v>1.2255628361586614E-2</v>
      </c>
      <c r="P88" s="398">
        <f t="shared" si="391"/>
        <v>8.7999560140314334E-3</v>
      </c>
      <c r="Q88" s="399">
        <f t="shared" si="391"/>
        <v>4.6233509525955034E-3</v>
      </c>
      <c r="R88" s="397">
        <f t="shared" ref="R88:Z88" si="392">R58/R$60</f>
        <v>4.6565235820442705E-3</v>
      </c>
      <c r="S88" s="397">
        <f t="shared" si="392"/>
        <v>7.5936251342471088E-3</v>
      </c>
      <c r="T88" s="397">
        <f t="shared" si="392"/>
        <v>5.5508283438077512E-3</v>
      </c>
      <c r="U88" s="397">
        <f t="shared" si="392"/>
        <v>5.1374041318339499E-3</v>
      </c>
      <c r="V88" s="397">
        <f t="shared" si="392"/>
        <v>6.4275181054542323E-3</v>
      </c>
      <c r="W88" s="397">
        <f t="shared" si="392"/>
        <v>8.4018983373290879E-3</v>
      </c>
      <c r="X88" s="397">
        <f t="shared" si="392"/>
        <v>8.6462807285705851E-3</v>
      </c>
      <c r="Y88" s="397">
        <f t="shared" si="392"/>
        <v>1.1076832536425702E-2</v>
      </c>
      <c r="Z88" s="397">
        <f t="shared" si="392"/>
        <v>1.0379149019568514E-2</v>
      </c>
      <c r="AA88" s="397">
        <f t="shared" ref="AA88:AB88" si="393">AA58/AA$60</f>
        <v>8.478627510639691E-3</v>
      </c>
      <c r="AB88" s="397">
        <f t="shared" si="393"/>
        <v>9.6839173934575203E-3</v>
      </c>
      <c r="AC88" s="398">
        <f t="shared" ref="AC88:AD88" si="394">AC58/AC$60</f>
        <v>1.3668853013303077E-2</v>
      </c>
      <c r="AD88" s="399">
        <f t="shared" si="394"/>
        <v>8.108146974407128E-3</v>
      </c>
      <c r="AE88" s="397">
        <f t="shared" ref="AE88:AP88" si="395">IFERROR(AE58/AE$60,0)</f>
        <v>1.3621705711884285E-2</v>
      </c>
      <c r="AF88" s="397">
        <f t="shared" si="395"/>
        <v>1.2508761057906052E-2</v>
      </c>
      <c r="AG88" s="397">
        <f t="shared" si="395"/>
        <v>7.6010106108196727E-3</v>
      </c>
      <c r="AH88" s="397">
        <f t="shared" si="395"/>
        <v>9.0557490068073395E-3</v>
      </c>
      <c r="AI88" s="397">
        <f t="shared" si="395"/>
        <v>7.5708521352153869E-3</v>
      </c>
      <c r="AJ88" s="397">
        <f t="shared" si="395"/>
        <v>9.9737011715957825E-3</v>
      </c>
      <c r="AK88" s="397">
        <f t="shared" si="395"/>
        <v>9.482877160585091E-3</v>
      </c>
      <c r="AL88" s="397">
        <f t="shared" si="395"/>
        <v>9.1590641249210281E-3</v>
      </c>
      <c r="AM88" s="397">
        <f t="shared" si="395"/>
        <v>7.9205808429663044E-3</v>
      </c>
      <c r="AN88" s="397">
        <f t="shared" si="395"/>
        <v>1.1800708764736051E-2</v>
      </c>
      <c r="AO88" s="397">
        <f t="shared" si="395"/>
        <v>1.3401283743423071E-2</v>
      </c>
      <c r="AP88" s="398">
        <f t="shared" si="395"/>
        <v>9.2190600791356905E-3</v>
      </c>
      <c r="AQ88" s="399">
        <f t="shared" si="348"/>
        <v>9.7208912092087516E-3</v>
      </c>
      <c r="AR88" s="399"/>
      <c r="AS88" s="397">
        <f t="shared" ref="AS88:BE88" si="396">AS58/AS$60</f>
        <v>8.6855389841247483E-3</v>
      </c>
      <c r="AT88" s="397">
        <f t="shared" si="396"/>
        <v>7.964064114497715E-3</v>
      </c>
      <c r="AU88" s="397">
        <f t="shared" si="396"/>
        <v>1.0688854072914478E-2</v>
      </c>
      <c r="AV88" s="397">
        <f t="shared" si="396"/>
        <v>9.7179974682663085E-3</v>
      </c>
      <c r="AW88" s="397">
        <f t="shared" si="396"/>
        <v>9.7382844252376123E-3</v>
      </c>
      <c r="AX88" s="397">
        <f t="shared" si="396"/>
        <v>1.2250396300540473E-2</v>
      </c>
      <c r="AY88" s="397">
        <f t="shared" si="396"/>
        <v>1.0598861699498056E-2</v>
      </c>
      <c r="AZ88" s="397">
        <f t="shared" si="396"/>
        <v>9.5749735339426371E-3</v>
      </c>
      <c r="BA88" s="397">
        <f t="shared" si="396"/>
        <v>1.0840816150280739E-2</v>
      </c>
      <c r="BB88" s="397">
        <f t="shared" si="396"/>
        <v>9.7899105452706175E-3</v>
      </c>
      <c r="BC88" s="397">
        <f t="shared" si="396"/>
        <v>9.8566476444846059E-3</v>
      </c>
      <c r="BD88" s="398">
        <f t="shared" si="396"/>
        <v>9.8593332840356974E-3</v>
      </c>
      <c r="BE88" s="399">
        <f t="shared" si="396"/>
        <v>1.0001722058910794E-2</v>
      </c>
      <c r="BF88" s="397">
        <f t="shared" ref="BF88:BJ88" si="397">BF58/BF$60</f>
        <v>1.0069434835982095E-2</v>
      </c>
      <c r="BG88" s="397">
        <f t="shared" si="397"/>
        <v>1.0402409149902498E-2</v>
      </c>
      <c r="BH88" s="397">
        <f t="shared" si="397"/>
        <v>7.0913353065537388E-3</v>
      </c>
      <c r="BI88" s="397">
        <f t="shared" si="397"/>
        <v>8.2723188660237673E-3</v>
      </c>
      <c r="BJ88" s="397">
        <f t="shared" si="397"/>
        <v>1.1275681230437434E-2</v>
      </c>
      <c r="BK88" s="397">
        <f t="shared" ref="BK88:BQ88" si="398">IFERROR(BK58/BK$60,0)</f>
        <v>8.9324313762252742E-3</v>
      </c>
      <c r="BL88" s="397">
        <f t="shared" si="398"/>
        <v>0</v>
      </c>
      <c r="BM88" s="397">
        <f t="shared" si="398"/>
        <v>0</v>
      </c>
      <c r="BN88" s="397">
        <f t="shared" si="398"/>
        <v>0</v>
      </c>
      <c r="BO88" s="397">
        <f t="shared" si="398"/>
        <v>0</v>
      </c>
      <c r="BP88" s="397">
        <f t="shared" si="398"/>
        <v>0</v>
      </c>
      <c r="BQ88" s="398">
        <f t="shared" si="398"/>
        <v>0</v>
      </c>
      <c r="BR88" s="399">
        <f t="shared" ref="BR88" si="399">BR58/BR$60</f>
        <v>9.1890118209960285E-3</v>
      </c>
      <c r="BS88" s="399">
        <f t="shared" si="353"/>
        <v>1.0001722058910794E-2</v>
      </c>
      <c r="BU88" s="160"/>
      <c r="BV88" s="158"/>
      <c r="BW88" s="158"/>
      <c r="BX88" s="158"/>
    </row>
    <row r="89" spans="2:76" x14ac:dyDescent="0.4">
      <c r="B89" s="256">
        <f t="shared" si="354"/>
        <v>7</v>
      </c>
      <c r="C89" s="262" t="s">
        <v>97</v>
      </c>
      <c r="D89" s="262" t="s">
        <v>40</v>
      </c>
      <c r="E89" s="400">
        <f t="shared" ref="E89:Q89" si="400">E59/E$60</f>
        <v>1.2868819609595115E-3</v>
      </c>
      <c r="F89" s="400">
        <f t="shared" si="400"/>
        <v>0</v>
      </c>
      <c r="G89" s="400">
        <f t="shared" si="400"/>
        <v>8.7089359345359808E-4</v>
      </c>
      <c r="H89" s="400">
        <f t="shared" si="400"/>
        <v>1.5585603632418013E-3</v>
      </c>
      <c r="I89" s="400">
        <f t="shared" si="400"/>
        <v>1.1728761326996195E-3</v>
      </c>
      <c r="J89" s="400">
        <f t="shared" si="400"/>
        <v>5.4277004996828584E-4</v>
      </c>
      <c r="K89" s="400">
        <f t="shared" si="400"/>
        <v>1.5180745153516803E-3</v>
      </c>
      <c r="L89" s="400">
        <f t="shared" si="400"/>
        <v>1.5038980726747142E-3</v>
      </c>
      <c r="M89" s="400">
        <f t="shared" si="400"/>
        <v>1.9795965658251655E-3</v>
      </c>
      <c r="N89" s="400">
        <f t="shared" si="400"/>
        <v>2.0790471109299003E-3</v>
      </c>
      <c r="O89" s="400">
        <f t="shared" si="400"/>
        <v>3.0934550346097159E-3</v>
      </c>
      <c r="P89" s="401">
        <f t="shared" si="400"/>
        <v>3.2849163376699204E-3</v>
      </c>
      <c r="Q89" s="402">
        <f t="shared" si="400"/>
        <v>1.0677530033175587E-3</v>
      </c>
      <c r="R89" s="400">
        <f t="shared" ref="R89:Z89" si="401">R59/R$60</f>
        <v>3.9800725093182459E-3</v>
      </c>
      <c r="S89" s="400">
        <f t="shared" si="401"/>
        <v>6.6336963663844008E-3</v>
      </c>
      <c r="T89" s="400">
        <f t="shared" si="401"/>
        <v>4.6653507966265117E-3</v>
      </c>
      <c r="U89" s="400">
        <f t="shared" si="401"/>
        <v>7.2692990748136959E-3</v>
      </c>
      <c r="V89" s="400">
        <f t="shared" si="401"/>
        <v>8.1994455111995095E-3</v>
      </c>
      <c r="W89" s="400">
        <f t="shared" si="401"/>
        <v>1.1156006751624026E-2</v>
      </c>
      <c r="X89" s="400">
        <f t="shared" si="401"/>
        <v>1.7634115225159428E-2</v>
      </c>
      <c r="Y89" s="400">
        <f t="shared" si="401"/>
        <v>1.2864763202278286E-2</v>
      </c>
      <c r="Z89" s="400">
        <f t="shared" si="401"/>
        <v>9.574202460799066E-3</v>
      </c>
      <c r="AA89" s="400">
        <f t="shared" ref="AA89:AB89" si="402">AA59/AA$60</f>
        <v>7.0583015072944611E-3</v>
      </c>
      <c r="AB89" s="400">
        <f t="shared" si="402"/>
        <v>6.9571313183396056E-3</v>
      </c>
      <c r="AC89" s="401">
        <f t="shared" ref="AC89:AD89" si="403">AC59/AC$60</f>
        <v>9.5057847700401477E-3</v>
      </c>
      <c r="AD89" s="402">
        <f t="shared" si="403"/>
        <v>8.2359870023605078E-3</v>
      </c>
      <c r="AE89" s="400">
        <f t="shared" ref="AE89:AP89" si="404">IFERROR(AE59/AE$60,0)</f>
        <v>1.5904024641173416E-2</v>
      </c>
      <c r="AF89" s="400">
        <f t="shared" si="404"/>
        <v>1.0040093498755384E-2</v>
      </c>
      <c r="AG89" s="400">
        <f t="shared" si="404"/>
        <v>4.9630257617493531E-3</v>
      </c>
      <c r="AH89" s="400">
        <f t="shared" si="404"/>
        <v>7.1629160690837293E-3</v>
      </c>
      <c r="AI89" s="400">
        <f t="shared" si="404"/>
        <v>8.407819237575458E-3</v>
      </c>
      <c r="AJ89" s="400">
        <f t="shared" si="404"/>
        <v>1.1181774953215595E-2</v>
      </c>
      <c r="AK89" s="400">
        <f t="shared" si="404"/>
        <v>8.8094456300790401E-3</v>
      </c>
      <c r="AL89" s="400">
        <f t="shared" si="404"/>
        <v>9.1803901854496731E-3</v>
      </c>
      <c r="AM89" s="400">
        <f t="shared" si="404"/>
        <v>1.1133537913516541E-2</v>
      </c>
      <c r="AN89" s="400">
        <f t="shared" si="404"/>
        <v>1.26540938898125E-2</v>
      </c>
      <c r="AO89" s="400">
        <f t="shared" si="404"/>
        <v>1.4602751053182737E-2</v>
      </c>
      <c r="AP89" s="401">
        <f t="shared" si="404"/>
        <v>1.0543862299457134E-2</v>
      </c>
      <c r="AQ89" s="402">
        <f t="shared" si="348"/>
        <v>9.9551596671837647E-3</v>
      </c>
      <c r="AR89" s="402"/>
      <c r="AS89" s="400">
        <f t="shared" ref="AS89:BE89" si="405">AS59/AS$60</f>
        <v>1.2434043986893436E-2</v>
      </c>
      <c r="AT89" s="400">
        <f t="shared" si="405"/>
        <v>2.3302746667344141E-2</v>
      </c>
      <c r="AU89" s="400">
        <f t="shared" si="405"/>
        <v>2.3271060355400514E-2</v>
      </c>
      <c r="AV89" s="400">
        <f t="shared" si="405"/>
        <v>2.2243085744813693E-2</v>
      </c>
      <c r="AW89" s="400">
        <f t="shared" si="405"/>
        <v>2.4812510005304416E-2</v>
      </c>
      <c r="AX89" s="400">
        <f t="shared" si="405"/>
        <v>2.5213001300527421E-2</v>
      </c>
      <c r="AY89" s="400">
        <f t="shared" si="405"/>
        <v>2.5228259005033803E-2</v>
      </c>
      <c r="AZ89" s="400">
        <f t="shared" si="405"/>
        <v>2.6454821424166379E-2</v>
      </c>
      <c r="BA89" s="400">
        <f t="shared" si="405"/>
        <v>2.5762946621558917E-2</v>
      </c>
      <c r="BB89" s="400">
        <f t="shared" si="405"/>
        <v>2.6068543775848305E-2</v>
      </c>
      <c r="BC89" s="400">
        <f t="shared" si="405"/>
        <v>2.6315906662288908E-2</v>
      </c>
      <c r="BD89" s="401">
        <f t="shared" si="405"/>
        <v>2.4456531354311393E-2</v>
      </c>
      <c r="BE89" s="402">
        <f t="shared" si="405"/>
        <v>2.3880588648940087E-2</v>
      </c>
      <c r="BF89" s="400">
        <f t="shared" ref="BF89:BJ89" si="406">BF59/BF$60</f>
        <v>1.3102302847737689E-2</v>
      </c>
      <c r="BG89" s="400">
        <f t="shared" si="406"/>
        <v>1.7189474616780151E-2</v>
      </c>
      <c r="BH89" s="400">
        <f t="shared" si="406"/>
        <v>7.8773190192029195E-3</v>
      </c>
      <c r="BI89" s="400">
        <f t="shared" si="406"/>
        <v>8.6260946942096454E-3</v>
      </c>
      <c r="BJ89" s="400">
        <f t="shared" si="406"/>
        <v>7.4965703019813099E-3</v>
      </c>
      <c r="BK89" s="400">
        <f t="shared" ref="BK89:BQ89" si="407">IFERROR(BK59/BK$60,0)</f>
        <v>7.1189246053759096E-3</v>
      </c>
      <c r="BL89" s="400">
        <f t="shared" si="407"/>
        <v>0</v>
      </c>
      <c r="BM89" s="400">
        <f t="shared" si="407"/>
        <v>0</v>
      </c>
      <c r="BN89" s="400">
        <f t="shared" si="407"/>
        <v>0</v>
      </c>
      <c r="BO89" s="400">
        <f t="shared" si="407"/>
        <v>0</v>
      </c>
      <c r="BP89" s="400">
        <f t="shared" si="407"/>
        <v>0</v>
      </c>
      <c r="BQ89" s="401">
        <f t="shared" si="407"/>
        <v>0</v>
      </c>
      <c r="BR89" s="402">
        <f t="shared" ref="BR89" si="408">BR59/BR$60</f>
        <v>9.5673546961671206E-3</v>
      </c>
      <c r="BS89" s="402">
        <f t="shared" si="353"/>
        <v>2.3880588648940087E-2</v>
      </c>
      <c r="BU89" s="160"/>
      <c r="BV89" s="158"/>
      <c r="BW89" s="158"/>
      <c r="BX89" s="158"/>
    </row>
    <row r="90" spans="2:76" ht="16.5" thickBot="1" x14ac:dyDescent="0.45">
      <c r="B90" s="270" t="s">
        <v>172</v>
      </c>
      <c r="C90" s="271"/>
      <c r="D90" s="270"/>
      <c r="E90" s="403">
        <f t="shared" ref="E90:Q90" si="409">E70+E82</f>
        <v>1</v>
      </c>
      <c r="F90" s="403">
        <f t="shared" si="409"/>
        <v>1</v>
      </c>
      <c r="G90" s="403">
        <f t="shared" si="409"/>
        <v>1</v>
      </c>
      <c r="H90" s="403">
        <f t="shared" si="409"/>
        <v>1</v>
      </c>
      <c r="I90" s="403">
        <f t="shared" si="409"/>
        <v>1</v>
      </c>
      <c r="J90" s="403">
        <f t="shared" si="409"/>
        <v>1</v>
      </c>
      <c r="K90" s="403">
        <f t="shared" si="409"/>
        <v>1</v>
      </c>
      <c r="L90" s="403">
        <f t="shared" si="409"/>
        <v>0.99999999999999978</v>
      </c>
      <c r="M90" s="403">
        <f t="shared" si="409"/>
        <v>0.99999999999999978</v>
      </c>
      <c r="N90" s="403">
        <f t="shared" si="409"/>
        <v>1</v>
      </c>
      <c r="O90" s="403">
        <f t="shared" si="409"/>
        <v>0.99999999999999978</v>
      </c>
      <c r="P90" s="404">
        <f t="shared" si="409"/>
        <v>1</v>
      </c>
      <c r="Q90" s="405">
        <f t="shared" si="409"/>
        <v>1</v>
      </c>
      <c r="R90" s="403">
        <f t="shared" ref="R90:Y90" si="410">R70+R82</f>
        <v>1</v>
      </c>
      <c r="S90" s="403">
        <f t="shared" si="410"/>
        <v>1</v>
      </c>
      <c r="T90" s="403">
        <f t="shared" si="410"/>
        <v>1.0000000000000002</v>
      </c>
      <c r="U90" s="403">
        <f t="shared" si="410"/>
        <v>1</v>
      </c>
      <c r="V90" s="403">
        <f t="shared" si="410"/>
        <v>1.0000000000000002</v>
      </c>
      <c r="W90" s="403">
        <f t="shared" si="410"/>
        <v>1</v>
      </c>
      <c r="X90" s="403">
        <f t="shared" si="410"/>
        <v>1</v>
      </c>
      <c r="Y90" s="403">
        <f t="shared" si="410"/>
        <v>1</v>
      </c>
      <c r="Z90" s="403">
        <f t="shared" ref="Z90:AA90" si="411">Z60/Z$60</f>
        <v>1</v>
      </c>
      <c r="AA90" s="403">
        <f t="shared" si="411"/>
        <v>1</v>
      </c>
      <c r="AB90" s="403">
        <f t="shared" ref="AB90:AC90" si="412">AB60/AB$60</f>
        <v>1</v>
      </c>
      <c r="AC90" s="404">
        <f t="shared" si="412"/>
        <v>1</v>
      </c>
      <c r="AD90" s="405">
        <f>AD70+AD82</f>
        <v>0.99999999999999978</v>
      </c>
      <c r="AE90" s="403">
        <f t="shared" ref="AE90:AQ90" si="413">AE70+AE82</f>
        <v>0.99999999999999978</v>
      </c>
      <c r="AF90" s="403">
        <f t="shared" si="413"/>
        <v>0.99999999999999978</v>
      </c>
      <c r="AG90" s="403">
        <f t="shared" si="413"/>
        <v>0.99999999999999978</v>
      </c>
      <c r="AH90" s="403">
        <f t="shared" si="413"/>
        <v>0.99999999999999989</v>
      </c>
      <c r="AI90" s="403">
        <f t="shared" si="413"/>
        <v>1.0000000000000002</v>
      </c>
      <c r="AJ90" s="403">
        <f t="shared" si="413"/>
        <v>1.0000000000000002</v>
      </c>
      <c r="AK90" s="403">
        <f t="shared" si="413"/>
        <v>1</v>
      </c>
      <c r="AL90" s="403">
        <f t="shared" si="413"/>
        <v>1</v>
      </c>
      <c r="AM90" s="403">
        <f t="shared" si="413"/>
        <v>1</v>
      </c>
      <c r="AN90" s="403">
        <f t="shared" si="413"/>
        <v>0.99999999999999989</v>
      </c>
      <c r="AO90" s="403">
        <f t="shared" si="413"/>
        <v>1</v>
      </c>
      <c r="AP90" s="404">
        <f t="shared" si="413"/>
        <v>1</v>
      </c>
      <c r="AQ90" s="405">
        <f t="shared" si="413"/>
        <v>0.99999999999999989</v>
      </c>
      <c r="AR90" s="405"/>
      <c r="AS90" s="403">
        <f t="shared" ref="AS90:BE90" si="414">AS70+AS82</f>
        <v>1</v>
      </c>
      <c r="AT90" s="403">
        <f t="shared" si="414"/>
        <v>1</v>
      </c>
      <c r="AU90" s="403">
        <f t="shared" si="414"/>
        <v>0.99999999999999989</v>
      </c>
      <c r="AV90" s="403">
        <f t="shared" si="414"/>
        <v>0.99999999999999978</v>
      </c>
      <c r="AW90" s="403">
        <f t="shared" si="414"/>
        <v>0.99999999999999989</v>
      </c>
      <c r="AX90" s="403">
        <f t="shared" si="414"/>
        <v>1.0000000000000002</v>
      </c>
      <c r="AY90" s="403">
        <f t="shared" si="414"/>
        <v>0.99999999999999989</v>
      </c>
      <c r="AZ90" s="403">
        <f t="shared" si="414"/>
        <v>1</v>
      </c>
      <c r="BA90" s="403">
        <f t="shared" si="414"/>
        <v>1.0000000000000002</v>
      </c>
      <c r="BB90" s="403">
        <f t="shared" si="414"/>
        <v>1.0000000000000002</v>
      </c>
      <c r="BC90" s="403">
        <f t="shared" si="414"/>
        <v>0.99999999999999989</v>
      </c>
      <c r="BD90" s="404">
        <f t="shared" si="414"/>
        <v>1</v>
      </c>
      <c r="BE90" s="405">
        <f t="shared" si="414"/>
        <v>1.0000000000000002</v>
      </c>
      <c r="BF90" s="403">
        <f t="shared" ref="BF90:BJ90" si="415">BF70+BF82</f>
        <v>1.0000000000000002</v>
      </c>
      <c r="BG90" s="403">
        <f t="shared" si="415"/>
        <v>1.0000000000000002</v>
      </c>
      <c r="BH90" s="403">
        <f t="shared" si="415"/>
        <v>1</v>
      </c>
      <c r="BI90" s="403">
        <f t="shared" si="415"/>
        <v>1</v>
      </c>
      <c r="BJ90" s="403">
        <f t="shared" si="415"/>
        <v>1.0000000000000002</v>
      </c>
      <c r="BK90" s="403">
        <f t="shared" ref="BK90:BQ90" si="416">BK70+BK82</f>
        <v>0.99999999999999989</v>
      </c>
      <c r="BL90" s="403">
        <f t="shared" si="416"/>
        <v>0</v>
      </c>
      <c r="BM90" s="403">
        <f t="shared" si="416"/>
        <v>0</v>
      </c>
      <c r="BN90" s="403">
        <f t="shared" si="416"/>
        <v>0</v>
      </c>
      <c r="BO90" s="403">
        <f t="shared" si="416"/>
        <v>0</v>
      </c>
      <c r="BP90" s="403">
        <f t="shared" si="416"/>
        <v>0</v>
      </c>
      <c r="BQ90" s="404">
        <f t="shared" si="416"/>
        <v>0</v>
      </c>
      <c r="BR90" s="405">
        <f t="shared" ref="BR90:BS90" si="417">BR70+BR82</f>
        <v>0.99999999999999978</v>
      </c>
      <c r="BS90" s="405">
        <f t="shared" si="417"/>
        <v>1.0000000000000002</v>
      </c>
      <c r="BU90" s="160"/>
      <c r="BV90" s="158"/>
      <c r="BW90" s="158"/>
      <c r="BX90" s="158"/>
    </row>
    <row r="91" spans="2:76" ht="16.5" thickTop="1" x14ac:dyDescent="0.4"/>
  </sheetData>
  <sheetProtection selectLockedCells="1" selectUnlockedCells="1"/>
  <autoFilter ref="A8:CN34" xr:uid="{ECAA4C4D-9AE7-4950-B5E5-659D85A25534}"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0">
    <mergeCell ref="B32:D32"/>
    <mergeCell ref="B33:D33"/>
    <mergeCell ref="B63:D63"/>
    <mergeCell ref="B64:D64"/>
    <mergeCell ref="BV8:CB8"/>
    <mergeCell ref="BV9:CB9"/>
    <mergeCell ref="BV10:CB10"/>
    <mergeCell ref="BV11:CB11"/>
    <mergeCell ref="BV12:CB12"/>
    <mergeCell ref="BV13:CB13"/>
    <mergeCell ref="BV14:CB14"/>
    <mergeCell ref="BV15:CB15"/>
    <mergeCell ref="BV16:CB16"/>
    <mergeCell ref="BV17:CB17"/>
    <mergeCell ref="BV18:CB18"/>
    <mergeCell ref="BV19:CB19"/>
    <mergeCell ref="BV20:CB20"/>
    <mergeCell ref="BV21:CB21"/>
    <mergeCell ref="BV22:CB22"/>
    <mergeCell ref="BV23:CB23"/>
    <mergeCell ref="BV24:CB24"/>
    <mergeCell ref="BV31:CB31"/>
    <mergeCell ref="BV32:CB32"/>
    <mergeCell ref="BV33:CB33"/>
    <mergeCell ref="BV34:CB34"/>
    <mergeCell ref="BV25:CB25"/>
    <mergeCell ref="BV26:CB26"/>
    <mergeCell ref="BV27:CB27"/>
    <mergeCell ref="BV28:CB28"/>
    <mergeCell ref="BV29:CB29"/>
  </mergeCells>
  <phoneticPr fontId="26" type="noConversion"/>
  <pageMargins left="0.7" right="0.7" top="0.75" bottom="0.75" header="0.3" footer="0.3"/>
  <pageSetup orientation="portrait" r:id="rId1"/>
  <ignoredErrors>
    <ignoredError sqref="AS63:BF64 BT43 W43:AB43 R43:V52 AS44:BF52 AS43:BE43 AS54:BF60 BR52:BT52 BR60:BT60 BR62:BR64 AD62 BE62 BT53 R54:AD60 AD42:AD43 W44:AD52 R63:AD64 BR44:BR51 BT44:BT51 BR54:BR59 BT54:BT59 BT62:BT64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CB47D2E-BEB4-4186-B623-DDB83EE8EFB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AR40</xm:sqref>
        </x14:conditionalFormatting>
        <x14:conditionalFormatting xmlns:xm="http://schemas.microsoft.com/office/excel/2006/main">
          <x14:cfRule type="iconSet" priority="3" id="{88C5B196-C861-4452-A227-3DDB63487B8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AR41:AR51</xm:sqref>
        </x14:conditionalFormatting>
        <x14:conditionalFormatting xmlns:xm="http://schemas.microsoft.com/office/excel/2006/main">
          <x14:cfRule type="iconSet" priority="4" id="{A1FCDF80-B0E3-4A17-BACA-0DF53DD7C3C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AR52:AR59</xm:sqref>
        </x14:conditionalFormatting>
        <x14:conditionalFormatting xmlns:xm="http://schemas.microsoft.com/office/excel/2006/main">
          <x14:cfRule type="iconSet" priority="5" id="{922BE55A-C69A-429E-A622-41F5C74899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AR62</xm:sqref>
        </x14:conditionalFormatting>
        <x14:conditionalFormatting xmlns:xm="http://schemas.microsoft.com/office/excel/2006/main">
          <x14:cfRule type="iconSet" priority="2" id="{7517DFC9-4A54-49D9-8660-1C83277C1FF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AR63:AR64</xm:sqref>
        </x14:conditionalFormatting>
        <x14:conditionalFormatting xmlns:xm="http://schemas.microsoft.com/office/excel/2006/main">
          <x14:cfRule type="iconSet" priority="7" id="{3F91FD5D-8A56-4D2E-A11E-843DFECEBE7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BS40</xm:sqref>
        </x14:conditionalFormatting>
        <x14:conditionalFormatting xmlns:xm="http://schemas.microsoft.com/office/excel/2006/main">
          <x14:cfRule type="iconSet" priority="9" id="{47E472E7-FC48-4345-A7D4-5BC1BFCD0E4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BS41:BS51</xm:sqref>
        </x14:conditionalFormatting>
        <x14:conditionalFormatting xmlns:xm="http://schemas.microsoft.com/office/excel/2006/main">
          <x14:cfRule type="iconSet" priority="10" id="{8B4FA9D1-B0E1-4988-B910-92939F56CF5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BS52:BS59</xm:sqref>
        </x14:conditionalFormatting>
        <x14:conditionalFormatting xmlns:xm="http://schemas.microsoft.com/office/excel/2006/main">
          <x14:cfRule type="iconSet" priority="14" id="{1C7C23D2-8F9B-4D48-99C8-AD8F5DE067A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BS62</xm:sqref>
        </x14:conditionalFormatting>
        <x14:conditionalFormatting xmlns:xm="http://schemas.microsoft.com/office/excel/2006/main">
          <x14:cfRule type="iconSet" priority="8" id="{00D6C303-B296-4374-BD80-803847B0F62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BS63:BS64</xm:sqref>
        </x14:conditionalFormatting>
        <x14:conditionalFormatting xmlns:xm="http://schemas.microsoft.com/office/excel/2006/main">
          <x14:cfRule type="iconSet" priority="15" id="{4A6FFA62-8835-46EB-BC2B-5481B7A51D31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BT9:BT30</xm:sqref>
        </x14:conditionalFormatting>
        <x14:conditionalFormatting xmlns:xm="http://schemas.microsoft.com/office/excel/2006/main">
          <x14:cfRule type="iconSet" priority="13" id="{E81747EA-ED6A-4B99-A2F4-67B756F8AC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BV40:BV61 BV63:BV64</xm:sqref>
        </x14:conditionalFormatting>
        <x14:conditionalFormatting xmlns:xm="http://schemas.microsoft.com/office/excel/2006/main">
          <x14:cfRule type="iconSet" priority="6" id="{E00CB4E1-4A05-473C-BFF8-278F83044DB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BV62</xm:sqref>
        </x14:conditionalFormatting>
        <x14:conditionalFormatting xmlns:xm="http://schemas.microsoft.com/office/excel/2006/main">
          <x14:cfRule type="iconSet" priority="11" id="{48FC8768-25CC-4456-AA38-8AACE2EE011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CA40:CB64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B8F4-03F0-4DD3-9E5E-3AC39E62E582}">
  <sheetPr>
    <tabColor rgb="FF00B050"/>
  </sheetPr>
  <dimension ref="A1:BO88"/>
  <sheetViews>
    <sheetView zoomScale="85" zoomScaleNormal="85" workbookViewId="0">
      <pane xSplit="4" ySplit="8" topLeftCell="AM9" activePane="bottomRight" state="frozen"/>
      <selection activeCell="V53" sqref="V53"/>
      <selection pane="topRight" activeCell="V53" sqref="V53"/>
      <selection pane="bottomLeft" activeCell="V53" sqref="V53"/>
      <selection pane="bottomRight" activeCell="AV8" sqref="AV8:AW8"/>
    </sheetView>
  </sheetViews>
  <sheetFormatPr defaultColWidth="8.54296875" defaultRowHeight="16" x14ac:dyDescent="0.4"/>
  <cols>
    <col min="1" max="2" width="4.453125" style="158" customWidth="1"/>
    <col min="3" max="3" width="10.453125" style="158" hidden="1" customWidth="1"/>
    <col min="4" max="4" width="24.54296875" style="158" customWidth="1"/>
    <col min="5" max="32" width="11.26953125" style="158" customWidth="1"/>
    <col min="33" max="47" width="10.453125" style="158" customWidth="1"/>
    <col min="48" max="48" width="13.54296875" style="158" bestFit="1" customWidth="1"/>
    <col min="49" max="49" width="10.453125" style="158" customWidth="1"/>
    <col min="50" max="50" width="13.453125" style="158" customWidth="1"/>
    <col min="51" max="51" width="10.54296875" style="158" customWidth="1"/>
    <col min="52" max="52" width="12.453125" style="158" customWidth="1"/>
    <col min="53" max="53" width="10.54296875" style="160" customWidth="1"/>
    <col min="54" max="54" width="11" style="158" customWidth="1"/>
    <col min="55" max="55" width="13.54296875" style="158" customWidth="1"/>
    <col min="56" max="56" width="9.453125" style="158" customWidth="1"/>
    <col min="57" max="57" width="19.54296875" style="158" customWidth="1"/>
    <col min="58" max="58" width="3.453125" style="158" customWidth="1"/>
    <col min="59" max="65" width="7.54296875" style="158" customWidth="1"/>
    <col min="66" max="66" width="2.54296875" style="158" customWidth="1"/>
    <col min="67" max="67" width="11.453125" style="158" customWidth="1"/>
    <col min="68" max="68" width="26.54296875" style="158" customWidth="1"/>
    <col min="69" max="16384" width="8.54296875" style="158"/>
  </cols>
  <sheetData>
    <row r="1" spans="1:57" x14ac:dyDescent="0.4">
      <c r="AG1" s="159" t="s">
        <v>177</v>
      </c>
      <c r="AH1" s="159"/>
      <c r="AI1" s="159"/>
      <c r="AJ1" s="159"/>
    </row>
    <row r="2" spans="1:57" ht="21" x14ac:dyDescent="0.5">
      <c r="D2" s="161" t="s">
        <v>173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>
        <v>12</v>
      </c>
      <c r="AH2" s="162"/>
      <c r="AI2" s="162"/>
      <c r="AJ2" s="162"/>
      <c r="AU2" s="159"/>
      <c r="AV2" s="159"/>
      <c r="AW2" s="159"/>
      <c r="AZ2" s="163"/>
    </row>
    <row r="3" spans="1:57" ht="21" x14ac:dyDescent="0.5">
      <c r="D3" s="162" t="s">
        <v>187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X3" s="163"/>
      <c r="AZ3" s="163"/>
      <c r="BE3" s="163"/>
    </row>
    <row r="4" spans="1:57" x14ac:dyDescent="0.4"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H4" s="165"/>
      <c r="AI4" s="165"/>
      <c r="AJ4" s="165"/>
      <c r="AK4" s="165"/>
      <c r="AL4" s="165"/>
      <c r="AM4" s="166"/>
      <c r="AU4" s="163"/>
      <c r="AV4" s="163"/>
      <c r="AW4" s="163"/>
      <c r="BA4" s="167"/>
    </row>
    <row r="5" spans="1:57" x14ac:dyDescent="0.4"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H5" s="165"/>
      <c r="AI5" s="165"/>
      <c r="AJ5" s="165"/>
      <c r="AK5" s="165"/>
      <c r="AL5" s="165"/>
      <c r="AM5" s="166"/>
      <c r="AU5" s="168"/>
      <c r="AV5" s="168"/>
      <c r="AW5" s="168"/>
      <c r="AZ5" s="163"/>
      <c r="BA5" s="167"/>
    </row>
    <row r="6" spans="1:57" x14ac:dyDescent="0.4"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H6" s="165"/>
      <c r="AI6" s="165"/>
      <c r="AJ6" s="165"/>
      <c r="AK6" s="165"/>
      <c r="AL6" s="165"/>
      <c r="AM6" s="166"/>
      <c r="AS6" s="163"/>
      <c r="AT6" s="163" t="s">
        <v>245</v>
      </c>
      <c r="AU6" s="163" t="s">
        <v>245</v>
      </c>
      <c r="AV6" s="163"/>
      <c r="AW6" s="163"/>
      <c r="AX6" s="163"/>
      <c r="BA6" s="167"/>
    </row>
    <row r="7" spans="1:57" x14ac:dyDescent="0.4"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9">
        <v>1</v>
      </c>
      <c r="AH7" s="169">
        <v>2</v>
      </c>
      <c r="AI7" s="169">
        <v>3</v>
      </c>
      <c r="AJ7" s="169">
        <v>4</v>
      </c>
      <c r="AK7" s="169">
        <v>5</v>
      </c>
      <c r="AL7" s="169">
        <v>6</v>
      </c>
      <c r="AM7" s="169">
        <v>7</v>
      </c>
      <c r="AN7" s="169">
        <v>8</v>
      </c>
      <c r="AO7" s="169">
        <v>9</v>
      </c>
      <c r="AP7" s="169">
        <v>10</v>
      </c>
      <c r="AQ7" s="169">
        <v>11</v>
      </c>
      <c r="AR7" s="169">
        <v>12</v>
      </c>
      <c r="AS7" s="163"/>
      <c r="AT7" s="163"/>
      <c r="BA7" s="167"/>
    </row>
    <row r="8" spans="1:57" s="173" customFormat="1" ht="48" x14ac:dyDescent="0.35">
      <c r="A8" s="170">
        <v>1</v>
      </c>
      <c r="B8" s="228" t="s">
        <v>57</v>
      </c>
      <c r="C8" s="228" t="s">
        <v>58</v>
      </c>
      <c r="D8" s="229" t="s">
        <v>205</v>
      </c>
      <c r="E8" s="328" t="s">
        <v>72</v>
      </c>
      <c r="F8" s="328" t="s">
        <v>73</v>
      </c>
      <c r="G8" s="328" t="s">
        <v>74</v>
      </c>
      <c r="H8" s="328" t="s">
        <v>75</v>
      </c>
      <c r="I8" s="328" t="s">
        <v>76</v>
      </c>
      <c r="J8" s="328" t="s">
        <v>77</v>
      </c>
      <c r="K8" s="328" t="s">
        <v>78</v>
      </c>
      <c r="L8" s="328" t="s">
        <v>79</v>
      </c>
      <c r="M8" s="328" t="s">
        <v>80</v>
      </c>
      <c r="N8" s="328" t="s">
        <v>81</v>
      </c>
      <c r="O8" s="328" t="s">
        <v>82</v>
      </c>
      <c r="P8" s="328" t="s">
        <v>83</v>
      </c>
      <c r="Q8" s="328" t="s">
        <v>214</v>
      </c>
      <c r="R8" s="328" t="s">
        <v>227</v>
      </c>
      <c r="S8" s="327" t="s">
        <v>215</v>
      </c>
      <c r="T8" s="327" t="s">
        <v>216</v>
      </c>
      <c r="U8" s="327" t="s">
        <v>217</v>
      </c>
      <c r="V8" s="327" t="s">
        <v>218</v>
      </c>
      <c r="W8" s="327" t="s">
        <v>219</v>
      </c>
      <c r="X8" s="327" t="s">
        <v>220</v>
      </c>
      <c r="Y8" s="327" t="s">
        <v>221</v>
      </c>
      <c r="Z8" s="327" t="s">
        <v>222</v>
      </c>
      <c r="AA8" s="327" t="s">
        <v>223</v>
      </c>
      <c r="AB8" s="327" t="s">
        <v>224</v>
      </c>
      <c r="AC8" s="327" t="s">
        <v>225</v>
      </c>
      <c r="AD8" s="327" t="s">
        <v>226</v>
      </c>
      <c r="AE8" s="327" t="s">
        <v>214</v>
      </c>
      <c r="AF8" s="327" t="s">
        <v>227</v>
      </c>
      <c r="AG8" s="230" t="s">
        <v>228</v>
      </c>
      <c r="AH8" s="230" t="s">
        <v>229</v>
      </c>
      <c r="AI8" s="230" t="s">
        <v>230</v>
      </c>
      <c r="AJ8" s="230" t="s">
        <v>231</v>
      </c>
      <c r="AK8" s="230" t="s">
        <v>232</v>
      </c>
      <c r="AL8" s="230" t="s">
        <v>233</v>
      </c>
      <c r="AM8" s="230" t="s">
        <v>234</v>
      </c>
      <c r="AN8" s="230" t="s">
        <v>235</v>
      </c>
      <c r="AO8" s="230" t="s">
        <v>236</v>
      </c>
      <c r="AP8" s="230" t="s">
        <v>237</v>
      </c>
      <c r="AQ8" s="230" t="s">
        <v>238</v>
      </c>
      <c r="AR8" s="230" t="s">
        <v>239</v>
      </c>
      <c r="AS8" s="231" t="s">
        <v>240</v>
      </c>
      <c r="AT8" s="231" t="s">
        <v>244</v>
      </c>
      <c r="AU8" s="230" t="s">
        <v>184</v>
      </c>
      <c r="AV8" s="230" t="s">
        <v>241</v>
      </c>
      <c r="AW8" s="230" t="s">
        <v>243</v>
      </c>
      <c r="AX8" s="231" t="s">
        <v>242</v>
      </c>
      <c r="AY8" s="231" t="str">
        <f>"% +/- "&amp;"T"&amp;$AG$2&amp;".24"&amp;" sv T"&amp;$AG$2-1&amp;".24"</f>
        <v>% +/- T12.24 sv T11.24</v>
      </c>
      <c r="AZ8" s="231" t="s">
        <v>175</v>
      </c>
      <c r="BA8" s="995" t="s">
        <v>176</v>
      </c>
      <c r="BB8" s="996"/>
      <c r="BC8" s="996"/>
      <c r="BD8" s="996"/>
      <c r="BE8" s="172"/>
    </row>
    <row r="9" spans="1:57" s="176" customFormat="1" x14ac:dyDescent="0.35">
      <c r="A9" s="174">
        <v>2</v>
      </c>
      <c r="B9" s="175" t="s">
        <v>161</v>
      </c>
      <c r="D9" s="177" t="s">
        <v>162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8">
        <f t="shared" ref="AG9:AX9" si="0">SUM(AG10:AG20)</f>
        <v>92900.746016934019</v>
      </c>
      <c r="AH9" s="178">
        <f t="shared" si="0"/>
        <v>62242.188936643084</v>
      </c>
      <c r="AI9" s="178">
        <f t="shared" si="0"/>
        <v>102093.02881497817</v>
      </c>
      <c r="AJ9" s="178">
        <f t="shared" si="0"/>
        <v>99247.19779312663</v>
      </c>
      <c r="AK9" s="178">
        <f t="shared" si="0"/>
        <v>92560.127506874298</v>
      </c>
      <c r="AL9" s="178">
        <f t="shared" si="0"/>
        <v>72891.450257188131</v>
      </c>
      <c r="AM9" s="178">
        <f t="shared" si="0"/>
        <v>40604.622640293535</v>
      </c>
      <c r="AN9" s="178">
        <f t="shared" si="0"/>
        <v>47419.511207084703</v>
      </c>
      <c r="AO9" s="178">
        <f t="shared" si="0"/>
        <v>61887.591937125275</v>
      </c>
      <c r="AP9" s="178">
        <f t="shared" si="0"/>
        <v>90838.322691258494</v>
      </c>
      <c r="AQ9" s="178">
        <f t="shared" si="0"/>
        <v>98422.857939716079</v>
      </c>
      <c r="AR9" s="178">
        <f t="shared" si="0"/>
        <v>69697.765737679685</v>
      </c>
      <c r="AS9" s="178">
        <f t="shared" si="0"/>
        <v>77567.117623241837</v>
      </c>
      <c r="AT9" s="178"/>
      <c r="AU9" s="178">
        <f t="shared" si="0"/>
        <v>44780.822733029541</v>
      </c>
      <c r="AV9" s="178"/>
      <c r="AW9" s="178"/>
      <c r="AX9" s="178">
        <f t="shared" si="0"/>
        <v>930805.41147890221</v>
      </c>
      <c r="AY9" s="179">
        <f>IFERROR(AR9/AQ9-1,"-")</f>
        <v>-0.29185387219329162</v>
      </c>
      <c r="AZ9" s="180">
        <f>AX9/$AX$29</f>
        <v>0.74414633477880165</v>
      </c>
      <c r="BA9" s="987"/>
      <c r="BB9" s="987"/>
      <c r="BC9" s="987"/>
      <c r="BD9" s="987"/>
    </row>
    <row r="10" spans="1:57" s="186" customFormat="1" ht="45.65" customHeight="1" x14ac:dyDescent="0.35">
      <c r="A10" s="174">
        <v>3</v>
      </c>
      <c r="B10" s="181">
        <v>1</v>
      </c>
      <c r="C10" s="182" t="s">
        <v>96</v>
      </c>
      <c r="D10" s="182" t="s">
        <v>47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3">
        <f>INDEX('18 KMP- Tháng'!$R$6:$AC$24,MATCH('18 KMP- Tháng (Tâm) (3)'!$A10,'18 KMP- Tháng'!$A$6:$A$24,0),MATCH('18 KMP- Tháng (Tâm) (3)'!AG$7,'18 KMP- Tháng'!$R$2:$AC$2,0))</f>
        <v>82388.013511614045</v>
      </c>
      <c r="AH10" s="183">
        <f>INDEX('18 KMP- Tháng'!$R$6:$AC$24,MATCH('18 KMP- Tháng (Tâm) (3)'!$A10,'18 KMP- Tháng'!$A$6:$A$24,0),MATCH('18 KMP- Tháng (Tâm) (3)'!AH$7,'18 KMP- Tháng'!$R$2:$AC$2,0))</f>
        <v>54679.33930764308</v>
      </c>
      <c r="AI10" s="183">
        <f>INDEX('18 KMP- Tháng'!$R$6:$AC$24,MATCH('18 KMP- Tháng (Tâm) (3)'!$A10,'18 KMP- Tháng'!$A$6:$A$24,0),MATCH('18 KMP- Tháng (Tâm) (3)'!AI$7,'18 KMP- Tháng'!$R$2:$AC$2,0))</f>
        <v>92225.012386978167</v>
      </c>
      <c r="AJ10" s="183">
        <f>INDEX('18 KMP- Tháng'!$R$6:$AC$24,MATCH('18 KMP- Tháng (Tâm) (3)'!$A10,'18 KMP- Tháng'!$A$6:$A$24,0),MATCH('18 KMP- Tháng (Tâm) (3)'!AJ$7,'18 KMP- Tháng'!$R$2:$AC$2,0))+3500</f>
        <v>88305.10524012665</v>
      </c>
      <c r="AK10" s="183">
        <f>INDEX('18 KMP- Tháng'!$R$6:$AC$24,MATCH('18 KMP- Tháng (Tâm) (3)'!$A10,'18 KMP- Tháng'!$A$6:$A$24,0),MATCH('18 KMP- Tháng (Tâm) (3)'!AK$7,'18 KMP- Tháng'!$R$2:$AC$2,0))-3500</f>
        <v>82512.811292874307</v>
      </c>
      <c r="AL10" s="183">
        <f>INDEX('18 KMP- Tháng'!$R$6:$AC$24,MATCH('18 KMP- Tháng (Tâm) (3)'!$A10,'18 KMP- Tháng'!$A$6:$A$24,0),MATCH('18 KMP- Tháng (Tâm) (3)'!AL$7,'18 KMP- Tháng'!$R$2:$AC$2,0))</f>
        <v>63429.137098188141</v>
      </c>
      <c r="AM10" s="183">
        <f>INDEX('18 KMP- Tháng'!$R$6:$AC$24,MATCH('18 KMP- Tháng (Tâm) (3)'!$A10,'18 KMP- Tháng'!$A$6:$A$24,0),MATCH('18 KMP- Tháng (Tâm) (3)'!AM$7,'18 KMP- Tháng'!$R$2:$AC$2,0))</f>
        <v>34124.938092043485</v>
      </c>
      <c r="AN10" s="183">
        <f>INDEX('18 KMP- Tháng'!$R$6:$AC$24,MATCH('18 KMP- Tháng (Tâm) (3)'!$A10,'18 KMP- Tháng'!$A$6:$A$24,0),MATCH('18 KMP- Tháng (Tâm) (3)'!AN$7,'18 KMP- Tháng'!$R$2:$AC$2,0))</f>
        <v>39820.045517334758</v>
      </c>
      <c r="AO10" s="183">
        <f>INDEX('18 KMP- Tháng'!$R$6:$AC$24,MATCH('18 KMP- Tháng (Tâm) (3)'!$A10,'18 KMP- Tháng'!$A$6:$A$24,0),MATCH('18 KMP- Tháng (Tâm) (3)'!AO$7,'18 KMP- Tháng'!$R$2:$AC$2,0))</f>
        <v>53180.748441125281</v>
      </c>
      <c r="AP10" s="183">
        <f>INDEX('18 KMP- Tháng'!$R$6:$AC$24,MATCH('18 KMP- Tháng (Tâm) (3)'!$A10,'18 KMP- Tháng'!$A$6:$A$24,0),MATCH('18 KMP- Tháng (Tâm) (3)'!AP$7,'18 KMP- Tháng'!$R$2:$AC$2,0))</f>
        <v>80242.8457912585</v>
      </c>
      <c r="AQ10" s="183">
        <f>INDEX('18 KMP- Tháng'!$R$6:$AC$24,MATCH('18 KMP- Tháng (Tâm) (3)'!$A10,'18 KMP- Tháng'!$A$6:$A$24,0),MATCH('18 KMP- Tháng (Tâm) (3)'!AQ$7,'18 KMP- Tháng'!$R$2:$AC$2,0))</f>
        <v>87480.523861716094</v>
      </c>
      <c r="AR10" s="183">
        <f>INDEX('18 KMP- Tháng'!$R$6:$AC$24,MATCH('18 KMP- Tháng (Tâm) (3)'!$A10,'18 KMP- Tháng'!$A$6:$A$24,0),MATCH('18 KMP- Tháng (Tâm) (3)'!AR$7,'18 KMP- Tháng'!$R$2:$AC$2,0))</f>
        <v>60679.337507679702</v>
      </c>
      <c r="AS10" s="183">
        <f>AX10/(12-COUNTIF($AG$10:$AR$10,0))</f>
        <v>68255.654837381837</v>
      </c>
      <c r="AT10" s="183"/>
      <c r="AU10" s="183">
        <v>37778.443911619746</v>
      </c>
      <c r="AV10" s="183"/>
      <c r="AW10" s="183"/>
      <c r="AX10" s="183">
        <f>SUM(AG10:AR10)</f>
        <v>819067.8580485821</v>
      </c>
      <c r="AY10" s="184">
        <f>IFERROR(AR10/AQ10-1,"-")</f>
        <v>-0.30636746524748848</v>
      </c>
      <c r="AZ10" s="185">
        <f>AX10/$AX$29</f>
        <v>0.65481607324732594</v>
      </c>
      <c r="BA10" s="1024"/>
      <c r="BB10" s="988"/>
      <c r="BC10" s="988"/>
      <c r="BD10" s="988"/>
    </row>
    <row r="11" spans="1:57" s="186" customFormat="1" ht="97.5" customHeight="1" x14ac:dyDescent="0.35">
      <c r="A11" s="174">
        <v>4</v>
      </c>
      <c r="B11" s="187">
        <f>B10+1</f>
        <v>2</v>
      </c>
      <c r="C11" s="188" t="s">
        <v>96</v>
      </c>
      <c r="D11" s="188" t="s">
        <v>25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9">
        <f>INDEX('18 KMP- Tháng'!$R$6:$AC$24,MATCH('18 KMP- Tháng (Tâm) (3)'!$A11,'18 KMP- Tháng'!$A$6:$A$24,0),MATCH('18 KMP- Tháng (Tâm) (3)'!AG$7,'18 KMP- Tháng'!$R$2:$AC$2,0))</f>
        <v>5518.9031000000004</v>
      </c>
      <c r="AH11" s="189">
        <f>INDEX('18 KMP- Tháng'!$R$6:$AC$24,MATCH('18 KMP- Tháng (Tâm) (3)'!$A11,'18 KMP- Tháng'!$A$6:$A$24,0),MATCH('18 KMP- Tháng (Tâm) (3)'!AH$7,'18 KMP- Tháng'!$R$2:$AC$2,0))</f>
        <v>4150.3450000000003</v>
      </c>
      <c r="AI11" s="189">
        <f>INDEX('18 KMP- Tháng'!$R$6:$AC$24,MATCH('18 KMP- Tháng (Tâm) (3)'!$A11,'18 KMP- Tháng'!$A$6:$A$24,0),MATCH('18 KMP- Tháng (Tâm) (3)'!AI$7,'18 KMP- Tháng'!$R$2:$AC$2,0))</f>
        <v>5118.0938999999998</v>
      </c>
      <c r="AJ11" s="189">
        <f>INDEX('18 KMP- Tháng'!$R$6:$AC$24,MATCH('18 KMP- Tháng (Tâm) (3)'!$A11,'18 KMP- Tháng'!$A$6:$A$24,0),MATCH('18 KMP- Tháng (Tâm) (3)'!AJ$7,'18 KMP- Tháng'!$R$2:$AC$2,0))+380</f>
        <v>5923.6525650000003</v>
      </c>
      <c r="AK11" s="189">
        <f>INDEX('18 KMP- Tháng'!$R$6:$AC$24,MATCH('18 KMP- Tháng (Tâm) (3)'!$A11,'18 KMP- Tháng'!$A$6:$A$24,0),MATCH('18 KMP- Tháng (Tâm) (3)'!AK$7,'18 KMP- Tháng'!$R$2:$AC$2,0))-380</f>
        <v>5640.5653000000002</v>
      </c>
      <c r="AL11" s="189">
        <f>INDEX('18 KMP- Tháng'!$R$6:$AC$24,MATCH('18 KMP- Tháng (Tâm) (3)'!$A11,'18 KMP- Tháng'!$A$6:$A$24,0),MATCH('18 KMP- Tháng (Tâm) (3)'!AL$7,'18 KMP- Tháng'!$R$2:$AC$2,0))</f>
        <v>4842.9948999999997</v>
      </c>
      <c r="AM11" s="189">
        <f>INDEX('18 KMP- Tháng'!$R$6:$AC$24,MATCH('18 KMP- Tháng (Tâm) (3)'!$A11,'18 KMP- Tháng'!$A$6:$A$24,0),MATCH('18 KMP- Tháng (Tâm) (3)'!AM$7,'18 KMP- Tháng'!$R$2:$AC$2,0))</f>
        <v>3062.5014999999999</v>
      </c>
      <c r="AN11" s="189">
        <f>INDEX('18 KMP- Tháng'!$R$6:$AC$24,MATCH('18 KMP- Tháng (Tâm) (3)'!$A11,'18 KMP- Tháng'!$A$6:$A$24,0),MATCH('18 KMP- Tháng (Tâm) (3)'!AN$7,'18 KMP- Tháng'!$R$2:$AC$2,0))</f>
        <v>3545.0221999999999</v>
      </c>
      <c r="AO11" s="189">
        <f>INDEX('18 KMP- Tháng'!$R$6:$AC$24,MATCH('18 KMP- Tháng (Tâm) (3)'!$A11,'18 KMP- Tháng'!$A$6:$A$24,0),MATCH('18 KMP- Tháng (Tâm) (3)'!AO$7,'18 KMP- Tháng'!$R$2:$AC$2,0))</f>
        <v>4668.9910060000002</v>
      </c>
      <c r="AP11" s="189">
        <f>INDEX('18 KMP- Tháng'!$R$6:$AC$24,MATCH('18 KMP- Tháng (Tâm) (3)'!$A11,'18 KMP- Tháng'!$A$6:$A$24,0),MATCH('18 KMP- Tháng (Tâm) (3)'!AP$7,'18 KMP- Tháng'!$R$2:$AC$2,0))</f>
        <v>5571.9984999999997</v>
      </c>
      <c r="AQ11" s="189">
        <f>INDEX('18 KMP- Tháng'!$R$6:$AC$24,MATCH('18 KMP- Tháng (Tâm) (3)'!$A11,'18 KMP- Tháng'!$A$6:$A$24,0),MATCH('18 KMP- Tháng (Tâm) (3)'!AQ$7,'18 KMP- Tháng'!$R$2:$AC$2,0))</f>
        <v>6435.3993</v>
      </c>
      <c r="AR11" s="189">
        <f>INDEX('18 KMP- Tháng'!$R$6:$AC$24,MATCH('18 KMP- Tháng (Tâm) (3)'!$A11,'18 KMP- Tháng'!$A$6:$A$24,0),MATCH('18 KMP- Tháng (Tâm) (3)'!AR$7,'18 KMP- Tháng'!$R$2:$AC$2,0))</f>
        <v>4886.9172699999999</v>
      </c>
      <c r="AS11" s="183">
        <f>AX11/(12-COUNTIF($AG$10:$AR$10,0))</f>
        <v>4947.1153784166663</v>
      </c>
      <c r="AT11" s="337"/>
      <c r="AU11" s="189">
        <v>2867.0940820833334</v>
      </c>
      <c r="AV11" s="189"/>
      <c r="AW11" s="189"/>
      <c r="AX11" s="189">
        <f>SUM(AG11:AR11)</f>
        <v>59365.384540999992</v>
      </c>
      <c r="AY11" s="184">
        <f t="shared" ref="AY11:AY20" si="1">IFERROR(AR11/AQ11-1,"-")</f>
        <v>-0.24061941735301495</v>
      </c>
      <c r="AZ11" s="190">
        <f t="shared" ref="AZ11:AZ28" si="2">AX11/$AX$29</f>
        <v>4.7460546290475226E-2</v>
      </c>
      <c r="BA11" s="989"/>
      <c r="BB11" s="983"/>
      <c r="BC11" s="983"/>
      <c r="BD11" s="983"/>
    </row>
    <row r="12" spans="1:57" s="186" customFormat="1" x14ac:dyDescent="0.35">
      <c r="A12" s="174">
        <v>6</v>
      </c>
      <c r="B12" s="187">
        <f t="shared" ref="B12:B20" si="3">B11+1</f>
        <v>3</v>
      </c>
      <c r="C12" s="188" t="s">
        <v>96</v>
      </c>
      <c r="D12" s="188" t="s">
        <v>165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9">
        <f>INDEX('18 KMP- Tháng'!$R$6:$AC$24,MATCH('18 KMP- Tháng (Tâm) (3)'!$A12,'18 KMP- Tháng'!$A$6:$A$24,0),MATCH('18 KMP- Tháng (Tâm) (3)'!AG$7,'18 KMP- Tháng'!$R$2:$AC$2,0))</f>
        <v>526.29274399999997</v>
      </c>
      <c r="AH12" s="189">
        <f>INDEX('18 KMP- Tháng'!$R$6:$AC$24,MATCH('18 KMP- Tháng (Tâm) (3)'!$A12,'18 KMP- Tháng'!$A$6:$A$24,0),MATCH('18 KMP- Tháng (Tâm) (3)'!AH$7,'18 KMP- Tháng'!$R$2:$AC$2,0))</f>
        <v>369.82350000000002</v>
      </c>
      <c r="AI12" s="189">
        <f>INDEX('18 KMP- Tháng'!$R$6:$AC$24,MATCH('18 KMP- Tháng (Tâm) (3)'!$A12,'18 KMP- Tháng'!$A$6:$A$24,0),MATCH('18 KMP- Tháng (Tâm) (3)'!AI$7,'18 KMP- Tháng'!$R$2:$AC$2,0))</f>
        <v>588.72288000000003</v>
      </c>
      <c r="AJ12" s="189">
        <f>INDEX('18 KMP- Tháng'!$R$6:$AC$24,MATCH('18 KMP- Tháng (Tâm) (3)'!$A12,'18 KMP- Tháng'!$A$6:$A$24,0),MATCH('18 KMP- Tháng (Tâm) (3)'!AJ$7,'18 KMP- Tháng'!$R$2:$AC$2,0))</f>
        <v>1053.4593620000001</v>
      </c>
      <c r="AK12" s="189">
        <f>INDEX('18 KMP- Tháng'!$R$6:$AC$24,MATCH('18 KMP- Tháng (Tâm) (3)'!$A12,'18 KMP- Tháng'!$A$6:$A$24,0),MATCH('18 KMP- Tháng (Tâm) (3)'!AK$7,'18 KMP- Tháng'!$R$2:$AC$2,0))</f>
        <v>832.33068000000014</v>
      </c>
      <c r="AL12" s="189">
        <f>INDEX('18 KMP- Tháng'!$R$6:$AC$24,MATCH('18 KMP- Tháng (Tâm) (3)'!$A12,'18 KMP- Tháng'!$A$6:$A$24,0),MATCH('18 KMP- Tháng (Tâm) (3)'!AL$7,'18 KMP- Tháng'!$R$2:$AC$2,0))</f>
        <v>1456.5019600000001</v>
      </c>
      <c r="AM12" s="189">
        <f>INDEX('18 KMP- Tháng'!$R$6:$AC$24,MATCH('18 KMP- Tháng (Tâm) (3)'!$A12,'18 KMP- Tháng'!$A$6:$A$24,0),MATCH('18 KMP- Tháng (Tâm) (3)'!AM$7,'18 KMP- Tháng'!$R$2:$AC$2,0))</f>
        <v>799.54674</v>
      </c>
      <c r="AN12" s="189">
        <f>INDEX('18 KMP- Tháng'!$R$6:$AC$24,MATCH('18 KMP- Tháng (Tâm) (3)'!$A12,'18 KMP- Tháng'!$A$6:$A$24,0),MATCH('18 KMP- Tháng (Tâm) (3)'!AN$7,'18 KMP- Tháng'!$R$2:$AC$2,0))</f>
        <v>1860.7676060000001</v>
      </c>
      <c r="AO12" s="189">
        <f>INDEX('18 KMP- Tháng'!$R$6:$AC$24,MATCH('18 KMP- Tháng (Tâm) (3)'!$A12,'18 KMP- Tháng'!$A$6:$A$24,0),MATCH('18 KMP- Tháng (Tâm) (3)'!AO$7,'18 KMP- Tháng'!$R$2:$AC$2,0))</f>
        <v>1285.0191810000001</v>
      </c>
      <c r="AP12" s="189">
        <f>INDEX('18 KMP- Tháng'!$R$6:$AC$24,MATCH('18 KMP- Tháng (Tâm) (3)'!$A12,'18 KMP- Tháng'!$A$6:$A$24,0),MATCH('18 KMP- Tháng (Tâm) (3)'!AP$7,'18 KMP- Tháng'!$R$2:$AC$2,0))</f>
        <v>967.32580800000005</v>
      </c>
      <c r="AQ12" s="189">
        <f>INDEX('18 KMP- Tháng'!$R$6:$AC$24,MATCH('18 KMP- Tháng (Tâm) (3)'!$A12,'18 KMP- Tháng'!$A$6:$A$24,0),MATCH('18 KMP- Tháng (Tâm) (3)'!AQ$7,'18 KMP- Tháng'!$R$2:$AC$2,0))</f>
        <v>754.04340200000001</v>
      </c>
      <c r="AR12" s="189">
        <f>INDEX('18 KMP- Tháng'!$R$6:$AC$24,MATCH('18 KMP- Tháng (Tâm) (3)'!$A12,'18 KMP- Tháng'!$A$6:$A$24,0),MATCH('18 KMP- Tháng (Tâm) (3)'!AR$7,'18 KMP- Tháng'!$R$2:$AC$2,0))</f>
        <v>1681.9546049999999</v>
      </c>
      <c r="AS12" s="189">
        <f>AX12/(12-COUNTIF($AG$10:$AR$10,0))</f>
        <v>1014.6490389999999</v>
      </c>
      <c r="AT12" s="189"/>
      <c r="AU12" s="189">
        <v>1356.8409857500001</v>
      </c>
      <c r="AV12" s="189"/>
      <c r="AW12" s="189"/>
      <c r="AX12" s="189">
        <f t="shared" ref="AX12:AX20" si="4">SUM(AG12:AR12)</f>
        <v>12175.788467999999</v>
      </c>
      <c r="AY12" s="184">
        <f>IFERROR(AR12/AQ12-1,"-")</f>
        <v>1.230580627771344</v>
      </c>
      <c r="AZ12" s="190">
        <f t="shared" si="2"/>
        <v>9.7341165508571699E-3</v>
      </c>
      <c r="BA12" s="990"/>
      <c r="BB12" s="991"/>
      <c r="BC12" s="991"/>
      <c r="BD12" s="991"/>
      <c r="BE12" s="191"/>
    </row>
    <row r="13" spans="1:57" s="186" customFormat="1" ht="35.15" customHeight="1" x14ac:dyDescent="0.35">
      <c r="A13" s="174">
        <v>7</v>
      </c>
      <c r="B13" s="187">
        <f t="shared" si="3"/>
        <v>4</v>
      </c>
      <c r="C13" s="188" t="s">
        <v>96</v>
      </c>
      <c r="D13" s="188" t="s">
        <v>54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9">
        <f>INDEX('18 KMP- Tháng'!$R$6:$AC$24,MATCH('18 KMP- Tháng (Tâm) (3)'!$A13,'18 KMP- Tháng'!$A$6:$A$24,0),MATCH('18 KMP- Tháng (Tâm) (3)'!AG$7,'18 KMP- Tháng'!$R$2:$AC$2,0))</f>
        <v>1729.6174993199998</v>
      </c>
      <c r="AH13" s="189">
        <f>INDEX('18 KMP- Tháng'!$R$6:$AC$24,MATCH('18 KMP- Tháng (Tâm) (3)'!$A13,'18 KMP- Tháng'!$A$6:$A$24,0),MATCH('18 KMP- Tháng (Tâm) (3)'!AH$7,'18 KMP- Tháng'!$R$2:$AC$2,0))</f>
        <v>1517.450685</v>
      </c>
      <c r="AI13" s="189">
        <f>INDEX('18 KMP- Tháng'!$R$6:$AC$24,MATCH('18 KMP- Tháng (Tâm) (3)'!$A13,'18 KMP- Tháng'!$A$6:$A$24,0),MATCH('18 KMP- Tháng (Tâm) (3)'!AI$7,'18 KMP- Tháng'!$R$2:$AC$2,0))</f>
        <v>1767.7928019999999</v>
      </c>
      <c r="AJ13" s="189">
        <f>INDEX('18 KMP- Tháng'!$R$6:$AC$24,MATCH('18 KMP- Tháng (Tâm) (3)'!$A13,'18 KMP- Tháng'!$A$6:$A$24,0),MATCH('18 KMP- Tháng (Tâm) (3)'!AJ$7,'18 KMP- Tháng'!$R$2:$AC$2,0))</f>
        <v>1045.8530069999999</v>
      </c>
      <c r="AK13" s="189">
        <f>INDEX('18 KMP- Tháng'!$R$6:$AC$24,MATCH('18 KMP- Tháng (Tâm) (3)'!$A13,'18 KMP- Tháng'!$A$6:$A$24,0),MATCH('18 KMP- Tháng (Tâm) (3)'!AK$7,'18 KMP- Tháng'!$R$2:$AC$2,0))</f>
        <v>972.024225</v>
      </c>
      <c r="AL13" s="189">
        <f>INDEX('18 KMP- Tháng'!$R$6:$AC$24,MATCH('18 KMP- Tháng (Tâm) (3)'!$A13,'18 KMP- Tháng'!$A$6:$A$24,0),MATCH('18 KMP- Tháng (Tâm) (3)'!AL$7,'18 KMP- Tháng'!$R$2:$AC$2,0))</f>
        <v>591.19552299999998</v>
      </c>
      <c r="AM13" s="192">
        <f>INDEX('18 KMP- Tháng'!$R$6:$AC$24,MATCH('18 KMP- Tháng (Tâm) (3)'!$A13,'18 KMP- Tháng'!$A$6:$A$24,0),MATCH('18 KMP- Tháng (Tâm) (3)'!AM$7,'18 KMP- Tháng'!$R$2:$AC$2,0))</f>
        <v>1077.291879250055</v>
      </c>
      <c r="AN13" s="189">
        <f>INDEX('18 KMP- Tháng'!$R$6:$AC$24,MATCH('18 KMP- Tháng (Tâm) (3)'!$A13,'18 KMP- Tháng'!$A$6:$A$24,0),MATCH('18 KMP- Tháng (Tâm) (3)'!AN$7,'18 KMP- Tháng'!$R$2:$AC$2,0))</f>
        <v>549.30051674994502</v>
      </c>
      <c r="AO13" s="189">
        <f>INDEX('18 KMP- Tháng'!$R$6:$AC$24,MATCH('18 KMP- Tháng (Tâm) (3)'!$A13,'18 KMP- Tháng'!$A$6:$A$24,0),MATCH('18 KMP- Tháng (Tâm) (3)'!AO$7,'18 KMP- Tháng'!$R$2:$AC$2,0))</f>
        <v>1071.8952039999999</v>
      </c>
      <c r="AP13" s="189">
        <f>INDEX('18 KMP- Tháng'!$R$6:$AC$24,MATCH('18 KMP- Tháng (Tâm) (3)'!$A13,'18 KMP- Tháng'!$A$6:$A$24,0),MATCH('18 KMP- Tháng (Tâm) (3)'!AP$7,'18 KMP- Tháng'!$R$2:$AC$2,0))</f>
        <v>1893.504713</v>
      </c>
      <c r="AQ13" s="189">
        <f>INDEX('18 KMP- Tháng'!$R$6:$AC$24,MATCH('18 KMP- Tháng (Tâm) (3)'!$A13,'18 KMP- Tháng'!$A$6:$A$24,0),MATCH('18 KMP- Tháng (Tâm) (3)'!AQ$7,'18 KMP- Tháng'!$R$2:$AC$2,0))</f>
        <v>1720.675248</v>
      </c>
      <c r="AR13" s="189">
        <f>INDEX('18 KMP- Tháng'!$R$6:$AC$24,MATCH('18 KMP- Tháng (Tâm) (3)'!$A13,'18 KMP- Tháng'!$A$6:$A$24,0),MATCH('18 KMP- Tháng (Tâm) (3)'!AR$7,'18 KMP- Tháng'!$R$2:$AC$2,0))</f>
        <v>321.65228200000001</v>
      </c>
      <c r="AS13" s="189">
        <f t="shared" ref="AS13:AS20" si="5">AX13/(12-COUNTIF($AG$10:$AR$10,0))</f>
        <v>1188.1877986933332</v>
      </c>
      <c r="AT13" s="189"/>
      <c r="AU13" s="189">
        <v>966.81180257646599</v>
      </c>
      <c r="AV13" s="189"/>
      <c r="AW13" s="189"/>
      <c r="AX13" s="189">
        <f t="shared" si="4"/>
        <v>14258.253584319998</v>
      </c>
      <c r="AY13" s="184">
        <f t="shared" si="1"/>
        <v>-0.8130662468854204</v>
      </c>
      <c r="AZ13" s="190">
        <f t="shared" si="2"/>
        <v>1.1398974494852226E-2</v>
      </c>
      <c r="BA13" s="983"/>
      <c r="BB13" s="983"/>
      <c r="BC13" s="983"/>
      <c r="BD13" s="983"/>
    </row>
    <row r="14" spans="1:57" s="186" customFormat="1" ht="16.399999999999999" customHeight="1" x14ac:dyDescent="0.35">
      <c r="A14" s="174">
        <v>8</v>
      </c>
      <c r="B14" s="187">
        <f t="shared" si="3"/>
        <v>5</v>
      </c>
      <c r="C14" s="188" t="s">
        <v>96</v>
      </c>
      <c r="D14" s="188" t="s">
        <v>49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9">
        <f>INDEX('18 KMP- Tháng'!$R$6:$AC$24,MATCH('18 KMP- Tháng (Tâm) (3)'!$A14,'18 KMP- Tháng'!$A$6:$A$24,0),MATCH('18 KMP- Tháng (Tâm) (3)'!AG$7,'18 KMP- Tháng'!$R$2:$AC$2,0))</f>
        <v>1049.5836839999999</v>
      </c>
      <c r="AH14" s="189">
        <f>INDEX('18 KMP- Tháng'!$R$6:$AC$24,MATCH('18 KMP- Tháng (Tâm) (3)'!$A14,'18 KMP- Tháng'!$A$6:$A$24,0),MATCH('18 KMP- Tháng (Tâm) (3)'!AH$7,'18 KMP- Tháng'!$R$2:$AC$2,0))</f>
        <v>509.616218</v>
      </c>
      <c r="AI14" s="189">
        <f>INDEX('18 KMP- Tháng'!$R$6:$AC$24,MATCH('18 KMP- Tháng (Tâm) (3)'!$A14,'18 KMP- Tháng'!$A$6:$A$24,0),MATCH('18 KMP- Tháng (Tâm) (3)'!AI$7,'18 KMP- Tháng'!$R$2:$AC$2,0))</f>
        <v>853.83649100000014</v>
      </c>
      <c r="AJ14" s="189">
        <f>INDEX('18 KMP- Tháng'!$R$6:$AC$24,MATCH('18 KMP- Tháng (Tâm) (3)'!$A14,'18 KMP- Tháng'!$A$6:$A$24,0),MATCH('18 KMP- Tháng (Tâm) (3)'!AJ$7,'18 KMP- Tháng'!$R$2:$AC$2,0))</f>
        <v>1335.8144870000001</v>
      </c>
      <c r="AK14" s="189">
        <f>INDEX('18 KMP- Tháng'!$R$6:$AC$24,MATCH('18 KMP- Tháng (Tâm) (3)'!$A14,'18 KMP- Tháng'!$A$6:$A$24,0),MATCH('18 KMP- Tháng (Tâm) (3)'!AK$7,'18 KMP- Tháng'!$R$2:$AC$2,0))</f>
        <v>966.32636600000001</v>
      </c>
      <c r="AL14" s="189">
        <f>INDEX('18 KMP- Tháng'!$R$6:$AC$24,MATCH('18 KMP- Tháng (Tâm) (3)'!$A14,'18 KMP- Tháng'!$A$6:$A$24,0),MATCH('18 KMP- Tháng (Tâm) (3)'!AL$7,'18 KMP- Tháng'!$R$2:$AC$2,0))</f>
        <v>912.85520700000006</v>
      </c>
      <c r="AM14" s="189">
        <f>INDEX('18 KMP- Tháng'!$R$6:$AC$24,MATCH('18 KMP- Tháng (Tâm) (3)'!$A14,'18 KMP- Tháng'!$A$6:$A$24,0),MATCH('18 KMP- Tháng (Tâm) (3)'!AM$7,'18 KMP- Tháng'!$R$2:$AC$2,0))</f>
        <v>520.75816499999996</v>
      </c>
      <c r="AN14" s="189">
        <f>INDEX('18 KMP- Tháng'!$R$6:$AC$24,MATCH('18 KMP- Tháng (Tâm) (3)'!$A14,'18 KMP- Tháng'!$A$6:$A$24,0),MATCH('18 KMP- Tháng (Tâm) (3)'!AN$7,'18 KMP- Tháng'!$R$2:$AC$2,0))</f>
        <v>564.89229</v>
      </c>
      <c r="AO14" s="189">
        <f>INDEX('18 KMP- Tháng'!$R$6:$AC$24,MATCH('18 KMP- Tháng (Tâm) (3)'!$A14,'18 KMP- Tháng'!$A$6:$A$24,0),MATCH('18 KMP- Tháng (Tâm) (3)'!AO$7,'18 KMP- Tháng'!$R$2:$AC$2,0))</f>
        <v>595.12693999999999</v>
      </c>
      <c r="AP14" s="189">
        <f>INDEX('18 KMP- Tháng'!$R$6:$AC$24,MATCH('18 KMP- Tháng (Tâm) (3)'!$A14,'18 KMP- Tháng'!$A$6:$A$24,0),MATCH('18 KMP- Tháng (Tâm) (3)'!AP$7,'18 KMP- Tháng'!$R$2:$AC$2,0))</f>
        <v>617.46688100000006</v>
      </c>
      <c r="AQ14" s="189">
        <f>INDEX('18 KMP- Tháng'!$R$6:$AC$24,MATCH('18 KMP- Tháng (Tâm) (3)'!$A14,'18 KMP- Tháng'!$A$6:$A$24,0),MATCH('18 KMP- Tháng (Tâm) (3)'!AQ$7,'18 KMP- Tháng'!$R$2:$AC$2,0))</f>
        <v>391.55066700000009</v>
      </c>
      <c r="AR14" s="189">
        <f>INDEX('18 KMP- Tháng'!$R$6:$AC$24,MATCH('18 KMP- Tháng (Tâm) (3)'!$A14,'18 KMP- Tháng'!$A$6:$A$24,0),MATCH('18 KMP- Tháng (Tâm) (3)'!AR$7,'18 KMP- Tháng'!$R$2:$AC$2,0))</f>
        <v>712.96486799999991</v>
      </c>
      <c r="AS14" s="189">
        <f t="shared" si="5"/>
        <v>752.56602199999998</v>
      </c>
      <c r="AT14" s="189"/>
      <c r="AU14" s="189">
        <v>613.60755875000007</v>
      </c>
      <c r="AV14" s="189"/>
      <c r="AW14" s="189"/>
      <c r="AX14" s="189">
        <f t="shared" si="4"/>
        <v>9030.7922639999997</v>
      </c>
      <c r="AY14" s="184">
        <f>IFERROR(AR14/AQ14-1,"-")</f>
        <v>0.82087512061370016</v>
      </c>
      <c r="AZ14" s="190">
        <f t="shared" si="2"/>
        <v>7.2198022062709907E-3</v>
      </c>
      <c r="BA14" s="983"/>
      <c r="BB14" s="983"/>
      <c r="BC14" s="983"/>
      <c r="BD14" s="983"/>
    </row>
    <row r="15" spans="1:57" s="186" customFormat="1" ht="50.15" customHeight="1" x14ac:dyDescent="0.35">
      <c r="A15" s="174">
        <v>9</v>
      </c>
      <c r="B15" s="187">
        <f t="shared" si="3"/>
        <v>6</v>
      </c>
      <c r="C15" s="188" t="s">
        <v>96</v>
      </c>
      <c r="D15" s="188" t="s">
        <v>56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9">
        <f>INDEX('18 KMP- Tháng'!$R$6:$AC$24,MATCH('18 KMP- Tháng (Tâm) (3)'!$A15,'18 KMP- Tháng'!$A$6:$A$24,0),MATCH('18 KMP- Tháng (Tâm) (3)'!AG$7,'18 KMP- Tháng'!$R$2:$AC$2,0))</f>
        <v>914.03018499999996</v>
      </c>
      <c r="AH15" s="189">
        <f>INDEX('18 KMP- Tháng'!$R$6:$AC$24,MATCH('18 KMP- Tháng (Tâm) (3)'!$A15,'18 KMP- Tháng'!$A$6:$A$24,0),MATCH('18 KMP- Tháng (Tâm) (3)'!AH$7,'18 KMP- Tháng'!$R$2:$AC$2,0))</f>
        <v>427.32569400000011</v>
      </c>
      <c r="AI15" s="189">
        <f>INDEX('18 KMP- Tháng'!$R$6:$AC$24,MATCH('18 KMP- Tháng (Tâm) (3)'!$A15,'18 KMP- Tháng'!$A$6:$A$24,0),MATCH('18 KMP- Tháng (Tâm) (3)'!AI$7,'18 KMP- Tháng'!$R$2:$AC$2,0))</f>
        <v>761.12916300000006</v>
      </c>
      <c r="AJ15" s="189">
        <f>INDEX('18 KMP- Tháng'!$R$6:$AC$24,MATCH('18 KMP- Tháng (Tâm) (3)'!$A15,'18 KMP- Tháng'!$A$6:$A$24,0),MATCH('18 KMP- Tháng (Tâm) (3)'!AJ$7,'18 KMP- Tháng'!$R$2:$AC$2,0))</f>
        <v>676.13008899999988</v>
      </c>
      <c r="AK15" s="189">
        <f>INDEX('18 KMP- Tháng'!$R$6:$AC$24,MATCH('18 KMP- Tháng (Tâm) (3)'!$A15,'18 KMP- Tháng'!$A$6:$A$24,0),MATCH('18 KMP- Tháng (Tâm) (3)'!AK$7,'18 KMP- Tháng'!$R$2:$AC$2,0))</f>
        <v>693.03544600000009</v>
      </c>
      <c r="AL15" s="189">
        <f>INDEX('18 KMP- Tháng'!$R$6:$AC$24,MATCH('18 KMP- Tháng (Tâm) (3)'!$A15,'18 KMP- Tháng'!$A$6:$A$24,0),MATCH('18 KMP- Tháng (Tâm) (3)'!AL$7,'18 KMP- Tháng'!$R$2:$AC$2,0))</f>
        <v>782.97129899999982</v>
      </c>
      <c r="AM15" s="189">
        <f>INDEX('18 KMP- Tháng'!$R$6:$AC$24,MATCH('18 KMP- Tháng (Tâm) (3)'!$A15,'18 KMP- Tháng'!$A$6:$A$24,0),MATCH('18 KMP- Tháng (Tâm) (3)'!AM$7,'18 KMP- Tháng'!$R$2:$AC$2,0))</f>
        <v>321.45073600000001</v>
      </c>
      <c r="AN15" s="189">
        <f>INDEX('18 KMP- Tháng'!$R$6:$AC$24,MATCH('18 KMP- Tháng (Tâm) (3)'!$A15,'18 KMP- Tháng'!$A$6:$A$24,0),MATCH('18 KMP- Tháng (Tâm) (3)'!AN$7,'18 KMP- Tháng'!$R$2:$AC$2,0))</f>
        <v>361.48229300000003</v>
      </c>
      <c r="AO15" s="189">
        <f>INDEX('18 KMP- Tháng'!$R$6:$AC$24,MATCH('18 KMP- Tháng (Tâm) (3)'!$A15,'18 KMP- Tháng'!$A$6:$A$24,0),MATCH('18 KMP- Tháng (Tâm) (3)'!AO$7,'18 KMP- Tháng'!$R$2:$AC$2,0))</f>
        <v>516.38720899999998</v>
      </c>
      <c r="AP15" s="189">
        <f>INDEX('18 KMP- Tháng'!$R$6:$AC$24,MATCH('18 KMP- Tháng (Tâm) (3)'!$A15,'18 KMP- Tháng'!$A$6:$A$24,0),MATCH('18 KMP- Tháng (Tâm) (3)'!AP$7,'18 KMP- Tháng'!$R$2:$AC$2,0))</f>
        <v>707.21815000000004</v>
      </c>
      <c r="AQ15" s="189">
        <f>INDEX('18 KMP- Tháng'!$R$6:$AC$24,MATCH('18 KMP- Tháng (Tâm) (3)'!$A15,'18 KMP- Tháng'!$A$6:$A$24,0),MATCH('18 KMP- Tháng (Tâm) (3)'!AQ$7,'18 KMP- Tháng'!$R$2:$AC$2,0))</f>
        <v>824.52075600000001</v>
      </c>
      <c r="AR15" s="189">
        <f>INDEX('18 KMP- Tháng'!$R$6:$AC$24,MATCH('18 KMP- Tháng (Tâm) (3)'!$A15,'18 KMP- Tháng'!$A$6:$A$24,0),MATCH('18 KMP- Tháng (Tâm) (3)'!AR$7,'18 KMP- Tháng'!$R$2:$AC$2,0))</f>
        <v>612.23483699999997</v>
      </c>
      <c r="AS15" s="189">
        <f t="shared" si="5"/>
        <v>633.15965474999996</v>
      </c>
      <c r="AT15" s="189"/>
      <c r="AU15" s="189">
        <v>363.45366024999998</v>
      </c>
      <c r="AV15" s="189"/>
      <c r="AW15" s="189"/>
      <c r="AX15" s="189">
        <f t="shared" si="4"/>
        <v>7597.9158569999991</v>
      </c>
      <c r="AY15" s="184">
        <f t="shared" si="1"/>
        <v>-0.25746582782204697</v>
      </c>
      <c r="AZ15" s="190">
        <f t="shared" si="2"/>
        <v>6.0742676903446863E-3</v>
      </c>
      <c r="BA15" s="989"/>
      <c r="BB15" s="983"/>
      <c r="BC15" s="983"/>
      <c r="BD15" s="983"/>
    </row>
    <row r="16" spans="1:57" s="186" customFormat="1" x14ac:dyDescent="0.35">
      <c r="A16" s="174">
        <v>10</v>
      </c>
      <c r="B16" s="187">
        <f t="shared" si="3"/>
        <v>7</v>
      </c>
      <c r="C16" s="188" t="s">
        <v>96</v>
      </c>
      <c r="D16" s="188" t="s">
        <v>28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9">
        <f>INDEX('18 KMP- Tháng'!$R$6:$AC$24,MATCH('18 KMP- Tháng (Tâm) (3)'!$A16,'18 KMP- Tháng'!$A$6:$A$24,0),MATCH('18 KMP- Tháng (Tâm) (3)'!AG$7,'18 KMP- Tháng'!$R$2:$AC$2,0))</f>
        <v>384.35845499999999</v>
      </c>
      <c r="AH16" s="189">
        <f>INDEX('18 KMP- Tháng'!$R$6:$AC$24,MATCH('18 KMP- Tháng (Tâm) (3)'!$A16,'18 KMP- Tháng'!$A$6:$A$24,0),MATCH('18 KMP- Tháng (Tâm) (3)'!AH$7,'18 KMP- Tháng'!$R$2:$AC$2,0))</f>
        <v>269.68292200000002</v>
      </c>
      <c r="AI16" s="189">
        <f>INDEX('18 KMP- Tháng'!$R$6:$AC$24,MATCH('18 KMP- Tháng (Tâm) (3)'!$A16,'18 KMP- Tháng'!$A$6:$A$24,0),MATCH('18 KMP- Tháng (Tâm) (3)'!AI$7,'18 KMP- Tháng'!$R$2:$AC$2,0))</f>
        <v>412.65767</v>
      </c>
      <c r="AJ16" s="189">
        <f>INDEX('18 KMP- Tháng'!$R$6:$AC$24,MATCH('18 KMP- Tháng (Tâm) (3)'!$A16,'18 KMP- Tháng'!$A$6:$A$24,0),MATCH('18 KMP- Tháng (Tâm) (3)'!AJ$7,'18 KMP- Tháng'!$R$2:$AC$2,0))</f>
        <v>390.64389699999998</v>
      </c>
      <c r="AK16" s="189">
        <f>INDEX('18 KMP- Tháng'!$R$6:$AC$24,MATCH('18 KMP- Tháng (Tâm) (3)'!$A16,'18 KMP- Tháng'!$A$6:$A$24,0),MATCH('18 KMP- Tháng (Tâm) (3)'!AK$7,'18 KMP- Tháng'!$R$2:$AC$2,0))</f>
        <v>392.92402099999998</v>
      </c>
      <c r="AL16" s="189">
        <f>INDEX('18 KMP- Tháng'!$R$6:$AC$24,MATCH('18 KMP- Tháng (Tâm) (3)'!$A16,'18 KMP- Tháng'!$A$6:$A$24,0),MATCH('18 KMP- Tháng (Tâm) (3)'!AL$7,'18 KMP- Tháng'!$R$2:$AC$2,0))</f>
        <v>355.37142</v>
      </c>
      <c r="AM16" s="189">
        <f>INDEX('18 KMP- Tháng'!$R$6:$AC$24,MATCH('18 KMP- Tháng (Tâm) (3)'!$A16,'18 KMP- Tháng'!$A$6:$A$24,0),MATCH('18 KMP- Tháng (Tâm) (3)'!AM$7,'18 KMP- Tháng'!$R$2:$AC$2,0))</f>
        <v>315.85756800000001</v>
      </c>
      <c r="AN16" s="189">
        <f>INDEX('18 KMP- Tháng'!$R$6:$AC$24,MATCH('18 KMP- Tháng (Tâm) (3)'!$A16,'18 KMP- Tháng'!$A$6:$A$24,0),MATCH('18 KMP- Tháng (Tâm) (3)'!AN$7,'18 KMP- Tháng'!$R$2:$AC$2,0))</f>
        <v>267.82147500000002</v>
      </c>
      <c r="AO16" s="189">
        <f>INDEX('18 KMP- Tháng'!$R$6:$AC$24,MATCH('18 KMP- Tháng (Tâm) (3)'!$A16,'18 KMP- Tháng'!$A$6:$A$24,0),MATCH('18 KMP- Tháng (Tâm) (3)'!AO$7,'18 KMP- Tháng'!$R$2:$AC$2,0))</f>
        <v>264.09719999999999</v>
      </c>
      <c r="AP16" s="189">
        <f>INDEX('18 KMP- Tháng'!$R$6:$AC$24,MATCH('18 KMP- Tháng (Tâm) (3)'!$A16,'18 KMP- Tháng'!$A$6:$A$24,0),MATCH('18 KMP- Tháng (Tâm) (3)'!AP$7,'18 KMP- Tháng'!$R$2:$AC$2,0))</f>
        <v>311.196507</v>
      </c>
      <c r="AQ16" s="189">
        <f>INDEX('18 KMP- Tháng'!$R$6:$AC$24,MATCH('18 KMP- Tháng (Tâm) (3)'!$A16,'18 KMP- Tháng'!$A$6:$A$24,0),MATCH('18 KMP- Tháng (Tâm) (3)'!AQ$7,'18 KMP- Tháng'!$R$2:$AC$2,0))</f>
        <v>316.83887600000003</v>
      </c>
      <c r="AR16" s="189">
        <f>INDEX('18 KMP- Tháng'!$R$6:$AC$24,MATCH('18 KMP- Tháng (Tâm) (3)'!$A16,'18 KMP- Tháng'!$A$6:$A$24,0),MATCH('18 KMP- Tháng (Tâm) (3)'!AR$7,'18 KMP- Tháng'!$R$2:$AC$2,0))</f>
        <v>291.09129999999999</v>
      </c>
      <c r="AS16" s="189">
        <f t="shared" si="5"/>
        <v>331.04510925000005</v>
      </c>
      <c r="AT16" s="189"/>
      <c r="AU16" s="189">
        <v>322.9764596666667</v>
      </c>
      <c r="AV16" s="189"/>
      <c r="AW16" s="189"/>
      <c r="AX16" s="189">
        <f t="shared" si="4"/>
        <v>3972.5413110000009</v>
      </c>
      <c r="AY16" s="184">
        <f t="shared" si="1"/>
        <v>-8.1263941865517886E-2</v>
      </c>
      <c r="AZ16" s="190">
        <f t="shared" si="2"/>
        <v>3.1759076815434167E-3</v>
      </c>
      <c r="BA16" s="983"/>
      <c r="BB16" s="983"/>
      <c r="BC16" s="983"/>
      <c r="BD16" s="983"/>
    </row>
    <row r="17" spans="1:67" s="186" customFormat="1" ht="45" customHeight="1" x14ac:dyDescent="0.35">
      <c r="A17" s="174">
        <v>11</v>
      </c>
      <c r="B17" s="187">
        <f t="shared" si="3"/>
        <v>8</v>
      </c>
      <c r="C17" s="188" t="s">
        <v>96</v>
      </c>
      <c r="D17" s="188" t="s">
        <v>53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9">
        <f>INDEX('18 KMP- Tháng'!$R$6:$AC$24,MATCH('18 KMP- Tháng (Tâm) (3)'!$A17,'18 KMP- Tháng'!$A$6:$A$24,0),MATCH('18 KMP- Tháng (Tâm) (3)'!AG$7,'18 KMP- Tháng'!$R$2:$AC$2,0))</f>
        <v>168.93012999999999</v>
      </c>
      <c r="AH17" s="189">
        <f>INDEX('18 KMP- Tháng'!$R$6:$AC$24,MATCH('18 KMP- Tháng (Tâm) (3)'!$A17,'18 KMP- Tháng'!$A$6:$A$24,0),MATCH('18 KMP- Tháng (Tâm) (3)'!AH$7,'18 KMP- Tháng'!$R$2:$AC$2,0))</f>
        <v>139.05925400000001</v>
      </c>
      <c r="AI17" s="189">
        <f>INDEX('18 KMP- Tháng'!$R$6:$AC$24,MATCH('18 KMP- Tháng (Tâm) (3)'!$A17,'18 KMP- Tháng'!$A$6:$A$24,0),MATCH('18 KMP- Tháng (Tâm) (3)'!AI$7,'18 KMP- Tháng'!$R$2:$AC$2,0))</f>
        <v>130.98270099999999</v>
      </c>
      <c r="AJ17" s="189">
        <f>INDEX('18 KMP- Tháng'!$R$6:$AC$24,MATCH('18 KMP- Tháng (Tâm) (3)'!$A17,'18 KMP- Tháng'!$A$6:$A$24,0),MATCH('18 KMP- Tháng (Tâm) (3)'!AJ$7,'18 KMP- Tháng'!$R$2:$AC$2,0))</f>
        <v>216.14341000000002</v>
      </c>
      <c r="AK17" s="189">
        <f>INDEX('18 KMP- Tháng'!$R$6:$AC$24,MATCH('18 KMP- Tháng (Tâm) (3)'!$A17,'18 KMP- Tháng'!$A$6:$A$24,0),MATCH('18 KMP- Tháng (Tâm) (3)'!AK$7,'18 KMP- Tháng'!$R$2:$AC$2,0))</f>
        <v>304.87664899999999</v>
      </c>
      <c r="AL17" s="189">
        <f>INDEX('18 KMP- Tháng'!$R$6:$AC$24,MATCH('18 KMP- Tháng (Tâm) (3)'!$A17,'18 KMP- Tháng'!$A$6:$A$24,0),MATCH('18 KMP- Tháng (Tâm) (3)'!AL$7,'18 KMP- Tháng'!$R$2:$AC$2,0))</f>
        <v>295.18419499999999</v>
      </c>
      <c r="AM17" s="189">
        <f>INDEX('18 KMP- Tháng'!$R$6:$AC$24,MATCH('18 KMP- Tháng (Tâm) (3)'!$A17,'18 KMP- Tháng'!$A$6:$A$24,0),MATCH('18 KMP- Tháng (Tâm) (3)'!AM$7,'18 KMP- Tháng'!$R$2:$AC$2,0))</f>
        <v>186.81335799999999</v>
      </c>
      <c r="AN17" s="189">
        <f>INDEX('18 KMP- Tháng'!$R$6:$AC$24,MATCH('18 KMP- Tháng (Tâm) (3)'!$A17,'18 KMP- Tháng'!$A$6:$A$24,0),MATCH('18 KMP- Tháng (Tâm) (3)'!AN$7,'18 KMP- Tháng'!$R$2:$AC$2,0))</f>
        <v>232.26438400000001</v>
      </c>
      <c r="AO17" s="189">
        <f>INDEX('18 KMP- Tháng'!$R$6:$AC$24,MATCH('18 KMP- Tháng (Tâm) (3)'!$A17,'18 KMP- Tháng'!$A$6:$A$24,0),MATCH('18 KMP- Tháng (Tâm) (3)'!AO$7,'18 KMP- Tháng'!$R$2:$AC$2,0))</f>
        <v>145.066621</v>
      </c>
      <c r="AP17" s="189">
        <f>INDEX('18 KMP- Tháng'!$R$6:$AC$24,MATCH('18 KMP- Tháng (Tâm) (3)'!$A17,'18 KMP- Tháng'!$A$6:$A$24,0),MATCH('18 KMP- Tháng (Tâm) (3)'!AP$7,'18 KMP- Tháng'!$R$2:$AC$2,0))</f>
        <v>272.26879300000002</v>
      </c>
      <c r="AQ17" s="189">
        <f>INDEX('18 KMP- Tháng'!$R$6:$AC$24,MATCH('18 KMP- Tháng (Tâm) (3)'!$A17,'18 KMP- Tháng'!$A$6:$A$24,0),MATCH('18 KMP- Tháng (Tâm) (3)'!AQ$7,'18 KMP- Tháng'!$R$2:$AC$2,0))</f>
        <v>272.19795499999998</v>
      </c>
      <c r="AR17" s="189">
        <f>INDEX('18 KMP- Tháng'!$R$6:$AC$24,MATCH('18 KMP- Tháng (Tâm) (3)'!$A17,'18 KMP- Tháng'!$A$6:$A$24,0),MATCH('18 KMP- Tháng (Tâm) (3)'!AR$7,'18 KMP- Tháng'!$R$2:$AC$2,0))</f>
        <v>306.84791300000001</v>
      </c>
      <c r="AS17" s="189">
        <f t="shared" si="5"/>
        <v>222.55294691666668</v>
      </c>
      <c r="AT17" s="189"/>
      <c r="AU17" s="189">
        <v>240.68175233333332</v>
      </c>
      <c r="AV17" s="189"/>
      <c r="AW17" s="189"/>
      <c r="AX17" s="189">
        <f t="shared" si="4"/>
        <v>2670.6353630000003</v>
      </c>
      <c r="AY17" s="184">
        <f t="shared" si="1"/>
        <v>0.1272969078698627</v>
      </c>
      <c r="AZ17" s="190">
        <f t="shared" si="2"/>
        <v>2.1350794617207166E-3</v>
      </c>
      <c r="BA17" s="983"/>
      <c r="BB17" s="983"/>
      <c r="BC17" s="983"/>
      <c r="BD17" s="983"/>
    </row>
    <row r="18" spans="1:67" s="186" customFormat="1" ht="52.4" customHeight="1" x14ac:dyDescent="0.35">
      <c r="A18" s="174">
        <v>12</v>
      </c>
      <c r="B18" s="187">
        <f t="shared" si="3"/>
        <v>9</v>
      </c>
      <c r="C18" s="188" t="s">
        <v>96</v>
      </c>
      <c r="D18" s="188" t="s">
        <v>42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9">
        <f>INDEX('18 KMP- Tháng'!$R$6:$AC$24,MATCH('18 KMP- Tháng (Tâm) (3)'!$A18,'18 KMP- Tháng'!$A$6:$A$24,0),MATCH('18 KMP- Tháng (Tâm) (3)'!AG$7,'18 KMP- Tháng'!$R$2:$AC$2,0))</f>
        <v>69.344239000000002</v>
      </c>
      <c r="AH18" s="189">
        <f>INDEX('18 KMP- Tháng'!$R$6:$AC$24,MATCH('18 KMP- Tháng (Tâm) (3)'!$A18,'18 KMP- Tháng'!$A$6:$A$24,0),MATCH('18 KMP- Tháng (Tâm) (3)'!AH$7,'18 KMP- Tháng'!$R$2:$AC$2,0))</f>
        <v>65.696956</v>
      </c>
      <c r="AI18" s="189">
        <f>INDEX('18 KMP- Tháng'!$R$6:$AC$24,MATCH('18 KMP- Tháng (Tâm) (3)'!$A18,'18 KMP- Tháng'!$A$6:$A$24,0),MATCH('18 KMP- Tháng (Tâm) (3)'!AI$7,'18 KMP- Tháng'!$R$2:$AC$2,0))</f>
        <v>71.977480999999997</v>
      </c>
      <c r="AJ18" s="189">
        <f>INDEX('18 KMP- Tháng'!$R$6:$AC$24,MATCH('18 KMP- Tháng (Tâm) (3)'!$A18,'18 KMP- Tháng'!$A$6:$A$24,0),MATCH('18 KMP- Tháng (Tâm) (3)'!AJ$7,'18 KMP- Tháng'!$R$2:$AC$2,0))+67</f>
        <v>154.504536</v>
      </c>
      <c r="AK18" s="189">
        <f>INDEX('18 KMP- Tháng'!$R$6:$AC$24,MATCH('18 KMP- Tháng (Tâm) (3)'!$A18,'18 KMP- Tháng'!$A$6:$A$24,0),MATCH('18 KMP- Tháng (Tâm) (3)'!AK$7,'18 KMP- Tháng'!$R$2:$AC$2,0))-67</f>
        <v>114.65412699999999</v>
      </c>
      <c r="AL18" s="189">
        <f>INDEX('18 KMP- Tháng'!$R$6:$AC$24,MATCH('18 KMP- Tháng (Tâm) (3)'!$A18,'18 KMP- Tháng'!$A$6:$A$24,0),MATCH('18 KMP- Tháng (Tâm) (3)'!AL$7,'18 KMP- Tháng'!$R$2:$AC$2,0))</f>
        <v>81.847181000000006</v>
      </c>
      <c r="AM18" s="189">
        <f>INDEX('18 KMP- Tháng'!$R$6:$AC$24,MATCH('18 KMP- Tháng (Tâm) (3)'!$A18,'18 KMP- Tháng'!$A$6:$A$24,0),MATCH('18 KMP- Tháng (Tâm) (3)'!AM$7,'18 KMP- Tháng'!$R$2:$AC$2,0))</f>
        <v>73.038004000000001</v>
      </c>
      <c r="AN18" s="189">
        <f>INDEX('18 KMP- Tháng'!$R$6:$AC$24,MATCH('18 KMP- Tháng (Tâm) (3)'!$A18,'18 KMP- Tháng'!$A$6:$A$24,0),MATCH('18 KMP- Tháng (Tâm) (3)'!AN$7,'18 KMP- Tháng'!$R$2:$AC$2,0))</f>
        <v>79.525662999999994</v>
      </c>
      <c r="AO18" s="189">
        <f>INDEX('18 KMP- Tháng'!$R$6:$AC$24,MATCH('18 KMP- Tháng (Tâm) (3)'!$A18,'18 KMP- Tháng'!$A$6:$A$24,0),MATCH('18 KMP- Tháng (Tâm) (3)'!AO$7,'18 KMP- Tháng'!$R$2:$AC$2,0))</f>
        <v>60.357999999999997</v>
      </c>
      <c r="AP18" s="189">
        <f>INDEX('18 KMP- Tháng'!$R$6:$AC$24,MATCH('18 KMP- Tháng (Tâm) (3)'!$A18,'18 KMP- Tháng'!$A$6:$A$24,0),MATCH('18 KMP- Tháng (Tâm) (3)'!AP$7,'18 KMP- Tháng'!$R$2:$AC$2,0))</f>
        <v>87.399765000000002</v>
      </c>
      <c r="AQ18" s="189">
        <f>INDEX('18 KMP- Tháng'!$R$6:$AC$24,MATCH('18 KMP- Tháng (Tâm) (3)'!$A18,'18 KMP- Tháng'!$A$6:$A$24,0),MATCH('18 KMP- Tháng (Tâm) (3)'!AQ$7,'18 KMP- Tháng'!$R$2:$AC$2,0))</f>
        <v>74.767274</v>
      </c>
      <c r="AR18" s="189">
        <f>INDEX('18 KMP- Tháng'!$R$6:$AC$24,MATCH('18 KMP- Tháng (Tâm) (3)'!$A18,'18 KMP- Tháng'!$A$6:$A$24,0),MATCH('18 KMP- Tháng (Tâm) (3)'!AR$7,'18 KMP- Tháng'!$R$2:$AC$2,0))</f>
        <v>71.777555000000007</v>
      </c>
      <c r="AS18" s="189">
        <f t="shared" si="5"/>
        <v>83.740898416666667</v>
      </c>
      <c r="AT18" s="189"/>
      <c r="AU18" s="189">
        <v>111.93388600000002</v>
      </c>
      <c r="AV18" s="189"/>
      <c r="AW18" s="189"/>
      <c r="AX18" s="189">
        <f t="shared" si="4"/>
        <v>1004.8907810000001</v>
      </c>
      <c r="AY18" s="184">
        <f t="shared" si="1"/>
        <v>-3.9987000194764311E-2</v>
      </c>
      <c r="AZ18" s="190">
        <f>AX18/$AX$29</f>
        <v>8.0337499364775331E-4</v>
      </c>
      <c r="BA18" s="983"/>
      <c r="BB18" s="983"/>
      <c r="BC18" s="983"/>
      <c r="BD18" s="983"/>
    </row>
    <row r="19" spans="1:67" s="186" customFormat="1" ht="45" customHeight="1" x14ac:dyDescent="0.35">
      <c r="A19" s="174">
        <v>13</v>
      </c>
      <c r="B19" s="187">
        <f t="shared" si="3"/>
        <v>10</v>
      </c>
      <c r="C19" s="188" t="s">
        <v>96</v>
      </c>
      <c r="D19" s="188" t="s">
        <v>52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9">
        <f>INDEX('18 KMP- Tháng'!$R$6:$AC$24,MATCH('18 KMP- Tháng (Tâm) (3)'!$A19,'18 KMP- Tháng'!$A$6:$A$24,0),MATCH('18 KMP- Tháng (Tâm) (3)'!AG$7,'18 KMP- Tháng'!$R$2:$AC$2,0))</f>
        <v>128.69919999999999</v>
      </c>
      <c r="AH19" s="189">
        <f>INDEX('18 KMP- Tháng'!$R$6:$AC$24,MATCH('18 KMP- Tháng (Tâm) (3)'!$A19,'18 KMP- Tháng'!$A$6:$A$24,0),MATCH('18 KMP- Tháng (Tâm) (3)'!AH$7,'18 KMP- Tháng'!$R$2:$AC$2,0))</f>
        <v>113.8494</v>
      </c>
      <c r="AI19" s="189">
        <f>INDEX('18 KMP- Tháng'!$R$6:$AC$24,MATCH('18 KMP- Tháng (Tâm) (3)'!$A19,'18 KMP- Tháng'!$A$6:$A$24,0),MATCH('18 KMP- Tháng (Tâm) (3)'!AI$7,'18 KMP- Tháng'!$R$2:$AC$2,0))</f>
        <v>139.7774</v>
      </c>
      <c r="AJ19" s="189">
        <f>INDEX('18 KMP- Tháng'!$R$6:$AC$24,MATCH('18 KMP- Tháng (Tâm) (3)'!$A19,'18 KMP- Tháng'!$A$6:$A$24,0),MATCH('18 KMP- Tháng (Tâm) (3)'!AJ$7,'18 KMP- Tháng'!$R$2:$AC$2,0))</f>
        <v>145.8912</v>
      </c>
      <c r="AK19" s="189">
        <f>INDEX('18 KMP- Tháng'!$R$6:$AC$24,MATCH('18 KMP- Tháng (Tâm) (3)'!$A19,'18 KMP- Tháng'!$A$6:$A$24,0),MATCH('18 KMP- Tháng (Tâm) (3)'!AK$7,'18 KMP- Tháng'!$R$2:$AC$2,0))</f>
        <v>130.57939999999999</v>
      </c>
      <c r="AL19" s="189">
        <f>INDEX('18 KMP- Tháng'!$R$6:$AC$24,MATCH('18 KMP- Tháng (Tâm) (3)'!$A19,'18 KMP- Tháng'!$A$6:$A$24,0),MATCH('18 KMP- Tháng (Tâm) (3)'!AL$7,'18 KMP- Tháng'!$R$2:$AC$2,0))</f>
        <v>132.87960000000001</v>
      </c>
      <c r="AM19" s="189">
        <f>INDEX('18 KMP- Tháng'!$R$6:$AC$24,MATCH('18 KMP- Tháng (Tâm) (3)'!$A19,'18 KMP- Tháng'!$A$6:$A$24,0),MATCH('18 KMP- Tháng (Tâm) (3)'!AM$7,'18 KMP- Tháng'!$R$2:$AC$2,0))</f>
        <v>102.1832</v>
      </c>
      <c r="AN19" s="189">
        <f>INDEX('18 KMP- Tháng'!$R$6:$AC$24,MATCH('18 KMP- Tháng (Tâm) (3)'!$A19,'18 KMP- Tháng'!$A$6:$A$24,0),MATCH('18 KMP- Tháng (Tâm) (3)'!AN$7,'18 KMP- Tháng'!$R$2:$AC$2,0))</f>
        <v>108.79819999999999</v>
      </c>
      <c r="AO19" s="189">
        <f>INDEX('18 KMP- Tháng'!$R$6:$AC$24,MATCH('18 KMP- Tháng (Tâm) (3)'!$A19,'18 KMP- Tháng'!$A$6:$A$24,0),MATCH('18 KMP- Tháng (Tâm) (3)'!AO$7,'18 KMP- Tháng'!$R$2:$AC$2,0))</f>
        <v>99.789199999999994</v>
      </c>
      <c r="AP19" s="189">
        <f>INDEX('18 KMP- Tháng'!$R$6:$AC$24,MATCH('18 KMP- Tháng (Tâm) (3)'!$A19,'18 KMP- Tháng'!$A$6:$A$24,0),MATCH('18 KMP- Tháng (Tâm) (3)'!AP$7,'18 KMP- Tháng'!$R$2:$AC$2,0))</f>
        <v>126.86799999999999</v>
      </c>
      <c r="AQ19" s="189">
        <f>INDEX('18 KMP- Tháng'!$R$6:$AC$24,MATCH('18 KMP- Tháng (Tâm) (3)'!$A19,'18 KMP- Tháng'!$A$6:$A$24,0),MATCH('18 KMP- Tháng (Tâm) (3)'!AQ$7,'18 KMP- Tháng'!$R$2:$AC$2,0))</f>
        <v>141.09059999999999</v>
      </c>
      <c r="AR19" s="189">
        <f>INDEX('18 KMP- Tháng'!$R$6:$AC$24,MATCH('18 KMP- Tháng (Tâm) (3)'!$A19,'18 KMP- Tháng'!$A$6:$A$24,0),MATCH('18 KMP- Tháng (Tâm) (3)'!AR$7,'18 KMP- Tháng'!$R$2:$AC$2,0))</f>
        <v>125.4876</v>
      </c>
      <c r="AS19" s="189">
        <f t="shared" si="5"/>
        <v>124.65774999999998</v>
      </c>
      <c r="AT19" s="189"/>
      <c r="AU19" s="189">
        <v>128.42433333333335</v>
      </c>
      <c r="AV19" s="189"/>
      <c r="AW19" s="189"/>
      <c r="AX19" s="189">
        <f t="shared" si="4"/>
        <v>1495.8929999999998</v>
      </c>
      <c r="AY19" s="184">
        <f>IFERROR(AR19/AQ19-1,"-")</f>
        <v>-0.1105885154645313</v>
      </c>
      <c r="AZ19" s="190">
        <f t="shared" si="2"/>
        <v>1.1959140755344619E-3</v>
      </c>
      <c r="BA19" s="983"/>
      <c r="BB19" s="983"/>
      <c r="BC19" s="983"/>
      <c r="BD19" s="983"/>
    </row>
    <row r="20" spans="1:67" s="186" customFormat="1" ht="48" customHeight="1" x14ac:dyDescent="0.35">
      <c r="A20" s="174">
        <v>14</v>
      </c>
      <c r="B20" s="187">
        <f t="shared" si="3"/>
        <v>11</v>
      </c>
      <c r="C20" s="193" t="s">
        <v>96</v>
      </c>
      <c r="D20" s="193" t="s">
        <v>55</v>
      </c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4">
        <f>INDEX('18 KMP- Tháng'!$R$6:$AC$24,MATCH('18 KMP- Tháng (Tâm) (3)'!$A20,'18 KMP- Tháng'!$A$6:$A$24,0),MATCH('18 KMP- Tháng (Tâm) (3)'!AG$7,'18 KMP- Tháng'!$R$2:$AC$2,0))</f>
        <v>22.973268999999998</v>
      </c>
      <c r="AH20" s="194">
        <f>INDEX('18 KMP- Tháng'!$R$6:$AC$24,MATCH('18 KMP- Tháng (Tâm) (3)'!$A20,'18 KMP- Tháng'!$A$6:$A$24,0),MATCH('18 KMP- Tháng (Tâm) (3)'!AH$7,'18 KMP- Tháng'!$R$2:$AC$2,0))</f>
        <v>0</v>
      </c>
      <c r="AI20" s="194">
        <f>INDEX('18 KMP- Tháng'!$R$6:$AC$24,MATCH('18 KMP- Tháng (Tâm) (3)'!$A20,'18 KMP- Tháng'!$A$6:$A$24,0),MATCH('18 KMP- Tháng (Tâm) (3)'!AI$7,'18 KMP- Tháng'!$R$2:$AC$2,0))</f>
        <v>23.045940000000002</v>
      </c>
      <c r="AJ20" s="194">
        <f>INDEX('18 KMP- Tháng'!$R$6:$AC$24,MATCH('18 KMP- Tháng (Tâm) (3)'!$A20,'18 KMP- Tháng'!$A$6:$A$24,0),MATCH('18 KMP- Tháng (Tâm) (3)'!AJ$7,'18 KMP- Tháng'!$R$2:$AC$2,0))</f>
        <v>0</v>
      </c>
      <c r="AK20" s="194">
        <f>INDEX('18 KMP- Tháng'!$R$6:$AC$24,MATCH('18 KMP- Tháng (Tâm) (3)'!$A20,'18 KMP- Tháng'!$A$6:$A$24,0),MATCH('18 KMP- Tháng (Tâm) (3)'!AK$7,'18 KMP- Tháng'!$R$2:$AC$2,0))</f>
        <v>0</v>
      </c>
      <c r="AL20" s="194">
        <f>INDEX('18 KMP- Tháng'!$R$6:$AC$24,MATCH('18 KMP- Tháng (Tâm) (3)'!$A20,'18 KMP- Tháng'!$A$6:$A$24,0),MATCH('18 KMP- Tháng (Tâm) (3)'!AL$7,'18 KMP- Tháng'!$R$2:$AC$2,0))</f>
        <v>10.511874000000001</v>
      </c>
      <c r="AM20" s="194">
        <f>INDEX('18 KMP- Tháng'!$R$6:$AC$24,MATCH('18 KMP- Tháng (Tâm) (3)'!$A20,'18 KMP- Tháng'!$A$6:$A$24,0),MATCH('18 KMP- Tháng (Tâm) (3)'!AM$7,'18 KMP- Tháng'!$R$2:$AC$2,0))</f>
        <v>20.243397999999999</v>
      </c>
      <c r="AN20" s="194">
        <f>INDEX('18 KMP- Tháng'!$R$6:$AC$24,MATCH('18 KMP- Tháng (Tâm) (3)'!$A20,'18 KMP- Tháng'!$A$6:$A$24,0),MATCH('18 KMP- Tháng (Tâm) (3)'!AN$7,'18 KMP- Tháng'!$R$2:$AC$2,0))</f>
        <v>29.591062000000001</v>
      </c>
      <c r="AO20" s="194">
        <f>INDEX('18 KMP- Tháng'!$R$6:$AC$24,MATCH('18 KMP- Tháng (Tâm) (3)'!$A20,'18 KMP- Tháng'!$A$6:$A$24,0),MATCH('18 KMP- Tháng (Tâm) (3)'!AO$7,'18 KMP- Tháng'!$R$2:$AC$2,0))</f>
        <v>0.11293499999999999</v>
      </c>
      <c r="AP20" s="194">
        <f>INDEX('18 KMP- Tháng'!$R$6:$AC$24,MATCH('18 KMP- Tháng (Tâm) (3)'!$A20,'18 KMP- Tháng'!$A$6:$A$24,0),MATCH('18 KMP- Tháng (Tâm) (3)'!AP$7,'18 KMP- Tháng'!$R$2:$AC$2,0))</f>
        <v>40.229782999999998</v>
      </c>
      <c r="AQ20" s="194">
        <f>INDEX('18 KMP- Tháng'!$R$6:$AC$24,MATCH('18 KMP- Tháng (Tâm) (3)'!$A20,'18 KMP- Tháng'!$A$6:$A$24,0),MATCH('18 KMP- Tháng (Tâm) (3)'!AQ$7,'18 KMP- Tháng'!$R$2:$AC$2,0))</f>
        <v>11.25</v>
      </c>
      <c r="AR20" s="194">
        <f>INDEX('18 KMP- Tháng'!$R$6:$AC$24,MATCH('18 KMP- Tháng (Tâm) (3)'!$A20,'18 KMP- Tháng'!$A$6:$A$24,0),MATCH('18 KMP- Tháng (Tâm) (3)'!AR$7,'18 KMP- Tháng'!$R$2:$AC$2,0))</f>
        <v>7.5</v>
      </c>
      <c r="AS20" s="194">
        <f t="shared" si="5"/>
        <v>13.788188416666666</v>
      </c>
      <c r="AT20" s="194"/>
      <c r="AU20" s="194">
        <v>30.554300666666666</v>
      </c>
      <c r="AV20" s="194"/>
      <c r="AW20" s="194"/>
      <c r="AX20" s="194">
        <f t="shared" si="4"/>
        <v>165.45826099999999</v>
      </c>
      <c r="AY20" s="184">
        <f t="shared" si="1"/>
        <v>-0.33333333333333337</v>
      </c>
      <c r="AZ20" s="195">
        <f t="shared" si="2"/>
        <v>1.3227808622899817E-4</v>
      </c>
      <c r="BA20" s="986"/>
      <c r="BB20" s="985"/>
      <c r="BC20" s="985"/>
      <c r="BD20" s="985"/>
    </row>
    <row r="21" spans="1:67" s="176" customFormat="1" x14ac:dyDescent="0.35">
      <c r="A21" s="174">
        <v>15</v>
      </c>
      <c r="B21" s="175" t="s">
        <v>163</v>
      </c>
      <c r="D21" s="177" t="s">
        <v>164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8">
        <f>SUM(AG22:AG28)</f>
        <v>22310.645086</v>
      </c>
      <c r="AH21" s="178">
        <f>SUM(AH22:AH28)</f>
        <v>22456.102154000004</v>
      </c>
      <c r="AI21" s="178">
        <f>SUM(AI22:AI28)</f>
        <v>23393.321682999998</v>
      </c>
      <c r="AJ21" s="178">
        <f>SUM(AJ22:AJ28)</f>
        <v>24910.219128999997</v>
      </c>
      <c r="AK21" s="178">
        <f>SUM(AK22:AK28)</f>
        <v>25950.148207999999</v>
      </c>
      <c r="AL21" s="178">
        <f t="shared" ref="AL21:AX21" si="6">SUM(AL22:AL28)</f>
        <v>25824.229642999999</v>
      </c>
      <c r="AM21" s="178">
        <f t="shared" si="6"/>
        <v>25186.690293</v>
      </c>
      <c r="AN21" s="178">
        <f t="shared" si="6"/>
        <v>26591.989554999996</v>
      </c>
      <c r="AO21" s="178">
        <f t="shared" si="6"/>
        <v>28396.020464999998</v>
      </c>
      <c r="AP21" s="178">
        <f t="shared" si="6"/>
        <v>27999.098217999999</v>
      </c>
      <c r="AQ21" s="178">
        <f t="shared" si="6"/>
        <v>28310.542508999999</v>
      </c>
      <c r="AR21" s="178">
        <f t="shared" si="6"/>
        <v>38702.101193000002</v>
      </c>
      <c r="AS21" s="178">
        <f t="shared" si="6"/>
        <v>26669.259011333332</v>
      </c>
      <c r="AT21" s="178"/>
      <c r="AU21" s="178">
        <f t="shared" si="6"/>
        <v>13124.906914583336</v>
      </c>
      <c r="AV21" s="178"/>
      <c r="AW21" s="178"/>
      <c r="AX21" s="178">
        <f t="shared" si="6"/>
        <v>320031.108136</v>
      </c>
      <c r="AY21" s="179">
        <f>IFERROR(AR21/AQ21-1,"-")</f>
        <v>0.36705614810088849</v>
      </c>
      <c r="AZ21" s="180">
        <f t="shared" si="2"/>
        <v>0.25585366522119823</v>
      </c>
      <c r="BA21" s="987"/>
      <c r="BB21" s="987"/>
      <c r="BC21" s="987"/>
      <c r="BD21" s="987"/>
    </row>
    <row r="22" spans="1:67" s="186" customFormat="1" x14ac:dyDescent="0.35">
      <c r="A22" s="174">
        <v>16</v>
      </c>
      <c r="B22" s="181">
        <v>1</v>
      </c>
      <c r="C22" s="182" t="s">
        <v>97</v>
      </c>
      <c r="D22" s="182" t="s">
        <v>168</v>
      </c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3">
        <f>INDEX('18 KMP- Tháng'!$R$6:$AC$24,MATCH('18 KMP- Tháng (Tâm) (3)'!$A22,'18 KMP- Tháng'!$A$6:$A$24,0),MATCH('18 KMP- Tháng (Tâm) (3)'!AG$7,'18 KMP- Tháng'!$R$2:$AC$2,0))+2727+154</f>
        <v>8834.6515149999996</v>
      </c>
      <c r="AH22" s="183">
        <f>INDEX('18 KMP- Tháng'!$R$6:$AC$24,MATCH('18 KMP- Tháng (Tâm) (3)'!$A22,'18 KMP- Tháng'!$A$6:$A$24,0),MATCH('18 KMP- Tháng (Tâm) (3)'!AH$7,'18 KMP- Tháng'!$R$2:$AC$2,0))+2727-154</f>
        <v>10126.651515</v>
      </c>
      <c r="AI22" s="183">
        <f>INDEX('18 KMP- Tháng'!$R$6:$AC$24,MATCH('18 KMP- Tháng (Tâm) (3)'!$A22,'18 KMP- Tháng'!$A$6:$A$24,0),MATCH('18 KMP- Tháng (Tâm) (3)'!AI$7,'18 KMP- Tháng'!$R$2:$AC$2,0))</f>
        <v>7603.6514150000003</v>
      </c>
      <c r="AJ22" s="183">
        <f>INDEX('18 KMP- Tháng'!$R$6:$AC$24,MATCH('18 KMP- Tháng (Tâm) (3)'!$A22,'18 KMP- Tháng'!$A$6:$A$24,0),MATCH('18 KMP- Tháng (Tâm) (3)'!AJ$7,'18 KMP- Tháng'!$R$2:$AC$2,0))+150</f>
        <v>7639.8333329999996</v>
      </c>
      <c r="AK22" s="183">
        <f>INDEX('18 KMP- Tháng'!$R$6:$AC$24,MATCH('18 KMP- Tháng (Tâm) (3)'!$A22,'18 KMP- Tháng'!$A$6:$A$24,0),MATCH('18 KMP- Tháng (Tâm) (3)'!AK$7,'18 KMP- Tháng'!$R$2:$AC$2,0))-150</f>
        <v>7565.8333329999996</v>
      </c>
      <c r="AL22" s="183">
        <f>INDEX('18 KMP- Tháng'!$R$6:$AC$24,MATCH('18 KMP- Tháng (Tâm) (3)'!$A22,'18 KMP- Tháng'!$A$6:$A$24,0),MATCH('18 KMP- Tháng (Tâm) (3)'!AL$7,'18 KMP- Tháng'!$R$2:$AC$2,0))</f>
        <v>7565.8333329999996</v>
      </c>
      <c r="AM22" s="183">
        <f>INDEX('18 KMP- Tháng'!$R$6:$AC$24,MATCH('18 KMP- Tháng (Tâm) (3)'!$A22,'18 KMP- Tháng'!$A$6:$A$24,0),MATCH('18 KMP- Tháng (Tâm) (3)'!AM$7,'18 KMP- Tháng'!$R$2:$AC$2,0))</f>
        <v>7565.8333329999996</v>
      </c>
      <c r="AN22" s="183">
        <f>INDEX('18 KMP- Tháng'!$R$6:$AC$24,MATCH('18 KMP- Tháng (Tâm) (3)'!$A22,'18 KMP- Tháng'!$A$6:$A$24,0),MATCH('18 KMP- Tháng (Tâm) (3)'!AN$7,'18 KMP- Tháng'!$R$2:$AC$2,0))</f>
        <v>7565.8333329999996</v>
      </c>
      <c r="AO22" s="183">
        <f>INDEX('18 KMP- Tháng'!$R$6:$AC$24,MATCH('18 KMP- Tháng (Tâm) (3)'!$A22,'18 KMP- Tháng'!$A$6:$A$24,0),MATCH('18 KMP- Tháng (Tâm) (3)'!AO$7,'18 KMP- Tháng'!$R$2:$AC$2,0))</f>
        <v>7565.8333329999996</v>
      </c>
      <c r="AP22" s="183">
        <f>INDEX('18 KMP- Tháng'!$R$6:$AC$24,MATCH('18 KMP- Tháng (Tâm) (3)'!$A22,'18 KMP- Tháng'!$A$6:$A$24,0),MATCH('18 KMP- Tháng (Tâm) (3)'!AP$7,'18 KMP- Tháng'!$R$2:$AC$2,0))</f>
        <v>6965.8333329999996</v>
      </c>
      <c r="AQ22" s="183">
        <f>INDEX('18 KMP- Tháng'!$R$6:$AC$24,MATCH('18 KMP- Tháng (Tâm) (3)'!$A22,'18 KMP- Tháng'!$A$6:$A$24,0),MATCH('18 KMP- Tháng (Tâm) (3)'!AQ$7,'18 KMP- Tháng'!$R$2:$AC$2,0))</f>
        <v>6815.8333329999996</v>
      </c>
      <c r="AR22" s="183">
        <f>INDEX('18 KMP- Tháng'!$R$6:$AC$24,MATCH('18 KMP- Tháng (Tâm) (3)'!$A22,'18 KMP- Tháng'!$A$6:$A$24,0),MATCH('18 KMP- Tháng (Tâm) (3)'!AR$7,'18 KMP- Tháng'!$R$2:$AC$2,0))</f>
        <v>7115.8333380000004</v>
      </c>
      <c r="AS22" s="183">
        <f t="shared" ref="AS22:AS28" si="7">AX22/(12-COUNTIF($AG$10:$AR$10,0))</f>
        <v>7744.2878705833346</v>
      </c>
      <c r="AT22" s="183"/>
      <c r="AU22" s="183">
        <v>1310.196969833333</v>
      </c>
      <c r="AV22" s="183"/>
      <c r="AW22" s="183"/>
      <c r="AX22" s="183">
        <f t="shared" ref="AX22:AX28" si="8">SUM(AG22:AR22)</f>
        <v>92931.454447000011</v>
      </c>
      <c r="AY22" s="196">
        <f t="shared" ref="AY22:AY28" si="9">IFERROR(AR22/AQ22-1,"-")</f>
        <v>4.4015161513339951E-2</v>
      </c>
      <c r="AZ22" s="185">
        <f t="shared" si="2"/>
        <v>7.4295443880716738E-2</v>
      </c>
      <c r="BA22" s="988"/>
      <c r="BB22" s="988"/>
      <c r="BC22" s="988"/>
      <c r="BD22" s="988"/>
    </row>
    <row r="23" spans="1:67" s="186" customFormat="1" ht="55.4" customHeight="1" x14ac:dyDescent="0.35">
      <c r="A23" s="174">
        <v>17</v>
      </c>
      <c r="B23" s="187">
        <f t="shared" ref="B23:B28" si="10">B22+1</f>
        <v>2</v>
      </c>
      <c r="C23" s="188" t="s">
        <v>97</v>
      </c>
      <c r="D23" s="188" t="s">
        <v>48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9">
        <f>INDEX('18 KMP- Tháng'!$R$6:$AC$24,MATCH('18 KMP- Tháng (Tâm) (3)'!$A23,'18 KMP- Tháng'!$A$6:$A$24,0),MATCH('18 KMP- Tháng (Tâm) (3)'!AG$7,'18 KMP- Tháng'!$R$2:$AC$2,0))</f>
        <v>9830.8313450000005</v>
      </c>
      <c r="AH23" s="189">
        <f>INDEX('18 KMP- Tháng'!$R$6:$AC$24,MATCH('18 KMP- Tháng (Tâm) (3)'!$A23,'18 KMP- Tháng'!$A$6:$A$24,0),MATCH('18 KMP- Tháng (Tâm) (3)'!AH$7,'18 KMP- Tháng'!$R$2:$AC$2,0))</f>
        <v>8773.2714360000009</v>
      </c>
      <c r="AI23" s="189">
        <f>INDEX('18 KMP- Tháng'!$R$6:$AC$24,MATCH('18 KMP- Tháng (Tâm) (3)'!$A23,'18 KMP- Tháng'!$A$6:$A$24,0),MATCH('18 KMP- Tháng (Tâm) (3)'!AI$7,'18 KMP- Tháng'!$R$2:$AC$2,0))</f>
        <v>9519.9123970000001</v>
      </c>
      <c r="AJ23" s="189">
        <f>INDEX('18 KMP- Tháng'!$R$6:$AC$24,MATCH('18 KMP- Tháng (Tâm) (3)'!$A23,'18 KMP- Tháng'!$A$6:$A$24,0),MATCH('18 KMP- Tháng (Tâm) (3)'!AJ$7,'18 KMP- Tháng'!$R$2:$AC$2,0))</f>
        <v>10326.124313</v>
      </c>
      <c r="AK23" s="189">
        <f>INDEX('18 KMP- Tháng'!$R$6:$AC$24,MATCH('18 KMP- Tháng (Tâm) (3)'!$A23,'18 KMP- Tháng'!$A$6:$A$24,0),MATCH('18 KMP- Tháng (Tâm) (3)'!AK$7,'18 KMP- Tháng'!$R$2:$AC$2,0))</f>
        <v>10542.358342</v>
      </c>
      <c r="AL23" s="189">
        <f>INDEX('18 KMP- Tháng'!$R$6:$AC$24,MATCH('18 KMP- Tháng (Tâm) (3)'!$A23,'18 KMP- Tháng'!$A$6:$A$24,0),MATCH('18 KMP- Tháng (Tâm) (3)'!AL$7,'18 KMP- Tháng'!$R$2:$AC$2,0))</f>
        <v>10420.118291000001</v>
      </c>
      <c r="AM23" s="189">
        <f>INDEX('18 KMP- Tháng'!$R$6:$AC$24,MATCH('18 KMP- Tháng (Tâm) (3)'!$A23,'18 KMP- Tháng'!$A$6:$A$24,0),MATCH('18 KMP- Tháng (Tâm) (3)'!AM$7,'18 KMP- Tháng'!$R$2:$AC$2,0))</f>
        <v>10367.214110999999</v>
      </c>
      <c r="AN23" s="189">
        <f>INDEX('18 KMP- Tháng'!$R$6:$AC$24,MATCH('18 KMP- Tháng (Tâm) (3)'!$A23,'18 KMP- Tháng'!$A$6:$A$24,0),MATCH('18 KMP- Tháng (Tâm) (3)'!AN$7,'18 KMP- Tháng'!$R$2:$AC$2,0))</f>
        <v>10248.121787</v>
      </c>
      <c r="AO23" s="189">
        <f>INDEX('18 KMP- Tháng'!$R$6:$AC$24,MATCH('18 KMP- Tháng (Tâm) (3)'!$A23,'18 KMP- Tháng'!$A$6:$A$24,0),MATCH('18 KMP- Tháng (Tâm) (3)'!AO$7,'18 KMP- Tháng'!$R$2:$AC$2,0))</f>
        <v>10990.529123</v>
      </c>
      <c r="AP23" s="189">
        <f>INDEX('18 KMP- Tháng'!$R$6:$AC$24,MATCH('18 KMP- Tháng (Tâm) (3)'!$A23,'18 KMP- Tháng'!$A$6:$A$24,0),MATCH('18 KMP- Tháng (Tâm) (3)'!AP$7,'18 KMP- Tháng'!$R$2:$AC$2,0))</f>
        <v>11059.132774</v>
      </c>
      <c r="AQ23" s="189">
        <f>INDEX('18 KMP- Tháng'!$R$6:$AC$24,MATCH('18 KMP- Tháng (Tâm) (3)'!$A23,'18 KMP- Tháng'!$A$6:$A$24,0),MATCH('18 KMP- Tháng (Tâm) (3)'!AQ$7,'18 KMP- Tháng'!$R$2:$AC$2,0))</f>
        <v>11344.443729000001</v>
      </c>
      <c r="AR23" s="189">
        <f>INDEX('18 KMP- Tháng'!$R$6:$AC$24,MATCH('18 KMP- Tháng (Tâm) (3)'!$A23,'18 KMP- Tháng'!$A$6:$A$24,0),MATCH('18 KMP- Tháng (Tâm) (3)'!AR$7,'18 KMP- Tháng'!$R$2:$AC$2,0))</f>
        <v>13046.731478</v>
      </c>
      <c r="AS23" s="189">
        <f t="shared" si="7"/>
        <v>10539.0657605</v>
      </c>
      <c r="AT23" s="189"/>
      <c r="AU23" s="189">
        <v>7436.2421423333353</v>
      </c>
      <c r="AV23" s="189"/>
      <c r="AW23" s="189"/>
      <c r="AX23" s="189">
        <f t="shared" si="8"/>
        <v>126468.789126</v>
      </c>
      <c r="AY23" s="196">
        <f t="shared" si="9"/>
        <v>0.15005475717142569</v>
      </c>
      <c r="AZ23" s="190">
        <f t="shared" si="2"/>
        <v>0.10110736866312171</v>
      </c>
      <c r="BA23" s="989"/>
      <c r="BB23" s="983"/>
      <c r="BC23" s="983"/>
      <c r="BD23" s="983"/>
      <c r="BE23" s="191"/>
    </row>
    <row r="24" spans="1:67" s="186" customFormat="1" ht="63.65" customHeight="1" x14ac:dyDescent="0.35">
      <c r="A24" s="174">
        <v>5</v>
      </c>
      <c r="B24" s="187">
        <f t="shared" si="10"/>
        <v>3</v>
      </c>
      <c r="C24" s="188" t="s">
        <v>96</v>
      </c>
      <c r="D24" s="188" t="s">
        <v>16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9">
        <f>INDEX('18 KMP- Tháng'!$R$6:$AC$24,MATCH('18 KMP- Tháng (Tâm) (3)'!$A24,'18 KMP- Tháng'!$A$6:$A$24,0),MATCH('18 KMP- Tháng (Tâm) (3)'!AG$7,'18 KMP- Tháng'!$R$2:$AC$2,0))-2727</f>
        <v>271.47950899999978</v>
      </c>
      <c r="AH24" s="189">
        <f>INDEX('18 KMP- Tháng'!$R$6:$AC$24,MATCH('18 KMP- Tháng (Tâm) (3)'!$A24,'18 KMP- Tháng'!$A$6:$A$24,0),MATCH('18 KMP- Tháng (Tâm) (3)'!AH$7,'18 KMP- Tháng'!$R$2:$AC$2,0))-2727</f>
        <v>276.35876199999984</v>
      </c>
      <c r="AI24" s="189">
        <f>INDEX('18 KMP- Tháng'!$R$6:$AC$24,MATCH('18 KMP- Tháng (Tâm) (3)'!$A24,'18 KMP- Tháng'!$A$6:$A$24,0),MATCH('18 KMP- Tháng (Tâm) (3)'!AI$7,'18 KMP- Tháng'!$R$2:$AC$2,0))</f>
        <v>2998.9789329999999</v>
      </c>
      <c r="AJ24" s="189">
        <f>INDEX('18 KMP- Tháng'!$R$6:$AC$24,MATCH('18 KMP- Tháng (Tâm) (3)'!$A24,'18 KMP- Tháng'!$A$6:$A$24,0),MATCH('18 KMP- Tháng (Tâm) (3)'!AJ$7,'18 KMP- Tháng'!$R$2:$AC$2,0))</f>
        <v>3181.0243989999999</v>
      </c>
      <c r="AK24" s="189">
        <f>INDEX('18 KMP- Tháng'!$R$6:$AC$24,MATCH('18 KMP- Tháng (Tâm) (3)'!$A24,'18 KMP- Tháng'!$A$6:$A$24,0),MATCH('18 KMP- Tháng (Tâm) (3)'!AK$7,'18 KMP- Tháng'!$R$2:$AC$2,0))</f>
        <v>3238.7242780000001</v>
      </c>
      <c r="AL24" s="189">
        <f>INDEX('18 KMP- Tháng'!$R$6:$AC$24,MATCH('18 KMP- Tháng (Tâm) (3)'!$A24,'18 KMP- Tháng'!$A$6:$A$24,0),MATCH('18 KMP- Tháng (Tâm) (3)'!AL$7,'18 KMP- Tháng'!$R$2:$AC$2,0))</f>
        <v>3240.4400230000001</v>
      </c>
      <c r="AM24" s="189">
        <f>INDEX('18 KMP- Tháng'!$R$6:$AC$24,MATCH('18 KMP- Tháng (Tâm) (3)'!$A24,'18 KMP- Tháng'!$A$6:$A$24,0),MATCH('18 KMP- Tháng (Tâm) (3)'!AM$7,'18 KMP- Tháng'!$R$2:$AC$2,0))</f>
        <v>3274.4964810000001</v>
      </c>
      <c r="AN24" s="189">
        <f>INDEX('18 KMP- Tháng'!$R$6:$AC$24,MATCH('18 KMP- Tháng (Tâm) (3)'!$A24,'18 KMP- Tháng'!$A$6:$A$24,0),MATCH('18 KMP- Tháng (Tâm) (3)'!AN$7,'18 KMP- Tháng'!$R$2:$AC$2,0))</f>
        <v>3295.429795</v>
      </c>
      <c r="AO24" s="189">
        <f>INDEX('18 KMP- Tháng'!$R$6:$AC$24,MATCH('18 KMP- Tháng (Tâm) (3)'!$A24,'18 KMP- Tháng'!$A$6:$A$24,0),MATCH('18 KMP- Tháng (Tâm) (3)'!AO$7,'18 KMP- Tháng'!$R$2:$AC$2,0))</f>
        <v>3434.7116219999998</v>
      </c>
      <c r="AP24" s="189">
        <f>INDEX('18 KMP- Tháng'!$R$6:$AC$24,MATCH('18 KMP- Tháng (Tâm) (3)'!$A24,'18 KMP- Tháng'!$A$6:$A$24,0),MATCH('18 KMP- Tháng (Tâm) (3)'!AP$7,'18 KMP- Tháng'!$R$2:$AC$2,0))</f>
        <v>3434.7924050000001</v>
      </c>
      <c r="AQ24" s="189">
        <f>INDEX('18 KMP- Tháng'!$R$6:$AC$24,MATCH('18 KMP- Tháng (Tâm) (3)'!$A24,'18 KMP- Tháng'!$A$6:$A$24,0),MATCH('18 KMP- Tháng (Tâm) (3)'!AQ$7,'18 KMP- Tháng'!$R$2:$AC$2,0))</f>
        <v>3448.9865410000002</v>
      </c>
      <c r="AR24" s="189">
        <f>INDEX('18 KMP- Tháng'!$R$6:$AC$24,MATCH('18 KMP- Tháng (Tâm) (3)'!$A24,'18 KMP- Tháng'!$A$6:$A$24,0),MATCH('18 KMP- Tháng (Tâm) (3)'!AR$7,'18 KMP- Tháng'!$R$2:$AC$2,0))</f>
        <v>3762.4606610000001</v>
      </c>
      <c r="AS24" s="189">
        <f>AX24/(12-COUNTIF($AG$10:$AR$10,0))</f>
        <v>2821.4902840833329</v>
      </c>
      <c r="AT24" s="189"/>
      <c r="AU24" s="189">
        <v>2581.3796933333338</v>
      </c>
      <c r="AV24" s="189"/>
      <c r="AW24" s="189"/>
      <c r="AX24" s="189">
        <f>SUM(AG24:AR24)</f>
        <v>33857.883408999995</v>
      </c>
      <c r="AY24" s="184">
        <f t="shared" si="9"/>
        <v>9.0888762908628573E-2</v>
      </c>
      <c r="AZ24" s="190">
        <f t="shared" si="2"/>
        <v>2.7068192268182169E-2</v>
      </c>
      <c r="BA24" s="990"/>
      <c r="BB24" s="991"/>
      <c r="BC24" s="991"/>
      <c r="BD24" s="991"/>
      <c r="BE24" s="191"/>
    </row>
    <row r="25" spans="1:67" s="186" customFormat="1" ht="93" customHeight="1" x14ac:dyDescent="0.35">
      <c r="A25" s="174">
        <v>18</v>
      </c>
      <c r="B25" s="187">
        <f t="shared" si="10"/>
        <v>4</v>
      </c>
      <c r="C25" s="188" t="s">
        <v>97</v>
      </c>
      <c r="D25" s="188" t="s">
        <v>36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9">
        <f>INDEX('18 KMP- Tháng'!$R$6:$AC$24,MATCH('18 KMP- Tháng (Tâm) (3)'!$A25,'18 KMP- Tháng'!$A$6:$A$24,0),MATCH('18 KMP- Tháng (Tâm) (3)'!AG$7,'18 KMP- Tháng'!$R$2:$AC$2,0))</f>
        <v>1658.4109130000002</v>
      </c>
      <c r="AH25" s="189">
        <f>INDEX('18 KMP- Tháng'!$R$6:$AC$24,MATCH('18 KMP- Tháng (Tâm) (3)'!$A25,'18 KMP- Tháng'!$A$6:$A$24,0),MATCH('18 KMP- Tháng (Tâm) (3)'!AH$7,'18 KMP- Tháng'!$R$2:$AC$2,0))</f>
        <v>1378.8071309999998</v>
      </c>
      <c r="AI25" s="189">
        <f>INDEX('18 KMP- Tháng'!$R$6:$AC$24,MATCH('18 KMP- Tháng (Tâm) (3)'!$A25,'18 KMP- Tháng'!$A$6:$A$24,0),MATCH('18 KMP- Tháng (Tâm) (3)'!AI$7,'18 KMP- Tháng'!$R$2:$AC$2,0))</f>
        <v>1151.334644</v>
      </c>
      <c r="AJ25" s="189">
        <f>INDEX('18 KMP- Tháng'!$R$6:$AC$24,MATCH('18 KMP- Tháng (Tâm) (3)'!$A25,'18 KMP- Tháng'!$A$6:$A$24,0),MATCH('18 KMP- Tháng (Tâm) (3)'!AJ$7,'18 KMP- Tháng'!$R$2:$AC$2,0))</f>
        <v>1337.384814</v>
      </c>
      <c r="AK25" s="189">
        <f>INDEX('18 KMP- Tháng'!$R$6:$AC$24,MATCH('18 KMP- Tháng (Tâm) (3)'!$A25,'18 KMP- Tháng'!$A$6:$A$24,0),MATCH('18 KMP- Tháng (Tâm) (3)'!AK$7,'18 KMP- Tháng'!$R$2:$AC$2,0))</f>
        <v>1902.7088930000002</v>
      </c>
      <c r="AL25" s="189">
        <f>INDEX('18 KMP- Tháng'!$R$6:$AC$24,MATCH('18 KMP- Tháng (Tâm) (3)'!$A25,'18 KMP- Tháng'!$A$6:$A$24,0),MATCH('18 KMP- Tháng (Tâm) (3)'!AL$7,'18 KMP- Tháng'!$R$2:$AC$2,0))</f>
        <v>1863.0131699999999</v>
      </c>
      <c r="AM25" s="189">
        <f>INDEX('18 KMP- Tháng'!$R$6:$AC$24,MATCH('18 KMP- Tháng (Tâm) (3)'!$A25,'18 KMP- Tháng'!$A$6:$A$24,0),MATCH('18 KMP- Tháng (Tâm) (3)'!AM$7,'18 KMP- Tháng'!$R$2:$AC$2,0))</f>
        <v>1570.2129000000007</v>
      </c>
      <c r="AN25" s="189">
        <f>INDEX('18 KMP- Tháng'!$R$6:$AC$24,MATCH('18 KMP- Tháng (Tâm) (3)'!$A25,'18 KMP- Tháng'!$A$6:$A$24,0),MATCH('18 KMP- Tháng (Tâm) (3)'!AN$7,'18 KMP- Tháng'!$R$2:$AC$2,0))</f>
        <v>2908.310896</v>
      </c>
      <c r="AO25" s="189">
        <f>INDEX('18 KMP- Tháng'!$R$6:$AC$24,MATCH('18 KMP- Tháng (Tâm) (3)'!$A25,'18 KMP- Tháng'!$A$6:$A$24,0),MATCH('18 KMP- Tháng (Tâm) (3)'!AO$7,'18 KMP- Tháng'!$R$2:$AC$2,0))</f>
        <v>3601.9095000000002</v>
      </c>
      <c r="AP25" s="189">
        <f>INDEX('18 KMP- Tháng'!$R$6:$AC$24,MATCH('18 KMP- Tháng (Tâm) (3)'!$A25,'18 KMP- Tháng'!$A$6:$A$24,0),MATCH('18 KMP- Tháng (Tâm) (3)'!AP$7,'18 KMP- Tháng'!$R$2:$AC$2,0))</f>
        <v>3859.1731200000004</v>
      </c>
      <c r="AQ25" s="189">
        <f>INDEX('18 KMP- Tháng'!$R$6:$AC$24,MATCH('18 KMP- Tháng (Tâm) (3)'!$A25,'18 KMP- Tháng'!$A$6:$A$24,0),MATCH('18 KMP- Tháng (Tâm) (3)'!AQ$7,'18 KMP- Tháng'!$R$2:$AC$2,0))</f>
        <v>3573.6560359999999</v>
      </c>
      <c r="AR25" s="189">
        <f>INDEX('18 KMP- Tháng'!$R$6:$AC$24,MATCH('18 KMP- Tháng (Tâm) (3)'!$A25,'18 KMP- Tháng'!$A$6:$A$24,0),MATCH('18 KMP- Tháng (Tâm) (3)'!AR$7,'18 KMP- Tháng'!$R$2:$AC$2,0))</f>
        <v>11179.558634000005</v>
      </c>
      <c r="AS25" s="189">
        <f t="shared" si="7"/>
        <v>2998.7067209166671</v>
      </c>
      <c r="AT25" s="189"/>
      <c r="AU25" s="189">
        <v>753.4168821666666</v>
      </c>
      <c r="AV25" s="189"/>
      <c r="AW25" s="189"/>
      <c r="AX25" s="189">
        <f t="shared" si="8"/>
        <v>35984.480651000005</v>
      </c>
      <c r="AY25" s="196">
        <f t="shared" si="9"/>
        <v>2.1283253120558592</v>
      </c>
      <c r="AZ25" s="190">
        <f t="shared" si="2"/>
        <v>2.8768332301393491E-2</v>
      </c>
      <c r="BA25" s="980"/>
      <c r="BB25" s="981"/>
      <c r="BC25" s="981"/>
      <c r="BD25" s="981"/>
      <c r="BE25" s="191"/>
    </row>
    <row r="26" spans="1:67" s="186" customFormat="1" x14ac:dyDescent="0.35">
      <c r="A26" s="174">
        <v>19</v>
      </c>
      <c r="B26" s="187">
        <f t="shared" si="10"/>
        <v>5</v>
      </c>
      <c r="C26" s="188" t="s">
        <v>97</v>
      </c>
      <c r="D26" s="188" t="s">
        <v>12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9">
        <f>INDEX('18 KMP- Tháng'!$R$6:$AC$24,MATCH('18 KMP- Tháng (Tâm) (3)'!$A26,'18 KMP- Tháng'!$A$6:$A$24,0),MATCH('18 KMP- Tháng (Tâm) (3)'!AG$7,'18 KMP- Tháng'!$R$2:$AC$2,0))</f>
        <v>716.08840799999996</v>
      </c>
      <c r="AH26" s="189">
        <f>INDEX('18 KMP- Tháng'!$R$6:$AC$24,MATCH('18 KMP- Tháng (Tâm) (3)'!$A26,'18 KMP- Tháng'!$A$6:$A$24,0),MATCH('18 KMP- Tháng (Tâm) (3)'!AH$7,'18 KMP- Tháng'!$R$2:$AC$2,0))</f>
        <v>691.59377400000005</v>
      </c>
      <c r="AI26" s="189">
        <f>INDEX('18 KMP- Tháng'!$R$6:$AC$24,MATCH('18 KMP- Tháng (Tâm) (3)'!$A26,'18 KMP- Tháng'!$A$6:$A$24,0),MATCH('18 KMP- Tháng (Tâm) (3)'!AI$7,'18 KMP- Tháng'!$R$2:$AC$2,0))</f>
        <v>833.34065199999998</v>
      </c>
      <c r="AJ26" s="189">
        <f>INDEX('18 KMP- Tháng'!$R$6:$AC$24,MATCH('18 KMP- Tháng (Tâm) (3)'!$A26,'18 KMP- Tháng'!$A$6:$A$24,0),MATCH('18 KMP- Tháng (Tâm) (3)'!AJ$7,'18 KMP- Tháng'!$R$2:$AC$2,0))</f>
        <v>880.05645200000004</v>
      </c>
      <c r="AK26" s="189">
        <f>INDEX('18 KMP- Tháng'!$R$6:$AC$24,MATCH('18 KMP- Tháng (Tâm) (3)'!$A26,'18 KMP- Tháng'!$A$6:$A$24,0),MATCH('18 KMP- Tháng (Tâm) (3)'!AK$7,'18 KMP- Tháng'!$R$2:$AC$2,0))</f>
        <v>962.45493699999997</v>
      </c>
      <c r="AL26" s="189">
        <f>INDEX('18 KMP- Tháng'!$R$6:$AC$24,MATCH('18 KMP- Tháng (Tâm) (3)'!$A26,'18 KMP- Tháng'!$A$6:$A$24,0),MATCH('18 KMP- Tháng (Tâm) (3)'!AL$7,'18 KMP- Tháng'!$R$2:$AC$2,0))</f>
        <v>779.98906199999999</v>
      </c>
      <c r="AM26" s="189">
        <f>INDEX('18 KMP- Tháng'!$R$6:$AC$24,MATCH('18 KMP- Tháng (Tâm) (3)'!$A26,'18 KMP- Tháng'!$A$6:$A$24,0),MATCH('18 KMP- Tháng (Tâm) (3)'!AM$7,'18 KMP- Tháng'!$R$2:$AC$2,0))</f>
        <v>678.94090300000005</v>
      </c>
      <c r="AN26" s="189">
        <f>INDEX('18 KMP- Tháng'!$R$6:$AC$24,MATCH('18 KMP- Tháng (Tâm) (3)'!$A26,'18 KMP- Tháng'!$A$6:$A$24,0),MATCH('18 KMP- Tháng (Tâm) (3)'!AN$7,'18 KMP- Tháng'!$R$2:$AC$2,0))</f>
        <v>825.70615199999997</v>
      </c>
      <c r="AO26" s="189">
        <f>INDEX('18 KMP- Tháng'!$R$6:$AC$24,MATCH('18 KMP- Tháng (Tâm) (3)'!$A26,'18 KMP- Tháng'!$A$6:$A$24,0),MATCH('18 KMP- Tháng (Tâm) (3)'!AO$7,'18 KMP- Tháng'!$R$2:$AC$2,0))</f>
        <v>1011.891319</v>
      </c>
      <c r="AP26" s="189">
        <f>INDEX('18 KMP- Tháng'!$R$6:$AC$24,MATCH('18 KMP- Tháng (Tâm) (3)'!$A26,'18 KMP- Tháng'!$A$6:$A$24,0),MATCH('18 KMP- Tháng (Tâm) (3)'!AP$7,'18 KMP- Tháng'!$R$2:$AC$2,0))</f>
        <v>830.77095499999996</v>
      </c>
      <c r="AQ26" s="189">
        <f>INDEX('18 KMP- Tháng'!$R$6:$AC$24,MATCH('18 KMP- Tháng (Tâm) (3)'!$A26,'18 KMP- Tháng'!$A$6:$A$24,0),MATCH('18 KMP- Tháng (Tâm) (3)'!AQ$7,'18 KMP- Tháng'!$R$2:$AC$2,0))</f>
        <v>1000.806672</v>
      </c>
      <c r="AR26" s="189">
        <f>INDEX('18 KMP- Tháng'!$R$6:$AC$24,MATCH('18 KMP- Tháng (Tâm) (3)'!$A26,'18 KMP- Tháng'!$A$6:$A$24,0),MATCH('18 KMP- Tháng (Tâm) (3)'!AR$7,'18 KMP- Tháng'!$R$2:$AC$2,0))</f>
        <v>1080.1792390000001</v>
      </c>
      <c r="AS26" s="189">
        <f t="shared" si="7"/>
        <v>857.65154374999986</v>
      </c>
      <c r="AT26" s="189"/>
      <c r="AU26" s="189">
        <v>526.03818533333344</v>
      </c>
      <c r="AV26" s="189"/>
      <c r="AW26" s="189"/>
      <c r="AX26" s="189">
        <f t="shared" si="8"/>
        <v>10291.818524999999</v>
      </c>
      <c r="AY26" s="196">
        <f t="shared" si="9"/>
        <v>7.9308590980296634E-2</v>
      </c>
      <c r="AZ26" s="190">
        <f t="shared" si="2"/>
        <v>8.2279485477195387E-3</v>
      </c>
      <c r="BA26" s="982"/>
      <c r="BB26" s="983"/>
      <c r="BC26" s="983"/>
      <c r="BD26" s="983"/>
      <c r="BE26" s="191"/>
    </row>
    <row r="27" spans="1:67" s="186" customFormat="1" ht="38.9" customHeight="1" x14ac:dyDescent="0.35">
      <c r="A27" s="174">
        <v>20</v>
      </c>
      <c r="B27" s="187">
        <f t="shared" si="10"/>
        <v>6</v>
      </c>
      <c r="C27" s="188" t="s">
        <v>97</v>
      </c>
      <c r="D27" s="188" t="s">
        <v>51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9">
        <f>INDEX('18 KMP- Tháng'!$R$6:$AC$24,MATCH('18 KMP- Tháng (Tâm) (3)'!$A27,'18 KMP- Tháng'!$A$6:$A$24,0),MATCH('18 KMP- Tháng (Tâm) (3)'!AG$7,'18 KMP- Tháng'!$R$2:$AC$2,0))</f>
        <v>538.72162100000003</v>
      </c>
      <c r="AH27" s="189">
        <f>INDEX('18 KMP- Tháng'!$R$6:$AC$24,MATCH('18 KMP- Tháng (Tâm) (3)'!$A27,'18 KMP- Tháng'!$A$6:$A$24,0),MATCH('18 KMP- Tháng (Tâm) (3)'!AH$7,'18 KMP- Tháng'!$R$2:$AC$2,0))</f>
        <v>645.51002000000005</v>
      </c>
      <c r="AI27" s="189">
        <f>INDEX('18 KMP- Tháng'!$R$6:$AC$24,MATCH('18 KMP- Tháng (Tâm) (3)'!$A27,'18 KMP- Tháng'!$A$6:$A$24,0),MATCH('18 KMP- Tháng (Tâm) (3)'!AI$7,'18 KMP- Tháng'!$R$2:$AC$2,0))</f>
        <v>698.78772200000003</v>
      </c>
      <c r="AJ27" s="189">
        <f>INDEX('18 KMP- Tháng'!$R$6:$AC$24,MATCH('18 KMP- Tháng (Tâm) (3)'!$A27,'18 KMP- Tháng'!$A$6:$A$24,0),MATCH('18 KMP- Tháng (Tâm) (3)'!AJ$7,'18 KMP- Tháng'!$R$2:$AC$2,0))</f>
        <v>640.0876760000001</v>
      </c>
      <c r="AK27" s="189">
        <f>INDEX('18 KMP- Tháng'!$R$6:$AC$24,MATCH('18 KMP- Tháng (Tâm) (3)'!$A27,'18 KMP- Tháng'!$A$6:$A$24,0),MATCH('18 KMP- Tháng (Tâm) (3)'!AK$7,'18 KMP- Tháng'!$R$2:$AC$2,0))</f>
        <v>763.75839600000006</v>
      </c>
      <c r="AL27" s="189">
        <f>INDEX('18 KMP- Tháng'!$R$6:$AC$24,MATCH('18 KMP- Tháng (Tâm) (3)'!$A27,'18 KMP- Tháng'!$A$6:$A$24,0),MATCH('18 KMP- Tháng (Tâm) (3)'!AL$7,'18 KMP- Tháng'!$R$2:$AC$2,0))</f>
        <v>839.77968399999997</v>
      </c>
      <c r="AM27" s="189">
        <f>INDEX('18 KMP- Tháng'!$R$6:$AC$24,MATCH('18 KMP- Tháng (Tâm) (3)'!$A27,'18 KMP- Tháng'!$A$6:$A$24,0),MATCH('18 KMP- Tháng (Tâm) (3)'!AM$7,'18 KMP- Tháng'!$R$2:$AC$2,0))</f>
        <v>569.16955900000005</v>
      </c>
      <c r="AN27" s="189">
        <f>INDEX('18 KMP- Tháng'!$R$6:$AC$24,MATCH('18 KMP- Tháng (Tâm) (3)'!$A27,'18 KMP- Tháng'!$A$6:$A$24,0),MATCH('18 KMP- Tháng (Tâm) (3)'!AN$7,'18 KMP- Tháng'!$R$2:$AC$2,0))</f>
        <v>809.00254699999994</v>
      </c>
      <c r="AO27" s="189">
        <f>INDEX('18 KMP- Tháng'!$R$6:$AC$24,MATCH('18 KMP- Tháng (Tâm) (3)'!$A27,'18 KMP- Tháng'!$A$6:$A$24,0),MATCH('18 KMP- Tháng (Tâm) (3)'!AO$7,'18 KMP- Tháng'!$R$2:$AC$2,0))</f>
        <v>931.70146299999999</v>
      </c>
      <c r="AP27" s="189">
        <f>INDEX('18 KMP- Tháng'!$R$6:$AC$24,MATCH('18 KMP- Tháng (Tâm) (3)'!$A27,'18 KMP- Tháng'!$A$6:$A$24,0),MATCH('18 KMP- Tháng (Tâm) (3)'!AP$7,'18 KMP- Tháng'!$R$2:$AC$2,0))</f>
        <v>1009.2301160000001</v>
      </c>
      <c r="AQ27" s="189">
        <f>INDEX('18 KMP- Tháng'!$R$6:$AC$24,MATCH('18 KMP- Tháng (Tâm) (3)'!$A27,'18 KMP- Tháng'!$A$6:$A$24,0),MATCH('18 KMP- Tháng (Tâm) (3)'!AQ$7,'18 KMP- Tháng'!$R$2:$AC$2,0))</f>
        <v>1237.657117</v>
      </c>
      <c r="AR27" s="189">
        <f>INDEX('18 KMP- Tháng'!$R$6:$AC$24,MATCH('18 KMP- Tháng (Tâm) (3)'!$A27,'18 KMP- Tháng'!$A$6:$A$24,0),MATCH('18 KMP- Tháng (Tâm) (3)'!AR$7,'18 KMP- Tháng'!$R$2:$AC$2,0))</f>
        <v>1484.7749200000003</v>
      </c>
      <c r="AS27" s="189">
        <f t="shared" si="7"/>
        <v>847.34840341666677</v>
      </c>
      <c r="AT27" s="189"/>
      <c r="AU27" s="189">
        <v>420.51581458333322</v>
      </c>
      <c r="AV27" s="189"/>
      <c r="AW27" s="189"/>
      <c r="AX27" s="189">
        <f>SUM(AG27:AR27)</f>
        <v>10168.180841000001</v>
      </c>
      <c r="AY27" s="196">
        <f>IFERROR(AR27/AQ27-1,"-")</f>
        <v>0.19966580372356901</v>
      </c>
      <c r="AZ27" s="190">
        <f t="shared" si="2"/>
        <v>8.1291045484748886E-3</v>
      </c>
      <c r="BA27" s="984"/>
      <c r="BB27" s="983"/>
      <c r="BC27" s="983"/>
      <c r="BD27" s="983"/>
      <c r="BE27" s="191"/>
    </row>
    <row r="28" spans="1:67" s="186" customFormat="1" x14ac:dyDescent="0.35">
      <c r="A28" s="174">
        <v>21</v>
      </c>
      <c r="B28" s="187">
        <f t="shared" si="10"/>
        <v>7</v>
      </c>
      <c r="C28" s="193" t="s">
        <v>97</v>
      </c>
      <c r="D28" s="193" t="s">
        <v>40</v>
      </c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189">
        <f>INDEX('18 KMP- Tháng'!$R$6:$AC$24,MATCH('18 KMP- Tháng (Tâm) (3)'!$A28,'18 KMP- Tháng'!$A$6:$A$24,0),MATCH('18 KMP- Tháng (Tâm) (3)'!AG$7,'18 KMP- Tháng'!$R$2:$AC$2,0))</f>
        <v>460.46177499999999</v>
      </c>
      <c r="AH28" s="189">
        <f>INDEX('18 KMP- Tháng'!$R$6:$AC$24,MATCH('18 KMP- Tháng (Tâm) (3)'!$A28,'18 KMP- Tháng'!$A$6:$A$24,0),MATCH('18 KMP- Tháng (Tâm) (3)'!AH$7,'18 KMP- Tháng'!$R$2:$AC$2,0))</f>
        <v>563.90951600000005</v>
      </c>
      <c r="AI28" s="189">
        <f>INDEX('18 KMP- Tháng'!$R$6:$AC$24,MATCH('18 KMP- Tháng (Tâm) (3)'!$A28,'18 KMP- Tháng'!$A$6:$A$24,0),MATCH('18 KMP- Tháng (Tâm) (3)'!AI$7,'18 KMP- Tháng'!$R$2:$AC$2,0))</f>
        <v>587.31592000000001</v>
      </c>
      <c r="AJ28" s="189">
        <f>INDEX('18 KMP- Tháng'!$R$6:$AC$24,MATCH('18 KMP- Tháng (Tâm) (3)'!$A28,'18 KMP- Tháng'!$A$6:$A$24,0),MATCH('18 KMP- Tháng (Tâm) (3)'!AJ$7,'18 KMP- Tháng'!$R$2:$AC$2,0))</f>
        <v>905.70814199999995</v>
      </c>
      <c r="AK28" s="189">
        <f>INDEX('18 KMP- Tháng'!$R$6:$AC$24,MATCH('18 KMP- Tháng (Tâm) (3)'!$A28,'18 KMP- Tháng'!$A$6:$A$24,0),MATCH('18 KMP- Tháng (Tâm) (3)'!AK$7,'18 KMP- Tháng'!$R$2:$AC$2,0))</f>
        <v>974.31002899999999</v>
      </c>
      <c r="AL28" s="189">
        <f>INDEX('18 KMP- Tháng'!$R$6:$AC$24,MATCH('18 KMP- Tháng (Tâm) (3)'!$A28,'18 KMP- Tháng'!$A$6:$A$24,0),MATCH('18 KMP- Tháng (Tâm) (3)'!AL$7,'18 KMP- Tháng'!$R$2:$AC$2,0))</f>
        <v>1115.0560800000001</v>
      </c>
      <c r="AM28" s="189">
        <f>INDEX('18 KMP- Tháng'!$R$6:$AC$24,MATCH('18 KMP- Tháng (Tâm) (3)'!$A28,'18 KMP- Tháng'!$A$6:$A$24,0),MATCH('18 KMP- Tháng (Tâm) (3)'!AM$7,'18 KMP- Tháng'!$R$2:$AC$2,0))</f>
        <v>1160.8230060000001</v>
      </c>
      <c r="AN28" s="189">
        <f>INDEX('18 KMP- Tháng'!$R$6:$AC$24,MATCH('18 KMP- Tháng (Tâm) (3)'!$A28,'18 KMP- Tháng'!$A$6:$A$24,0),MATCH('18 KMP- Tháng (Tâm) (3)'!AN$7,'18 KMP- Tháng'!$R$2:$AC$2,0))</f>
        <v>939.58504500000004</v>
      </c>
      <c r="AO28" s="189">
        <f>INDEX('18 KMP- Tháng'!$R$6:$AC$24,MATCH('18 KMP- Tháng (Tâm) (3)'!$A28,'18 KMP- Tháng'!$A$6:$A$24,0),MATCH('18 KMP- Tháng (Tâm) (3)'!AO$7,'18 KMP- Tháng'!$R$2:$AC$2,0))</f>
        <v>859.44410500000004</v>
      </c>
      <c r="AP28" s="189">
        <f>INDEX('18 KMP- Tháng'!$R$6:$AC$24,MATCH('18 KMP- Tháng (Tâm) (3)'!$A28,'18 KMP- Tháng'!$A$6:$A$24,0),MATCH('18 KMP- Tháng (Tâm) (3)'!AP$7,'18 KMP- Tháng'!$R$2:$AC$2,0))</f>
        <v>840.16551500000003</v>
      </c>
      <c r="AQ28" s="189">
        <f>INDEX('18 KMP- Tháng'!$R$6:$AC$24,MATCH('18 KMP- Tháng (Tâm) (3)'!$A28,'18 KMP- Tháng'!$A$6:$A$24,0),MATCH('18 KMP- Tháng (Tâm) (3)'!AQ$7,'18 KMP- Tháng'!$R$2:$AC$2,0))</f>
        <v>889.15908100000001</v>
      </c>
      <c r="AR28" s="189">
        <f>INDEX('18 KMP- Tháng'!$R$6:$AC$24,MATCH('18 KMP- Tháng (Tâm) (3)'!$A28,'18 KMP- Tháng'!$A$6:$A$24,0),MATCH('18 KMP- Tháng (Tâm) (3)'!AR$7,'18 KMP- Tháng'!$R$2:$AC$2,0))</f>
        <v>1032.562923</v>
      </c>
      <c r="AS28" s="194">
        <f t="shared" si="7"/>
        <v>860.70842808333339</v>
      </c>
      <c r="AT28" s="194"/>
      <c r="AU28" s="194">
        <v>97.117227</v>
      </c>
      <c r="AV28" s="194"/>
      <c r="AW28" s="194"/>
      <c r="AX28" s="194">
        <f t="shared" si="8"/>
        <v>10328.501137000001</v>
      </c>
      <c r="AY28" s="197">
        <f t="shared" si="9"/>
        <v>0.16128029850262515</v>
      </c>
      <c r="AZ28" s="195">
        <f t="shared" si="2"/>
        <v>8.2572750115897306E-3</v>
      </c>
      <c r="BA28" s="985"/>
      <c r="BB28" s="985"/>
      <c r="BC28" s="985"/>
      <c r="BD28" s="985"/>
    </row>
    <row r="29" spans="1:67" s="202" customFormat="1" x14ac:dyDescent="0.35">
      <c r="A29" s="174">
        <v>22</v>
      </c>
      <c r="B29" s="198" t="s">
        <v>172</v>
      </c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9">
        <f t="shared" ref="AG29:AX29" si="11">AG9+AG21</f>
        <v>115211.39110293402</v>
      </c>
      <c r="AH29" s="199">
        <f t="shared" si="11"/>
        <v>84698.291090643092</v>
      </c>
      <c r="AI29" s="199">
        <f t="shared" si="11"/>
        <v>125486.35049797817</v>
      </c>
      <c r="AJ29" s="199">
        <f t="shared" si="11"/>
        <v>124157.41692212663</v>
      </c>
      <c r="AK29" s="199">
        <f t="shared" si="11"/>
        <v>118510.2757148743</v>
      </c>
      <c r="AL29" s="199">
        <f t="shared" si="11"/>
        <v>98715.67990018813</v>
      </c>
      <c r="AM29" s="199">
        <f t="shared" si="11"/>
        <v>65791.312933293535</v>
      </c>
      <c r="AN29" s="199">
        <f t="shared" si="11"/>
        <v>74011.500762084703</v>
      </c>
      <c r="AO29" s="199">
        <f t="shared" si="11"/>
        <v>90283.612402125276</v>
      </c>
      <c r="AP29" s="199">
        <f t="shared" si="11"/>
        <v>118837.42090925849</v>
      </c>
      <c r="AQ29" s="199">
        <f t="shared" si="11"/>
        <v>126733.40044871607</v>
      </c>
      <c r="AR29" s="199">
        <f t="shared" si="11"/>
        <v>108399.86693067968</v>
      </c>
      <c r="AS29" s="199">
        <f t="shared" si="11"/>
        <v>104236.37663457516</v>
      </c>
      <c r="AT29" s="199"/>
      <c r="AU29" s="199">
        <f t="shared" si="11"/>
        <v>57905.729647612876</v>
      </c>
      <c r="AV29" s="199"/>
      <c r="AW29" s="199"/>
      <c r="AX29" s="199">
        <f t="shared" si="11"/>
        <v>1250836.5196149023</v>
      </c>
      <c r="AY29" s="200">
        <f>IFERROR(AR29/AQ29-1,"-")</f>
        <v>-0.14466220785620942</v>
      </c>
      <c r="AZ29" s="201">
        <f>AZ21+AZ9</f>
        <v>0.99999999999999989</v>
      </c>
      <c r="BA29" s="979"/>
      <c r="BB29" s="979"/>
      <c r="BC29" s="979"/>
      <c r="BD29" s="979"/>
    </row>
    <row r="30" spans="1:67" s="202" customFormat="1" x14ac:dyDescent="0.35">
      <c r="A30" s="203">
        <v>23</v>
      </c>
      <c r="B30" s="204" t="s">
        <v>171</v>
      </c>
      <c r="C30" s="204"/>
      <c r="D30" s="204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205">
        <f>INDEX('18 KMP- Tháng'!$R$6:$AC$28,MATCH('18 KMP- Tháng (Tâm) (3)'!$A30,'18 KMP- Tháng'!$A$6:$A$28,0),MATCH('18 KMP- Tháng (Tâm) (3)'!AG$7,'18 KMP- Tháng'!$R$2:$AC$2,0))</f>
        <v>4748.3130000000001</v>
      </c>
      <c r="AH30" s="205">
        <f>INDEX('18 KMP- Tháng'!$R$6:$AC$28,MATCH('18 KMP- Tháng (Tâm) (3)'!$A30,'18 KMP- Tháng'!$A$6:$A$28,0),MATCH('18 KMP- Tháng (Tâm) (3)'!AH$7,'18 KMP- Tháng'!$R$2:$AC$2,0))</f>
        <v>2926.5019999999995</v>
      </c>
      <c r="AI30" s="205">
        <f>INDEX('18 KMP- Tháng'!$R$6:$AC$28,MATCH('18 KMP- Tháng (Tâm) (3)'!$A30,'18 KMP- Tháng'!$A$6:$A$28,0),MATCH('18 KMP- Tháng (Tâm) (3)'!AI$7,'18 KMP- Tháng'!$R$2:$AC$2,0))</f>
        <v>4896.4380000000001</v>
      </c>
      <c r="AJ30" s="205">
        <f>INDEX('18 KMP- Tháng'!$R$6:$AC$28,MATCH('18 KMP- Tháng (Tâm) (3)'!$A30,'18 KMP- Tháng'!$A$6:$A$28,0),MATCH('18 KMP- Tháng (Tâm) (3)'!AJ$7,'18 KMP- Tháng'!$R$2:$AC$2,0))</f>
        <v>4526.3689999999997</v>
      </c>
      <c r="AK30" s="205">
        <f>INDEX('18 KMP- Tháng'!$R$6:$AC$28,MATCH('18 KMP- Tháng (Tâm) (3)'!$A30,'18 KMP- Tháng'!$A$6:$A$28,0),MATCH('18 KMP- Tháng (Tâm) (3)'!AK$7,'18 KMP- Tháng'!$R$2:$AC$2,0))</f>
        <v>4417.8749999999991</v>
      </c>
      <c r="AL30" s="205">
        <f>INDEX('18 KMP- Tháng'!$R$6:$AC$28,MATCH('18 KMP- Tháng (Tâm) (3)'!$A30,'18 KMP- Tháng'!$A$6:$A$28,0),MATCH('18 KMP- Tháng (Tâm) (3)'!AL$7,'18 KMP- Tháng'!$R$2:$AC$2,0))</f>
        <v>3495.0745000000011</v>
      </c>
      <c r="AM30" s="205">
        <f>INDEX('18 KMP- Tháng'!$R$6:$AC$28,MATCH('18 KMP- Tháng (Tâm) (3)'!$A30,'18 KMP- Tháng'!$A$6:$A$28,0),MATCH('18 KMP- Tháng (Tâm) (3)'!AM$7,'18 KMP- Tháng'!$R$2:$AC$2,0))</f>
        <v>1866.424</v>
      </c>
      <c r="AN30" s="205">
        <f>INDEX('18 KMP- Tháng'!$R$6:$AC$28,MATCH('18 KMP- Tháng (Tâm) (3)'!$A30,'18 KMP- Tháng'!$A$6:$A$28,0),MATCH('18 KMP- Tháng (Tâm) (3)'!AN$7,'18 KMP- Tháng'!$R$2:$AC$2,0))</f>
        <v>2192.5824999999995</v>
      </c>
      <c r="AO30" s="205">
        <f>INDEX('18 KMP- Tháng'!$R$6:$AC$28,MATCH('18 KMP- Tháng (Tâm) (3)'!$A30,'18 KMP- Tháng'!$A$6:$A$28,0),MATCH('18 KMP- Tháng (Tâm) (3)'!AO$7,'18 KMP- Tháng'!$R$2:$AC$2,0))</f>
        <v>2799.3996999999999</v>
      </c>
      <c r="AP30" s="205">
        <f>INDEX('18 KMP- Tháng'!$R$6:$AC$28,MATCH('18 KMP- Tháng (Tâm) (3)'!$A30,'18 KMP- Tháng'!$A$6:$A$28,0),MATCH('18 KMP- Tháng (Tâm) (3)'!AP$7,'18 KMP- Tháng'!$R$2:$AC$2,0))</f>
        <v>4293.2714999999989</v>
      </c>
      <c r="AQ30" s="205">
        <f>INDEX('18 KMP- Tháng'!$R$6:$AC$28,MATCH('18 KMP- Tháng (Tâm) (3)'!$A30,'18 KMP- Tháng'!$A$6:$A$28,0),MATCH('18 KMP- Tháng (Tâm) (3)'!AQ$7,'18 KMP- Tháng'!$R$2:$AC$2,0))</f>
        <v>4775.3970000000008</v>
      </c>
      <c r="AR30" s="205">
        <f>INDEX('18 KMP- Tháng'!$R$6:$AC$28,MATCH('18 KMP- Tháng (Tâm) (3)'!$A30,'18 KMP- Tháng'!$A$6:$A$28,0),MATCH('18 KMP- Tháng (Tâm) (3)'!AR$7,'18 KMP- Tháng'!$R$2:$AC$2,0))</f>
        <v>3318.6420999999996</v>
      </c>
      <c r="AS30" s="206">
        <f>AX30/(12-COUNTIF($AG$10:$AR$10,0))</f>
        <v>3688.0240250000002</v>
      </c>
      <c r="AT30" s="206"/>
      <c r="AU30" s="207">
        <v>1954.7762499999999</v>
      </c>
      <c r="AV30" s="207"/>
      <c r="AW30" s="207"/>
      <c r="AX30" s="206">
        <f>SUM(AG30:AR30)</f>
        <v>44256.2883</v>
      </c>
      <c r="AY30" s="208">
        <f>IFERROR(AR30/AQ30-1,"-")</f>
        <v>-0.30505419758817975</v>
      </c>
      <c r="AZ30" s="206"/>
      <c r="BA30" s="979"/>
      <c r="BB30" s="979"/>
      <c r="BC30" s="979"/>
      <c r="BD30" s="979"/>
      <c r="BE30" s="186"/>
      <c r="BF30" s="186"/>
    </row>
    <row r="31" spans="1:67" s="202" customFormat="1" x14ac:dyDescent="0.35">
      <c r="A31" s="174">
        <v>24</v>
      </c>
      <c r="B31" s="992" t="s">
        <v>189</v>
      </c>
      <c r="C31" s="992"/>
      <c r="D31" s="992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209">
        <f>AG29/AG30</f>
        <v>24.263647131714784</v>
      </c>
      <c r="AH31" s="209">
        <f>AH29/AH30</f>
        <v>28.941818967027224</v>
      </c>
      <c r="AI31" s="209">
        <f>AI29/AI30</f>
        <v>25.628089337183106</v>
      </c>
      <c r="AJ31" s="209">
        <f>AJ29/AJ30</f>
        <v>27.429804534744438</v>
      </c>
      <c r="AK31" s="209">
        <f>AK29/AK30</f>
        <v>26.825176292872552</v>
      </c>
      <c r="AL31" s="209">
        <f t="shared" ref="AL31:AR31" si="12">AL29/AL30</f>
        <v>28.244227669592764</v>
      </c>
      <c r="AM31" s="209">
        <f t="shared" si="12"/>
        <v>35.249928704996044</v>
      </c>
      <c r="AN31" s="209">
        <f t="shared" si="12"/>
        <v>33.755400657482546</v>
      </c>
      <c r="AO31" s="209">
        <f t="shared" si="12"/>
        <v>32.251061683733582</v>
      </c>
      <c r="AP31" s="209">
        <f t="shared" si="12"/>
        <v>27.679922154762057</v>
      </c>
      <c r="AQ31" s="209">
        <f t="shared" si="12"/>
        <v>26.538819798378238</v>
      </c>
      <c r="AR31" s="209">
        <f t="shared" si="12"/>
        <v>32.663922069414987</v>
      </c>
      <c r="AS31" s="209">
        <f>AS29/AS30</f>
        <v>28.263475489310338</v>
      </c>
      <c r="AT31" s="209"/>
      <c r="AU31" s="209">
        <f>AU29/AU30</f>
        <v>29.622689373074223</v>
      </c>
      <c r="AV31" s="209"/>
      <c r="AW31" s="209"/>
      <c r="AX31" s="209">
        <f>AX29/AX30</f>
        <v>28.263475489310348</v>
      </c>
      <c r="AY31" s="206"/>
      <c r="AZ31" s="206"/>
      <c r="BA31" s="979"/>
      <c r="BB31" s="979"/>
      <c r="BC31" s="979"/>
      <c r="BD31" s="979"/>
      <c r="BE31" s="186"/>
      <c r="BF31" s="186"/>
      <c r="BG31" s="210"/>
      <c r="BH31" s="210"/>
      <c r="BI31" s="210"/>
      <c r="BJ31" s="210"/>
      <c r="BK31" s="210"/>
      <c r="BL31" s="210"/>
      <c r="BM31" s="210"/>
      <c r="BN31" s="210"/>
      <c r="BO31" s="210"/>
    </row>
    <row r="32" spans="1:67" s="202" customFormat="1" x14ac:dyDescent="0.35">
      <c r="A32" s="174">
        <v>25</v>
      </c>
      <c r="B32" s="992" t="s">
        <v>190</v>
      </c>
      <c r="C32" s="992"/>
      <c r="D32" s="992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209">
        <f>(AG29-AG33)/AG30</f>
        <v>23.939404424181955</v>
      </c>
      <c r="AH32" s="209">
        <f>(AH29-AH33)/AH30</f>
        <v>27.869000338051972</v>
      </c>
      <c r="AI32" s="209">
        <f>(AI29-AI33)/AI30</f>
        <v>25.640423653816271</v>
      </c>
      <c r="AJ32" s="209">
        <f>(AJ29-AJ33)/AJ30</f>
        <v>27.089663051950318</v>
      </c>
      <c r="AK32" s="209">
        <f>(AK29-AK33)/AK30</f>
        <v>26.476681628959849</v>
      </c>
      <c r="AL32" s="209">
        <f t="shared" ref="AL32:AX32" si="13">(AL29-AL33)/AL30</f>
        <v>27.803720360425729</v>
      </c>
      <c r="AM32" s="209">
        <f t="shared" si="13"/>
        <v>34.425032613146961</v>
      </c>
      <c r="AN32" s="209">
        <f t="shared" si="13"/>
        <v>33.053212318693319</v>
      </c>
      <c r="AO32" s="209">
        <f t="shared" si="13"/>
        <v>31.70108453565668</v>
      </c>
      <c r="AP32" s="209">
        <f t="shared" si="13"/>
        <v>27.321313139857377</v>
      </c>
      <c r="AQ32" s="209">
        <f t="shared" si="13"/>
        <v>26.216416056169301</v>
      </c>
      <c r="AR32" s="209">
        <f t="shared" si="13"/>
        <v>30.95639637047525</v>
      </c>
      <c r="AS32" s="209">
        <f t="shared" si="13"/>
        <v>26.726970674558398</v>
      </c>
      <c r="AT32" s="209"/>
      <c r="AU32" s="209">
        <f>(AU29-AU33)/AU30</f>
        <v>26.723806868576158</v>
      </c>
      <c r="AV32" s="209"/>
      <c r="AW32" s="209"/>
      <c r="AX32" s="209">
        <f t="shared" si="13"/>
        <v>27.752760922946681</v>
      </c>
      <c r="AY32" s="206"/>
      <c r="AZ32" s="206"/>
      <c r="BA32" s="979"/>
      <c r="BB32" s="979"/>
      <c r="BC32" s="979"/>
      <c r="BD32" s="979"/>
      <c r="BE32" s="186"/>
      <c r="BF32" s="186"/>
      <c r="BG32" s="210"/>
      <c r="BH32" s="210"/>
      <c r="BI32" s="210"/>
      <c r="BJ32" s="210"/>
      <c r="BK32" s="210"/>
      <c r="BL32" s="210"/>
      <c r="BM32" s="210"/>
      <c r="BN32" s="210"/>
      <c r="BO32" s="210"/>
    </row>
    <row r="33" spans="1:67" s="176" customFormat="1" x14ac:dyDescent="0.35">
      <c r="A33" s="174">
        <v>26</v>
      </c>
      <c r="B33" s="176" t="s">
        <v>169</v>
      </c>
      <c r="AG33" s="205">
        <f>INDEX('18 KMP- Tháng'!$R$6:$AC$29,MATCH('18 KMP- Tháng (Tâm) (3)'!$A33,'18 KMP- Tháng'!$A$6:$A$29,0),MATCH('18 KMP- Tháng (Tâm) (3)'!AG$7,'18 KMP- Tháng'!$R$2:$AC$2,0))</f>
        <v>1539.6058633333323</v>
      </c>
      <c r="AH33" s="205">
        <f>INDEX('18 KMP- Tháng'!$R$6:$AC$29,MATCH('18 KMP- Tháng (Tâm) (3)'!$A33,'18 KMP- Tháng'!$A$6:$A$29,0),MATCH('18 KMP- Tháng (Tâm) (3)'!AH$7,'18 KMP- Tháng'!$R$2:$AC$2,0))</f>
        <v>3139.6058633333323</v>
      </c>
      <c r="AI33" s="205">
        <f>INDEX('18 KMP- Tháng'!$R$6:$AC$29,MATCH('18 KMP- Tháng (Tâm) (3)'!$A33,'18 KMP- Tháng'!$A$6:$A$29,0),MATCH('18 KMP- Tháng (Tâm) (3)'!AI$7,'18 KMP- Tháng'!$R$2:$AC$2,0))</f>
        <v>-60.394216666667489</v>
      </c>
      <c r="AJ33" s="205">
        <f>INDEX('18 KMP- Tháng'!$R$6:$AC$29,MATCH('18 KMP- Tháng (Tâm) (3)'!$A33,'18 KMP- Tháng'!$A$6:$A$29,0),MATCH('18 KMP- Tháng (Tâm) (3)'!AJ$7,'18 KMP- Tháng'!$R$2:$AC$2,0))</f>
        <v>1539.6058633333323</v>
      </c>
      <c r="AK33" s="205">
        <f>INDEX('18 KMP- Tháng'!$R$6:$AC$29,MATCH('18 KMP- Tháng (Tâm) (3)'!$A33,'18 KMP- Tháng'!$A$6:$A$29,0),MATCH('18 KMP- Tháng (Tâm) (3)'!AK$7,'18 KMP- Tháng'!$R$2:$AC$2,0))</f>
        <v>1539.6058633333323</v>
      </c>
      <c r="AL33" s="205">
        <f>INDEX('18 KMP- Tháng'!$R$6:$AC$29,MATCH('18 KMP- Tháng (Tâm) (3)'!$A33,'18 KMP- Tháng'!$A$6:$A$29,0),MATCH('18 KMP- Tháng (Tâm) (3)'!AL$7,'18 KMP- Tháng'!$R$2:$AC$2,0))</f>
        <v>1539.6058633333323</v>
      </c>
      <c r="AM33" s="205">
        <f>INDEX('18 KMP- Tháng'!$R$6:$AC$29,MATCH('18 KMP- Tháng (Tâm) (3)'!$A33,'18 KMP- Tháng'!$A$6:$A$29,0),MATCH('18 KMP- Tháng (Tâm) (3)'!AM$7,'18 KMP- Tháng'!$R$2:$AC$2,0))</f>
        <v>1539.6058633333323</v>
      </c>
      <c r="AN33" s="205">
        <f>INDEX('18 KMP- Tháng'!$R$6:$AC$29,MATCH('18 KMP- Tháng (Tâm) (3)'!$A33,'18 KMP- Tháng'!$A$6:$A$29,0),MATCH('18 KMP- Tháng (Tâm) (3)'!AN$7,'18 KMP- Tháng'!$R$2:$AC$2,0))</f>
        <v>1539.6058633333323</v>
      </c>
      <c r="AO33" s="205">
        <f>INDEX('18 KMP- Tháng'!$R$6:$AC$29,MATCH('18 KMP- Tháng (Tâm) (3)'!$A33,'18 KMP- Tháng'!$A$6:$A$29,0),MATCH('18 KMP- Tháng (Tâm) (3)'!AO$7,'18 KMP- Tháng'!$R$2:$AC$2,0))</f>
        <v>1539.6058633333323</v>
      </c>
      <c r="AP33" s="205">
        <f>INDEX('18 KMP- Tháng'!$R$6:$AC$29,MATCH('18 KMP- Tháng (Tâm) (3)'!$A33,'18 KMP- Tháng'!$A$6:$A$29,0),MATCH('18 KMP- Tháng (Tâm) (3)'!AP$7,'18 KMP- Tháng'!$R$2:$AC$2,0))</f>
        <v>1539.6058633333323</v>
      </c>
      <c r="AQ33" s="205">
        <f>INDEX('18 KMP- Tháng'!$R$6:$AC$29,MATCH('18 KMP- Tháng (Tâm) (3)'!$A33,'18 KMP- Tháng'!$A$6:$A$29,0),MATCH('18 KMP- Tháng (Tâm) (3)'!AQ$7,'18 KMP- Tháng'!$R$2:$AC$2,0))</f>
        <v>1539.6058633333323</v>
      </c>
      <c r="AR33" s="205">
        <f>INDEX('18 KMP- Tháng'!$R$6:$AC$29,MATCH('18 KMP- Tháng (Tâm) (3)'!$A33,'18 KMP- Tháng'!$A$6:$A$29,0),MATCH('18 KMP- Tháng (Tâm) (3)'!AR$7,'18 KMP- Tháng'!$R$2:$AC$2,0))</f>
        <v>5666.6666713333307</v>
      </c>
      <c r="AS33" s="205">
        <f>INDEX('18 KMP- Tháng'!$R$6:$AC$29,MATCH('18 KMP- Tháng (Tâm) (3)'!$A33,'18 KMP- Tháng'!$A$6:$A$29,0),MATCH('18 KMP- Tháng (Tâm) (3)'!$AG$2,'18 KMP- Tháng'!$R$2:$AC$2,0))</f>
        <v>5666.6666713333307</v>
      </c>
      <c r="AT33" s="205"/>
      <c r="AU33" s="205">
        <f>INDEX('18 KMP- Tháng'!$R$6:$AC$29,MATCH('18 KMP- Tháng (Tâm) (3)'!$A33,'18 KMP- Tháng'!$A$6:$A$29,0),MATCH('18 KMP- Tháng (Tâm) (3)'!$AG$2,'18 KMP- Tháng'!$R$2:$AC$2,0))</f>
        <v>5666.6666713333307</v>
      </c>
      <c r="AV33" s="329"/>
      <c r="AW33" s="329"/>
      <c r="AX33" s="207">
        <f>SUM(AG33:AR33)</f>
        <v>22602.331087999984</v>
      </c>
      <c r="AY33" s="211"/>
      <c r="AZ33" s="212"/>
      <c r="BA33" s="979"/>
      <c r="BB33" s="979"/>
      <c r="BC33" s="979"/>
      <c r="BD33" s="979"/>
      <c r="BE33" s="186"/>
      <c r="BF33" s="186"/>
    </row>
    <row r="34" spans="1:67" s="213" customFormat="1" x14ac:dyDescent="0.4">
      <c r="AH34" s="214"/>
      <c r="AI34" s="214"/>
      <c r="AJ34" s="214"/>
      <c r="AK34" s="214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BA34" s="216"/>
      <c r="BB34" s="158"/>
      <c r="BC34" s="158"/>
      <c r="BD34" s="158"/>
      <c r="BE34" s="158"/>
      <c r="BF34" s="158"/>
    </row>
    <row r="35" spans="1:67" s="217" customFormat="1" ht="21" x14ac:dyDescent="0.5"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9"/>
      <c r="AH35" s="219"/>
      <c r="AI35" s="220"/>
      <c r="AJ35" s="220"/>
      <c r="AK35" s="220"/>
      <c r="AL35" s="220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21">
        <v>12</v>
      </c>
      <c r="AZ35" s="219"/>
      <c r="BA35" s="222"/>
      <c r="BB35" s="219"/>
      <c r="BC35" s="219"/>
      <c r="BD35" s="219"/>
      <c r="BE35" s="219"/>
      <c r="BF35" s="219"/>
    </row>
    <row r="36" spans="1:67" s="217" customFormat="1" x14ac:dyDescent="0.4">
      <c r="B36" s="218"/>
      <c r="C36" s="218"/>
      <c r="D36" s="223" t="s">
        <v>202</v>
      </c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4">
        <v>2153</v>
      </c>
      <c r="AH36" s="224">
        <v>2064</v>
      </c>
      <c r="AI36" s="224">
        <v>2908</v>
      </c>
      <c r="AJ36" s="224">
        <v>3201</v>
      </c>
      <c r="AK36" s="224">
        <v>3202</v>
      </c>
      <c r="AL36" s="224">
        <v>1891</v>
      </c>
      <c r="AM36" s="224">
        <v>1784</v>
      </c>
      <c r="AN36" s="224">
        <v>4611</v>
      </c>
      <c r="AO36" s="224">
        <v>4683.5999999999995</v>
      </c>
      <c r="AP36" s="224">
        <v>3573.5250000000001</v>
      </c>
      <c r="AQ36" s="224">
        <v>1971.9250000000002</v>
      </c>
      <c r="AR36" s="224">
        <v>2927.35</v>
      </c>
      <c r="AS36" s="224">
        <f>AX36/(12-COUNTIF(AG36:AR36,0))</f>
        <v>2914.2000000000003</v>
      </c>
      <c r="AT36" s="224"/>
      <c r="AU36" s="224">
        <v>1790</v>
      </c>
      <c r="AV36" s="224"/>
      <c r="AW36" s="224"/>
      <c r="AX36" s="224">
        <f>SUM(AG36:AR36)</f>
        <v>34970.400000000001</v>
      </c>
      <c r="AY36" s="225"/>
      <c r="AZ36" s="219"/>
      <c r="BA36" s="222"/>
      <c r="BB36" s="219"/>
      <c r="BC36" s="219"/>
      <c r="BD36" s="219"/>
      <c r="BE36" s="219"/>
      <c r="BF36" s="219"/>
    </row>
    <row r="37" spans="1:67" x14ac:dyDescent="0.4"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BG37" s="226" t="s">
        <v>200</v>
      </c>
      <c r="BH37" s="227"/>
      <c r="BI37" s="227"/>
      <c r="BJ37" s="227"/>
      <c r="BK37" s="227"/>
      <c r="BL37" s="227"/>
      <c r="BM37" s="227"/>
    </row>
    <row r="38" spans="1:67" s="186" customFormat="1" ht="48" x14ac:dyDescent="0.35">
      <c r="A38" s="174">
        <v>1</v>
      </c>
      <c r="B38" s="228" t="s">
        <v>57</v>
      </c>
      <c r="C38" s="228" t="s">
        <v>58</v>
      </c>
      <c r="D38" s="229" t="s">
        <v>206</v>
      </c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30" t="s">
        <v>72</v>
      </c>
      <c r="AH38" s="230" t="s">
        <v>73</v>
      </c>
      <c r="AI38" s="230" t="s">
        <v>74</v>
      </c>
      <c r="AJ38" s="230" t="s">
        <v>75</v>
      </c>
      <c r="AK38" s="230" t="s">
        <v>76</v>
      </c>
      <c r="AL38" s="230" t="s">
        <v>77</v>
      </c>
      <c r="AM38" s="230" t="s">
        <v>78</v>
      </c>
      <c r="AN38" s="230" t="s">
        <v>79</v>
      </c>
      <c r="AO38" s="230" t="s">
        <v>80</v>
      </c>
      <c r="AP38" s="230" t="s">
        <v>81</v>
      </c>
      <c r="AQ38" s="230" t="s">
        <v>82</v>
      </c>
      <c r="AR38" s="230" t="s">
        <v>83</v>
      </c>
      <c r="AS38" s="231" t="s">
        <v>174</v>
      </c>
      <c r="AT38" s="231"/>
      <c r="AU38" s="230" t="s">
        <v>170</v>
      </c>
      <c r="AV38" s="230"/>
      <c r="AW38" s="230"/>
      <c r="AX38" s="231" t="s">
        <v>201</v>
      </c>
      <c r="AY38" s="231" t="s">
        <v>186</v>
      </c>
      <c r="AZ38" s="231" t="s">
        <v>197</v>
      </c>
      <c r="BA38" s="232" t="s">
        <v>179</v>
      </c>
      <c r="BB38" s="231" t="s">
        <v>178</v>
      </c>
      <c r="BC38" s="231" t="s">
        <v>198</v>
      </c>
      <c r="BD38" s="231" t="s">
        <v>176</v>
      </c>
      <c r="BE38" s="233" t="s">
        <v>203</v>
      </c>
      <c r="BF38" s="186">
        <v>1</v>
      </c>
      <c r="BG38" s="234">
        <v>6</v>
      </c>
      <c r="BH38" s="234">
        <v>7</v>
      </c>
      <c r="BI38" s="234">
        <v>8</v>
      </c>
      <c r="BJ38" s="234">
        <v>9</v>
      </c>
      <c r="BK38" s="234">
        <v>10</v>
      </c>
      <c r="BL38" s="234">
        <v>11</v>
      </c>
      <c r="BM38" s="234">
        <v>12</v>
      </c>
      <c r="BO38" s="235" t="s">
        <v>204</v>
      </c>
    </row>
    <row r="39" spans="1:67" ht="18.75" customHeight="1" x14ac:dyDescent="0.4">
      <c r="A39" s="170">
        <v>2</v>
      </c>
      <c r="B39" s="236" t="s">
        <v>161</v>
      </c>
      <c r="C39" s="213"/>
      <c r="D39" s="237" t="s">
        <v>162</v>
      </c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8">
        <f t="shared" ref="AG39:AR39" si="14">SUM(AG40:AG50)</f>
        <v>19.698608855078604</v>
      </c>
      <c r="AH39" s="238">
        <f t="shared" si="14"/>
        <v>21.321266947751965</v>
      </c>
      <c r="AI39" s="238">
        <f t="shared" si="14"/>
        <v>20.93268349603796</v>
      </c>
      <c r="AJ39" s="238">
        <f t="shared" si="14"/>
        <v>22.022813645991203</v>
      </c>
      <c r="AK39" s="238">
        <f t="shared" si="14"/>
        <v>21.02281823673156</v>
      </c>
      <c r="AL39" s="238">
        <f t="shared" si="14"/>
        <v>21.208976815792511</v>
      </c>
      <c r="AM39" s="238">
        <f t="shared" si="14"/>
        <v>21.77509672713494</v>
      </c>
      <c r="AN39" s="238">
        <f t="shared" si="14"/>
        <v>21.182126365745155</v>
      </c>
      <c r="AO39" s="238">
        <f t="shared" si="14"/>
        <v>21.922782947897737</v>
      </c>
      <c r="AP39" s="238">
        <f t="shared" si="14"/>
        <v>21.2036794198176</v>
      </c>
      <c r="AQ39" s="238">
        <f t="shared" si="14"/>
        <v>20.834891042122816</v>
      </c>
      <c r="AR39" s="310">
        <f t="shared" si="14"/>
        <v>21.069638306985681</v>
      </c>
      <c r="AS39" s="238">
        <f>SUM(AS40:AS50)</f>
        <v>21.105215855282399</v>
      </c>
      <c r="AT39" s="238"/>
      <c r="AU39" s="238">
        <f>SUM(AU40:AU50)</f>
        <v>22.972309522558902</v>
      </c>
      <c r="AV39" s="238"/>
      <c r="AW39" s="238"/>
      <c r="AX39" s="239">
        <f t="shared" ref="AX39" si="15">AS39-AU39</f>
        <v>-1.8670936672765031</v>
      </c>
      <c r="AY39" s="238">
        <f>SUM(AY40:AY50)</f>
        <v>19.238706406125218</v>
      </c>
      <c r="AZ39" s="240">
        <f t="shared" ref="AZ39" si="16">AS39-AY39</f>
        <v>1.8665094491571814</v>
      </c>
      <c r="BA39" s="241">
        <f t="shared" ref="BA39:BA58" si="17">AU39/$AU$59</f>
        <v>0.77382795142053507</v>
      </c>
      <c r="BB39" s="242">
        <f t="shared" ref="BB39:BB47" si="18">AS39/$AS$59</f>
        <v>0.78750732449503646</v>
      </c>
      <c r="BC39" s="240">
        <f>BB39-BA39</f>
        <v>1.36793730745014E-2</v>
      </c>
      <c r="BD39" s="243"/>
      <c r="BF39" s="158">
        <v>2</v>
      </c>
      <c r="BG39" s="238">
        <f t="shared" ref="BG39:BM39" si="19">SUM(BG40:BG50)</f>
        <v>19.176630105593222</v>
      </c>
      <c r="BH39" s="238">
        <f t="shared" si="19"/>
        <v>18.933986101739464</v>
      </c>
      <c r="BI39" s="238">
        <f t="shared" si="19"/>
        <v>18.802838603168528</v>
      </c>
      <c r="BJ39" s="238">
        <f t="shared" si="19"/>
        <v>18.762058370842912</v>
      </c>
      <c r="BK39" s="238">
        <f t="shared" si="19"/>
        <v>18.760011664134968</v>
      </c>
      <c r="BL39" s="238">
        <f t="shared" si="19"/>
        <v>18.732482248575984</v>
      </c>
      <c r="BM39" s="238">
        <f t="shared" si="19"/>
        <v>18.695710673349311</v>
      </c>
      <c r="BO39" s="244">
        <f>SUM(BO40:BO50)</f>
        <v>19.06465371053158</v>
      </c>
    </row>
    <row r="40" spans="1:67" ht="18.75" customHeight="1" x14ac:dyDescent="0.4">
      <c r="A40" s="170">
        <v>3</v>
      </c>
      <c r="B40" s="245">
        <v>1</v>
      </c>
      <c r="C40" s="246" t="s">
        <v>96</v>
      </c>
      <c r="D40" s="246" t="s">
        <v>47</v>
      </c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  <c r="AG40" s="247">
        <f t="shared" ref="AG40:AR41" si="20">AG10/AG$30</f>
        <v>17.351007297036663</v>
      </c>
      <c r="AH40" s="247">
        <f t="shared" si="20"/>
        <v>18.684196801383731</v>
      </c>
      <c r="AI40" s="247">
        <f t="shared" si="20"/>
        <v>18.83512308069216</v>
      </c>
      <c r="AJ40" s="247">
        <f t="shared" si="20"/>
        <v>19.509038092149947</v>
      </c>
      <c r="AK40" s="247">
        <f t="shared" si="20"/>
        <v>18.677036197917399</v>
      </c>
      <c r="AL40" s="247">
        <f t="shared" si="20"/>
        <v>18.148150232044589</v>
      </c>
      <c r="AM40" s="247">
        <f t="shared" si="20"/>
        <v>18.283593702204584</v>
      </c>
      <c r="AN40" s="247">
        <f t="shared" si="20"/>
        <v>18.161253005227746</v>
      </c>
      <c r="AO40" s="247">
        <f t="shared" si="20"/>
        <v>18.997197306667314</v>
      </c>
      <c r="AP40" s="247">
        <f t="shared" si="20"/>
        <v>18.690373015370334</v>
      </c>
      <c r="AQ40" s="247">
        <f t="shared" si="20"/>
        <v>18.319005490374114</v>
      </c>
      <c r="AR40" s="311">
        <f t="shared" si="20"/>
        <v>18.284387312413024</v>
      </c>
      <c r="AS40" s="248">
        <f>AS10/$AS$30</f>
        <v>18.507378036232243</v>
      </c>
      <c r="AT40" s="248"/>
      <c r="AU40" s="248">
        <f>AU10/AU$30</f>
        <v>19.326224119829444</v>
      </c>
      <c r="AV40" s="330"/>
      <c r="AW40" s="330"/>
      <c r="AX40" s="249">
        <f>AS40-AU40</f>
        <v>-0.8188460835972009</v>
      </c>
      <c r="AY40" s="248">
        <f>BO40</f>
        <v>16.64552711501112</v>
      </c>
      <c r="AZ40" s="250">
        <f>AS40-AY40</f>
        <v>1.8618509212211229</v>
      </c>
      <c r="BA40" s="251">
        <f t="shared" si="17"/>
        <v>0.65100865912744699</v>
      </c>
      <c r="BB40" s="252">
        <f t="shared" si="18"/>
        <v>0.6905731673473301</v>
      </c>
      <c r="BC40" s="250">
        <f>BB40-BA40</f>
        <v>3.956450821988311E-2</v>
      </c>
      <c r="BD40" s="253"/>
      <c r="BE40" s="158" t="s">
        <v>146</v>
      </c>
      <c r="BF40" s="186">
        <v>3</v>
      </c>
      <c r="BG40" s="254" cm="1">
        <f t="array" ref="BG40">AVERAGE(SMALL($AG40:AK$40,ROW(1:3)))</f>
        <v>18.2374134321126</v>
      </c>
      <c r="BH40" s="254" cm="1">
        <f t="array" ref="BH40">AVERAGE(SMALL($AG40:AL$40,ROW(1:3)))</f>
        <v>18.058731242332883</v>
      </c>
      <c r="BI40" s="254" cm="1">
        <f t="array" ref="BI40">AVERAGE(SMALL($AG40:AM$40,ROW(1:3)))</f>
        <v>17.927583743761947</v>
      </c>
      <c r="BJ40" s="254" cm="1">
        <f t="array" ref="BJ40">AVERAGE(SMALL($AG40:AN$40,ROW(1:3)))</f>
        <v>17.88680351143633</v>
      </c>
      <c r="BK40" s="254" cm="1">
        <f t="array" ref="BK40">AVERAGE(SMALL($AG40:AO$40,ROW(1:3)))</f>
        <v>17.88680351143633</v>
      </c>
      <c r="BL40" s="254" cm="1">
        <f t="array" ref="BL40">AVERAGE(SMALL($AG40:AP$40,ROW(1:3)))</f>
        <v>17.88680351143633</v>
      </c>
      <c r="BM40" s="254" cm="1">
        <f t="array" ref="BM40">AVERAGE(SMALL($AG40:AQ$40,ROW(1:3)))</f>
        <v>17.88680351143633</v>
      </c>
      <c r="BO40" s="255">
        <f t="shared" ref="BO40:BO50" si="21">AVERAGE(AG40:AR40)*90%</f>
        <v>16.64552711501112</v>
      </c>
    </row>
    <row r="41" spans="1:67" ht="18.75" customHeight="1" x14ac:dyDescent="0.4">
      <c r="A41" s="170">
        <v>4</v>
      </c>
      <c r="B41" s="256">
        <f>B40+1</f>
        <v>2</v>
      </c>
      <c r="C41" s="257" t="s">
        <v>96</v>
      </c>
      <c r="D41" s="257" t="s">
        <v>25</v>
      </c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47">
        <f t="shared" si="20"/>
        <v>1.1622871322930903</v>
      </c>
      <c r="AH41" s="247">
        <f t="shared" si="20"/>
        <v>1.4181931192939561</v>
      </c>
      <c r="AI41" s="247">
        <f t="shared" si="20"/>
        <v>1.045268805609302</v>
      </c>
      <c r="AJ41" s="247">
        <f t="shared" si="20"/>
        <v>1.3086985539623484</v>
      </c>
      <c r="AK41" s="247">
        <f t="shared" si="20"/>
        <v>1.2767598223127639</v>
      </c>
      <c r="AL41" s="247">
        <f t="shared" si="20"/>
        <v>1.3856628521080161</v>
      </c>
      <c r="AM41" s="258">
        <f t="shared" si="20"/>
        <v>1.6408391126560737</v>
      </c>
      <c r="AN41" s="247">
        <f t="shared" si="20"/>
        <v>1.6168249997434536</v>
      </c>
      <c r="AO41" s="247">
        <f t="shared" si="20"/>
        <v>1.6678543639195218</v>
      </c>
      <c r="AP41" s="247">
        <f t="shared" si="20"/>
        <v>1.2978444293588236</v>
      </c>
      <c r="AQ41" s="247">
        <f t="shared" si="20"/>
        <v>1.347615559502173</v>
      </c>
      <c r="AR41" s="311">
        <f t="shared" si="20"/>
        <v>1.4725653212197847</v>
      </c>
      <c r="AS41" s="247">
        <f>AS11/$AS$30</f>
        <v>1.3413999867901256</v>
      </c>
      <c r="AT41" s="247"/>
      <c r="AU41" s="247">
        <f>AU11/AU$30</f>
        <v>1.4667121529041156</v>
      </c>
      <c r="AV41" s="247"/>
      <c r="AW41" s="247"/>
      <c r="AX41" s="249">
        <f t="shared" ref="AX41:AX53" si="22">AS41-AU41</f>
        <v>-0.12531216611398999</v>
      </c>
      <c r="AY41" s="247">
        <f>780*1770/10^6</f>
        <v>1.3806</v>
      </c>
      <c r="AZ41" s="249">
        <f t="shared" ref="AZ41" si="23">AS41-AY41</f>
        <v>-3.9200013209874429E-2</v>
      </c>
      <c r="BA41" s="259">
        <f t="shared" si="17"/>
        <v>4.940656312726574E-2</v>
      </c>
      <c r="BB41" s="260">
        <f t="shared" si="18"/>
        <v>5.0052191928204016E-2</v>
      </c>
      <c r="BC41" s="249">
        <f t="shared" ref="BC41:BC53" si="24">BB41-BA41</f>
        <v>6.4562880093827629E-4</v>
      </c>
      <c r="BD41" s="261"/>
      <c r="BF41" s="158">
        <v>4</v>
      </c>
      <c r="BG41" s="254"/>
      <c r="BH41" s="254"/>
      <c r="BI41" s="254"/>
      <c r="BJ41" s="254"/>
      <c r="BK41" s="254"/>
      <c r="BL41" s="254"/>
      <c r="BM41" s="254"/>
      <c r="BO41" s="255">
        <f t="shared" si="21"/>
        <v>1.2480310553984482</v>
      </c>
    </row>
    <row r="42" spans="1:67" ht="18.75" customHeight="1" x14ac:dyDescent="0.4">
      <c r="A42" s="170">
        <v>6</v>
      </c>
      <c r="B42" s="256">
        <f t="shared" ref="B42:B50" si="25">B41+1</f>
        <v>3</v>
      </c>
      <c r="C42" s="257" t="s">
        <v>96</v>
      </c>
      <c r="D42" s="257" t="s">
        <v>165</v>
      </c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47">
        <f>AG12/AG36</f>
        <v>0.24444623502090104</v>
      </c>
      <c r="AH42" s="247">
        <f t="shared" ref="AH42:AU42" si="26">AH12/AH36</f>
        <v>0.1791780523255814</v>
      </c>
      <c r="AI42" s="247">
        <f t="shared" si="26"/>
        <v>0.20244940852819809</v>
      </c>
      <c r="AJ42" s="247">
        <f t="shared" si="26"/>
        <v>0.32910320587316466</v>
      </c>
      <c r="AK42" s="247">
        <f t="shared" si="26"/>
        <v>0.25994087445346664</v>
      </c>
      <c r="AL42" s="247">
        <f t="shared" si="26"/>
        <v>0.77022842940243263</v>
      </c>
      <c r="AM42" s="247">
        <f t="shared" si="26"/>
        <v>0.44817642376681616</v>
      </c>
      <c r="AN42" s="247">
        <f t="shared" si="26"/>
        <v>0.40354968683582737</v>
      </c>
      <c r="AO42" s="247">
        <f t="shared" si="26"/>
        <v>0.27436569754035361</v>
      </c>
      <c r="AP42" s="247">
        <f t="shared" si="26"/>
        <v>0.27069232984238251</v>
      </c>
      <c r="AQ42" s="247">
        <f t="shared" si="26"/>
        <v>0.38238949351521989</v>
      </c>
      <c r="AR42" s="311">
        <f t="shared" si="26"/>
        <v>0.57456559857891953</v>
      </c>
      <c r="AS42" s="247">
        <f t="shared" si="26"/>
        <v>0.3481741263468533</v>
      </c>
      <c r="AT42" s="247"/>
      <c r="AU42" s="247">
        <f t="shared" si="26"/>
        <v>0.75801172388268157</v>
      </c>
      <c r="AV42" s="247"/>
      <c r="AW42" s="247"/>
      <c r="AX42" s="249">
        <f t="shared" si="22"/>
        <v>-0.40983759753582827</v>
      </c>
      <c r="AY42" s="247">
        <f t="shared" ref="AY42:AY47" si="27">BO42</f>
        <v>0.32543140767624479</v>
      </c>
      <c r="AZ42" s="249">
        <f>AS42-AY42</f>
        <v>2.2742718670608508E-2</v>
      </c>
      <c r="BA42" s="259">
        <f t="shared" si="17"/>
        <v>2.5533813170542079E-2</v>
      </c>
      <c r="BB42" s="260">
        <f t="shared" si="18"/>
        <v>1.2991559838947614E-2</v>
      </c>
      <c r="BC42" s="249">
        <f t="shared" si="24"/>
        <v>-1.2542253331594465E-2</v>
      </c>
      <c r="BD42" s="261"/>
      <c r="BE42" s="158" t="s">
        <v>146</v>
      </c>
      <c r="BF42" s="186">
        <v>5</v>
      </c>
      <c r="BG42" s="254" cm="1">
        <f t="array" ref="BG42">AVERAGE(SMALL($AG42:AK42,ROW(1:3)))</f>
        <v>0.20869123195822684</v>
      </c>
      <c r="BH42" s="254" cm="1">
        <f t="array" ref="BH42">AVERAGE(SMALL($AG42:AL42,ROW(1:3)))</f>
        <v>0.20869123195822684</v>
      </c>
      <c r="BI42" s="254" cm="1">
        <f t="array" ref="BI42">AVERAGE(SMALL($AG42:AM42,ROW(1:3)))</f>
        <v>0.20869123195822684</v>
      </c>
      <c r="BJ42" s="254" cm="1">
        <f t="array" ref="BJ42">AVERAGE(SMALL($AG42:AN42,ROW(1:3)))</f>
        <v>0.20869123195822684</v>
      </c>
      <c r="BK42" s="254" cm="1">
        <f t="array" ref="BK42">AVERAGE(SMALL($AG42:AO42,ROW(1:3)))</f>
        <v>0.20869123195822684</v>
      </c>
      <c r="BL42" s="254" cm="1">
        <f t="array" ref="BL42">AVERAGE(SMALL($AG42:AP42,ROW(1:3)))</f>
        <v>0.20869123195822684</v>
      </c>
      <c r="BM42" s="254" cm="1">
        <f t="array" ref="BM42">AVERAGE(SMALL($AG42:AQ42,ROW(1:3)))</f>
        <v>0.20869123195822684</v>
      </c>
      <c r="BO42" s="255">
        <f t="shared" si="21"/>
        <v>0.32543140767624479</v>
      </c>
    </row>
    <row r="43" spans="1:67" ht="18.75" customHeight="1" x14ac:dyDescent="0.4">
      <c r="A43" s="170">
        <v>7</v>
      </c>
      <c r="B43" s="256">
        <f t="shared" si="25"/>
        <v>4</v>
      </c>
      <c r="C43" s="257" t="s">
        <v>96</v>
      </c>
      <c r="D43" s="257" t="s">
        <v>54</v>
      </c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47">
        <f t="shared" ref="AG43:AR50" si="28">AG13/AG$30</f>
        <v>0.36425936944763326</v>
      </c>
      <c r="AH43" s="247">
        <f t="shared" si="28"/>
        <v>0.51852029658616339</v>
      </c>
      <c r="AI43" s="247">
        <f t="shared" si="28"/>
        <v>0.36103649265037152</v>
      </c>
      <c r="AJ43" s="247">
        <f t="shared" si="28"/>
        <v>0.23105783178525657</v>
      </c>
      <c r="AK43" s="247">
        <f t="shared" si="28"/>
        <v>0.22002076224429171</v>
      </c>
      <c r="AL43" s="247">
        <f t="shared" si="28"/>
        <v>0.16915105042825263</v>
      </c>
      <c r="AM43" s="258">
        <f t="shared" si="28"/>
        <v>0.57719568503729857</v>
      </c>
      <c r="AN43" s="247">
        <f t="shared" si="28"/>
        <v>0.25052672670239096</v>
      </c>
      <c r="AO43" s="247">
        <f t="shared" si="28"/>
        <v>0.38290180712672073</v>
      </c>
      <c r="AP43" s="247">
        <f t="shared" si="28"/>
        <v>0.44104005837972288</v>
      </c>
      <c r="AQ43" s="247">
        <f t="shared" si="28"/>
        <v>0.36032087970905868</v>
      </c>
      <c r="AR43" s="311">
        <f t="shared" si="28"/>
        <v>9.6922859503289022E-2</v>
      </c>
      <c r="AS43" s="247">
        <f t="shared" ref="AS43:AS50" si="29">AS13/$AS$30</f>
        <v>0.32217463623852971</v>
      </c>
      <c r="AT43" s="247"/>
      <c r="AU43" s="247">
        <f t="shared" ref="AU43:AU50" si="30">AU13/AU$30</f>
        <v>0.49458949717465928</v>
      </c>
      <c r="AV43" s="247"/>
      <c r="AW43" s="247"/>
      <c r="AX43" s="249">
        <f t="shared" si="22"/>
        <v>-0.17241486093612957</v>
      </c>
      <c r="AY43" s="247">
        <f t="shared" si="27"/>
        <v>0.29797153647003377</v>
      </c>
      <c r="AZ43" s="249">
        <f t="shared" ref="AZ43:AZ53" si="31">AS43-AY43</f>
        <v>2.4203099768495939E-2</v>
      </c>
      <c r="BA43" s="259">
        <f t="shared" si="17"/>
        <v>1.6660370043200898E-2</v>
      </c>
      <c r="BB43" s="260">
        <f t="shared" si="18"/>
        <v>1.20214305100729E-2</v>
      </c>
      <c r="BC43" s="249">
        <f t="shared" si="24"/>
        <v>-4.6389395331279983E-3</v>
      </c>
      <c r="BD43" s="261"/>
      <c r="BE43" s="158" t="s">
        <v>146</v>
      </c>
      <c r="BF43" s="158">
        <v>6</v>
      </c>
      <c r="BG43" s="254" cm="1">
        <f t="array" ref="BG43">AVERAGE(SMALL($AG43:AK43,ROW(1:3)))</f>
        <v>0.27070502889330661</v>
      </c>
      <c r="BH43" s="254" cm="1">
        <f t="array" ref="BH43">AVERAGE(SMALL($AG43:AL43,ROW(1:3)))</f>
        <v>0.20674321481926694</v>
      </c>
      <c r="BI43" s="254" cm="1">
        <f t="array" ref="BI43">AVERAGE(SMALL($AG43:AM43,ROW(1:3)))</f>
        <v>0.20674321481926694</v>
      </c>
      <c r="BJ43" s="254" cm="1">
        <f t="array" ref="BJ43">AVERAGE(SMALL($AG43:AN43,ROW(1:3)))</f>
        <v>0.20674321481926694</v>
      </c>
      <c r="BK43" s="254" cm="1">
        <f t="array" ref="BK43">AVERAGE(SMALL($AG43:AO43,ROW(1:3)))</f>
        <v>0.20674321481926694</v>
      </c>
      <c r="BL43" s="254" cm="1">
        <f t="array" ref="BL43">AVERAGE(SMALL($AG43:AP43,ROW(1:3)))</f>
        <v>0.20674321481926694</v>
      </c>
      <c r="BM43" s="254" cm="1">
        <f t="array" ref="BM43">AVERAGE(SMALL($AG43:AQ43,ROW(1:3)))</f>
        <v>0.20674321481926694</v>
      </c>
      <c r="BO43" s="255">
        <f t="shared" si="21"/>
        <v>0.29797153647003377</v>
      </c>
    </row>
    <row r="44" spans="1:67" ht="18.75" customHeight="1" x14ac:dyDescent="0.4">
      <c r="A44" s="170">
        <v>8</v>
      </c>
      <c r="B44" s="256">
        <f t="shared" si="25"/>
        <v>5</v>
      </c>
      <c r="C44" s="257" t="s">
        <v>96</v>
      </c>
      <c r="D44" s="257" t="s">
        <v>49</v>
      </c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47">
        <f t="shared" si="28"/>
        <v>0.22104349144633051</v>
      </c>
      <c r="AH44" s="247">
        <f t="shared" si="28"/>
        <v>0.17413834605272782</v>
      </c>
      <c r="AI44" s="247">
        <f t="shared" si="28"/>
        <v>0.17437910803731205</v>
      </c>
      <c r="AJ44" s="247">
        <f t="shared" si="28"/>
        <v>0.29511833591119069</v>
      </c>
      <c r="AK44" s="247">
        <f t="shared" si="28"/>
        <v>0.21873103381150444</v>
      </c>
      <c r="AL44" s="247">
        <f t="shared" si="28"/>
        <v>0.26118333300191449</v>
      </c>
      <c r="AM44" s="258">
        <f t="shared" si="28"/>
        <v>0.27901386019468244</v>
      </c>
      <c r="AN44" s="247">
        <f t="shared" si="28"/>
        <v>0.25763787223513829</v>
      </c>
      <c r="AO44" s="247">
        <f t="shared" si="28"/>
        <v>0.21259091368767383</v>
      </c>
      <c r="AP44" s="247">
        <f t="shared" si="28"/>
        <v>0.14382199704817183</v>
      </c>
      <c r="AQ44" s="247">
        <f t="shared" si="28"/>
        <v>8.1993322649404857E-2</v>
      </c>
      <c r="AR44" s="311">
        <f t="shared" si="28"/>
        <v>0.21483632356740126</v>
      </c>
      <c r="AS44" s="247">
        <f t="shared" si="29"/>
        <v>0.20405670269460893</v>
      </c>
      <c r="AT44" s="247"/>
      <c r="AU44" s="247">
        <f t="shared" si="30"/>
        <v>0.31390168503940036</v>
      </c>
      <c r="AV44" s="247"/>
      <c r="AW44" s="247"/>
      <c r="AX44" s="249">
        <f t="shared" si="22"/>
        <v>-0.10984498234479143</v>
      </c>
      <c r="AY44" s="247">
        <f t="shared" si="27"/>
        <v>0.19008659532325894</v>
      </c>
      <c r="AZ44" s="249">
        <f t="shared" si="31"/>
        <v>1.3970107371349988E-2</v>
      </c>
      <c r="BA44" s="259">
        <f t="shared" si="17"/>
        <v>1.0573856217763329E-2</v>
      </c>
      <c r="BB44" s="260">
        <f t="shared" si="18"/>
        <v>7.6140490145278541E-3</v>
      </c>
      <c r="BC44" s="249">
        <f t="shared" si="24"/>
        <v>-2.9598072032354754E-3</v>
      </c>
      <c r="BD44" s="261"/>
      <c r="BF44" s="186">
        <v>7</v>
      </c>
      <c r="BG44" s="254" cm="1">
        <f t="array" ref="BG44">AVERAGE(SMALL($AG44:AK44,ROW(1:3)))</f>
        <v>0.18908282930051476</v>
      </c>
      <c r="BH44" s="254" cm="1">
        <f t="array" ref="BH44">AVERAGE(SMALL($AG44:AL44,ROW(1:3)))</f>
        <v>0.18908282930051476</v>
      </c>
      <c r="BI44" s="254" cm="1">
        <f t="array" ref="BI44">AVERAGE(SMALL($AG44:AM44,ROW(1:3)))</f>
        <v>0.18908282930051476</v>
      </c>
      <c r="BJ44" s="254" cm="1">
        <f t="array" ref="BJ44">AVERAGE(SMALL($AG44:AN44,ROW(1:3)))</f>
        <v>0.18908282930051476</v>
      </c>
      <c r="BK44" s="254" cm="1">
        <f t="array" ref="BK44">AVERAGE(SMALL($AG44:AO44,ROW(1:3)))</f>
        <v>0.18703612259257121</v>
      </c>
      <c r="BL44" s="254" cm="1">
        <f t="array" ref="BL44">AVERAGE(SMALL($AG44:AP44,ROW(1:3)))</f>
        <v>0.16411315037940391</v>
      </c>
      <c r="BM44" s="254" cm="1">
        <f t="array" ref="BM44">AVERAGE(SMALL($AG44:AQ44,ROW(1:3)))</f>
        <v>0.13331788858343482</v>
      </c>
      <c r="BO44" s="255">
        <f t="shared" si="21"/>
        <v>0.19008659532325894</v>
      </c>
    </row>
    <row r="45" spans="1:67" ht="18.75" customHeight="1" x14ac:dyDescent="0.4">
      <c r="A45" s="170">
        <v>9</v>
      </c>
      <c r="B45" s="256">
        <f t="shared" si="25"/>
        <v>6</v>
      </c>
      <c r="C45" s="257" t="s">
        <v>96</v>
      </c>
      <c r="D45" s="257" t="s">
        <v>56</v>
      </c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47">
        <f t="shared" si="28"/>
        <v>0.19249577376217616</v>
      </c>
      <c r="AH45" s="247">
        <f t="shared" si="28"/>
        <v>0.14601927283835794</v>
      </c>
      <c r="AI45" s="247">
        <f t="shared" si="28"/>
        <v>0.15544548159294574</v>
      </c>
      <c r="AJ45" s="247">
        <f t="shared" si="28"/>
        <v>0.14937582176795572</v>
      </c>
      <c r="AK45" s="247">
        <f t="shared" si="28"/>
        <v>0.15687076841241551</v>
      </c>
      <c r="AL45" s="247">
        <f t="shared" si="28"/>
        <v>0.22402134747056165</v>
      </c>
      <c r="AM45" s="247">
        <f t="shared" si="28"/>
        <v>0.17222814108691273</v>
      </c>
      <c r="AN45" s="247">
        <f t="shared" si="28"/>
        <v>0.16486599386796169</v>
      </c>
      <c r="AO45" s="247">
        <f t="shared" si="28"/>
        <v>0.18446355088199803</v>
      </c>
      <c r="AP45" s="247">
        <f t="shared" si="28"/>
        <v>0.16472709680717845</v>
      </c>
      <c r="AQ45" s="247">
        <f t="shared" si="28"/>
        <v>0.17266014867454996</v>
      </c>
      <c r="AR45" s="311">
        <f t="shared" si="28"/>
        <v>0.18448353831225128</v>
      </c>
      <c r="AS45" s="247">
        <f t="shared" si="29"/>
        <v>0.17167991598156684</v>
      </c>
      <c r="AT45" s="247"/>
      <c r="AU45" s="247">
        <f t="shared" si="30"/>
        <v>0.18593108047532295</v>
      </c>
      <c r="AV45" s="247"/>
      <c r="AW45" s="247"/>
      <c r="AX45" s="249">
        <f t="shared" si="22"/>
        <v>-1.4251164493756102E-2</v>
      </c>
      <c r="AY45" s="247">
        <f t="shared" si="27"/>
        <v>0.1550742701606449</v>
      </c>
      <c r="AZ45" s="249">
        <f t="shared" si="31"/>
        <v>1.6605645820921944E-2</v>
      </c>
      <c r="BA45" s="259">
        <f t="shared" si="17"/>
        <v>6.2631346216337697E-3</v>
      </c>
      <c r="BB45" s="260">
        <f t="shared" si="18"/>
        <v>6.4059610776422129E-3</v>
      </c>
      <c r="BC45" s="249">
        <f t="shared" si="24"/>
        <v>1.4282645600844322E-4</v>
      </c>
      <c r="BD45" s="261"/>
      <c r="BE45" s="158" t="s">
        <v>146</v>
      </c>
      <c r="BF45" s="158">
        <v>8</v>
      </c>
      <c r="BG45" s="254" cm="1">
        <f t="array" ref="BG45">AVERAGE(SMALL($AG45:AK45,ROW(1:3)))</f>
        <v>0.15028019206641979</v>
      </c>
      <c r="BH45" s="254" cm="1">
        <f t="array" ref="BH45">AVERAGE(SMALL($AG45:AL45,ROW(1:3)))</f>
        <v>0.15028019206641979</v>
      </c>
      <c r="BI45" s="254" cm="1">
        <f t="array" ref="BI45">AVERAGE(SMALL($AG45:AM45,ROW(1:3)))</f>
        <v>0.15028019206641979</v>
      </c>
      <c r="BJ45" s="254" cm="1">
        <f t="array" ref="BJ45">AVERAGE(SMALL($AG45:AN45,ROW(1:3)))</f>
        <v>0.15028019206641979</v>
      </c>
      <c r="BK45" s="254" cm="1">
        <f t="array" ref="BK45">AVERAGE(SMALL($AG45:AO45,ROW(1:3)))</f>
        <v>0.15028019206641979</v>
      </c>
      <c r="BL45" s="254" cm="1">
        <f t="array" ref="BL45">AVERAGE(SMALL($AG45:AP45,ROW(1:3)))</f>
        <v>0.15028019206641979</v>
      </c>
      <c r="BM45" s="254" cm="1">
        <f t="array" ref="BM45">AVERAGE(SMALL($AG45:AQ45,ROW(1:3)))</f>
        <v>0.15028019206641979</v>
      </c>
      <c r="BO45" s="255">
        <f t="shared" si="21"/>
        <v>0.1550742701606449</v>
      </c>
    </row>
    <row r="46" spans="1:67" ht="18.75" customHeight="1" x14ac:dyDescent="0.4">
      <c r="A46" s="170">
        <v>10</v>
      </c>
      <c r="B46" s="256">
        <f t="shared" si="25"/>
        <v>7</v>
      </c>
      <c r="C46" s="257" t="s">
        <v>96</v>
      </c>
      <c r="D46" s="257" t="s">
        <v>28</v>
      </c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47">
        <f t="shared" si="28"/>
        <v>8.0946318197641975E-2</v>
      </c>
      <c r="AH46" s="247">
        <f t="shared" si="28"/>
        <v>9.2151969142682991E-2</v>
      </c>
      <c r="AI46" s="247">
        <f>AI16/AI$30</f>
        <v>8.4277115323424898E-2</v>
      </c>
      <c r="AJ46" s="247">
        <f t="shared" si="28"/>
        <v>8.6304032437479139E-2</v>
      </c>
      <c r="AK46" s="247">
        <f t="shared" si="28"/>
        <v>8.8939596751832065E-2</v>
      </c>
      <c r="AL46" s="247">
        <f t="shared" si="28"/>
        <v>0.10167778111739818</v>
      </c>
      <c r="AM46" s="247">
        <f t="shared" si="28"/>
        <v>0.169231411512068</v>
      </c>
      <c r="AN46" s="247">
        <f t="shared" si="28"/>
        <v>0.12214887011093087</v>
      </c>
      <c r="AO46" s="247">
        <f t="shared" si="28"/>
        <v>9.4340654533898824E-2</v>
      </c>
      <c r="AP46" s="247">
        <f t="shared" si="28"/>
        <v>7.2484702400022943E-2</v>
      </c>
      <c r="AQ46" s="247">
        <f t="shared" si="28"/>
        <v>6.6348175031311532E-2</v>
      </c>
      <c r="AR46" s="311">
        <f t="shared" si="28"/>
        <v>8.7713977955019617E-2</v>
      </c>
      <c r="AS46" s="247">
        <f t="shared" si="29"/>
        <v>8.9762188913614802E-2</v>
      </c>
      <c r="AT46" s="247"/>
      <c r="AU46" s="247">
        <f t="shared" si="30"/>
        <v>0.16522426015083144</v>
      </c>
      <c r="AV46" s="247"/>
      <c r="AW46" s="247"/>
      <c r="AX46" s="249">
        <f t="shared" si="22"/>
        <v>-7.5462071237216641E-2</v>
      </c>
      <c r="AY46" s="247">
        <f t="shared" si="27"/>
        <v>8.5992345338528328E-2</v>
      </c>
      <c r="AZ46" s="249">
        <f t="shared" si="31"/>
        <v>3.7698435750864734E-3</v>
      </c>
      <c r="BA46" s="259">
        <f t="shared" si="17"/>
        <v>5.5656202364824121E-3</v>
      </c>
      <c r="BB46" s="260">
        <f t="shared" si="18"/>
        <v>3.349332303298206E-3</v>
      </c>
      <c r="BC46" s="249">
        <f t="shared" si="24"/>
        <v>-2.2162879331842061E-3</v>
      </c>
      <c r="BD46" s="261"/>
      <c r="BF46" s="186">
        <v>9</v>
      </c>
      <c r="BG46" s="254" cm="1">
        <f t="array" ref="BG46">AVERAGE(SMALL($AG46:AK46,ROW(1:3)))</f>
        <v>8.3842488652848671E-2</v>
      </c>
      <c r="BH46" s="254" cm="1">
        <f t="array" ref="BH46">AVERAGE(SMALL($AG46:AL46,ROW(1:3)))</f>
        <v>8.3842488652848671E-2</v>
      </c>
      <c r="BI46" s="254" cm="1">
        <f t="array" ref="BI46">AVERAGE(SMALL($AG46:AM46,ROW(1:3)))</f>
        <v>8.3842488652848671E-2</v>
      </c>
      <c r="BJ46" s="254" cm="1">
        <f t="array" ref="BJ46">AVERAGE(SMALL($AG46:AN46,ROW(1:3)))</f>
        <v>8.3842488652848671E-2</v>
      </c>
      <c r="BK46" s="254" cm="1">
        <f t="array" ref="BK46">AVERAGE(SMALL($AG46:AO46,ROW(1:3)))</f>
        <v>8.3842488652848671E-2</v>
      </c>
      <c r="BL46" s="254" cm="1">
        <f t="array" ref="BL46">AVERAGE(SMALL($AG46:AP46,ROW(1:3)))</f>
        <v>7.9236045307029934E-2</v>
      </c>
      <c r="BM46" s="254" cm="1">
        <f t="array" ref="BM46">AVERAGE(SMALL($AG46:AQ46,ROW(1:3)))</f>
        <v>7.3259731876325493E-2</v>
      </c>
      <c r="BO46" s="255">
        <f t="shared" si="21"/>
        <v>8.5992345338528328E-2</v>
      </c>
    </row>
    <row r="47" spans="1:67" ht="18.75" customHeight="1" x14ac:dyDescent="0.4">
      <c r="A47" s="170">
        <v>11</v>
      </c>
      <c r="B47" s="256">
        <f t="shared" si="25"/>
        <v>8</v>
      </c>
      <c r="C47" s="257" t="s">
        <v>96</v>
      </c>
      <c r="D47" s="257" t="s">
        <v>53</v>
      </c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47">
        <f t="shared" si="28"/>
        <v>3.5576873302160153E-2</v>
      </c>
      <c r="AH47" s="247">
        <f t="shared" si="28"/>
        <v>4.7517225001042211E-2</v>
      </c>
      <c r="AI47" s="247">
        <f t="shared" si="28"/>
        <v>2.6750609524719804E-2</v>
      </c>
      <c r="AJ47" s="247">
        <f t="shared" si="28"/>
        <v>4.7752052472964539E-2</v>
      </c>
      <c r="AK47" s="247">
        <f t="shared" si="28"/>
        <v>6.9009795206971689E-2</v>
      </c>
      <c r="AL47" s="247">
        <f t="shared" si="28"/>
        <v>8.4457196835146117E-2</v>
      </c>
      <c r="AM47" s="247">
        <f t="shared" si="28"/>
        <v>0.1000915965504087</v>
      </c>
      <c r="AN47" s="247">
        <f t="shared" si="28"/>
        <v>0.10593187896008477</v>
      </c>
      <c r="AO47" s="247">
        <f t="shared" si="28"/>
        <v>5.1820617470238355E-2</v>
      </c>
      <c r="AP47" s="247">
        <f t="shared" si="28"/>
        <v>6.341755768299305E-2</v>
      </c>
      <c r="AQ47" s="247">
        <f t="shared" si="28"/>
        <v>5.700006826657552E-2</v>
      </c>
      <c r="AR47" s="311">
        <f t="shared" si="28"/>
        <v>9.246188764977098E-2</v>
      </c>
      <c r="AS47" s="247">
        <f t="shared" si="29"/>
        <v>6.0344766034073405E-2</v>
      </c>
      <c r="AT47" s="247"/>
      <c r="AU47" s="247">
        <f t="shared" si="30"/>
        <v>0.12312496242643287</v>
      </c>
      <c r="AV47" s="247"/>
      <c r="AW47" s="247"/>
      <c r="AX47" s="249">
        <f t="shared" si="22"/>
        <v>-6.2780196392359461E-2</v>
      </c>
      <c r="AY47" s="247">
        <f t="shared" si="27"/>
        <v>5.8634051919230698E-2</v>
      </c>
      <c r="AZ47" s="249">
        <f t="shared" si="31"/>
        <v>1.7107141148427069E-3</v>
      </c>
      <c r="BA47" s="259">
        <f t="shared" si="17"/>
        <v>4.1474949373119831E-3</v>
      </c>
      <c r="BB47" s="260">
        <f t="shared" si="18"/>
        <v>2.251668287717507E-3</v>
      </c>
      <c r="BC47" s="249">
        <f t="shared" si="24"/>
        <v>-1.8958266495944761E-3</v>
      </c>
      <c r="BD47" s="261"/>
      <c r="BE47" s="158" t="s">
        <v>146</v>
      </c>
      <c r="BF47" s="158">
        <v>10</v>
      </c>
      <c r="BG47" s="254" cm="1">
        <f t="array" ref="BG47">AVERAGE(SMALL($AG47:AK47,ROW(1:3)))</f>
        <v>3.6614902609307387E-2</v>
      </c>
      <c r="BH47" s="254" cm="1">
        <f t="array" ref="BH47">AVERAGE(SMALL($AG47:AL47,ROW(1:3)))</f>
        <v>3.6614902609307387E-2</v>
      </c>
      <c r="BI47" s="254" cm="1">
        <f t="array" ref="BI47">AVERAGE(SMALL($AG47:AM47,ROW(1:3)))</f>
        <v>3.6614902609307387E-2</v>
      </c>
      <c r="BJ47" s="254" cm="1">
        <f t="array" ref="BJ47">AVERAGE(SMALL($AG47:AN47,ROW(1:3)))</f>
        <v>3.6614902609307387E-2</v>
      </c>
      <c r="BK47" s="254" cm="1">
        <f t="array" ref="BK47">AVERAGE(SMALL($AG47:AO47,ROW(1:3)))</f>
        <v>3.6614902609307387E-2</v>
      </c>
      <c r="BL47" s="254" cm="1">
        <f t="array" ref="BL47">AVERAGE(SMALL($AG47:AP47,ROW(1:3)))</f>
        <v>3.6614902609307387E-2</v>
      </c>
      <c r="BM47" s="254" cm="1">
        <f t="array" ref="BM47">AVERAGE(SMALL($AG47:AQ47,ROW(1:3)))</f>
        <v>3.6614902609307387E-2</v>
      </c>
      <c r="BO47" s="255">
        <f t="shared" si="21"/>
        <v>5.8634051919230698E-2</v>
      </c>
    </row>
    <row r="48" spans="1:67" ht="18.75" customHeight="1" x14ac:dyDescent="0.4">
      <c r="A48" s="170">
        <v>12</v>
      </c>
      <c r="B48" s="256">
        <f t="shared" si="25"/>
        <v>9</v>
      </c>
      <c r="C48" s="257" t="s">
        <v>96</v>
      </c>
      <c r="D48" s="257" t="s">
        <v>42</v>
      </c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47">
        <f t="shared" si="28"/>
        <v>1.46039738745108E-2</v>
      </c>
      <c r="AH48" s="247">
        <f t="shared" si="28"/>
        <v>2.2448970135677343E-2</v>
      </c>
      <c r="AI48" s="247">
        <f t="shared" si="28"/>
        <v>1.469996781333696E-2</v>
      </c>
      <c r="AJ48" s="247">
        <f t="shared" si="28"/>
        <v>3.4134321793031018E-2</v>
      </c>
      <c r="AK48" s="247">
        <f t="shared" si="28"/>
        <v>2.5952324816795408E-2</v>
      </c>
      <c r="AL48" s="247">
        <f t="shared" si="28"/>
        <v>2.3417864483289263E-2</v>
      </c>
      <c r="AM48" s="247">
        <f t="shared" si="28"/>
        <v>3.9132589379476473E-2</v>
      </c>
      <c r="AN48" s="247">
        <f t="shared" si="28"/>
        <v>3.6270317308470724E-2</v>
      </c>
      <c r="AO48" s="247">
        <f t="shared" si="28"/>
        <v>2.1561051106778355E-2</v>
      </c>
      <c r="AP48" s="247">
        <f t="shared" si="28"/>
        <v>2.0357381311664084E-2</v>
      </c>
      <c r="AQ48" s="247">
        <f t="shared" si="28"/>
        <v>1.5656766128554336E-2</v>
      </c>
      <c r="AR48" s="311">
        <f t="shared" si="28"/>
        <v>2.1628591706228283E-2</v>
      </c>
      <c r="AS48" s="247">
        <f t="shared" si="29"/>
        <v>2.2706169441688132E-2</v>
      </c>
      <c r="AT48" s="247"/>
      <c r="AU48" s="247">
        <f t="shared" si="30"/>
        <v>5.7261738267998713E-2</v>
      </c>
      <c r="AV48" s="247"/>
      <c r="AW48" s="247"/>
      <c r="AX48" s="249">
        <f t="shared" si="22"/>
        <v>-3.4555568826310584E-2</v>
      </c>
      <c r="AY48" s="247">
        <v>0.05</v>
      </c>
      <c r="AZ48" s="249">
        <f t="shared" si="31"/>
        <v>-2.7293830558311871E-2</v>
      </c>
      <c r="BA48" s="259">
        <f t="shared" si="17"/>
        <v>1.9288758744605535E-3</v>
      </c>
      <c r="BB48" s="260">
        <f>AS48/$AS$59</f>
        <v>8.4724434325457486E-4</v>
      </c>
      <c r="BC48" s="249">
        <f t="shared" si="24"/>
        <v>-1.0816315312059785E-3</v>
      </c>
      <c r="BD48" s="261"/>
      <c r="BF48" s="186">
        <v>11</v>
      </c>
      <c r="BG48" s="254"/>
      <c r="BH48" s="254"/>
      <c r="BI48" s="254"/>
      <c r="BJ48" s="254"/>
      <c r="BK48" s="254"/>
      <c r="BL48" s="254"/>
      <c r="BM48" s="254"/>
      <c r="BO48" s="255">
        <f t="shared" si="21"/>
        <v>2.1739808989335977E-2</v>
      </c>
    </row>
    <row r="49" spans="1:67" ht="18.75" customHeight="1" x14ac:dyDescent="0.4">
      <c r="A49" s="170">
        <v>13</v>
      </c>
      <c r="B49" s="256">
        <f t="shared" si="25"/>
        <v>10</v>
      </c>
      <c r="C49" s="257" t="s">
        <v>96</v>
      </c>
      <c r="D49" s="257" t="s">
        <v>52</v>
      </c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47">
        <f t="shared" si="28"/>
        <v>2.7104194689777188E-2</v>
      </c>
      <c r="AH49" s="247">
        <f t="shared" si="28"/>
        <v>3.8902894992041699E-2</v>
      </c>
      <c r="AI49" s="247">
        <f t="shared" si="28"/>
        <v>2.8546751740755216E-2</v>
      </c>
      <c r="AJ49" s="247">
        <f t="shared" si="28"/>
        <v>3.2231397837869602E-2</v>
      </c>
      <c r="AK49" s="247">
        <f t="shared" si="28"/>
        <v>2.9557060804119632E-2</v>
      </c>
      <c r="AL49" s="247">
        <f t="shared" si="28"/>
        <v>3.801910374156544E-2</v>
      </c>
      <c r="AM49" s="247">
        <f t="shared" si="28"/>
        <v>5.474811725524318E-2</v>
      </c>
      <c r="AN49" s="247">
        <f t="shared" si="28"/>
        <v>4.9621029083284217E-2</v>
      </c>
      <c r="AO49" s="247">
        <f t="shared" si="28"/>
        <v>3.5646642385508576E-2</v>
      </c>
      <c r="AP49" s="247">
        <f t="shared" si="28"/>
        <v>2.9550425590368565E-2</v>
      </c>
      <c r="AQ49" s="247">
        <f t="shared" si="28"/>
        <v>2.9545313195949986E-2</v>
      </c>
      <c r="AR49" s="311">
        <f t="shared" si="28"/>
        <v>3.7812935597966411E-2</v>
      </c>
      <c r="AS49" s="247">
        <f t="shared" si="29"/>
        <v>3.3800688161189509E-2</v>
      </c>
      <c r="AT49" s="247"/>
      <c r="AU49" s="247">
        <f t="shared" si="30"/>
        <v>6.5697715190336167E-2</v>
      </c>
      <c r="AV49" s="247"/>
      <c r="AW49" s="247"/>
      <c r="AX49" s="249">
        <f t="shared" si="22"/>
        <v>-3.1897027029146659E-2</v>
      </c>
      <c r="AY49" s="247">
        <f>14700*3.1/10^6</f>
        <v>4.5569999999999999E-2</v>
      </c>
      <c r="AZ49" s="249">
        <f t="shared" si="31"/>
        <v>-1.1769311838810491E-2</v>
      </c>
      <c r="BA49" s="259">
        <f t="shared" si="17"/>
        <v>2.2130438521570399E-3</v>
      </c>
      <c r="BB49" s="260">
        <f t="shared" ref="BB49:BB51" si="32">AS49/$AS$59</f>
        <v>1.2612185386982027E-3</v>
      </c>
      <c r="BC49" s="249">
        <f t="shared" si="24"/>
        <v>-9.5182531345883712E-4</v>
      </c>
      <c r="BD49" s="261"/>
      <c r="BF49" s="158">
        <v>12</v>
      </c>
      <c r="BG49" s="254"/>
      <c r="BH49" s="254"/>
      <c r="BI49" s="254"/>
      <c r="BJ49" s="254"/>
      <c r="BK49" s="254"/>
      <c r="BL49" s="254"/>
      <c r="BM49" s="254"/>
      <c r="BO49" s="255">
        <f t="shared" si="21"/>
        <v>3.2346440018583729E-2</v>
      </c>
    </row>
    <row r="50" spans="1:67" ht="18.75" customHeight="1" x14ac:dyDescent="0.4">
      <c r="A50" s="170">
        <v>14</v>
      </c>
      <c r="B50" s="256">
        <f t="shared" si="25"/>
        <v>11</v>
      </c>
      <c r="C50" s="262" t="s">
        <v>96</v>
      </c>
      <c r="D50" s="262" t="s">
        <v>55</v>
      </c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247">
        <f t="shared" si="28"/>
        <v>4.8381960077189517E-3</v>
      </c>
      <c r="AH50" s="247">
        <f t="shared" si="28"/>
        <v>0</v>
      </c>
      <c r="AI50" s="247">
        <f t="shared" si="28"/>
        <v>4.7066745254407388E-3</v>
      </c>
      <c r="AJ50" s="247">
        <f t="shared" si="28"/>
        <v>0</v>
      </c>
      <c r="AK50" s="247">
        <f t="shared" si="28"/>
        <v>0</v>
      </c>
      <c r="AL50" s="247">
        <f t="shared" si="28"/>
        <v>3.007625159349249E-3</v>
      </c>
      <c r="AM50" s="247">
        <f t="shared" si="28"/>
        <v>1.0846087491373878E-2</v>
      </c>
      <c r="AN50" s="263">
        <f t="shared" si="28"/>
        <v>1.3495985669866473E-2</v>
      </c>
      <c r="AO50" s="247">
        <f t="shared" si="28"/>
        <v>4.0342577731933028E-5</v>
      </c>
      <c r="AP50" s="247">
        <f t="shared" si="28"/>
        <v>9.3704260259338378E-3</v>
      </c>
      <c r="AQ50" s="247">
        <f t="shared" si="28"/>
        <v>2.3558250759046833E-3</v>
      </c>
      <c r="AR50" s="312">
        <f t="shared" si="28"/>
        <v>2.2599604820296836E-3</v>
      </c>
      <c r="AS50" s="263">
        <f t="shared" si="29"/>
        <v>3.7386384479061699E-3</v>
      </c>
      <c r="AT50" s="263"/>
      <c r="AU50" s="263">
        <f t="shared" si="30"/>
        <v>1.5630587217676021E-2</v>
      </c>
      <c r="AV50" s="331"/>
      <c r="AW50" s="331"/>
      <c r="AX50" s="264">
        <f t="shared" si="22"/>
        <v>-1.1891948769769851E-2</v>
      </c>
      <c r="AY50" s="247">
        <f t="shared" ref="AY50" si="33">BO50</f>
        <v>3.8190842261512075E-3</v>
      </c>
      <c r="AZ50" s="265">
        <f t="shared" si="31"/>
        <v>-8.0445778245037593E-5</v>
      </c>
      <c r="BA50" s="266">
        <f t="shared" si="17"/>
        <v>5.2652021227019073E-4</v>
      </c>
      <c r="BB50" s="267">
        <f t="shared" si="32"/>
        <v>1.3950130534334061E-4</v>
      </c>
      <c r="BC50" s="265">
        <f t="shared" si="24"/>
        <v>-3.8701890692685012E-4</v>
      </c>
      <c r="BD50" s="268"/>
      <c r="BE50" s="158" t="s">
        <v>146</v>
      </c>
      <c r="BF50" s="186">
        <v>13</v>
      </c>
      <c r="BG50" s="254" cm="1">
        <f t="array" ref="BG50">AVERAGE(SMALL($AG50:AK50,ROW(1:3)))</f>
        <v>0</v>
      </c>
      <c r="BH50" s="254" cm="1">
        <f t="array" ref="BH50">AVERAGE(SMALL($AG50:AL50,ROW(1:3)))</f>
        <v>0</v>
      </c>
      <c r="BI50" s="254" cm="1">
        <f t="array" ref="BI50">AVERAGE(SMALL($AG50:AM50,ROW(1:3)))</f>
        <v>0</v>
      </c>
      <c r="BJ50" s="254" cm="1">
        <f t="array" ref="BJ50">AVERAGE(SMALL($AG50:AN50,ROW(1:3)))</f>
        <v>0</v>
      </c>
      <c r="BK50" s="254" cm="1">
        <f t="array" ref="BK50">AVERAGE(SMALL($AG50:AO50,ROW(1:3)))</f>
        <v>0</v>
      </c>
      <c r="BL50" s="254" cm="1">
        <f t="array" ref="BL50">AVERAGE(SMALL($AG50:AP50,ROW(1:3)))</f>
        <v>0</v>
      </c>
      <c r="BM50" s="254" cm="1">
        <f t="array" ref="BM50">AVERAGE(SMALL($AG50:AQ50,ROW(1:3)))</f>
        <v>0</v>
      </c>
      <c r="BO50" s="255">
        <f t="shared" si="21"/>
        <v>3.8190842261512075E-3</v>
      </c>
    </row>
    <row r="51" spans="1:67" ht="18.75" customHeight="1" x14ac:dyDescent="0.4">
      <c r="A51" s="170">
        <v>15</v>
      </c>
      <c r="B51" s="236" t="s">
        <v>163</v>
      </c>
      <c r="C51" s="213"/>
      <c r="D51" s="237" t="s">
        <v>164</v>
      </c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8">
        <f t="shared" ref="AG51:AR51" si="34">SUM(AG52:AG58)</f>
        <v>4.3744039667702337</v>
      </c>
      <c r="AH51" s="238">
        <f t="shared" si="34"/>
        <v>6.6005409497983161</v>
      </c>
      <c r="AI51" s="238">
        <f t="shared" si="34"/>
        <v>4.7899546363431265</v>
      </c>
      <c r="AJ51" s="238">
        <f t="shared" si="34"/>
        <v>5.1632143260230601</v>
      </c>
      <c r="AK51" s="238">
        <f t="shared" si="34"/>
        <v>5.5254035808316617</v>
      </c>
      <c r="AL51" s="238">
        <f t="shared" si="34"/>
        <v>6.9482420988927869</v>
      </c>
      <c r="AM51" s="238">
        <f t="shared" si="34"/>
        <v>12.669728009105469</v>
      </c>
      <c r="AN51" s="238">
        <f t="shared" si="34"/>
        <v>11.425970831960337</v>
      </c>
      <c r="AO51" s="238">
        <f t="shared" si="34"/>
        <v>9.5936334499380944</v>
      </c>
      <c r="AP51" s="238">
        <f t="shared" si="34"/>
        <v>6.1630139986876378</v>
      </c>
      <c r="AQ51" s="238">
        <f t="shared" si="34"/>
        <v>5.606012787139302</v>
      </c>
      <c r="AR51" s="310">
        <f t="shared" si="34"/>
        <v>9.9545035367527817</v>
      </c>
      <c r="AS51" s="238">
        <f>SUM(AS52:AS58)</f>
        <v>5.6948089810776121</v>
      </c>
      <c r="AT51" s="238"/>
      <c r="AU51" s="238">
        <f>SUM(AU52:AU58)</f>
        <v>6.7142758229149431</v>
      </c>
      <c r="AV51" s="238"/>
      <c r="AW51" s="238"/>
      <c r="AX51" s="239">
        <f t="shared" si="22"/>
        <v>-1.0194668418373309</v>
      </c>
      <c r="AY51" s="238">
        <f>SUM(AY52:AY58)</f>
        <v>6.6610966629182107</v>
      </c>
      <c r="AZ51" s="240">
        <f t="shared" si="31"/>
        <v>-0.96628768184059854</v>
      </c>
      <c r="BA51" s="241">
        <f t="shared" si="17"/>
        <v>0.22617204857946496</v>
      </c>
      <c r="BB51" s="242">
        <f t="shared" si="32"/>
        <v>0.21249267550496359</v>
      </c>
      <c r="BC51" s="240">
        <f t="shared" si="24"/>
        <v>-1.3679373074501372E-2</v>
      </c>
      <c r="BD51" s="243"/>
      <c r="BF51" s="158">
        <v>14</v>
      </c>
      <c r="BG51" s="238">
        <f>SUM(BG52:BG58)</f>
        <v>4.5035504815363643</v>
      </c>
      <c r="BH51" s="238">
        <f t="shared" ref="BH51:BM51" si="35">SUM(BH52:BH58)</f>
        <v>4.5035504815363643</v>
      </c>
      <c r="BI51" s="238">
        <f t="shared" si="35"/>
        <v>4.5035504815363643</v>
      </c>
      <c r="BJ51" s="238">
        <f t="shared" si="35"/>
        <v>4.5035504815363643</v>
      </c>
      <c r="BK51" s="238">
        <f t="shared" si="35"/>
        <v>4.5035504815363643</v>
      </c>
      <c r="BL51" s="238">
        <f t="shared" si="35"/>
        <v>4.412424774433485</v>
      </c>
      <c r="BM51" s="238">
        <f t="shared" si="35"/>
        <v>4.3238670348383046</v>
      </c>
      <c r="BO51" s="244">
        <f>SUM(BO52:BO58)</f>
        <v>6.6610966629182107</v>
      </c>
    </row>
    <row r="52" spans="1:67" ht="18.75" customHeight="1" x14ac:dyDescent="0.4">
      <c r="A52" s="170">
        <v>16</v>
      </c>
      <c r="B52" s="245">
        <v>1</v>
      </c>
      <c r="C52" s="246" t="s">
        <v>97</v>
      </c>
      <c r="D52" s="246" t="s">
        <v>168</v>
      </c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247">
        <f>(AG22-AG33)/AG$30</f>
        <v>1.5363447295211303</v>
      </c>
      <c r="AH52" s="247">
        <f>(AH22-AH33)/AH$30</f>
        <v>2.3875075607898673</v>
      </c>
      <c r="AI52" s="247">
        <f t="shared" ref="AI52:AS52" si="36">(AI22-AI33)/AI$30</f>
        <v>1.5652287707240788</v>
      </c>
      <c r="AJ52" s="247">
        <f t="shared" si="36"/>
        <v>1.3477088301167377</v>
      </c>
      <c r="AK52" s="247">
        <f t="shared" si="36"/>
        <v>1.3640556760131666</v>
      </c>
      <c r="AL52" s="247">
        <f t="shared" si="36"/>
        <v>1.7242057271359066</v>
      </c>
      <c r="AM52" s="247">
        <f t="shared" si="36"/>
        <v>3.228755882729041</v>
      </c>
      <c r="AN52" s="247">
        <f t="shared" si="36"/>
        <v>2.7484609904834452</v>
      </c>
      <c r="AO52" s="247">
        <f>(AO22-AO33)/AO$30</f>
        <v>2.1526856167294248</v>
      </c>
      <c r="AP52" s="247">
        <f>(AP22-AP33)/AP$30</f>
        <v>1.2638910606204776</v>
      </c>
      <c r="AQ52" s="247">
        <f>(AQ22-AQ33)/AQ$30</f>
        <v>1.1048772425971425</v>
      </c>
      <c r="AR52" s="311">
        <f>(AR22-AR33)/AR$30</f>
        <v>0.43667458647218088</v>
      </c>
      <c r="AS52" s="248">
        <f t="shared" si="36"/>
        <v>0.56334264233812947</v>
      </c>
      <c r="AT52" s="248"/>
      <c r="AU52" s="248">
        <f t="shared" ref="AU52:AU58" si="37">AU22/AU$30</f>
        <v>0.67025418885324251</v>
      </c>
      <c r="AV52" s="248"/>
      <c r="AW52" s="248"/>
      <c r="AX52" s="250">
        <f t="shared" si="22"/>
        <v>-0.10691154651511303</v>
      </c>
      <c r="AY52" s="247">
        <f>BO52</f>
        <v>1.5645297505449449</v>
      </c>
      <c r="AZ52" s="250">
        <f t="shared" si="31"/>
        <v>-1.0011871082068153</v>
      </c>
      <c r="BA52" s="251">
        <f t="shared" si="17"/>
        <v>2.2577678808567741E-2</v>
      </c>
      <c r="BB52" s="252">
        <f>AS52/$AS$59</f>
        <v>2.102022836836456E-2</v>
      </c>
      <c r="BC52" s="250">
        <f t="shared" si="24"/>
        <v>-1.5574504402031814E-3</v>
      </c>
      <c r="BD52" s="269"/>
      <c r="BE52" s="158" t="s">
        <v>146</v>
      </c>
      <c r="BF52" s="186">
        <v>15</v>
      </c>
      <c r="BG52" s="254" cm="1">
        <f t="array" ref="BG52">AVERAGE(SMALL($AG52:AK52,ROW(1:3)))</f>
        <v>1.4160364118836781</v>
      </c>
      <c r="BH52" s="254" cm="1">
        <f t="array" ref="BH52">AVERAGE(SMALL($AG52:AL52,ROW(1:3)))</f>
        <v>1.4160364118836781</v>
      </c>
      <c r="BI52" s="254" cm="1">
        <f t="array" ref="BI52">AVERAGE(SMALL($AG52:AM52,ROW(1:3)))</f>
        <v>1.4160364118836781</v>
      </c>
      <c r="BJ52" s="254" cm="1">
        <f t="array" ref="BJ52">AVERAGE(SMALL($AG52:AN52,ROW(1:3)))</f>
        <v>1.4160364118836781</v>
      </c>
      <c r="BK52" s="254" cm="1">
        <f t="array" ref="BK52">AVERAGE(SMALL($AG52:AO52,ROW(1:3)))</f>
        <v>1.4160364118836781</v>
      </c>
      <c r="BL52" s="254" cm="1">
        <f t="array" ref="BL52">AVERAGE(SMALL($AG52:AP52,ROW(1:3)))</f>
        <v>1.3252185222501274</v>
      </c>
      <c r="BM52" s="254" cm="1">
        <f t="array" ref="BM52">AVERAGE(SMALL($AG52:AQ52,ROW(1:3)))</f>
        <v>1.2388257111114527</v>
      </c>
      <c r="BO52" s="255">
        <f t="shared" ref="BO52:BO58" si="38">AVERAGE(AG52:AR52)*90%</f>
        <v>1.5645297505449449</v>
      </c>
    </row>
    <row r="53" spans="1:67" ht="18.75" customHeight="1" x14ac:dyDescent="0.4">
      <c r="A53" s="170">
        <v>17</v>
      </c>
      <c r="B53" s="256">
        <f t="shared" ref="B53:B58" si="39">B52+1</f>
        <v>2</v>
      </c>
      <c r="C53" s="257" t="s">
        <v>97</v>
      </c>
      <c r="D53" s="257" t="s">
        <v>48</v>
      </c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47">
        <f t="shared" ref="AG53:AR58" si="40">AG23/AG$30</f>
        <v>2.0703840174394568</v>
      </c>
      <c r="AH53" s="247">
        <f t="shared" si="40"/>
        <v>2.9978696190879086</v>
      </c>
      <c r="AI53" s="247">
        <f t="shared" si="40"/>
        <v>1.9442526173107879</v>
      </c>
      <c r="AJ53" s="247">
        <f t="shared" si="40"/>
        <v>2.2813262270486567</v>
      </c>
      <c r="AK53" s="247">
        <f t="shared" si="40"/>
        <v>2.3862962039442044</v>
      </c>
      <c r="AL53" s="247">
        <f t="shared" si="40"/>
        <v>2.9813722972142647</v>
      </c>
      <c r="AM53" s="247">
        <f t="shared" si="40"/>
        <v>5.5545867986052473</v>
      </c>
      <c r="AN53" s="247">
        <f t="shared" si="40"/>
        <v>4.6739959782585156</v>
      </c>
      <c r="AO53" s="247">
        <f t="shared" si="40"/>
        <v>3.9260306854358813</v>
      </c>
      <c r="AP53" s="247">
        <f t="shared" si="40"/>
        <v>2.5759220617657195</v>
      </c>
      <c r="AQ53" s="247">
        <f t="shared" si="40"/>
        <v>2.3756022230193632</v>
      </c>
      <c r="AR53" s="311">
        <f t="shared" si="40"/>
        <v>3.931346341324363</v>
      </c>
      <c r="AS53" s="247">
        <f t="shared" ref="AS53:AS55" si="41">AS23/$AS$30</f>
        <v>2.8576456359988054</v>
      </c>
      <c r="AT53" s="247"/>
      <c r="AU53" s="247">
        <f t="shared" si="37"/>
        <v>3.8041398049179982</v>
      </c>
      <c r="AV53" s="247"/>
      <c r="AW53" s="247"/>
      <c r="AX53" s="249">
        <f t="shared" si="22"/>
        <v>-0.9464941689191928</v>
      </c>
      <c r="AY53" s="247">
        <f t="shared" ref="AY53:AY58" si="42">BO53</f>
        <v>2.8274238802840781</v>
      </c>
      <c r="AZ53" s="249">
        <f t="shared" si="31"/>
        <v>3.0221755714727294E-2</v>
      </c>
      <c r="BA53" s="259">
        <f t="shared" si="17"/>
        <v>0.12814339408348274</v>
      </c>
      <c r="BB53" s="260">
        <f t="shared" ref="BB53:BB58" si="43">AS53/$AS$59</f>
        <v>0.10662846969163227</v>
      </c>
      <c r="BC53" s="249">
        <f t="shared" si="24"/>
        <v>-2.1514924391850473E-2</v>
      </c>
      <c r="BD53" s="261"/>
      <c r="BF53" s="158">
        <v>16</v>
      </c>
      <c r="BG53" s="254" cm="1">
        <f t="array" ref="BG53">AVERAGE(SMALL($AG53:AK53,ROW(1:3)))</f>
        <v>2.0986542872663008</v>
      </c>
      <c r="BH53" s="254" cm="1">
        <f t="array" ref="BH53">AVERAGE(SMALL($AG53:AL53,ROW(1:3)))</f>
        <v>2.0986542872663008</v>
      </c>
      <c r="BI53" s="254" cm="1">
        <f t="array" ref="BI53">AVERAGE(SMALL($AG53:AM53,ROW(1:3)))</f>
        <v>2.0986542872663008</v>
      </c>
      <c r="BJ53" s="254" cm="1">
        <f t="array" ref="BJ53">AVERAGE(SMALL($AG53:AN53,ROW(1:3)))</f>
        <v>2.0986542872663008</v>
      </c>
      <c r="BK53" s="254" cm="1">
        <f t="array" ref="BK53">AVERAGE(SMALL($AG53:AO53,ROW(1:3)))</f>
        <v>2.0986542872663008</v>
      </c>
      <c r="BL53" s="254" cm="1">
        <f t="array" ref="BL53">AVERAGE(SMALL($AG53:AP53,ROW(1:3)))</f>
        <v>2.0986542872663008</v>
      </c>
      <c r="BM53" s="254" cm="1">
        <f t="array" ref="BM53">AVERAGE(SMALL($AG53:AQ53,ROW(1:3)))</f>
        <v>2.0986542872663008</v>
      </c>
      <c r="BO53" s="255">
        <f t="shared" si="38"/>
        <v>2.8274238802840781</v>
      </c>
    </row>
    <row r="54" spans="1:67" ht="18.649999999999999" customHeight="1" x14ac:dyDescent="0.4">
      <c r="A54" s="170">
        <v>5</v>
      </c>
      <c r="B54" s="256">
        <f t="shared" si="39"/>
        <v>3</v>
      </c>
      <c r="C54" s="257" t="s">
        <v>96</v>
      </c>
      <c r="D54" s="257" t="s">
        <v>16</v>
      </c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47">
        <f t="shared" si="40"/>
        <v>5.7173886599303746E-2</v>
      </c>
      <c r="AH54" s="247">
        <f t="shared" si="40"/>
        <v>9.4433136215181096E-2</v>
      </c>
      <c r="AI54" s="247">
        <f t="shared" si="40"/>
        <v>0.61248175367481417</v>
      </c>
      <c r="AJ54" s="247">
        <f t="shared" si="40"/>
        <v>0.70277619853794515</v>
      </c>
      <c r="AK54" s="247">
        <f t="shared" si="40"/>
        <v>0.73309549908044047</v>
      </c>
      <c r="AL54" s="247">
        <f t="shared" si="40"/>
        <v>0.92714476415309577</v>
      </c>
      <c r="AM54" s="247">
        <f t="shared" si="40"/>
        <v>1.7544226183332405</v>
      </c>
      <c r="AN54" s="247">
        <f t="shared" si="40"/>
        <v>1.5029901018547767</v>
      </c>
      <c r="AO54" s="247">
        <f t="shared" si="40"/>
        <v>1.2269457705521651</v>
      </c>
      <c r="AP54" s="247">
        <f t="shared" si="40"/>
        <v>0.80004080920575393</v>
      </c>
      <c r="AQ54" s="247">
        <f t="shared" si="40"/>
        <v>0.72224079819960507</v>
      </c>
      <c r="AR54" s="311">
        <f t="shared" si="40"/>
        <v>1.1337349878735041</v>
      </c>
      <c r="AS54" s="247">
        <f t="shared" si="41"/>
        <v>0.76504118871170657</v>
      </c>
      <c r="AT54" s="247"/>
      <c r="AU54" s="247">
        <f t="shared" si="37"/>
        <v>1.3205499572308257</v>
      </c>
      <c r="AV54" s="247"/>
      <c r="AW54" s="247"/>
      <c r="AX54" s="249">
        <f>AS54-AU54</f>
        <v>-0.55550876851911912</v>
      </c>
      <c r="AY54" s="247">
        <f t="shared" si="42"/>
        <v>0.77006102432098689</v>
      </c>
      <c r="AZ54" s="249">
        <f>AS54-AY54</f>
        <v>-5.0198356092803209E-3</v>
      </c>
      <c r="BA54" s="259">
        <f t="shared" si="17"/>
        <v>4.4483053266756493E-2</v>
      </c>
      <c r="BB54" s="260">
        <f t="shared" si="43"/>
        <v>2.854628655693495E-2</v>
      </c>
      <c r="BC54" s="249">
        <f>BB54-BA54</f>
        <v>-1.5936766709821543E-2</v>
      </c>
      <c r="BD54" s="261"/>
      <c r="BE54" s="158" t="s">
        <v>146</v>
      </c>
      <c r="BF54" s="186">
        <v>17</v>
      </c>
      <c r="BG54" s="254" cm="1">
        <f t="array" ref="BG54">AVERAGE(SMALL($AG54:AK54,ROW(1:3)))</f>
        <v>0.25469625882976632</v>
      </c>
      <c r="BH54" s="254" cm="1">
        <f t="array" ref="BH54">AVERAGE(SMALL($AG54:AL54,ROW(1:3)))</f>
        <v>0.25469625882976632</v>
      </c>
      <c r="BI54" s="254" cm="1">
        <f t="array" ref="BI54">AVERAGE(SMALL($AG54:AM54,ROW(1:3)))</f>
        <v>0.25469625882976632</v>
      </c>
      <c r="BJ54" s="254" cm="1">
        <f t="array" ref="BJ54">AVERAGE(SMALL($AG54:AN54,ROW(1:3)))</f>
        <v>0.25469625882976632</v>
      </c>
      <c r="BK54" s="254" cm="1">
        <f t="array" ref="BK54">AVERAGE(SMALL($AG54:AO54,ROW(1:3)))</f>
        <v>0.25469625882976632</v>
      </c>
      <c r="BL54" s="254" cm="1">
        <f t="array" ref="BL54">AVERAGE(SMALL($AG54:AP54,ROW(1:3)))</f>
        <v>0.25469625882976632</v>
      </c>
      <c r="BM54" s="254" cm="1">
        <f t="array" ref="BM54">AVERAGE(SMALL($AG54:AQ54,ROW(1:3)))</f>
        <v>0.25469625882976632</v>
      </c>
      <c r="BO54" s="255">
        <f t="shared" si="38"/>
        <v>0.77006102432098689</v>
      </c>
    </row>
    <row r="55" spans="1:67" ht="18.649999999999999" customHeight="1" x14ac:dyDescent="0.4">
      <c r="A55" s="170">
        <v>18</v>
      </c>
      <c r="B55" s="256">
        <f t="shared" si="39"/>
        <v>4</v>
      </c>
      <c r="C55" s="257" t="s">
        <v>97</v>
      </c>
      <c r="D55" s="257" t="s">
        <v>36</v>
      </c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47">
        <f t="shared" si="40"/>
        <v>0.34926318315578608</v>
      </c>
      <c r="AH55" s="247">
        <f t="shared" si="40"/>
        <v>0.47114511830164479</v>
      </c>
      <c r="AI55" s="247">
        <f t="shared" si="40"/>
        <v>0.2351371842143207</v>
      </c>
      <c r="AJ55" s="247">
        <f t="shared" si="40"/>
        <v>0.29546526454206451</v>
      </c>
      <c r="AK55" s="247">
        <f t="shared" si="40"/>
        <v>0.43068418481736143</v>
      </c>
      <c r="AL55" s="247">
        <f t="shared" si="40"/>
        <v>0.53303961617985518</v>
      </c>
      <c r="AM55" s="247">
        <f t="shared" si="40"/>
        <v>0.84129485047341901</v>
      </c>
      <c r="AN55" s="247">
        <f t="shared" si="40"/>
        <v>1.3264316831863798</v>
      </c>
      <c r="AO55" s="247">
        <f t="shared" si="40"/>
        <v>1.2866721033084345</v>
      </c>
      <c r="AP55" s="247">
        <f t="shared" si="40"/>
        <v>0.89888867265906691</v>
      </c>
      <c r="AQ55" s="247">
        <f t="shared" si="40"/>
        <v>0.74834742242372709</v>
      </c>
      <c r="AR55" s="311">
        <f t="shared" si="40"/>
        <v>3.3687147625831679</v>
      </c>
      <c r="AS55" s="247">
        <f t="shared" si="41"/>
        <v>0.81309305486877004</v>
      </c>
      <c r="AT55" s="247"/>
      <c r="AU55" s="247">
        <f t="shared" si="37"/>
        <v>0.38542359114843278</v>
      </c>
      <c r="AV55" s="247"/>
      <c r="AW55" s="247"/>
      <c r="AX55" s="249">
        <f>AS55-AU55</f>
        <v>0.42766946372033726</v>
      </c>
      <c r="AY55" s="247">
        <f t="shared" si="42"/>
        <v>0.80888130343839215</v>
      </c>
      <c r="AZ55" s="249">
        <f t="shared" ref="AZ55:AZ62" si="44">AS55-AY55</f>
        <v>4.2117514303778858E-3</v>
      </c>
      <c r="BA55" s="259">
        <f t="shared" si="17"/>
        <v>1.2983089387449414E-2</v>
      </c>
      <c r="BB55" s="260">
        <f t="shared" si="43"/>
        <v>3.0339264975815773E-2</v>
      </c>
      <c r="BC55" s="249">
        <f t="shared" ref="BC55:BC59" si="45">BB55-BA55</f>
        <v>1.7356175588366357E-2</v>
      </c>
      <c r="BD55" s="261"/>
      <c r="BF55" s="158">
        <v>18</v>
      </c>
      <c r="BG55" s="254" cm="1">
        <f t="array" ref="BG55">AVERAGE(SMALL($AG55:AK55,ROW(1:3)))</f>
        <v>0.29328854397072374</v>
      </c>
      <c r="BH55" s="254" cm="1">
        <f t="array" ref="BH55">AVERAGE(SMALL($AG55:AL55,ROW(1:3)))</f>
        <v>0.29328854397072374</v>
      </c>
      <c r="BI55" s="254" cm="1">
        <f t="array" ref="BI55">AVERAGE(SMALL($AG55:AM55,ROW(1:3)))</f>
        <v>0.29328854397072374</v>
      </c>
      <c r="BJ55" s="254" cm="1">
        <f t="array" ref="BJ55">AVERAGE(SMALL($AG55:AN55,ROW(1:3)))</f>
        <v>0.29328854397072374</v>
      </c>
      <c r="BK55" s="254" cm="1">
        <f t="array" ref="BK55">AVERAGE(SMALL($AG55:AO55,ROW(1:3)))</f>
        <v>0.29328854397072374</v>
      </c>
      <c r="BL55" s="254" cm="1">
        <f t="array" ref="BL55">AVERAGE(SMALL($AG55:AP55,ROW(1:3)))</f>
        <v>0.29328854397072374</v>
      </c>
      <c r="BM55" s="254" cm="1">
        <f t="array" ref="BM55">AVERAGE(SMALL($AG55:AQ55,ROW(1:3)))</f>
        <v>0.29328854397072374</v>
      </c>
      <c r="BO55" s="255">
        <f t="shared" si="38"/>
        <v>0.80888130343839215</v>
      </c>
    </row>
    <row r="56" spans="1:67" ht="18.75" customHeight="1" x14ac:dyDescent="0.4">
      <c r="A56" s="170">
        <v>19</v>
      </c>
      <c r="B56" s="256">
        <f t="shared" si="39"/>
        <v>5</v>
      </c>
      <c r="C56" s="257"/>
      <c r="D56" s="257" t="s">
        <v>12</v>
      </c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47">
        <f t="shared" si="40"/>
        <v>0.15080901532818075</v>
      </c>
      <c r="AH56" s="247">
        <f t="shared" si="40"/>
        <v>0.23632096407246608</v>
      </c>
      <c r="AI56" s="247">
        <f t="shared" si="40"/>
        <v>0.17019324088245372</v>
      </c>
      <c r="AJ56" s="247">
        <f t="shared" si="40"/>
        <v>0.19442879093595775</v>
      </c>
      <c r="AK56" s="247">
        <f t="shared" si="40"/>
        <v>0.21785472359448835</v>
      </c>
      <c r="AL56" s="247">
        <f t="shared" si="40"/>
        <v>0.22316807896369584</v>
      </c>
      <c r="AM56" s="247">
        <f t="shared" si="40"/>
        <v>0.36376563042481241</v>
      </c>
      <c r="AN56" s="247">
        <f t="shared" si="40"/>
        <v>0.37659068792166323</v>
      </c>
      <c r="AO56" s="247">
        <f t="shared" si="40"/>
        <v>0.36146725278280195</v>
      </c>
      <c r="AP56" s="247">
        <f t="shared" si="40"/>
        <v>0.19350533852797341</v>
      </c>
      <c r="AQ56" s="247">
        <f t="shared" si="40"/>
        <v>0.20957559591380567</v>
      </c>
      <c r="AR56" s="311">
        <f t="shared" si="40"/>
        <v>0.32548831915318621</v>
      </c>
      <c r="AS56" s="247">
        <f>AS26/$AS$30</f>
        <v>0.23255042210577787</v>
      </c>
      <c r="AT56" s="247"/>
      <c r="AU56" s="247">
        <f t="shared" si="37"/>
        <v>0.26910403957145146</v>
      </c>
      <c r="AV56" s="247"/>
      <c r="AW56" s="247"/>
      <c r="AX56" s="249">
        <f t="shared" ref="AX56:AX58" si="46">AS56-AU56</f>
        <v>-3.6553617465673593E-2</v>
      </c>
      <c r="AY56" s="247">
        <f t="shared" si="42"/>
        <v>0.2267375728876114</v>
      </c>
      <c r="AZ56" s="249">
        <f t="shared" si="44"/>
        <v>5.8128492181664659E-3</v>
      </c>
      <c r="BA56" s="259">
        <f t="shared" si="17"/>
        <v>9.0648364047190878E-3</v>
      </c>
      <c r="BB56" s="260">
        <f t="shared" si="43"/>
        <v>8.6772465147223702E-3</v>
      </c>
      <c r="BC56" s="249">
        <f t="shared" si="45"/>
        <v>-3.8758988999671763E-4</v>
      </c>
      <c r="BD56" s="261"/>
      <c r="BF56" s="186">
        <v>19</v>
      </c>
      <c r="BG56" s="254" cm="1">
        <f t="array" ref="BG56">AVERAGE(SMALL($AG56:AK56,ROW(1:3)))</f>
        <v>0.17181034904886408</v>
      </c>
      <c r="BH56" s="254" cm="1">
        <f t="array" ref="BH56">AVERAGE(SMALL($AG56:AL56,ROW(1:3)))</f>
        <v>0.17181034904886408</v>
      </c>
      <c r="BI56" s="254" cm="1">
        <f t="array" ref="BI56">AVERAGE(SMALL($AG56:AM56,ROW(1:3)))</f>
        <v>0.17181034904886408</v>
      </c>
      <c r="BJ56" s="254" cm="1">
        <f t="array" ref="BJ56">AVERAGE(SMALL($AG56:AN56,ROW(1:3)))</f>
        <v>0.17181034904886408</v>
      </c>
      <c r="BK56" s="254" cm="1">
        <f t="array" ref="BK56">AVERAGE(SMALL($AG56:AO56,ROW(1:3)))</f>
        <v>0.17181034904886408</v>
      </c>
      <c r="BL56" s="254" cm="1">
        <f t="array" ref="BL56">AVERAGE(SMALL($AG56:AP56,ROW(1:3)))</f>
        <v>0.17150253157953599</v>
      </c>
      <c r="BM56" s="254" cm="1">
        <f t="array" ref="BM56">AVERAGE(SMALL($AG56:AQ56,ROW(1:3)))</f>
        <v>0.17150253157953599</v>
      </c>
      <c r="BO56" s="255">
        <f t="shared" si="38"/>
        <v>0.2267375728876114</v>
      </c>
    </row>
    <row r="57" spans="1:67" ht="18.75" customHeight="1" x14ac:dyDescent="0.4">
      <c r="A57" s="170">
        <v>20</v>
      </c>
      <c r="B57" s="256">
        <f t="shared" si="39"/>
        <v>6</v>
      </c>
      <c r="C57" s="257"/>
      <c r="D57" s="257" t="s">
        <v>51</v>
      </c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47">
        <f t="shared" si="40"/>
        <v>0.11345537267656955</v>
      </c>
      <c r="AH57" s="247">
        <f t="shared" si="40"/>
        <v>0.22057392067389675</v>
      </c>
      <c r="AI57" s="247">
        <f t="shared" si="40"/>
        <v>0.14271348314836213</v>
      </c>
      <c r="AJ57" s="247">
        <f t="shared" si="40"/>
        <v>0.14141305669069404</v>
      </c>
      <c r="AK57" s="247">
        <f t="shared" si="40"/>
        <v>0.17287913216195575</v>
      </c>
      <c r="AL57" s="247">
        <f t="shared" si="40"/>
        <v>0.24027518841157741</v>
      </c>
      <c r="AM57" s="247">
        <f t="shared" si="40"/>
        <v>0.30495190749797474</v>
      </c>
      <c r="AN57" s="247">
        <f t="shared" si="40"/>
        <v>0.36897245462827516</v>
      </c>
      <c r="AO57" s="247">
        <f t="shared" si="40"/>
        <v>0.33282187713315825</v>
      </c>
      <c r="AP57" s="247">
        <f t="shared" si="40"/>
        <v>0.23507251195271492</v>
      </c>
      <c r="AQ57" s="247">
        <f t="shared" si="40"/>
        <v>0.25917365969782191</v>
      </c>
      <c r="AR57" s="311">
        <f t="shared" si="40"/>
        <v>0.44740435252117139</v>
      </c>
      <c r="AS57" s="247">
        <f t="shared" ref="AS57:AS58" si="47">AS27/$AS$30</f>
        <v>0.22975674715586125</v>
      </c>
      <c r="AT57" s="247"/>
      <c r="AU57" s="247">
        <f t="shared" si="37"/>
        <v>0.21512222413349519</v>
      </c>
      <c r="AV57" s="247"/>
      <c r="AW57" s="247"/>
      <c r="AX57" s="249">
        <f t="shared" si="46"/>
        <v>1.4634523022366064E-2</v>
      </c>
      <c r="AY57" s="247">
        <f t="shared" si="42"/>
        <v>0.22347801878956292</v>
      </c>
      <c r="AZ57" s="249">
        <f t="shared" si="44"/>
        <v>6.2787283662983362E-3</v>
      </c>
      <c r="BA57" s="259">
        <f t="shared" si="17"/>
        <v>7.2464455453545027E-3</v>
      </c>
      <c r="BB57" s="260">
        <f t="shared" si="43"/>
        <v>8.5730050087172577E-3</v>
      </c>
      <c r="BC57" s="249">
        <f t="shared" si="45"/>
        <v>1.326559463362755E-3</v>
      </c>
      <c r="BD57" s="261"/>
      <c r="BF57" s="158">
        <v>20</v>
      </c>
      <c r="BG57" s="254" cm="1">
        <f t="array" ref="BG57">AVERAGE(SMALL($AG57:AK57,ROW(1:3)))</f>
        <v>0.13252730417187525</v>
      </c>
      <c r="BH57" s="254" cm="1">
        <f t="array" ref="BH57">AVERAGE(SMALL($AG57:AL57,ROW(1:3)))</f>
        <v>0.13252730417187525</v>
      </c>
      <c r="BI57" s="254" cm="1">
        <f t="array" ref="BI57">AVERAGE(SMALL($AG57:AM57,ROW(1:3)))</f>
        <v>0.13252730417187525</v>
      </c>
      <c r="BJ57" s="254" cm="1">
        <f t="array" ref="BJ57">AVERAGE(SMALL($AG57:AN57,ROW(1:3)))</f>
        <v>0.13252730417187525</v>
      </c>
      <c r="BK57" s="254" cm="1">
        <f t="array" ref="BK57">AVERAGE(SMALL($AG57:AO57,ROW(1:3)))</f>
        <v>0.13252730417187525</v>
      </c>
      <c r="BL57" s="254" cm="1">
        <f t="array" ref="BL57">AVERAGE(SMALL($AG57:AP57,ROW(1:3)))</f>
        <v>0.13252730417187525</v>
      </c>
      <c r="BM57" s="254" cm="1">
        <f t="array" ref="BM57">AVERAGE(SMALL($AG57:AQ57,ROW(1:3)))</f>
        <v>0.13252730417187525</v>
      </c>
      <c r="BO57" s="255">
        <f t="shared" si="38"/>
        <v>0.22347801878956292</v>
      </c>
    </row>
    <row r="58" spans="1:67" ht="18.75" customHeight="1" x14ac:dyDescent="0.4">
      <c r="A58" s="170">
        <v>21</v>
      </c>
      <c r="B58" s="256">
        <f t="shared" si="39"/>
        <v>7</v>
      </c>
      <c r="C58" s="262" t="s">
        <v>97</v>
      </c>
      <c r="D58" s="262" t="s">
        <v>40</v>
      </c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247">
        <f t="shared" si="40"/>
        <v>9.6973762049805901E-2</v>
      </c>
      <c r="AH58" s="247">
        <f t="shared" si="40"/>
        <v>0.1926906306573514</v>
      </c>
      <c r="AI58" s="247">
        <f t="shared" si="40"/>
        <v>0.11994758638830921</v>
      </c>
      <c r="AJ58" s="247">
        <f t="shared" si="40"/>
        <v>0.20009595815100359</v>
      </c>
      <c r="AK58" s="247">
        <f t="shared" si="40"/>
        <v>0.2205381612200436</v>
      </c>
      <c r="AL58" s="247">
        <f t="shared" si="40"/>
        <v>0.31903642683439215</v>
      </c>
      <c r="AM58" s="247">
        <f t="shared" si="40"/>
        <v>0.62195032104173542</v>
      </c>
      <c r="AN58" s="263">
        <f t="shared" si="40"/>
        <v>0.42852893562727984</v>
      </c>
      <c r="AO58" s="247">
        <f t="shared" si="40"/>
        <v>0.30701014399622895</v>
      </c>
      <c r="AP58" s="247">
        <f t="shared" si="40"/>
        <v>0.19569354395593203</v>
      </c>
      <c r="AQ58" s="247">
        <f t="shared" si="40"/>
        <v>0.18619584528783678</v>
      </c>
      <c r="AR58" s="312">
        <f t="shared" si="40"/>
        <v>0.31114018682520783</v>
      </c>
      <c r="AS58" s="263">
        <f t="shared" si="47"/>
        <v>0.23337928989856116</v>
      </c>
      <c r="AT58" s="263"/>
      <c r="AU58" s="263">
        <f t="shared" si="37"/>
        <v>4.9682017059497222E-2</v>
      </c>
      <c r="AV58" s="263"/>
      <c r="AW58" s="263"/>
      <c r="AX58" s="265">
        <f t="shared" si="46"/>
        <v>0.18369727283906395</v>
      </c>
      <c r="AY58" s="247">
        <f t="shared" si="42"/>
        <v>0.23998511265263447</v>
      </c>
      <c r="AZ58" s="265">
        <f t="shared" si="44"/>
        <v>-6.605822754073315E-3</v>
      </c>
      <c r="BA58" s="266">
        <f t="shared" si="17"/>
        <v>1.6735510831349951E-3</v>
      </c>
      <c r="BB58" s="267">
        <f t="shared" si="43"/>
        <v>8.7081743887763817E-3</v>
      </c>
      <c r="BC58" s="265">
        <f t="shared" si="45"/>
        <v>7.0346233056413866E-3</v>
      </c>
      <c r="BD58" s="268"/>
      <c r="BE58" s="158" t="s">
        <v>146</v>
      </c>
      <c r="BF58" s="186">
        <v>21</v>
      </c>
      <c r="BG58" s="254" cm="1">
        <f t="array" ref="BG58">AVERAGE(SMALL($AG58:AK58,ROW(1:3)))</f>
        <v>0.1365373263651555</v>
      </c>
      <c r="BH58" s="254" cm="1">
        <f t="array" ref="BH58">AVERAGE(SMALL($AG58:AL58,ROW(1:3)))</f>
        <v>0.1365373263651555</v>
      </c>
      <c r="BI58" s="254" cm="1">
        <f t="array" ref="BI58">AVERAGE(SMALL($AG58:AM58,ROW(1:3)))</f>
        <v>0.1365373263651555</v>
      </c>
      <c r="BJ58" s="254" cm="1">
        <f t="array" ref="BJ58">AVERAGE(SMALL($AG58:AN58,ROW(1:3)))</f>
        <v>0.1365373263651555</v>
      </c>
      <c r="BK58" s="254" cm="1">
        <f t="array" ref="BK58">AVERAGE(SMALL($AG58:AO58,ROW(1:3)))</f>
        <v>0.1365373263651555</v>
      </c>
      <c r="BL58" s="254" cm="1">
        <f t="array" ref="BL58">AVERAGE(SMALL($AG58:AP58,ROW(1:3)))</f>
        <v>0.1365373263651555</v>
      </c>
      <c r="BM58" s="254" cm="1">
        <f t="array" ref="BM58">AVERAGE(SMALL($AG58:AQ58,ROW(1:3)))</f>
        <v>0.13437239790865063</v>
      </c>
      <c r="BO58" s="255">
        <f t="shared" si="38"/>
        <v>0.23998511265263447</v>
      </c>
    </row>
    <row r="59" spans="1:67" ht="18.75" customHeight="1" x14ac:dyDescent="0.4">
      <c r="A59" s="170">
        <v>22</v>
      </c>
      <c r="B59" s="270" t="s">
        <v>188</v>
      </c>
      <c r="C59" s="271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2">
        <f t="shared" ref="AG59:AU59" si="48">AG39+AG51</f>
        <v>24.073012821848838</v>
      </c>
      <c r="AH59" s="272">
        <f t="shared" si="48"/>
        <v>27.921807897550281</v>
      </c>
      <c r="AI59" s="272">
        <f t="shared" si="48"/>
        <v>25.722638132381086</v>
      </c>
      <c r="AJ59" s="272">
        <f t="shared" si="48"/>
        <v>27.186027972014262</v>
      </c>
      <c r="AK59" s="272">
        <f t="shared" si="48"/>
        <v>26.548221817563221</v>
      </c>
      <c r="AL59" s="272">
        <f t="shared" si="48"/>
        <v>28.157218914685298</v>
      </c>
      <c r="AM59" s="272">
        <f t="shared" si="48"/>
        <v>34.444824736240406</v>
      </c>
      <c r="AN59" s="272">
        <f t="shared" si="48"/>
        <v>32.60809719770549</v>
      </c>
      <c r="AO59" s="272">
        <f t="shared" si="48"/>
        <v>31.516416397835833</v>
      </c>
      <c r="AP59" s="272">
        <f t="shared" si="48"/>
        <v>27.366693418505239</v>
      </c>
      <c r="AQ59" s="272">
        <f t="shared" si="48"/>
        <v>26.440903829262119</v>
      </c>
      <c r="AR59" s="313">
        <f t="shared" si="48"/>
        <v>31.024141843738462</v>
      </c>
      <c r="AS59" s="272">
        <f>AS39+AS51</f>
        <v>26.800024836360009</v>
      </c>
      <c r="AT59" s="272"/>
      <c r="AU59" s="272">
        <f t="shared" si="48"/>
        <v>29.686585345473844</v>
      </c>
      <c r="AV59" s="272"/>
      <c r="AW59" s="272"/>
      <c r="AX59" s="273">
        <f>AS59-AU59</f>
        <v>-2.8865605091138349</v>
      </c>
      <c r="AY59" s="272">
        <f>AY39+AY51</f>
        <v>25.899803069043429</v>
      </c>
      <c r="AZ59" s="240">
        <f t="shared" si="44"/>
        <v>0.90022176731658021</v>
      </c>
      <c r="BA59" s="274">
        <f>BA51+BA39</f>
        <v>1</v>
      </c>
      <c r="BB59" s="275">
        <f>BB51+BB39</f>
        <v>1</v>
      </c>
      <c r="BC59" s="240">
        <f t="shared" si="45"/>
        <v>0</v>
      </c>
      <c r="BD59" s="276"/>
      <c r="BF59" s="158">
        <v>22</v>
      </c>
      <c r="BG59" s="272">
        <f>BG39+BG51</f>
        <v>23.680180587129588</v>
      </c>
      <c r="BH59" s="272">
        <f t="shared" ref="BH59:BO59" si="49">BH39+BH51</f>
        <v>23.437536583275829</v>
      </c>
      <c r="BI59" s="272">
        <f t="shared" si="49"/>
        <v>23.306389084704893</v>
      </c>
      <c r="BJ59" s="272">
        <f t="shared" si="49"/>
        <v>23.265608852379277</v>
      </c>
      <c r="BK59" s="272">
        <f t="shared" si="49"/>
        <v>23.263562145671333</v>
      </c>
      <c r="BL59" s="272">
        <f t="shared" si="49"/>
        <v>23.14490702300947</v>
      </c>
      <c r="BM59" s="272">
        <f t="shared" si="49"/>
        <v>23.019577708187615</v>
      </c>
      <c r="BO59" s="277">
        <f t="shared" si="49"/>
        <v>25.725750373449792</v>
      </c>
    </row>
    <row r="60" spans="1:67" ht="18.75" customHeight="1" x14ac:dyDescent="0.4">
      <c r="A60" s="278">
        <v>23</v>
      </c>
      <c r="B60" s="279" t="s">
        <v>171</v>
      </c>
      <c r="C60" s="279"/>
      <c r="D60" s="279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280">
        <f>INDEX('18 KMP- Tháng'!$R$6:$AC$28,MATCH('18 KMP- Tháng (Tâm) (3)'!$A60,'18 KMP- Tháng'!$A$6:$A$28,0),MATCH('18 KMP- Tháng (Tâm) (3)'!AG$7,'18 KMP- Tháng'!$R$2:$AC$2,0))</f>
        <v>4748.3130000000001</v>
      </c>
      <c r="AH60" s="280">
        <f>INDEX('18 KMP- Tháng'!$R$6:$AC$28,MATCH('18 KMP- Tháng (Tâm) (3)'!$A60,'18 KMP- Tháng'!$A$6:$A$28,0),MATCH('18 KMP- Tháng (Tâm) (3)'!AH$7,'18 KMP- Tháng'!$R$2:$AC$2,0))</f>
        <v>2926.5019999999995</v>
      </c>
      <c r="AI60" s="280">
        <f>INDEX('18 KMP- Tháng'!$R$6:$AC$28,MATCH('18 KMP- Tháng (Tâm) (3)'!$A60,'18 KMP- Tháng'!$A$6:$A$28,0),MATCH('18 KMP- Tháng (Tâm) (3)'!AI$7,'18 KMP- Tháng'!$R$2:$AC$2,0))</f>
        <v>4896.4380000000001</v>
      </c>
      <c r="AJ60" s="280">
        <f>INDEX('18 KMP- Tháng'!$R$6:$AC$28,MATCH('18 KMP- Tháng (Tâm) (3)'!$A60,'18 KMP- Tháng'!$A$6:$A$28,0),MATCH('18 KMP- Tháng (Tâm) (3)'!AJ$7,'18 KMP- Tháng'!$R$2:$AC$2,0))</f>
        <v>4526.3689999999997</v>
      </c>
      <c r="AK60" s="280">
        <f>INDEX('18 KMP- Tháng'!$R$6:$AC$28,MATCH('18 KMP- Tháng (Tâm) (3)'!$A60,'18 KMP- Tháng'!$A$6:$A$28,0),MATCH('18 KMP- Tháng (Tâm) (3)'!AK$7,'18 KMP- Tháng'!$R$2:$AC$2,0))</f>
        <v>4417.8749999999991</v>
      </c>
      <c r="AL60" s="280">
        <f>INDEX('18 KMP- Tháng'!$R$6:$AC$28,MATCH('18 KMP- Tháng (Tâm) (3)'!$A60,'18 KMP- Tháng'!$A$6:$A$28,0),MATCH('18 KMP- Tháng (Tâm) (3)'!AL$7,'18 KMP- Tháng'!$R$2:$AC$2,0))</f>
        <v>3495.0745000000011</v>
      </c>
      <c r="AM60" s="280">
        <f>INDEX('18 KMP- Tháng'!$R$6:$AC$28,MATCH('18 KMP- Tháng (Tâm) (3)'!$A60,'18 KMP- Tháng'!$A$6:$A$28,0),MATCH('18 KMP- Tháng (Tâm) (3)'!AM$7,'18 KMP- Tháng'!$R$2:$AC$2,0))</f>
        <v>1866.424</v>
      </c>
      <c r="AN60" s="281">
        <f>INDEX('18 KMP- Tháng'!$R$6:$AC$28,MATCH('18 KMP- Tháng (Tâm) (3)'!$A60,'18 KMP- Tháng'!$A$6:$A$28,0),MATCH('18 KMP- Tháng (Tâm) (3)'!AN$7,'18 KMP- Tháng'!$R$2:$AC$2,0))</f>
        <v>2192.5824999999995</v>
      </c>
      <c r="AO60" s="281">
        <f>INDEX('18 KMP- Tháng'!$R$6:$AC$28,MATCH('18 KMP- Tháng (Tâm) (3)'!$A60,'18 KMP- Tháng'!$A$6:$A$28,0),MATCH('18 KMP- Tháng (Tâm) (3)'!AO$7,'18 KMP- Tháng'!$R$2:$AC$2,0))</f>
        <v>2799.3996999999999</v>
      </c>
      <c r="AP60" s="281">
        <f>INDEX('18 KMP- Tháng'!$R$6:$AC$28,MATCH('18 KMP- Tháng (Tâm) (3)'!$A60,'18 KMP- Tháng'!$A$6:$A$28,0),MATCH('18 KMP- Tháng (Tâm) (3)'!AP$7,'18 KMP- Tháng'!$R$2:$AC$2,0))</f>
        <v>4293.2714999999989</v>
      </c>
      <c r="AQ60" s="281">
        <f>INDEX('18 KMP- Tháng'!$R$6:$AC$28,MATCH('18 KMP- Tháng (Tâm) (3)'!$A60,'18 KMP- Tháng'!$A$6:$A$28,0),MATCH('18 KMP- Tháng (Tâm) (3)'!AQ$7,'18 KMP- Tháng'!$R$2:$AC$2,0))</f>
        <v>4775.3970000000008</v>
      </c>
      <c r="AR60" s="314">
        <f>INDEX('18 KMP- Tháng'!$R$6:$AC$28,MATCH('18 KMP- Tháng (Tâm) (3)'!$A60,'18 KMP- Tháng'!$A$6:$A$28,0),MATCH('18 KMP- Tháng (Tâm) (3)'!AR$7,'18 KMP- Tháng'!$R$2:$AC$2,0))</f>
        <v>3318.6420999999996</v>
      </c>
      <c r="AS60" s="282">
        <f>SUM(AG60:AR60)/(12-COUNTIF($AG$10:$AR$10,0))</f>
        <v>3688.0240250000002</v>
      </c>
      <c r="AT60" s="282"/>
      <c r="AU60" s="283">
        <v>1954.7762499999999</v>
      </c>
      <c r="AV60" s="283"/>
      <c r="AW60" s="283"/>
      <c r="AX60" s="284">
        <f t="shared" ref="AX60:AX62" si="50">AS60-AU60</f>
        <v>1733.2477750000003</v>
      </c>
      <c r="AY60" s="282">
        <f t="shared" ref="AY60:AY62" si="51">BO60</f>
        <v>3349.4437800000001</v>
      </c>
      <c r="AZ60" s="284">
        <f t="shared" si="44"/>
        <v>338.5802450000001</v>
      </c>
      <c r="BA60" s="285"/>
      <c r="BB60" s="286"/>
      <c r="BC60" s="250"/>
      <c r="BD60" s="286"/>
      <c r="BF60" s="186">
        <v>23</v>
      </c>
      <c r="BG60" s="287" cm="1">
        <f t="array" ref="BG60">AVERAGE(LARGE($AG60:AK60,ROW(1:3)))</f>
        <v>4723.706666666666</v>
      </c>
      <c r="BH60" s="287" cm="1">
        <f t="array" ref="BH60">AVERAGE(LARGE($AG60:AL60,ROW(1:3)))</f>
        <v>4723.706666666666</v>
      </c>
      <c r="BI60" s="287" cm="1">
        <f t="array" ref="BI60">AVERAGE(LARGE($AG60:AM60,ROW(1:3)))</f>
        <v>4723.706666666666</v>
      </c>
      <c r="BJ60" s="287" cm="1">
        <f t="array" ref="BJ60">AVERAGE(LARGE($AG60:AN60,ROW(1:3)))</f>
        <v>4723.706666666666</v>
      </c>
      <c r="BK60" s="287" cm="1">
        <f t="array" ref="BK60">AVERAGE(LARGE($AG60:AO60,ROW(1:3)))</f>
        <v>4723.706666666666</v>
      </c>
      <c r="BL60" s="287" cm="1">
        <f t="array" ref="BL60">AVERAGE(LARGE($AG60:AP60,ROW(1:3)))</f>
        <v>4723.706666666666</v>
      </c>
      <c r="BM60" s="287" cm="1">
        <f t="array" ref="BM60">AVERAGE(LARGE($AG60:AQ60,ROW(1:3)))</f>
        <v>4806.7160000000003</v>
      </c>
      <c r="BO60" s="288">
        <f t="shared" ref="BO60" si="52">AVERAGE(AG60:AQ60)*90%</f>
        <v>3349.4437800000001</v>
      </c>
    </row>
    <row r="61" spans="1:67" ht="18.75" customHeight="1" x14ac:dyDescent="0.4">
      <c r="A61" s="170"/>
      <c r="B61" s="1022" t="s">
        <v>181</v>
      </c>
      <c r="C61" s="1022"/>
      <c r="D61" s="1022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289">
        <f t="shared" ref="AG61:AU61" si="53">SUM(AG40,AG43,AG45,AG47,AG50)</f>
        <v>17.948177509556348</v>
      </c>
      <c r="AH61" s="289">
        <f t="shared" si="53"/>
        <v>19.396253595809295</v>
      </c>
      <c r="AI61" s="289">
        <f t="shared" si="53"/>
        <v>19.383062338985635</v>
      </c>
      <c r="AJ61" s="289">
        <f>SUM(AJ40,AJ43,AJ45,AJ47,AJ50)</f>
        <v>19.937223798176124</v>
      </c>
      <c r="AK61" s="289">
        <f t="shared" si="53"/>
        <v>19.122937523781076</v>
      </c>
      <c r="AL61" s="289">
        <f t="shared" si="53"/>
        <v>18.628787451937896</v>
      </c>
      <c r="AM61" s="289">
        <f t="shared" si="53"/>
        <v>19.143955212370578</v>
      </c>
      <c r="AN61" s="289">
        <f t="shared" si="53"/>
        <v>18.69607359042805</v>
      </c>
      <c r="AO61" s="289">
        <f t="shared" si="53"/>
        <v>19.616423624724003</v>
      </c>
      <c r="AP61" s="289">
        <f t="shared" si="53"/>
        <v>19.368928154266165</v>
      </c>
      <c r="AQ61" s="289">
        <f t="shared" si="53"/>
        <v>18.911342412100201</v>
      </c>
      <c r="AR61" s="315">
        <f t="shared" si="53"/>
        <v>18.660515558360363</v>
      </c>
      <c r="AS61" s="289">
        <f t="shared" si="53"/>
        <v>19.06531599293432</v>
      </c>
      <c r="AT61" s="289"/>
      <c r="AU61" s="289">
        <f t="shared" si="53"/>
        <v>20.145500247123536</v>
      </c>
      <c r="AV61" s="332"/>
      <c r="AW61" s="332"/>
      <c r="AX61" s="290">
        <f t="shared" si="50"/>
        <v>-1.0801842541892164</v>
      </c>
      <c r="AY61" s="289">
        <f t="shared" si="51"/>
        <v>17.161026057787179</v>
      </c>
      <c r="AZ61" s="250">
        <f t="shared" si="44"/>
        <v>1.9042899351471405</v>
      </c>
      <c r="BA61" s="291">
        <f>AU61/$AU$59</f>
        <v>0.67860617894186381</v>
      </c>
      <c r="BB61" s="291">
        <f>AS61/$AS$59</f>
        <v>0.71139172852810606</v>
      </c>
      <c r="BC61" s="250">
        <f t="shared" ref="BC61:BC62" si="54">BB61-BA61</f>
        <v>3.2785549586242246E-2</v>
      </c>
      <c r="BD61" s="269"/>
      <c r="BF61" s="158">
        <v>24</v>
      </c>
      <c r="BG61" s="289">
        <f>SUM(BG40,BG43,BG45,BG47,BG50)</f>
        <v>18.695013555681633</v>
      </c>
      <c r="BH61" s="289">
        <f t="shared" ref="BH61:BM61" si="55">SUM(BH40,BH43,BH45,BH47,BH50)</f>
        <v>18.452369551827875</v>
      </c>
      <c r="BI61" s="289">
        <f t="shared" si="55"/>
        <v>18.321222053256939</v>
      </c>
      <c r="BJ61" s="289">
        <f t="shared" si="55"/>
        <v>18.280441820931323</v>
      </c>
      <c r="BK61" s="289">
        <f t="shared" si="55"/>
        <v>18.280441820931323</v>
      </c>
      <c r="BL61" s="289">
        <f t="shared" si="55"/>
        <v>18.280441820931323</v>
      </c>
      <c r="BM61" s="289">
        <f t="shared" si="55"/>
        <v>18.280441820931323</v>
      </c>
      <c r="BO61" s="292">
        <f>SUM(BO40,BO43,BO45,BO47,BO50)</f>
        <v>17.161026057787179</v>
      </c>
    </row>
    <row r="62" spans="1:67" ht="18.75" customHeight="1" x14ac:dyDescent="0.4">
      <c r="A62" s="170"/>
      <c r="B62" s="1023" t="s">
        <v>182</v>
      </c>
      <c r="C62" s="1023"/>
      <c r="D62" s="1023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293">
        <f t="shared" ref="AG62:AM62" si="56">AG59-AG61</f>
        <v>6.1248353122924897</v>
      </c>
      <c r="AH62" s="293">
        <f t="shared" si="56"/>
        <v>8.5255543017409856</v>
      </c>
      <c r="AI62" s="293">
        <f t="shared" si="56"/>
        <v>6.3395757933954506</v>
      </c>
      <c r="AJ62" s="293">
        <f t="shared" si="56"/>
        <v>7.2488041738381384</v>
      </c>
      <c r="AK62" s="293">
        <f t="shared" si="56"/>
        <v>7.4252842937821448</v>
      </c>
      <c r="AL62" s="293">
        <f t="shared" si="56"/>
        <v>9.5284314627474025</v>
      </c>
      <c r="AM62" s="293">
        <f t="shared" si="56"/>
        <v>15.300869523869828</v>
      </c>
      <c r="AN62" s="293">
        <f>AN59-AN61</f>
        <v>13.91202360727744</v>
      </c>
      <c r="AO62" s="293">
        <f t="shared" ref="AO62:AR62" si="57">AO59-AO61</f>
        <v>11.89999277311183</v>
      </c>
      <c r="AP62" s="293">
        <f t="shared" si="57"/>
        <v>7.9977652642390744</v>
      </c>
      <c r="AQ62" s="293">
        <f t="shared" si="57"/>
        <v>7.5295614171619185</v>
      </c>
      <c r="AR62" s="316">
        <f t="shared" si="57"/>
        <v>12.3636262853781</v>
      </c>
      <c r="AS62" s="293">
        <f>AS59-AS61</f>
        <v>7.7347088434256897</v>
      </c>
      <c r="AT62" s="293"/>
      <c r="AU62" s="293">
        <f>AU59-AU61</f>
        <v>9.5410850983503082</v>
      </c>
      <c r="AV62" s="293"/>
      <c r="AW62" s="293"/>
      <c r="AX62" s="294">
        <f t="shared" si="50"/>
        <v>-1.8063762549246185</v>
      </c>
      <c r="AY62" s="293">
        <f t="shared" si="51"/>
        <v>8.5647243156626125</v>
      </c>
      <c r="AZ62" s="265">
        <f t="shared" si="44"/>
        <v>-0.83001547223692285</v>
      </c>
      <c r="BA62" s="295">
        <f>AU62/$AU$59</f>
        <v>0.32139382105813619</v>
      </c>
      <c r="BB62" s="295">
        <f>AS62/$AS$59</f>
        <v>0.28860827147189394</v>
      </c>
      <c r="BC62" s="296">
        <f t="shared" si="54"/>
        <v>-3.2785549586242246E-2</v>
      </c>
      <c r="BD62" s="268"/>
      <c r="BF62" s="186">
        <v>25</v>
      </c>
      <c r="BG62" s="293">
        <f>BG59-BG61</f>
        <v>4.9851670314479541</v>
      </c>
      <c r="BH62" s="293">
        <f t="shared" ref="BH62:BM62" si="58">BH59-BH61</f>
        <v>4.9851670314479541</v>
      </c>
      <c r="BI62" s="293">
        <f t="shared" si="58"/>
        <v>4.9851670314479541</v>
      </c>
      <c r="BJ62" s="293">
        <f t="shared" si="58"/>
        <v>4.9851670314479541</v>
      </c>
      <c r="BK62" s="293">
        <f t="shared" si="58"/>
        <v>4.9831203247400104</v>
      </c>
      <c r="BL62" s="293">
        <f t="shared" si="58"/>
        <v>4.8644652020781471</v>
      </c>
      <c r="BM62" s="293">
        <f t="shared" si="58"/>
        <v>4.7391358872562925</v>
      </c>
      <c r="BO62" s="293">
        <f>BO59-BO61</f>
        <v>8.5647243156626125</v>
      </c>
    </row>
    <row r="63" spans="1:67" x14ac:dyDescent="0.4">
      <c r="A63" s="170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8"/>
      <c r="AV63" s="298"/>
      <c r="AW63" s="298"/>
      <c r="AX63" s="298"/>
      <c r="AY63" s="298"/>
      <c r="AZ63" s="213"/>
      <c r="BA63" s="216"/>
      <c r="BB63" s="213"/>
      <c r="BC63" s="213"/>
      <c r="BD63" s="213"/>
      <c r="BE63" s="213"/>
      <c r="BF63" s="213"/>
    </row>
    <row r="64" spans="1:67" x14ac:dyDescent="0.4">
      <c r="A64" s="170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8"/>
      <c r="AV64" s="298"/>
      <c r="AW64" s="298"/>
      <c r="AX64" s="299"/>
      <c r="AY64" s="298"/>
      <c r="AZ64" s="213"/>
      <c r="BA64" s="216"/>
      <c r="BB64" s="213"/>
      <c r="BC64" s="213"/>
      <c r="BD64" s="213"/>
      <c r="BE64" s="213"/>
      <c r="BF64" s="213"/>
    </row>
    <row r="65" spans="2:49" ht="21" x14ac:dyDescent="0.5">
      <c r="B65" s="162" t="s">
        <v>180</v>
      </c>
    </row>
    <row r="66" spans="2:49" x14ac:dyDescent="0.4">
      <c r="D66" s="164" t="s">
        <v>183</v>
      </c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</row>
    <row r="67" spans="2:49" x14ac:dyDescent="0.4">
      <c r="B67" s="228" t="s">
        <v>57</v>
      </c>
      <c r="C67" s="171" t="s">
        <v>58</v>
      </c>
      <c r="D67" s="228" t="s">
        <v>59</v>
      </c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306" t="s">
        <v>185</v>
      </c>
      <c r="AH67" s="231">
        <v>2</v>
      </c>
      <c r="AI67" s="231">
        <v>3</v>
      </c>
      <c r="AJ67" s="230">
        <v>4</v>
      </c>
      <c r="AK67" s="230">
        <v>5</v>
      </c>
      <c r="AL67" s="230">
        <v>6</v>
      </c>
      <c r="AM67" s="230">
        <v>7</v>
      </c>
      <c r="AN67" s="230">
        <v>8</v>
      </c>
      <c r="AO67" s="230">
        <v>9</v>
      </c>
      <c r="AP67" s="230">
        <v>10</v>
      </c>
      <c r="AQ67" s="230">
        <v>11</v>
      </c>
      <c r="AR67" s="230">
        <v>12</v>
      </c>
      <c r="AS67" s="231" t="s">
        <v>184</v>
      </c>
      <c r="AT67" s="231"/>
      <c r="AU67" s="231" t="s">
        <v>170</v>
      </c>
      <c r="AV67" s="320"/>
      <c r="AW67" s="320"/>
    </row>
    <row r="68" spans="2:49" x14ac:dyDescent="0.4">
      <c r="B68" s="236" t="s">
        <v>161</v>
      </c>
      <c r="C68" s="213"/>
      <c r="D68" s="237" t="s">
        <v>162</v>
      </c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300">
        <f t="shared" ref="AG68:AR68" si="59">SUM(AG69:AG79)</f>
        <v>0.81828597861253183</v>
      </c>
      <c r="AH68" s="300">
        <f t="shared" si="59"/>
        <v>0.76360624734555904</v>
      </c>
      <c r="AI68" s="300">
        <f t="shared" si="59"/>
        <v>0.8137844721955928</v>
      </c>
      <c r="AJ68" s="300">
        <f t="shared" si="59"/>
        <v>0.81007838543614552</v>
      </c>
      <c r="AK68" s="300">
        <f t="shared" si="59"/>
        <v>0.79187293149794769</v>
      </c>
      <c r="AL68" s="300">
        <f t="shared" si="59"/>
        <v>0.75323407755767546</v>
      </c>
      <c r="AM68" s="300">
        <f t="shared" si="59"/>
        <v>0.63217324790811658</v>
      </c>
      <c r="AN68" s="300">
        <f t="shared" si="59"/>
        <v>0.64959713034821498</v>
      </c>
      <c r="AO68" s="300">
        <f t="shared" si="59"/>
        <v>0.69559884826890206</v>
      </c>
      <c r="AP68" s="300">
        <f t="shared" si="59"/>
        <v>0.77479873419708656</v>
      </c>
      <c r="AQ68" s="300">
        <f t="shared" si="59"/>
        <v>0.7879795326461142</v>
      </c>
      <c r="AR68" s="300">
        <f t="shared" si="59"/>
        <v>0.67913686100033499</v>
      </c>
      <c r="AS68" s="300">
        <f>SUM(AS69:AS79)</f>
        <v>0.78750732449503658</v>
      </c>
      <c r="AT68" s="300"/>
      <c r="AU68" s="300">
        <f>SUM(AU69:AU79)</f>
        <v>0.77382795142053495</v>
      </c>
      <c r="AV68" s="333"/>
      <c r="AW68" s="333"/>
    </row>
    <row r="69" spans="2:49" x14ac:dyDescent="0.4">
      <c r="B69" s="245">
        <v>1</v>
      </c>
      <c r="C69" s="246" t="s">
        <v>96</v>
      </c>
      <c r="D69" s="246" t="s">
        <v>47</v>
      </c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301">
        <f t="shared" ref="AG69:AR84" si="60">AG40/AG$59</f>
        <v>0.72076592263053862</v>
      </c>
      <c r="AH69" s="301">
        <f t="shared" si="60"/>
        <v>0.669161426435535</v>
      </c>
      <c r="AI69" s="301">
        <f t="shared" si="60"/>
        <v>0.73223916550695711</v>
      </c>
      <c r="AJ69" s="301">
        <f t="shared" si="60"/>
        <v>0.71761266898691001</v>
      </c>
      <c r="AK69" s="301">
        <f t="shared" si="60"/>
        <v>0.70351364118712589</v>
      </c>
      <c r="AL69" s="301">
        <f t="shared" si="60"/>
        <v>0.64452921600788793</v>
      </c>
      <c r="AM69" s="301">
        <f t="shared" si="60"/>
        <v>0.53080815019993066</v>
      </c>
      <c r="AN69" s="301">
        <f t="shared" si="60"/>
        <v>0.55695531374046825</v>
      </c>
      <c r="AO69" s="301">
        <f t="shared" si="60"/>
        <v>0.60277149111317785</v>
      </c>
      <c r="AP69" s="301">
        <f t="shared" si="60"/>
        <v>0.68296058751226352</v>
      </c>
      <c r="AQ69" s="301">
        <f t="shared" si="60"/>
        <v>0.69282826368819095</v>
      </c>
      <c r="AR69" s="301">
        <f t="shared" si="60"/>
        <v>0.58935997019699427</v>
      </c>
      <c r="AS69" s="301">
        <f t="shared" ref="AS69:AS79" si="61">BB40</f>
        <v>0.6905731673473301</v>
      </c>
      <c r="AT69" s="301"/>
      <c r="AU69" s="301">
        <f t="shared" ref="AU69:AU79" si="62">BA40</f>
        <v>0.65100865912744699</v>
      </c>
      <c r="AV69" s="334"/>
      <c r="AW69" s="334"/>
    </row>
    <row r="70" spans="2:49" x14ac:dyDescent="0.4">
      <c r="B70" s="256">
        <f>B69+1</f>
        <v>2</v>
      </c>
      <c r="C70" s="257" t="s">
        <v>96</v>
      </c>
      <c r="D70" s="257" t="s">
        <v>25</v>
      </c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302">
        <f t="shared" si="60"/>
        <v>4.8281747735297607E-2</v>
      </c>
      <c r="AH70" s="302">
        <f t="shared" si="60"/>
        <v>5.0791593599438141E-2</v>
      </c>
      <c r="AI70" s="302">
        <f t="shared" si="60"/>
        <v>4.0636143160349469E-2</v>
      </c>
      <c r="AJ70" s="302">
        <f t="shared" si="60"/>
        <v>4.813864516396231E-2</v>
      </c>
      <c r="AK70" s="302">
        <f t="shared" si="60"/>
        <v>4.8092103158039447E-2</v>
      </c>
      <c r="AL70" s="302">
        <f t="shared" si="60"/>
        <v>4.9211637566426297E-2</v>
      </c>
      <c r="AM70" s="302">
        <f t="shared" si="60"/>
        <v>4.7636738616634589E-2</v>
      </c>
      <c r="AN70" s="302">
        <f t="shared" si="60"/>
        <v>4.9583543312586284E-2</v>
      </c>
      <c r="AO70" s="302">
        <f t="shared" si="60"/>
        <v>5.2920177943646216E-2</v>
      </c>
      <c r="AP70" s="302">
        <f t="shared" si="60"/>
        <v>4.7424232424119854E-2</v>
      </c>
      <c r="AQ70" s="302">
        <f t="shared" si="60"/>
        <v>5.0967076171230134E-2</v>
      </c>
      <c r="AR70" s="302">
        <f t="shared" si="60"/>
        <v>4.7465142747114837E-2</v>
      </c>
      <c r="AS70" s="302">
        <f t="shared" si="61"/>
        <v>5.0052191928204016E-2</v>
      </c>
      <c r="AT70" s="302"/>
      <c r="AU70" s="302">
        <f t="shared" si="62"/>
        <v>4.940656312726574E-2</v>
      </c>
      <c r="AV70" s="334"/>
      <c r="AW70" s="334"/>
    </row>
    <row r="71" spans="2:49" x14ac:dyDescent="0.4">
      <c r="B71" s="256">
        <f t="shared" ref="B71:B79" si="63">B70+1</f>
        <v>3</v>
      </c>
      <c r="C71" s="257" t="s">
        <v>96</v>
      </c>
      <c r="D71" s="257" t="s">
        <v>165</v>
      </c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302">
        <f t="shared" si="60"/>
        <v>1.0154368164463398E-2</v>
      </c>
      <c r="AH71" s="302">
        <f t="shared" si="60"/>
        <v>6.417136489979991E-3</v>
      </c>
      <c r="AI71" s="302">
        <f t="shared" si="60"/>
        <v>7.8704760952704751E-3</v>
      </c>
      <c r="AJ71" s="302">
        <f t="shared" si="60"/>
        <v>1.2105600943688751E-2</v>
      </c>
      <c r="AK71" s="302">
        <f t="shared" si="60"/>
        <v>9.7912725093136123E-3</v>
      </c>
      <c r="AL71" s="302">
        <f t="shared" si="60"/>
        <v>2.7354563379862872E-2</v>
      </c>
      <c r="AM71" s="302">
        <f t="shared" si="60"/>
        <v>1.3011429937551014E-2</v>
      </c>
      <c r="AN71" s="302">
        <f t="shared" si="60"/>
        <v>1.2375750856882984E-2</v>
      </c>
      <c r="AO71" s="302">
        <f t="shared" si="60"/>
        <v>8.7054852327434588E-3</v>
      </c>
      <c r="AP71" s="302">
        <f t="shared" si="60"/>
        <v>9.891305672293663E-3</v>
      </c>
      <c r="AQ71" s="302">
        <f t="shared" si="60"/>
        <v>1.4462043203380584E-2</v>
      </c>
      <c r="AR71" s="302">
        <f t="shared" si="60"/>
        <v>1.851995138085932E-2</v>
      </c>
      <c r="AS71" s="302">
        <f t="shared" si="61"/>
        <v>1.2991559838947614E-2</v>
      </c>
      <c r="AT71" s="302"/>
      <c r="AU71" s="302">
        <f t="shared" si="62"/>
        <v>2.5533813170542079E-2</v>
      </c>
      <c r="AV71" s="334"/>
      <c r="AW71" s="334"/>
    </row>
    <row r="72" spans="2:49" x14ac:dyDescent="0.4">
      <c r="B72" s="256">
        <f t="shared" si="63"/>
        <v>4</v>
      </c>
      <c r="C72" s="257" t="s">
        <v>96</v>
      </c>
      <c r="D72" s="257" t="s">
        <v>54</v>
      </c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302">
        <f t="shared" si="60"/>
        <v>1.5131440843874302E-2</v>
      </c>
      <c r="AH72" s="302">
        <f t="shared" si="60"/>
        <v>1.8570441372875994E-2</v>
      </c>
      <c r="AI72" s="302">
        <f t="shared" si="60"/>
        <v>1.4035749008025686E-2</v>
      </c>
      <c r="AJ72" s="302">
        <f t="shared" si="60"/>
        <v>8.4991390438909006E-3</v>
      </c>
      <c r="AK72" s="302">
        <f t="shared" si="60"/>
        <v>8.2875894195947597E-3</v>
      </c>
      <c r="AL72" s="302">
        <f t="shared" si="60"/>
        <v>6.0073777506496739E-3</v>
      </c>
      <c r="AM72" s="302">
        <f t="shared" si="60"/>
        <v>1.6757109071018558E-2</v>
      </c>
      <c r="AN72" s="302">
        <f t="shared" si="60"/>
        <v>7.6829606212048332E-3</v>
      </c>
      <c r="AO72" s="302">
        <f t="shared" si="60"/>
        <v>1.2149281260067811E-2</v>
      </c>
      <c r="AP72" s="302">
        <f t="shared" si="60"/>
        <v>1.6115942530400603E-2</v>
      </c>
      <c r="AQ72" s="302">
        <f t="shared" si="60"/>
        <v>1.3627404041698906E-2</v>
      </c>
      <c r="AR72" s="302">
        <f t="shared" si="60"/>
        <v>3.1241108937506601E-3</v>
      </c>
      <c r="AS72" s="302">
        <f t="shared" si="61"/>
        <v>1.20214305100729E-2</v>
      </c>
      <c r="AT72" s="302"/>
      <c r="AU72" s="302">
        <f t="shared" si="62"/>
        <v>1.6660370043200898E-2</v>
      </c>
      <c r="AV72" s="334"/>
      <c r="AW72" s="334"/>
    </row>
    <row r="73" spans="2:49" x14ac:dyDescent="0.4">
      <c r="B73" s="256">
        <f t="shared" si="63"/>
        <v>5</v>
      </c>
      <c r="C73" s="257" t="s">
        <v>96</v>
      </c>
      <c r="D73" s="257" t="s">
        <v>49</v>
      </c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302">
        <f t="shared" si="60"/>
        <v>9.1822113452168248E-3</v>
      </c>
      <c r="AH73" s="302">
        <f t="shared" si="60"/>
        <v>6.2366429384397362E-3</v>
      </c>
      <c r="AI73" s="302">
        <f t="shared" si="60"/>
        <v>6.7792077601011675E-3</v>
      </c>
      <c r="AJ73" s="302">
        <f t="shared" si="60"/>
        <v>1.085551505409287E-2</v>
      </c>
      <c r="AK73" s="302">
        <f t="shared" si="60"/>
        <v>8.2390088238151193E-3</v>
      </c>
      <c r="AL73" s="302">
        <f t="shared" si="60"/>
        <v>9.2758924023457166E-3</v>
      </c>
      <c r="AM73" s="302">
        <f t="shared" si="60"/>
        <v>8.100312959384107E-3</v>
      </c>
      <c r="AN73" s="302">
        <f t="shared" si="60"/>
        <v>7.9010397531956364E-3</v>
      </c>
      <c r="AO73" s="302">
        <f t="shared" si="60"/>
        <v>6.7454024913274086E-3</v>
      </c>
      <c r="AP73" s="302">
        <f t="shared" si="60"/>
        <v>5.2553662530132345E-3</v>
      </c>
      <c r="AQ73" s="302">
        <f t="shared" si="60"/>
        <v>3.101003020882476E-3</v>
      </c>
      <c r="AR73" s="302">
        <f t="shared" si="60"/>
        <v>6.9248111567270067E-3</v>
      </c>
      <c r="AS73" s="302">
        <f t="shared" si="61"/>
        <v>7.6140490145278541E-3</v>
      </c>
      <c r="AT73" s="302"/>
      <c r="AU73" s="302">
        <f t="shared" si="62"/>
        <v>1.0573856217763329E-2</v>
      </c>
      <c r="AV73" s="334"/>
      <c r="AW73" s="334"/>
    </row>
    <row r="74" spans="2:49" x14ac:dyDescent="0.4">
      <c r="B74" s="256">
        <f t="shared" si="63"/>
        <v>6</v>
      </c>
      <c r="C74" s="257" t="s">
        <v>96</v>
      </c>
      <c r="D74" s="257" t="s">
        <v>56</v>
      </c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302">
        <f t="shared" si="60"/>
        <v>7.9963307952657103E-3</v>
      </c>
      <c r="AH74" s="302">
        <f t="shared" si="60"/>
        <v>5.2295780192359587E-3</v>
      </c>
      <c r="AI74" s="302">
        <f t="shared" si="60"/>
        <v>6.0431391520942923E-3</v>
      </c>
      <c r="AJ74" s="302">
        <f t="shared" si="60"/>
        <v>5.4945805956547094E-3</v>
      </c>
      <c r="AK74" s="302">
        <f t="shared" si="60"/>
        <v>5.9088992660380818E-3</v>
      </c>
      <c r="AL74" s="302">
        <f t="shared" si="60"/>
        <v>7.9560892767617797E-3</v>
      </c>
      <c r="AM74" s="302">
        <f t="shared" si="60"/>
        <v>5.0001166330716287E-3</v>
      </c>
      <c r="AN74" s="302">
        <f t="shared" si="60"/>
        <v>5.0559832690747347E-3</v>
      </c>
      <c r="AO74" s="302">
        <f t="shared" si="60"/>
        <v>5.8529354528602043E-3</v>
      </c>
      <c r="AP74" s="302">
        <f t="shared" si="60"/>
        <v>6.0192546570420049E-3</v>
      </c>
      <c r="AQ74" s="302">
        <f t="shared" si="60"/>
        <v>6.5300395852378977E-3</v>
      </c>
      <c r="AR74" s="302">
        <f t="shared" si="60"/>
        <v>5.9464509684571728E-3</v>
      </c>
      <c r="AS74" s="302">
        <f t="shared" si="61"/>
        <v>6.4059610776422129E-3</v>
      </c>
      <c r="AT74" s="302"/>
      <c r="AU74" s="302">
        <f t="shared" si="62"/>
        <v>6.2631346216337697E-3</v>
      </c>
      <c r="AV74" s="334"/>
      <c r="AW74" s="334"/>
    </row>
    <row r="75" spans="2:49" x14ac:dyDescent="0.4">
      <c r="B75" s="256">
        <f t="shared" si="63"/>
        <v>7</v>
      </c>
      <c r="C75" s="257" t="s">
        <v>96</v>
      </c>
      <c r="D75" s="257" t="s">
        <v>28</v>
      </c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302">
        <f t="shared" si="60"/>
        <v>3.3625337549845246E-3</v>
      </c>
      <c r="AH75" s="302">
        <f t="shared" si="60"/>
        <v>3.3003582533338732E-3</v>
      </c>
      <c r="AI75" s="302">
        <f t="shared" si="60"/>
        <v>3.276379152468509E-3</v>
      </c>
      <c r="AJ75" s="302">
        <f t="shared" si="60"/>
        <v>3.1745730757844399E-3</v>
      </c>
      <c r="AK75" s="302">
        <f t="shared" si="60"/>
        <v>3.3501150232590439E-3</v>
      </c>
      <c r="AL75" s="302">
        <f t="shared" si="60"/>
        <v>3.6110732890728956E-3</v>
      </c>
      <c r="AM75" s="302">
        <f t="shared" si="60"/>
        <v>4.9131157672581997E-3</v>
      </c>
      <c r="AN75" s="302">
        <f t="shared" si="60"/>
        <v>3.74596743165762E-3</v>
      </c>
      <c r="AO75" s="302">
        <f t="shared" si="60"/>
        <v>2.9933813966354691E-3</v>
      </c>
      <c r="AP75" s="302">
        <f t="shared" si="60"/>
        <v>2.6486467068399687E-3</v>
      </c>
      <c r="AQ75" s="302">
        <f t="shared" si="60"/>
        <v>2.5093005692900742E-3</v>
      </c>
      <c r="AR75" s="302">
        <f t="shared" si="60"/>
        <v>2.8272813603294799E-3</v>
      </c>
      <c r="AS75" s="302">
        <f t="shared" si="61"/>
        <v>3.349332303298206E-3</v>
      </c>
      <c r="AT75" s="302"/>
      <c r="AU75" s="302">
        <f t="shared" si="62"/>
        <v>5.5656202364824121E-3</v>
      </c>
      <c r="AV75" s="334"/>
      <c r="AW75" s="334"/>
    </row>
    <row r="76" spans="2:49" x14ac:dyDescent="0.4">
      <c r="B76" s="256">
        <f t="shared" si="63"/>
        <v>8</v>
      </c>
      <c r="C76" s="257" t="s">
        <v>96</v>
      </c>
      <c r="D76" s="257" t="s">
        <v>53</v>
      </c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302">
        <f t="shared" si="60"/>
        <v>1.477873732110105E-3</v>
      </c>
      <c r="AH76" s="302">
        <f t="shared" si="60"/>
        <v>1.7017961435516907E-3</v>
      </c>
      <c r="AI76" s="302">
        <f t="shared" si="60"/>
        <v>1.0399636844031425E-3</v>
      </c>
      <c r="AJ76" s="302">
        <f t="shared" si="60"/>
        <v>1.7564924350891302E-3</v>
      </c>
      <c r="AK76" s="302">
        <f t="shared" si="60"/>
        <v>2.5994130861644988E-3</v>
      </c>
      <c r="AL76" s="302">
        <f t="shared" si="60"/>
        <v>2.9994864581991002E-3</v>
      </c>
      <c r="AM76" s="302">
        <f t="shared" si="60"/>
        <v>2.9058529784040214E-3</v>
      </c>
      <c r="AN76" s="302">
        <f t="shared" si="60"/>
        <v>3.2486372423944686E-3</v>
      </c>
      <c r="AO76" s="302">
        <f t="shared" si="60"/>
        <v>1.6442420615370714E-3</v>
      </c>
      <c r="AP76" s="302">
        <f t="shared" si="60"/>
        <v>2.3173262736999266E-3</v>
      </c>
      <c r="AQ76" s="302">
        <f t="shared" si="60"/>
        <v>2.1557533976389117E-3</v>
      </c>
      <c r="AR76" s="302">
        <f t="shared" si="60"/>
        <v>2.9803205553752448E-3</v>
      </c>
      <c r="AS76" s="302">
        <f t="shared" si="61"/>
        <v>2.251668287717507E-3</v>
      </c>
      <c r="AT76" s="302"/>
      <c r="AU76" s="302">
        <f t="shared" si="62"/>
        <v>4.1474949373119831E-3</v>
      </c>
      <c r="AV76" s="334"/>
      <c r="AW76" s="334"/>
    </row>
    <row r="77" spans="2:49" x14ac:dyDescent="0.4">
      <c r="B77" s="256">
        <f t="shared" si="63"/>
        <v>9</v>
      </c>
      <c r="C77" s="257" t="s">
        <v>96</v>
      </c>
      <c r="D77" s="257" t="s">
        <v>42</v>
      </c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303">
        <f t="shared" si="60"/>
        <v>6.0665335006410701E-4</v>
      </c>
      <c r="AH77" s="303">
        <f t="shared" si="60"/>
        <v>8.0399414744368697E-4</v>
      </c>
      <c r="AI77" s="303">
        <f t="shared" si="60"/>
        <v>5.7147978903578415E-4</v>
      </c>
      <c r="AJ77" s="303">
        <f t="shared" si="60"/>
        <v>1.2555832660868826E-3</v>
      </c>
      <c r="AK77" s="303">
        <f t="shared" si="60"/>
        <v>9.7755416521442531E-4</v>
      </c>
      <c r="AL77" s="303">
        <f t="shared" si="60"/>
        <v>8.3168243832048899E-4</v>
      </c>
      <c r="AM77" s="303">
        <f t="shared" si="60"/>
        <v>1.1360948902812658E-3</v>
      </c>
      <c r="AN77" s="303">
        <f t="shared" si="60"/>
        <v>1.1123101445803753E-3</v>
      </c>
      <c r="AO77" s="303">
        <f t="shared" si="60"/>
        <v>6.8412127935519045E-4</v>
      </c>
      <c r="AP77" s="303">
        <f t="shared" si="60"/>
        <v>7.4387435121769268E-4</v>
      </c>
      <c r="AQ77" s="303">
        <f t="shared" si="60"/>
        <v>5.9214186586265677E-4</v>
      </c>
      <c r="AR77" s="303">
        <f t="shared" si="60"/>
        <v>6.971535849457682E-4</v>
      </c>
      <c r="AS77" s="303">
        <f t="shared" si="61"/>
        <v>8.4724434325457486E-4</v>
      </c>
      <c r="AT77" s="303"/>
      <c r="AU77" s="303">
        <f t="shared" si="62"/>
        <v>1.9288758744605535E-3</v>
      </c>
      <c r="AV77" s="335"/>
      <c r="AW77" s="335"/>
    </row>
    <row r="78" spans="2:49" x14ac:dyDescent="0.4">
      <c r="B78" s="256">
        <f t="shared" si="63"/>
        <v>10</v>
      </c>
      <c r="C78" s="257" t="s">
        <v>96</v>
      </c>
      <c r="D78" s="257" t="s">
        <v>52</v>
      </c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303">
        <f t="shared" si="60"/>
        <v>1.1259161821729779E-3</v>
      </c>
      <c r="AH78" s="303">
        <f t="shared" si="60"/>
        <v>1.3932799457249631E-3</v>
      </c>
      <c r="AI78" s="303">
        <f t="shared" si="60"/>
        <v>1.1097909784307458E-3</v>
      </c>
      <c r="AJ78" s="303">
        <f t="shared" si="60"/>
        <v>1.1855868709856816E-3</v>
      </c>
      <c r="AK78" s="303">
        <f t="shared" si="60"/>
        <v>1.1133348593827812E-3</v>
      </c>
      <c r="AL78" s="303">
        <f t="shared" si="60"/>
        <v>1.350243568328288E-3</v>
      </c>
      <c r="AM78" s="303">
        <f t="shared" si="60"/>
        <v>1.5894439200801358E-3</v>
      </c>
      <c r="AN78" s="303">
        <f t="shared" si="60"/>
        <v>1.521739486435776E-3</v>
      </c>
      <c r="AO78" s="303">
        <f t="shared" si="60"/>
        <v>1.1310499879026968E-3</v>
      </c>
      <c r="AP78" s="303">
        <f t="shared" si="60"/>
        <v>1.0797952510545792E-3</v>
      </c>
      <c r="AQ78" s="303">
        <f t="shared" si="60"/>
        <v>1.1174093513116681E-3</v>
      </c>
      <c r="AR78" s="303">
        <f t="shared" si="60"/>
        <v>1.2188229343593629E-3</v>
      </c>
      <c r="AS78" s="303">
        <f t="shared" si="61"/>
        <v>1.2612185386982027E-3</v>
      </c>
      <c r="AT78" s="303"/>
      <c r="AU78" s="303">
        <f t="shared" si="62"/>
        <v>2.2130438521570399E-3</v>
      </c>
      <c r="AV78" s="335"/>
      <c r="AW78" s="335"/>
    </row>
    <row r="79" spans="2:49" x14ac:dyDescent="0.4">
      <c r="B79" s="256">
        <f t="shared" si="63"/>
        <v>11</v>
      </c>
      <c r="C79" s="262" t="s">
        <v>96</v>
      </c>
      <c r="D79" s="262" t="s">
        <v>55</v>
      </c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304">
        <f t="shared" si="60"/>
        <v>2.0098007854371143E-4</v>
      </c>
      <c r="AH79" s="304">
        <f t="shared" si="60"/>
        <v>0</v>
      </c>
      <c r="AI79" s="304">
        <f t="shared" si="60"/>
        <v>1.8297790845627594E-4</v>
      </c>
      <c r="AJ79" s="304">
        <f t="shared" si="60"/>
        <v>0</v>
      </c>
      <c r="AK79" s="304">
        <f t="shared" si="60"/>
        <v>0</v>
      </c>
      <c r="AL79" s="304">
        <f t="shared" si="60"/>
        <v>1.0681541982047924E-4</v>
      </c>
      <c r="AM79" s="304">
        <f t="shared" si="60"/>
        <v>3.1488293450256382E-4</v>
      </c>
      <c r="AN79" s="304">
        <f t="shared" si="60"/>
        <v>4.1388448973392214E-4</v>
      </c>
      <c r="AO79" s="304">
        <f t="shared" si="60"/>
        <v>1.2800496484969423E-6</v>
      </c>
      <c r="AP79" s="304">
        <f t="shared" si="60"/>
        <v>3.4240256514137717E-4</v>
      </c>
      <c r="AQ79" s="304">
        <f t="shared" si="60"/>
        <v>8.9097751389931467E-5</v>
      </c>
      <c r="AR79" s="304">
        <f t="shared" si="60"/>
        <v>7.284522142183948E-5</v>
      </c>
      <c r="AS79" s="304">
        <f t="shared" si="61"/>
        <v>1.3950130534334061E-4</v>
      </c>
      <c r="AT79" s="304"/>
      <c r="AU79" s="304">
        <f t="shared" si="62"/>
        <v>5.2652021227019073E-4</v>
      </c>
      <c r="AV79" s="334"/>
      <c r="AW79" s="334"/>
    </row>
    <row r="80" spans="2:49" x14ac:dyDescent="0.4">
      <c r="B80" s="236" t="s">
        <v>163</v>
      </c>
      <c r="C80" s="213"/>
      <c r="D80" s="237" t="s">
        <v>164</v>
      </c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300">
        <f t="shared" ref="AG80:AU80" si="64">SUM(AG81:AG87)</f>
        <v>0.18171402138746806</v>
      </c>
      <c r="AH80" s="300">
        <f t="shared" si="64"/>
        <v>0.23639375265444093</v>
      </c>
      <c r="AI80" s="300">
        <f t="shared" si="64"/>
        <v>0.18621552780440767</v>
      </c>
      <c r="AJ80" s="300">
        <f t="shared" si="64"/>
        <v>0.18992161456385445</v>
      </c>
      <c r="AK80" s="300">
        <f t="shared" si="64"/>
        <v>0.20812706850205234</v>
      </c>
      <c r="AL80" s="300">
        <f t="shared" si="64"/>
        <v>0.24676592244232459</v>
      </c>
      <c r="AM80" s="300">
        <f t="shared" si="64"/>
        <v>0.36782675209188337</v>
      </c>
      <c r="AN80" s="300">
        <f t="shared" si="64"/>
        <v>0.35040286965178508</v>
      </c>
      <c r="AO80" s="300">
        <f t="shared" si="64"/>
        <v>0.30440115173109816</v>
      </c>
      <c r="AP80" s="300">
        <f t="shared" si="64"/>
        <v>0.22520126580291336</v>
      </c>
      <c r="AQ80" s="300">
        <f t="shared" si="64"/>
        <v>0.2120204673538858</v>
      </c>
      <c r="AR80" s="300">
        <f t="shared" si="64"/>
        <v>0.32086313899966518</v>
      </c>
      <c r="AS80" s="300">
        <f t="shared" si="64"/>
        <v>0.21249267550496356</v>
      </c>
      <c r="AT80" s="300"/>
      <c r="AU80" s="300">
        <f t="shared" si="64"/>
        <v>0.22617204857946496</v>
      </c>
      <c r="AV80" s="333"/>
      <c r="AW80" s="333"/>
    </row>
    <row r="81" spans="2:49" x14ac:dyDescent="0.4">
      <c r="B81" s="245">
        <v>1</v>
      </c>
      <c r="C81" s="246" t="s">
        <v>97</v>
      </c>
      <c r="D81" s="246" t="s">
        <v>168</v>
      </c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301">
        <f t="shared" ref="AG81:AR88" si="65">AG52/AG$59</f>
        <v>6.3820209829603583E-2</v>
      </c>
      <c r="AH81" s="301">
        <f t="shared" si="65"/>
        <v>8.5506911642327252E-2</v>
      </c>
      <c r="AI81" s="301">
        <f t="shared" si="65"/>
        <v>6.085024260220346E-2</v>
      </c>
      <c r="AJ81" s="301">
        <f t="shared" si="65"/>
        <v>4.9573583588749741E-2</v>
      </c>
      <c r="AK81" s="301">
        <f t="shared" si="65"/>
        <v>5.1380302808482749E-2</v>
      </c>
      <c r="AL81" s="301">
        <f t="shared" si="65"/>
        <v>6.1234944131384125E-2</v>
      </c>
      <c r="AM81" s="301">
        <f t="shared" si="65"/>
        <v>9.3737039089415733E-2</v>
      </c>
      <c r="AN81" s="301">
        <f t="shared" si="60"/>
        <v>8.4287683939952313E-2</v>
      </c>
      <c r="AO81" s="301">
        <f t="shared" si="60"/>
        <v>6.8303629116832118E-2</v>
      </c>
      <c r="AP81" s="301">
        <f t="shared" si="60"/>
        <v>4.618355024819476E-2</v>
      </c>
      <c r="AQ81" s="301">
        <f t="shared" si="60"/>
        <v>4.1786666966141153E-2</v>
      </c>
      <c r="AR81" s="301">
        <f t="shared" si="60"/>
        <v>1.407531556139768E-2</v>
      </c>
      <c r="AS81" s="301">
        <f>BB52</f>
        <v>2.102022836836456E-2</v>
      </c>
      <c r="AT81" s="301"/>
      <c r="AU81" s="301">
        <f t="shared" ref="AU81:AU87" si="66">BA52</f>
        <v>2.2577678808567741E-2</v>
      </c>
      <c r="AV81" s="334"/>
      <c r="AW81" s="334"/>
    </row>
    <row r="82" spans="2:49" x14ac:dyDescent="0.4">
      <c r="B82" s="256">
        <f t="shared" ref="B82:B87" si="67">B81+1</f>
        <v>2</v>
      </c>
      <c r="C82" s="257" t="s">
        <v>97</v>
      </c>
      <c r="D82" s="257" t="s">
        <v>48</v>
      </c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302">
        <f t="shared" si="65"/>
        <v>8.6004358189863198E-2</v>
      </c>
      <c r="AH82" s="302">
        <f t="shared" si="65"/>
        <v>0.10736660140659898</v>
      </c>
      <c r="AI82" s="302">
        <f t="shared" si="65"/>
        <v>7.5585272681002916E-2</v>
      </c>
      <c r="AJ82" s="302">
        <f t="shared" si="65"/>
        <v>8.3915393208492645E-2</v>
      </c>
      <c r="AK82" s="302">
        <f t="shared" si="65"/>
        <v>8.9885349773803996E-2</v>
      </c>
      <c r="AL82" s="302">
        <f t="shared" si="65"/>
        <v>0.10588305280601915</v>
      </c>
      <c r="AM82" s="302">
        <f t="shared" si="65"/>
        <v>0.16126041694620977</v>
      </c>
      <c r="AN82" s="302">
        <f t="shared" si="65"/>
        <v>0.14333850730141368</v>
      </c>
      <c r="AO82" s="302">
        <f t="shared" si="65"/>
        <v>0.1245709739291766</v>
      </c>
      <c r="AP82" s="302">
        <f t="shared" si="60"/>
        <v>9.4126170903200607E-2</v>
      </c>
      <c r="AQ82" s="302">
        <f t="shared" si="60"/>
        <v>8.9845726846534149E-2</v>
      </c>
      <c r="AR82" s="302">
        <f t="shared" si="60"/>
        <v>0.12671893911282572</v>
      </c>
      <c r="AS82" s="302">
        <f>BB53</f>
        <v>0.10662846969163227</v>
      </c>
      <c r="AT82" s="302"/>
      <c r="AU82" s="302">
        <f t="shared" si="66"/>
        <v>0.12814339408348274</v>
      </c>
      <c r="AV82" s="334"/>
      <c r="AW82" s="334"/>
    </row>
    <row r="83" spans="2:49" x14ac:dyDescent="0.4">
      <c r="B83" s="256">
        <f t="shared" si="67"/>
        <v>3</v>
      </c>
      <c r="C83" s="257" t="s">
        <v>96</v>
      </c>
      <c r="D83" s="257" t="s">
        <v>16</v>
      </c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302">
        <f t="shared" si="65"/>
        <v>2.3750199870043818E-3</v>
      </c>
      <c r="AH83" s="302">
        <f t="shared" si="65"/>
        <v>3.3820566548438359E-3</v>
      </c>
      <c r="AI83" s="302">
        <f t="shared" si="65"/>
        <v>2.3811000664966324E-2</v>
      </c>
      <c r="AJ83" s="302">
        <f t="shared" si="65"/>
        <v>2.5850639132034822E-2</v>
      </c>
      <c r="AK83" s="302">
        <f t="shared" si="65"/>
        <v>2.7613732630313283E-2</v>
      </c>
      <c r="AL83" s="302">
        <f t="shared" si="65"/>
        <v>3.2927426780403612E-2</v>
      </c>
      <c r="AM83" s="302">
        <f t="shared" si="65"/>
        <v>5.0934287857977142E-2</v>
      </c>
      <c r="AN83" s="302">
        <f t="shared" si="65"/>
        <v>4.6092542375043476E-2</v>
      </c>
      <c r="AO83" s="302">
        <f t="shared" si="65"/>
        <v>3.8930370606361737E-2</v>
      </c>
      <c r="AP83" s="302">
        <f t="shared" si="60"/>
        <v>2.9234105742010096E-2</v>
      </c>
      <c r="AQ83" s="302">
        <f t="shared" si="60"/>
        <v>2.7315284033532242E-2</v>
      </c>
      <c r="AR83" s="302">
        <f t="shared" si="60"/>
        <v>3.6543637325534069E-2</v>
      </c>
      <c r="AS83" s="302">
        <f t="shared" ref="AS83:AS87" si="68">BB54</f>
        <v>2.854628655693495E-2</v>
      </c>
      <c r="AT83" s="302"/>
      <c r="AU83" s="302">
        <f t="shared" si="66"/>
        <v>4.4483053266756493E-2</v>
      </c>
      <c r="AV83" s="334"/>
      <c r="AW83" s="334"/>
    </row>
    <row r="84" spans="2:49" x14ac:dyDescent="0.4">
      <c r="B84" s="256">
        <f t="shared" si="67"/>
        <v>4</v>
      </c>
      <c r="C84" s="257" t="s">
        <v>97</v>
      </c>
      <c r="D84" s="257" t="s">
        <v>36</v>
      </c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302">
        <f t="shared" si="65"/>
        <v>1.450849487517376E-2</v>
      </c>
      <c r="AH84" s="302">
        <f t="shared" si="65"/>
        <v>1.6873732533020568E-2</v>
      </c>
      <c r="AI84" s="302">
        <f t="shared" si="65"/>
        <v>9.1412546024319703E-3</v>
      </c>
      <c r="AJ84" s="302">
        <f t="shared" si="65"/>
        <v>1.0868276338353702E-2</v>
      </c>
      <c r="AK84" s="302">
        <f t="shared" si="65"/>
        <v>1.6222713060670541E-2</v>
      </c>
      <c r="AL84" s="302">
        <f t="shared" si="65"/>
        <v>1.8930833254339981E-2</v>
      </c>
      <c r="AM84" s="302">
        <f t="shared" si="65"/>
        <v>2.4424419543881963E-2</v>
      </c>
      <c r="AN84" s="302">
        <f t="shared" si="65"/>
        <v>4.0677984831317168E-2</v>
      </c>
      <c r="AO84" s="302">
        <f t="shared" si="65"/>
        <v>4.0825457027429922E-2</v>
      </c>
      <c r="AP84" s="302">
        <f t="shared" si="60"/>
        <v>3.2846082605333761E-2</v>
      </c>
      <c r="AQ84" s="302">
        <f t="shared" si="60"/>
        <v>2.830264151543609E-2</v>
      </c>
      <c r="AR84" s="302">
        <f t="shared" si="60"/>
        <v>0.10858365654562234</v>
      </c>
      <c r="AS84" s="302">
        <f t="shared" si="68"/>
        <v>3.0339264975815773E-2</v>
      </c>
      <c r="AT84" s="302"/>
      <c r="AU84" s="302">
        <f t="shared" si="66"/>
        <v>1.2983089387449414E-2</v>
      </c>
      <c r="AV84" s="334"/>
      <c r="AW84" s="334"/>
    </row>
    <row r="85" spans="2:49" x14ac:dyDescent="0.4">
      <c r="B85" s="256">
        <f t="shared" si="67"/>
        <v>5</v>
      </c>
      <c r="C85" s="257" t="s">
        <v>97</v>
      </c>
      <c r="D85" s="257" t="s">
        <v>12</v>
      </c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302">
        <f t="shared" si="65"/>
        <v>6.2646506461088002E-3</v>
      </c>
      <c r="AH85" s="302">
        <f t="shared" si="65"/>
        <v>8.463669864772606E-3</v>
      </c>
      <c r="AI85" s="302">
        <f t="shared" si="65"/>
        <v>6.616476895043087E-3</v>
      </c>
      <c r="AJ85" s="302">
        <f t="shared" si="65"/>
        <v>7.1517910279539874E-3</v>
      </c>
      <c r="AK85" s="302">
        <f t="shared" si="65"/>
        <v>8.2060005785534219E-3</v>
      </c>
      <c r="AL85" s="302">
        <f t="shared" si="65"/>
        <v>7.9257855557355247E-3</v>
      </c>
      <c r="AM85" s="302">
        <f t="shared" si="65"/>
        <v>1.0560821058325315E-2</v>
      </c>
      <c r="AN85" s="302">
        <f t="shared" si="65"/>
        <v>1.1548993050356907E-2</v>
      </c>
      <c r="AO85" s="302">
        <f t="shared" si="65"/>
        <v>1.1469173659211558E-2</v>
      </c>
      <c r="AP85" s="302">
        <f t="shared" si="65"/>
        <v>7.0708337163278168E-3</v>
      </c>
      <c r="AQ85" s="302">
        <f t="shared" si="65"/>
        <v>7.9261888045547291E-3</v>
      </c>
      <c r="AR85" s="302">
        <f t="shared" si="65"/>
        <v>1.0491452778697207E-2</v>
      </c>
      <c r="AS85" s="302">
        <f t="shared" si="68"/>
        <v>8.6772465147223702E-3</v>
      </c>
      <c r="AT85" s="302"/>
      <c r="AU85" s="302">
        <f t="shared" si="66"/>
        <v>9.0648364047190878E-3</v>
      </c>
      <c r="AV85" s="334"/>
      <c r="AW85" s="334"/>
    </row>
    <row r="86" spans="2:49" x14ac:dyDescent="0.4">
      <c r="B86" s="256">
        <f t="shared" si="67"/>
        <v>6</v>
      </c>
      <c r="C86" s="257" t="s">
        <v>97</v>
      </c>
      <c r="D86" s="257" t="s">
        <v>51</v>
      </c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302">
        <f t="shared" si="65"/>
        <v>4.7129693950728364E-3</v>
      </c>
      <c r="AH86" s="302">
        <f t="shared" si="65"/>
        <v>7.8997005309691566E-3</v>
      </c>
      <c r="AI86" s="302">
        <f t="shared" si="65"/>
        <v>5.5481666543645254E-3</v>
      </c>
      <c r="AJ86" s="302">
        <f t="shared" si="65"/>
        <v>5.2016814238647485E-3</v>
      </c>
      <c r="AK86" s="302">
        <f t="shared" si="65"/>
        <v>6.5118912049915885E-3</v>
      </c>
      <c r="AL86" s="302">
        <f t="shared" si="65"/>
        <v>8.5333423424947246E-3</v>
      </c>
      <c r="AM86" s="302">
        <f t="shared" si="65"/>
        <v>8.8533447283628049E-3</v>
      </c>
      <c r="AN86" s="302">
        <f t="shared" si="65"/>
        <v>1.1315362941638875E-2</v>
      </c>
      <c r="AO86" s="302">
        <f t="shared" si="65"/>
        <v>1.05602703344157E-2</v>
      </c>
      <c r="AP86" s="302">
        <f t="shared" si="65"/>
        <v>8.5897301642499455E-3</v>
      </c>
      <c r="AQ86" s="302">
        <f t="shared" si="65"/>
        <v>9.8019969881284735E-3</v>
      </c>
      <c r="AR86" s="302">
        <f t="shared" si="65"/>
        <v>1.4421167707865869E-2</v>
      </c>
      <c r="AS86" s="302">
        <f t="shared" si="68"/>
        <v>8.5730050087172577E-3</v>
      </c>
      <c r="AT86" s="302"/>
      <c r="AU86" s="302">
        <f t="shared" si="66"/>
        <v>7.2464455453545027E-3</v>
      </c>
      <c r="AV86" s="334"/>
      <c r="AW86" s="334"/>
    </row>
    <row r="87" spans="2:49" x14ac:dyDescent="0.4">
      <c r="B87" s="256">
        <f t="shared" si="67"/>
        <v>7</v>
      </c>
      <c r="C87" s="262" t="s">
        <v>97</v>
      </c>
      <c r="D87" s="262" t="s">
        <v>40</v>
      </c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304">
        <f t="shared" si="65"/>
        <v>4.028318464641527E-3</v>
      </c>
      <c r="AH87" s="304">
        <f t="shared" si="65"/>
        <v>6.9010800219085067E-3</v>
      </c>
      <c r="AI87" s="304">
        <f t="shared" si="65"/>
        <v>4.6631137043953719E-3</v>
      </c>
      <c r="AJ87" s="304">
        <f t="shared" si="65"/>
        <v>7.3602498444048396E-3</v>
      </c>
      <c r="AK87" s="304">
        <f t="shared" si="65"/>
        <v>8.3070784452367562E-3</v>
      </c>
      <c r="AL87" s="304">
        <f t="shared" si="65"/>
        <v>1.1330537571947484E-2</v>
      </c>
      <c r="AM87" s="304">
        <f t="shared" si="65"/>
        <v>1.8056422867710611E-2</v>
      </c>
      <c r="AN87" s="304">
        <f t="shared" si="65"/>
        <v>1.314179521206266E-2</v>
      </c>
      <c r="AO87" s="304">
        <f t="shared" si="65"/>
        <v>9.741277057670512E-3</v>
      </c>
      <c r="AP87" s="304">
        <f t="shared" si="65"/>
        <v>7.1507924235963746E-3</v>
      </c>
      <c r="AQ87" s="304">
        <f t="shared" si="65"/>
        <v>7.041962199558929E-3</v>
      </c>
      <c r="AR87" s="304">
        <f t="shared" si="65"/>
        <v>1.0028969967722238E-2</v>
      </c>
      <c r="AS87" s="304">
        <f t="shared" si="68"/>
        <v>8.7081743887763817E-3</v>
      </c>
      <c r="AT87" s="304"/>
      <c r="AU87" s="304">
        <f t="shared" si="66"/>
        <v>1.6735510831349951E-3</v>
      </c>
      <c r="AV87" s="334"/>
      <c r="AW87" s="334"/>
    </row>
    <row r="88" spans="2:49" x14ac:dyDescent="0.4">
      <c r="B88" s="270" t="s">
        <v>172</v>
      </c>
      <c r="C88" s="271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305">
        <f t="shared" ref="AG88:AN88" si="69">AG68+AG80</f>
        <v>0.99999999999999989</v>
      </c>
      <c r="AH88" s="305">
        <f t="shared" si="69"/>
        <v>1</v>
      </c>
      <c r="AI88" s="305">
        <f t="shared" si="69"/>
        <v>1.0000000000000004</v>
      </c>
      <c r="AJ88" s="305">
        <f t="shared" si="69"/>
        <v>1</v>
      </c>
      <c r="AK88" s="305">
        <f t="shared" si="69"/>
        <v>1</v>
      </c>
      <c r="AL88" s="305">
        <f t="shared" si="69"/>
        <v>1</v>
      </c>
      <c r="AM88" s="305">
        <f t="shared" si="69"/>
        <v>1</v>
      </c>
      <c r="AN88" s="305">
        <f t="shared" si="69"/>
        <v>1</v>
      </c>
      <c r="AO88" s="305">
        <f t="shared" si="65"/>
        <v>1</v>
      </c>
      <c r="AP88" s="305">
        <f t="shared" si="65"/>
        <v>1</v>
      </c>
      <c r="AQ88" s="305">
        <f t="shared" si="65"/>
        <v>1</v>
      </c>
      <c r="AR88" s="305">
        <f t="shared" si="65"/>
        <v>1</v>
      </c>
      <c r="AS88" s="305">
        <f>AS68+AS80</f>
        <v>1.0000000000000002</v>
      </c>
      <c r="AT88" s="305"/>
      <c r="AU88" s="305">
        <f>AU68+AU80</f>
        <v>0.99999999999999989</v>
      </c>
      <c r="AV88" s="336"/>
      <c r="AW88" s="336"/>
    </row>
  </sheetData>
  <sheetProtection selectLockedCells="1" selectUnlockedCells="1"/>
  <mergeCells count="30">
    <mergeCell ref="BA19:BD19"/>
    <mergeCell ref="BA8:BD8"/>
    <mergeCell ref="BA9:BD9"/>
    <mergeCell ref="BA10:BD10"/>
    <mergeCell ref="BA11:BD11"/>
    <mergeCell ref="BA12:BD12"/>
    <mergeCell ref="BA13:BD13"/>
    <mergeCell ref="BA14:BD14"/>
    <mergeCell ref="BA15:BD15"/>
    <mergeCell ref="BA16:BD16"/>
    <mergeCell ref="BA17:BD17"/>
    <mergeCell ref="BA18:BD18"/>
    <mergeCell ref="B31:D31"/>
    <mergeCell ref="BA31:BD31"/>
    <mergeCell ref="BA20:BD20"/>
    <mergeCell ref="BA21:BD21"/>
    <mergeCell ref="BA22:BD22"/>
    <mergeCell ref="BA23:BD23"/>
    <mergeCell ref="BA24:BD24"/>
    <mergeCell ref="BA25:BD25"/>
    <mergeCell ref="BA26:BD26"/>
    <mergeCell ref="BA27:BD27"/>
    <mergeCell ref="BA28:BD28"/>
    <mergeCell ref="BA29:BD29"/>
    <mergeCell ref="BA30:BD30"/>
    <mergeCell ref="B32:D32"/>
    <mergeCell ref="BA32:BD32"/>
    <mergeCell ref="BA33:BD33"/>
    <mergeCell ref="B61:D61"/>
    <mergeCell ref="B62:D6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8A53B88-95B3-44D5-B894-2C24C5B306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AX39</xm:sqref>
        </x14:conditionalFormatting>
        <x14:conditionalFormatting xmlns:xm="http://schemas.microsoft.com/office/excel/2006/main">
          <x14:cfRule type="iconSet" priority="4" id="{E634B32D-9287-47AD-8A43-513F28DBE33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AX40:AX50</xm:sqref>
        </x14:conditionalFormatting>
        <x14:conditionalFormatting xmlns:xm="http://schemas.microsoft.com/office/excel/2006/main">
          <x14:cfRule type="iconSet" priority="5" id="{E0F94FD0-D040-412C-84D9-247D356A33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AX51:AX58</xm:sqref>
        </x14:conditionalFormatting>
        <x14:conditionalFormatting xmlns:xm="http://schemas.microsoft.com/office/excel/2006/main">
          <x14:cfRule type="iconSet" priority="8" id="{D0706C36-8219-4E7B-9D02-255E397C19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AX60</xm:sqref>
        </x14:conditionalFormatting>
        <x14:conditionalFormatting xmlns:xm="http://schemas.microsoft.com/office/excel/2006/main">
          <x14:cfRule type="iconSet" priority="3" id="{6EF50DDB-0DC8-47C7-A62A-7605683D5C2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AX61:AX62</xm:sqref>
        </x14:conditionalFormatting>
        <x14:conditionalFormatting xmlns:xm="http://schemas.microsoft.com/office/excel/2006/main">
          <x14:cfRule type="iconSet" priority="9" id="{722BEF58-B821-41AC-9807-BB1B5B395C4D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AY9:AY29</xm:sqref>
        </x14:conditionalFormatting>
        <x14:conditionalFormatting xmlns:xm="http://schemas.microsoft.com/office/excel/2006/main">
          <x14:cfRule type="iconSet" priority="7" id="{E5E83C9B-4D99-43EB-9FEC-6685438C39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AZ39:AZ59 AZ61:AZ62</xm:sqref>
        </x14:conditionalFormatting>
        <x14:conditionalFormatting xmlns:xm="http://schemas.microsoft.com/office/excel/2006/main">
          <x14:cfRule type="iconSet" priority="1" id="{CDE8CD39-705D-4602-9919-29A70CA34D7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AZ60</xm:sqref>
        </x14:conditionalFormatting>
        <x14:conditionalFormatting xmlns:xm="http://schemas.microsoft.com/office/excel/2006/main">
          <x14:cfRule type="iconSet" priority="6" id="{18033488-C3B6-4367-A628-582613EA336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BC39:BC62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089F-A461-4FC9-95B5-8A1289019594}">
  <sheetPr>
    <tabColor rgb="FF00B050"/>
  </sheetPr>
  <dimension ref="O4:AQ91"/>
  <sheetViews>
    <sheetView topLeftCell="A40" zoomScale="60" zoomScaleNormal="60" workbookViewId="0">
      <selection activeCell="P100" sqref="P100"/>
    </sheetView>
  </sheetViews>
  <sheetFormatPr defaultRowHeight="14.5" x14ac:dyDescent="0.35"/>
  <cols>
    <col min="1" max="14" width="12.453125" customWidth="1"/>
    <col min="15" max="15" width="20.54296875" customWidth="1"/>
    <col min="24" max="28" width="8.54296875" customWidth="1"/>
  </cols>
  <sheetData>
    <row r="4" spans="15:43" ht="30" x14ac:dyDescent="0.35">
      <c r="O4" s="94" t="s">
        <v>59</v>
      </c>
      <c r="P4" s="120" t="s">
        <v>170</v>
      </c>
      <c r="Q4" s="120" t="s">
        <v>185</v>
      </c>
      <c r="R4" s="96">
        <v>2</v>
      </c>
      <c r="S4" s="96">
        <v>3</v>
      </c>
      <c r="T4" s="95">
        <v>4</v>
      </c>
      <c r="U4" s="95">
        <v>5</v>
      </c>
      <c r="V4" s="95">
        <v>6</v>
      </c>
      <c r="W4" s="95">
        <v>7</v>
      </c>
      <c r="X4" s="95">
        <v>8</v>
      </c>
      <c r="Y4" s="95">
        <v>9</v>
      </c>
      <c r="Z4" s="95">
        <v>10</v>
      </c>
      <c r="AA4" s="95">
        <v>11</v>
      </c>
      <c r="AB4" s="95">
        <v>12</v>
      </c>
      <c r="AC4" s="96" t="s">
        <v>184</v>
      </c>
      <c r="AD4" s="120" t="s">
        <v>250</v>
      </c>
      <c r="AE4" s="96">
        <v>2</v>
      </c>
      <c r="AF4" s="96">
        <v>3</v>
      </c>
      <c r="AG4" s="95">
        <v>4</v>
      </c>
      <c r="AH4" s="95">
        <v>5</v>
      </c>
      <c r="AI4" s="95">
        <v>6</v>
      </c>
      <c r="AJ4" s="95">
        <v>7</v>
      </c>
      <c r="AK4" s="95">
        <v>8</v>
      </c>
      <c r="AL4" s="95">
        <v>9</v>
      </c>
      <c r="AM4" s="95">
        <v>10</v>
      </c>
      <c r="AN4" s="95">
        <v>11</v>
      </c>
      <c r="AO4" s="95">
        <v>12</v>
      </c>
      <c r="AP4" s="96" t="s">
        <v>249</v>
      </c>
      <c r="AQ4" s="96" t="s">
        <v>253</v>
      </c>
    </row>
    <row r="5" spans="15:43" ht="15.5" x14ac:dyDescent="0.35">
      <c r="O5" s="141" t="s">
        <v>181</v>
      </c>
      <c r="P5" s="142">
        <f>'18 KMP- Tháng (Tâm)'!Q63</f>
        <v>19.760467905924752</v>
      </c>
      <c r="Q5" s="142">
        <f>'18 KMP- Tháng (Tâm)'!R63</f>
        <v>17.948177509556348</v>
      </c>
      <c r="R5" s="142">
        <f>'18 KMP- Tháng (Tâm)'!S63</f>
        <v>19.396253595809295</v>
      </c>
      <c r="S5" s="142">
        <f>'18 KMP- Tháng (Tâm)'!T63</f>
        <v>19.383062338985635</v>
      </c>
      <c r="T5" s="142">
        <f>'18 KMP- Tháng (Tâm)'!U63</f>
        <v>19.937223798176124</v>
      </c>
      <c r="U5" s="142">
        <f>'18 KMP- Tháng (Tâm)'!V63</f>
        <v>19.122937523781076</v>
      </c>
      <c r="V5" s="142">
        <f>'18 KMP- Tháng (Tâm)'!W63</f>
        <v>18.628787451937896</v>
      </c>
      <c r="W5" s="142">
        <f>'18 KMP- Tháng (Tâm)'!X63</f>
        <v>19.143955212370578</v>
      </c>
      <c r="X5" s="142">
        <f>'18 KMP- Tháng (Tâm)'!Y63</f>
        <v>18.69607359042805</v>
      </c>
      <c r="Y5" s="142">
        <f>'18 KMP- Tháng (Tâm)'!Z63</f>
        <v>19.616423624724003</v>
      </c>
      <c r="Z5" s="142">
        <f>'18 KMP- Tháng (Tâm)'!AA63</f>
        <v>19.368928154266165</v>
      </c>
      <c r="AA5" s="142">
        <f>'18 KMP- Tháng (Tâm)'!AB63</f>
        <v>18.911342412100201</v>
      </c>
      <c r="AB5" s="142">
        <f>'18 KMP- Tháng (Tâm)'!AC63</f>
        <v>18.660515558360363</v>
      </c>
      <c r="AC5" s="143">
        <f>'18 KMP- Tháng (Tâm)'!AD63</f>
        <v>19.06531599293432</v>
      </c>
      <c r="AD5" s="143">
        <f>'18 KMP- Tháng (Tâm)'!BF63</f>
        <v>19.575337209777519</v>
      </c>
      <c r="AE5" s="143">
        <f>'18 KMP- Tháng (Tâm)'!BG63</f>
        <v>18.521581012658768</v>
      </c>
      <c r="AF5" s="143">
        <f>'18 KMP- Tháng (Tâm)'!BH63</f>
        <v>19.19105057386151</v>
      </c>
      <c r="AG5" s="143">
        <f>'18 KMP- Tháng (Tâm)'!BI63</f>
        <v>18.446340251474307</v>
      </c>
      <c r="AH5" s="143">
        <f>'18 KMP- Tháng (Tâm)'!BJ63</f>
        <v>19.589332330935022</v>
      </c>
      <c r="AI5" s="143">
        <f>'18 KMP- Tháng (Tâm)'!BK63</f>
        <v>20.006230151387914</v>
      </c>
      <c r="AJ5" s="143">
        <f>'18 KMP- Tháng (Tâm)'!BL63</f>
        <v>0</v>
      </c>
      <c r="AK5" s="143">
        <f>'18 KMP- Tháng (Tâm)'!BM63</f>
        <v>0</v>
      </c>
      <c r="AL5" s="143">
        <f>'18 KMP- Tháng (Tâm)'!BN63</f>
        <v>0</v>
      </c>
      <c r="AM5" s="143">
        <f>'18 KMP- Tháng (Tâm)'!BO63</f>
        <v>0</v>
      </c>
      <c r="AN5" s="143">
        <f>'18 KMP- Tháng (Tâm)'!BP63</f>
        <v>0</v>
      </c>
      <c r="AO5" s="143">
        <f>'18 KMP- Tháng (Tâm)'!BQ63</f>
        <v>0</v>
      </c>
      <c r="AP5" s="143">
        <f>'18 KMP- Tháng (Tâm)'!BR63</f>
        <v>19.251706234222901</v>
      </c>
      <c r="AQ5" s="143">
        <f>'18 KMP- Tháng (Tâm)'!BE63</f>
        <v>18.443916461714945</v>
      </c>
    </row>
    <row r="6" spans="15:43" ht="30" x14ac:dyDescent="0.35">
      <c r="O6" s="141" t="s">
        <v>208</v>
      </c>
      <c r="P6" s="142">
        <f>'18 KMP- Tháng (Tâm)'!Q64</f>
        <v>4.9017272604390136</v>
      </c>
      <c r="Q6" s="142">
        <f>'18 KMP- Tháng (Tâm)'!R64</f>
        <v>6.4166454485099891</v>
      </c>
      <c r="R6" s="142">
        <f>'18 KMP- Tháng (Tâm)'!S64</f>
        <v>9.6509954814611199</v>
      </c>
      <c r="S6" s="142">
        <f>'18 KMP- Tháng (Tâm)'!T64</f>
        <v>6.3272414767622855</v>
      </c>
      <c r="T6" s="142">
        <f>'18 KMP- Tháng (Tâm)'!U64</f>
        <v>7.5889456566322586</v>
      </c>
      <c r="U6" s="142">
        <f>'18 KMP- Tháng (Tâm)'!V64</f>
        <v>7.7737789576948479</v>
      </c>
      <c r="V6" s="142">
        <f>'18 KMP- Tháng (Tâm)'!W64</f>
        <v>9.9689387719144413</v>
      </c>
      <c r="W6" s="142">
        <f>'18 KMP- Tháng (Tâm)'!X64</f>
        <v>16.125765615718912</v>
      </c>
      <c r="X6" s="142">
        <f>'18 KMP- Tháng (Tâm)'!Y64</f>
        <v>14.614211946066668</v>
      </c>
      <c r="Y6" s="142">
        <f>'18 KMP- Tháng (Tâm)'!Z64</f>
        <v>12.449969921188728</v>
      </c>
      <c r="Z6" s="142">
        <f>'18 KMP- Tháng (Tâm)'!AA64</f>
        <v>8.3563742791437541</v>
      </c>
      <c r="AA6" s="142">
        <f>'18 KMP- Tháng (Tâm)'!AB64</f>
        <v>7.8519651593708559</v>
      </c>
      <c r="AB6" s="142">
        <f>'18 KMP- Tháng (Tâm)'!AC64</f>
        <v>14.071151984317833</v>
      </c>
      <c r="AC6" s="143">
        <f>'18 KMP- Tháng (Tâm)'!AD64</f>
        <v>9.2712136581776328</v>
      </c>
      <c r="AD6" s="143">
        <f>'18 KMP- Tháng (Tâm)'!BF64</f>
        <v>13.419729534097701</v>
      </c>
      <c r="AE6" s="143">
        <f>'18 KMP- Tháng (Tâm)'!BG64</f>
        <v>18.619775515790469</v>
      </c>
      <c r="AF6" s="143">
        <f>'18 KMP- Tháng (Tâm)'!BH64</f>
        <v>9.2780369134501157</v>
      </c>
      <c r="AG6" s="143">
        <f>'18 KMP- Tháng (Tâm)'!BI64</f>
        <v>9.7267858971214132</v>
      </c>
      <c r="AH6" s="143">
        <f>'18 KMP- Tháng (Tâm)'!BJ64</f>
        <v>11.556222651700033</v>
      </c>
      <c r="AI6" s="143">
        <f>'18 KMP- Tháng (Tâm)'!BK64</f>
        <v>10.672106168087048</v>
      </c>
      <c r="AJ6" s="143">
        <f>'18 KMP- Tháng (Tâm)'!BL64</f>
        <v>0</v>
      </c>
      <c r="AK6" s="143">
        <f>'18 KMP- Tháng (Tâm)'!BM64</f>
        <v>0</v>
      </c>
      <c r="AL6" s="143">
        <f>'18 KMP- Tháng (Tâm)'!BN64</f>
        <v>0</v>
      </c>
      <c r="AM6" s="143">
        <f>'18 KMP- Tháng (Tâm)'!BO64</f>
        <v>0</v>
      </c>
      <c r="AN6" s="143">
        <f>'18 KMP- Tháng (Tâm)'!BP64</f>
        <v>0</v>
      </c>
      <c r="AO6" s="143">
        <f>'18 KMP- Tháng (Tâm)'!BQ64</f>
        <v>0</v>
      </c>
      <c r="AP6" s="143">
        <f>'18 KMP- Tháng (Tâm)'!BR64</f>
        <v>11.404149515021267</v>
      </c>
      <c r="AQ6" s="143">
        <f>'18 KMP- Tháng (Tâm)'!BE64</f>
        <v>10.505038550694039</v>
      </c>
    </row>
    <row r="7" spans="15:43" x14ac:dyDescent="0.35">
      <c r="O7" s="145" t="s">
        <v>199</v>
      </c>
      <c r="P7" s="144">
        <f>SUM(P5:P6)</f>
        <v>24.662195166363766</v>
      </c>
      <c r="Q7" s="144">
        <f>SUM(Q5:Q6)</f>
        <v>24.364822958066338</v>
      </c>
      <c r="R7" s="144">
        <f t="shared" ref="R7:AB7" si="0">SUM(R5:R6)</f>
        <v>29.047249077270415</v>
      </c>
      <c r="S7" s="144">
        <f t="shared" si="0"/>
        <v>25.71030381574792</v>
      </c>
      <c r="T7" s="144">
        <f t="shared" si="0"/>
        <v>27.526169454808382</v>
      </c>
      <c r="U7" s="144">
        <f t="shared" si="0"/>
        <v>26.896716481475924</v>
      </c>
      <c r="V7" s="144">
        <f t="shared" si="0"/>
        <v>28.597726223852337</v>
      </c>
      <c r="W7" s="144">
        <f t="shared" si="0"/>
        <v>35.26972082808949</v>
      </c>
      <c r="X7" s="144">
        <f t="shared" si="0"/>
        <v>33.310285536494717</v>
      </c>
      <c r="Y7" s="144">
        <f t="shared" si="0"/>
        <v>32.066393545912732</v>
      </c>
      <c r="Z7" s="144">
        <f t="shared" si="0"/>
        <v>27.725302433409919</v>
      </c>
      <c r="AA7" s="144">
        <f t="shared" si="0"/>
        <v>26.763307571471056</v>
      </c>
      <c r="AB7" s="144">
        <f t="shared" si="0"/>
        <v>32.731667542678196</v>
      </c>
      <c r="AC7" s="144">
        <f t="shared" ref="AC7:AD7" si="1">SUM(AC5:AC6)</f>
        <v>28.336529651111952</v>
      </c>
      <c r="AD7" s="144">
        <f t="shared" si="1"/>
        <v>32.995066743875221</v>
      </c>
      <c r="AE7" s="144">
        <f t="shared" ref="AE7:AQ7" si="2">SUM(AE5:AE6)</f>
        <v>37.141356528449236</v>
      </c>
      <c r="AF7" s="144">
        <f t="shared" si="2"/>
        <v>28.469087487311626</v>
      </c>
      <c r="AG7" s="144">
        <f t="shared" si="2"/>
        <v>28.173126148595721</v>
      </c>
      <c r="AH7" s="144">
        <f t="shared" si="2"/>
        <v>31.145554982635055</v>
      </c>
      <c r="AI7" s="144">
        <f t="shared" si="2"/>
        <v>30.678336319474962</v>
      </c>
      <c r="AJ7" s="144">
        <f t="shared" si="2"/>
        <v>0</v>
      </c>
      <c r="AK7" s="144">
        <f t="shared" si="2"/>
        <v>0</v>
      </c>
      <c r="AL7" s="144">
        <f t="shared" si="2"/>
        <v>0</v>
      </c>
      <c r="AM7" s="144">
        <f t="shared" si="2"/>
        <v>0</v>
      </c>
      <c r="AN7" s="144">
        <f t="shared" si="2"/>
        <v>0</v>
      </c>
      <c r="AO7" s="144">
        <f t="shared" si="2"/>
        <v>0</v>
      </c>
      <c r="AP7" s="144">
        <f t="shared" si="2"/>
        <v>30.655855749244168</v>
      </c>
      <c r="AQ7" s="144">
        <f t="shared" si="2"/>
        <v>28.948955012408984</v>
      </c>
    </row>
    <row r="90" ht="15.65" customHeight="1" x14ac:dyDescent="0.35"/>
    <row r="91" ht="15.65" customHeight="1" x14ac:dyDescent="0.3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C36-D9C9-49EF-80A8-3BBEFB5C72D0}">
  <sheetPr>
    <tabColor rgb="FFFFC000"/>
  </sheetPr>
  <dimension ref="A1:AI92"/>
  <sheetViews>
    <sheetView zoomScale="90" zoomScaleNormal="90" workbookViewId="0">
      <pane xSplit="4" ySplit="4" topLeftCell="E23" activePane="bottomRight" state="frozen"/>
      <selection activeCell="AH23" sqref="AH23"/>
      <selection pane="topRight" activeCell="AH23" sqref="AH23"/>
      <selection pane="bottomLeft" activeCell="AH23" sqref="AH23"/>
      <selection pane="bottomRight" activeCell="AH23" sqref="AH23"/>
    </sheetView>
  </sheetViews>
  <sheetFormatPr defaultRowHeight="14.5" x14ac:dyDescent="0.35"/>
  <cols>
    <col min="1" max="1" width="8" hidden="1" customWidth="1"/>
    <col min="2" max="2" width="4.453125" customWidth="1"/>
    <col min="3" max="3" width="10.453125" hidden="1" customWidth="1"/>
    <col min="4" max="4" width="23.54296875" bestFit="1" customWidth="1"/>
    <col min="5" max="5" width="9.453125" customWidth="1"/>
    <col min="6" max="17" width="9.453125" hidden="1" customWidth="1"/>
    <col min="18" max="18" width="10.54296875" bestFit="1" customWidth="1"/>
    <col min="19" max="25" width="10.54296875" customWidth="1"/>
    <col min="26" max="30" width="10.54296875" hidden="1" customWidth="1"/>
    <col min="31" max="31" width="10.54296875" customWidth="1"/>
    <col min="32" max="32" width="11.26953125" hidden="1" customWidth="1"/>
    <col min="33" max="35" width="10.54296875" customWidth="1"/>
  </cols>
  <sheetData>
    <row r="1" spans="1:33" hidden="1" x14ac:dyDescent="0.35">
      <c r="C1" s="13" t="s">
        <v>116</v>
      </c>
    </row>
    <row r="2" spans="1:33" ht="21" x14ac:dyDescent="0.5">
      <c r="D2" s="104" t="s">
        <v>187</v>
      </c>
      <c r="E2" s="105"/>
      <c r="F2" s="105"/>
      <c r="G2" s="105"/>
      <c r="H2" s="105"/>
      <c r="I2" s="105"/>
      <c r="J2" s="105"/>
      <c r="K2" s="105">
        <v>6</v>
      </c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</row>
    <row r="3" spans="1:33" ht="21" x14ac:dyDescent="0.5">
      <c r="C3" s="104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33" s="89" customFormat="1" x14ac:dyDescent="0.35">
      <c r="A4" s="105">
        <v>1</v>
      </c>
      <c r="B4" s="2" t="s">
        <v>57</v>
      </c>
      <c r="C4" s="2" t="s">
        <v>58</v>
      </c>
      <c r="D4" s="2" t="s">
        <v>59</v>
      </c>
      <c r="E4" s="307" t="s">
        <v>170</v>
      </c>
      <c r="F4" s="307" t="s">
        <v>72</v>
      </c>
      <c r="G4" s="307" t="s">
        <v>73</v>
      </c>
      <c r="H4" s="307" t="s">
        <v>74</v>
      </c>
      <c r="I4" s="307" t="s">
        <v>75</v>
      </c>
      <c r="J4" s="307" t="s">
        <v>76</v>
      </c>
      <c r="K4" s="307" t="s">
        <v>77</v>
      </c>
      <c r="L4" s="307" t="s">
        <v>78</v>
      </c>
      <c r="M4" s="307" t="s">
        <v>79</v>
      </c>
      <c r="N4" s="307" t="s">
        <v>80</v>
      </c>
      <c r="O4" s="307" t="s">
        <v>81</v>
      </c>
      <c r="P4" s="307" t="s">
        <v>82</v>
      </c>
      <c r="Q4" s="307" t="s">
        <v>83</v>
      </c>
      <c r="R4" s="307" t="s">
        <v>184</v>
      </c>
      <c r="S4" s="307" t="s">
        <v>228</v>
      </c>
      <c r="T4" s="307">
        <v>2</v>
      </c>
      <c r="U4" s="307">
        <v>3</v>
      </c>
      <c r="V4" s="307">
        <v>4</v>
      </c>
      <c r="W4" s="307">
        <v>5</v>
      </c>
      <c r="X4" s="307">
        <v>6</v>
      </c>
      <c r="Y4" s="307">
        <v>7</v>
      </c>
      <c r="Z4" s="307">
        <v>8</v>
      </c>
      <c r="AA4" s="307">
        <v>9</v>
      </c>
      <c r="AB4" s="307">
        <v>10</v>
      </c>
      <c r="AC4" s="307">
        <v>11</v>
      </c>
      <c r="AD4" s="307">
        <v>12</v>
      </c>
      <c r="AE4" s="307" t="s">
        <v>249</v>
      </c>
    </row>
    <row r="5" spans="1:33" s="12" customFormat="1" x14ac:dyDescent="0.35">
      <c r="A5" s="105">
        <v>2</v>
      </c>
      <c r="B5" s="81" t="s">
        <v>161</v>
      </c>
      <c r="D5" s="77" t="s">
        <v>162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9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spans="1:33" x14ac:dyDescent="0.35">
      <c r="A6" s="105">
        <v>3</v>
      </c>
      <c r="B6" s="3">
        <v>1</v>
      </c>
      <c r="C6" s="3" t="s">
        <v>96</v>
      </c>
      <c r="D6" s="3" t="s">
        <v>260</v>
      </c>
      <c r="E6" s="5">
        <v>0</v>
      </c>
      <c r="F6" s="5">
        <v>77545.176166999998</v>
      </c>
      <c r="G6" s="5">
        <v>52831.455825999998</v>
      </c>
      <c r="H6" s="5">
        <v>82776.449640999999</v>
      </c>
      <c r="I6" s="5">
        <v>76199.373762000003</v>
      </c>
      <c r="J6" s="5">
        <v>72132.059999999983</v>
      </c>
      <c r="K6" s="5">
        <v>54341.497199999998</v>
      </c>
      <c r="L6" s="5">
        <v>25562.460345</v>
      </c>
      <c r="M6" s="5">
        <v>31711.750999000004</v>
      </c>
      <c r="N6" s="5">
        <v>45976.629767499995</v>
      </c>
      <c r="O6" s="5">
        <v>71469.634072000001</v>
      </c>
      <c r="P6" s="5">
        <v>76332.750492681487</v>
      </c>
      <c r="Q6" s="5">
        <v>52113.421965652393</v>
      </c>
      <c r="R6" s="5">
        <f>AVERAGE(F6:Q6)</f>
        <v>59916.055019819491</v>
      </c>
      <c r="S6" s="5">
        <v>28382.922272554384</v>
      </c>
      <c r="T6" s="5">
        <v>47871.987882134286</v>
      </c>
      <c r="U6" s="5">
        <v>83465.587205556541</v>
      </c>
      <c r="V6" s="5">
        <v>72928.262429603972</v>
      </c>
      <c r="W6" s="5"/>
      <c r="X6" s="5"/>
      <c r="Y6" s="5"/>
      <c r="Z6" s="5"/>
      <c r="AA6" s="5"/>
      <c r="AB6" s="5"/>
      <c r="AC6" s="5"/>
      <c r="AD6" s="5"/>
      <c r="AE6" s="42">
        <f>AVERAGE(S6:AD6)</f>
        <v>58162.189947462291</v>
      </c>
    </row>
    <row r="7" spans="1:33" x14ac:dyDescent="0.35">
      <c r="A7" s="105">
        <v>4</v>
      </c>
      <c r="B7" s="3">
        <f>B6+1</f>
        <v>2</v>
      </c>
      <c r="C7" s="3" t="s">
        <v>96</v>
      </c>
      <c r="D7" s="3" t="s">
        <v>25</v>
      </c>
      <c r="E7" s="5">
        <v>2544.0756940228393</v>
      </c>
      <c r="F7" s="5">
        <v>4908.147944584025</v>
      </c>
      <c r="G7" s="5">
        <v>3953.2516112461226</v>
      </c>
      <c r="H7" s="5">
        <v>4643.1028493550211</v>
      </c>
      <c r="I7" s="5">
        <v>5025.13427823661</v>
      </c>
      <c r="J7" s="5">
        <v>5095.2758057142855</v>
      </c>
      <c r="K7" s="5">
        <v>4114.1715741939124</v>
      </c>
      <c r="L7" s="5">
        <v>2021.8796939144052</v>
      </c>
      <c r="M7" s="5">
        <v>2917.1160851621316</v>
      </c>
      <c r="N7" s="5">
        <v>4142.9268665863137</v>
      </c>
      <c r="O7" s="5">
        <v>5090.834559053319</v>
      </c>
      <c r="P7" s="5">
        <v>5714.1877953278645</v>
      </c>
      <c r="Q7" s="5">
        <v>4292.5455821395262</v>
      </c>
      <c r="R7" s="5">
        <f t="shared" ref="R7:R26" si="0">AVERAGE(F7:Q7)</f>
        <v>4326.5478871261284</v>
      </c>
      <c r="S7" s="5">
        <v>2784.6126370208522</v>
      </c>
      <c r="T7" s="5">
        <v>3721.902493084498</v>
      </c>
      <c r="U7" s="5">
        <v>5924.0264065359788</v>
      </c>
      <c r="V7" s="5">
        <v>5555.0300797310665</v>
      </c>
      <c r="W7" s="5"/>
      <c r="X7" s="5"/>
      <c r="Y7" s="5"/>
      <c r="Z7" s="5"/>
      <c r="AA7" s="5"/>
      <c r="AB7" s="5"/>
      <c r="AC7" s="5"/>
      <c r="AD7" s="5"/>
      <c r="AE7" s="42">
        <f t="shared" ref="AE7:AE25" si="1">AVERAGE(S7:AD7)</f>
        <v>4496.3929040930989</v>
      </c>
    </row>
    <row r="8" spans="1:33" x14ac:dyDescent="0.35">
      <c r="A8" s="105">
        <v>6</v>
      </c>
      <c r="B8" s="3">
        <f t="shared" ref="B8:B16" si="2">B7+1</f>
        <v>3</v>
      </c>
      <c r="C8" s="3" t="s">
        <v>96</v>
      </c>
      <c r="D8" s="3" t="s">
        <v>165</v>
      </c>
      <c r="E8" s="5">
        <v>439.4797326256683</v>
      </c>
      <c r="F8" s="5">
        <v>455.23457330909173</v>
      </c>
      <c r="G8" s="5">
        <v>362.58031262125343</v>
      </c>
      <c r="H8" s="5">
        <v>580.57750515747489</v>
      </c>
      <c r="I8" s="5">
        <v>1045.4679832909942</v>
      </c>
      <c r="J8" s="5">
        <v>824.95216711076966</v>
      </c>
      <c r="K8" s="5">
        <v>1441.8881473162837</v>
      </c>
      <c r="L8" s="5">
        <v>785.14306673709871</v>
      </c>
      <c r="M8" s="5">
        <v>1835.7068517659122</v>
      </c>
      <c r="N8" s="5">
        <v>1270.3476829584722</v>
      </c>
      <c r="O8" s="5">
        <v>939.00444552350973</v>
      </c>
      <c r="P8" s="5">
        <v>716.11045245295838</v>
      </c>
      <c r="Q8" s="5">
        <v>1641.8683269948931</v>
      </c>
      <c r="R8" s="5">
        <f t="shared" si="0"/>
        <v>991.57345960322584</v>
      </c>
      <c r="S8" s="5">
        <v>1393.4286653974928</v>
      </c>
      <c r="T8" s="5">
        <v>1867.9658168649773</v>
      </c>
      <c r="U8" s="5">
        <v>977.6451235497866</v>
      </c>
      <c r="V8" s="5">
        <v>1169.3221738264315</v>
      </c>
      <c r="W8" s="5"/>
      <c r="X8" s="5"/>
      <c r="Y8" s="5"/>
      <c r="Z8" s="5"/>
      <c r="AA8" s="5"/>
      <c r="AB8" s="5"/>
      <c r="AC8" s="5"/>
      <c r="AD8" s="5"/>
      <c r="AE8" s="42">
        <f t="shared" si="1"/>
        <v>1352.090444909672</v>
      </c>
    </row>
    <row r="9" spans="1:33" x14ac:dyDescent="0.35">
      <c r="A9" s="105">
        <v>7</v>
      </c>
      <c r="B9" s="3">
        <f t="shared" si="2"/>
        <v>4</v>
      </c>
      <c r="C9" s="3" t="s">
        <v>96</v>
      </c>
      <c r="D9" s="3" t="s">
        <v>54</v>
      </c>
      <c r="E9" s="5">
        <v>916.34127907646587</v>
      </c>
      <c r="F9" s="5">
        <v>1665.5748143199999</v>
      </c>
      <c r="G9" s="5">
        <v>1510.136839</v>
      </c>
      <c r="H9" s="5">
        <v>1646.8068490000001</v>
      </c>
      <c r="I9" s="5">
        <v>1034.367769</v>
      </c>
      <c r="J9" s="5">
        <v>905.79884500000003</v>
      </c>
      <c r="K9" s="5">
        <v>578.52189799999996</v>
      </c>
      <c r="L9" s="5">
        <v>952.70195600000011</v>
      </c>
      <c r="M9" s="5">
        <v>452.94584800000001</v>
      </c>
      <c r="N9" s="5">
        <v>1017.6750920000001</v>
      </c>
      <c r="O9" s="5">
        <v>1806.634053</v>
      </c>
      <c r="P9" s="5">
        <v>1644.24737</v>
      </c>
      <c r="Q9" s="5">
        <v>254.646117</v>
      </c>
      <c r="R9" s="5">
        <f t="shared" si="0"/>
        <v>1122.5047875266666</v>
      </c>
      <c r="S9" s="5">
        <v>244.874289</v>
      </c>
      <c r="T9" s="5">
        <v>792.05576699999995</v>
      </c>
      <c r="U9" s="5">
        <v>1496.760037</v>
      </c>
      <c r="V9" s="5">
        <v>1607.109629</v>
      </c>
      <c r="W9" s="5"/>
      <c r="X9" s="5"/>
      <c r="Y9" s="5"/>
      <c r="Z9" s="5"/>
      <c r="AA9" s="5"/>
      <c r="AB9" s="5"/>
      <c r="AC9" s="5"/>
      <c r="AD9" s="5"/>
      <c r="AE9" s="42">
        <f t="shared" si="1"/>
        <v>1035.1999304999999</v>
      </c>
    </row>
    <row r="10" spans="1:33" x14ac:dyDescent="0.35">
      <c r="A10" s="105">
        <v>8</v>
      </c>
      <c r="B10" s="3">
        <f t="shared" si="2"/>
        <v>5</v>
      </c>
      <c r="C10" s="3" t="s">
        <v>96</v>
      </c>
      <c r="D10" s="3" t="s">
        <v>49</v>
      </c>
      <c r="E10" s="5">
        <v>700.76313924635986</v>
      </c>
      <c r="F10" s="5">
        <v>931.16011134187136</v>
      </c>
      <c r="G10" s="5">
        <v>500.0483123263736</v>
      </c>
      <c r="H10" s="5">
        <v>810.95019655356202</v>
      </c>
      <c r="I10" s="5">
        <v>1314.0060897021488</v>
      </c>
      <c r="J10" s="5">
        <v>764.02032679869274</v>
      </c>
      <c r="K10" s="5">
        <v>860.38925119927364</v>
      </c>
      <c r="L10" s="5">
        <v>343.15386908407044</v>
      </c>
      <c r="M10" s="5">
        <v>529.0693296681676</v>
      </c>
      <c r="N10" s="5">
        <v>495.40206646150239</v>
      </c>
      <c r="O10" s="5">
        <v>552.25560229373775</v>
      </c>
      <c r="P10" s="5">
        <v>344.22356236921121</v>
      </c>
      <c r="Q10" s="5">
        <v>647.79595162726002</v>
      </c>
      <c r="R10" s="5">
        <f t="shared" si="0"/>
        <v>674.37288911882263</v>
      </c>
      <c r="S10" s="5">
        <v>591.8407531644034</v>
      </c>
      <c r="T10" s="5">
        <v>592.91259813130375</v>
      </c>
      <c r="U10" s="5">
        <v>616.88545334351966</v>
      </c>
      <c r="V10" s="5">
        <v>885.46278383674655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671.77539711899328</v>
      </c>
    </row>
    <row r="11" spans="1:33" x14ac:dyDescent="0.35">
      <c r="A11" s="105">
        <v>9</v>
      </c>
      <c r="B11" s="3">
        <f t="shared" si="2"/>
        <v>6</v>
      </c>
      <c r="C11" s="3" t="s">
        <v>96</v>
      </c>
      <c r="D11" s="3" t="s">
        <v>56</v>
      </c>
      <c r="E11" s="5">
        <v>293.48964049999984</v>
      </c>
      <c r="F11" s="5">
        <v>776.92303600000002</v>
      </c>
      <c r="G11" s="5">
        <v>387.44940700000001</v>
      </c>
      <c r="H11" s="5">
        <v>660.71178099999997</v>
      </c>
      <c r="I11" s="5">
        <v>548.88481100000001</v>
      </c>
      <c r="J11" s="5">
        <v>547.77307200000007</v>
      </c>
      <c r="K11" s="5">
        <v>668.12782800000002</v>
      </c>
      <c r="L11" s="5">
        <v>209.080915</v>
      </c>
      <c r="M11" s="5">
        <v>264.02270099999998</v>
      </c>
      <c r="N11" s="5">
        <v>446.58263399999998</v>
      </c>
      <c r="O11" s="5">
        <v>589.46583800000008</v>
      </c>
      <c r="P11" s="5">
        <v>682.86711100000002</v>
      </c>
      <c r="Q11" s="5">
        <v>503.27445899999998</v>
      </c>
      <c r="R11" s="5">
        <f t="shared" si="0"/>
        <v>523.76363275000006</v>
      </c>
      <c r="S11" s="5">
        <v>236.24669299999999</v>
      </c>
      <c r="T11" s="5">
        <v>391.86989199999999</v>
      </c>
      <c r="U11" s="5">
        <v>666.80127700000003</v>
      </c>
      <c r="V11" s="5">
        <v>559.95951100000002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463.71934325000001</v>
      </c>
    </row>
    <row r="12" spans="1:33" x14ac:dyDescent="0.35">
      <c r="A12" s="105">
        <v>10</v>
      </c>
      <c r="B12" s="3">
        <f t="shared" si="2"/>
        <v>7</v>
      </c>
      <c r="C12" s="3" t="s">
        <v>96</v>
      </c>
      <c r="D12" s="3" t="s">
        <v>28</v>
      </c>
      <c r="E12" s="5">
        <v>286.58862850515703</v>
      </c>
      <c r="F12" s="5">
        <v>341.82302655245769</v>
      </c>
      <c r="G12" s="5">
        <v>256.87610208839567</v>
      </c>
      <c r="H12" s="5">
        <v>374.36046325472927</v>
      </c>
      <c r="I12" s="5">
        <v>354.10553139500928</v>
      </c>
      <c r="J12" s="5">
        <v>332.53625829542483</v>
      </c>
      <c r="K12" s="5">
        <v>301.89149991566705</v>
      </c>
      <c r="L12" s="5">
        <v>208.53083758763498</v>
      </c>
      <c r="M12" s="5">
        <v>220.38404517589419</v>
      </c>
      <c r="N12" s="5">
        <v>234.34086376781917</v>
      </c>
      <c r="O12" s="5">
        <v>284.32346715317283</v>
      </c>
      <c r="P12" s="5">
        <v>281.33092507944281</v>
      </c>
      <c r="Q12" s="5">
        <v>255.68729830661763</v>
      </c>
      <c r="R12" s="5">
        <f t="shared" si="0"/>
        <v>287.18252654768878</v>
      </c>
      <c r="S12" s="5">
        <v>150.28129838770775</v>
      </c>
      <c r="T12" s="5">
        <v>196.1425127492015</v>
      </c>
      <c r="U12" s="5">
        <v>255.45563809358094</v>
      </c>
      <c r="V12" s="5">
        <v>213.08850211204211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203.74198783563307</v>
      </c>
    </row>
    <row r="13" spans="1:33" x14ac:dyDescent="0.35">
      <c r="A13" s="105">
        <v>11</v>
      </c>
      <c r="B13" s="3">
        <f t="shared" si="2"/>
        <v>8</v>
      </c>
      <c r="C13" s="3" t="s">
        <v>96</v>
      </c>
      <c r="D13" s="3" t="s">
        <v>53</v>
      </c>
      <c r="E13" s="5">
        <v>240.68175233333332</v>
      </c>
      <c r="F13" s="5">
        <v>168.93012999999999</v>
      </c>
      <c r="G13" s="5">
        <v>139.05925400000001</v>
      </c>
      <c r="H13" s="5">
        <v>130.98270099999999</v>
      </c>
      <c r="I13" s="5">
        <v>216.14340999999999</v>
      </c>
      <c r="J13" s="5">
        <v>304.87664899999999</v>
      </c>
      <c r="K13" s="5">
        <v>295.18419499999999</v>
      </c>
      <c r="L13" s="5">
        <v>186.81335799999999</v>
      </c>
      <c r="M13" s="5">
        <v>232.26438399999998</v>
      </c>
      <c r="N13" s="5">
        <v>145.066621</v>
      </c>
      <c r="O13" s="5">
        <v>272.26879300000002</v>
      </c>
      <c r="P13" s="5">
        <v>272.19795499999998</v>
      </c>
      <c r="Q13" s="5">
        <v>306.84791300000001</v>
      </c>
      <c r="R13" s="5">
        <f t="shared" si="0"/>
        <v>222.55294691666668</v>
      </c>
      <c r="S13" s="5">
        <v>210.76331500000003</v>
      </c>
      <c r="T13" s="5">
        <v>188.40178499999999</v>
      </c>
      <c r="U13" s="5">
        <v>282.89573000000001</v>
      </c>
      <c r="V13" s="5">
        <v>195.67146099999999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219.43307275000004</v>
      </c>
    </row>
    <row r="14" spans="1:33" x14ac:dyDescent="0.35">
      <c r="A14" s="105">
        <v>12</v>
      </c>
      <c r="B14" s="3">
        <f t="shared" si="2"/>
        <v>9</v>
      </c>
      <c r="C14" s="3" t="s">
        <v>96</v>
      </c>
      <c r="D14" s="3" t="s">
        <v>42</v>
      </c>
      <c r="E14" s="5">
        <v>99.32296274812181</v>
      </c>
      <c r="F14" s="5">
        <v>61.670186620343699</v>
      </c>
      <c r="G14" s="5">
        <v>62.577110375394241</v>
      </c>
      <c r="H14" s="5">
        <v>65.297521626263418</v>
      </c>
      <c r="I14" s="5">
        <v>140.05315645112805</v>
      </c>
      <c r="J14" s="5">
        <v>97.033147257516333</v>
      </c>
      <c r="K14" s="5">
        <v>69.529981437334172</v>
      </c>
      <c r="L14" s="5">
        <v>48.22007668294664</v>
      </c>
      <c r="M14" s="5">
        <v>65.439813245875584</v>
      </c>
      <c r="N14" s="5">
        <v>53.557348791649552</v>
      </c>
      <c r="O14" s="5">
        <v>79.852452242250024</v>
      </c>
      <c r="P14" s="5">
        <v>66.388148530384797</v>
      </c>
      <c r="Q14" s="5">
        <v>63.04760436675592</v>
      </c>
      <c r="R14" s="5">
        <f t="shared" si="0"/>
        <v>72.722212302320216</v>
      </c>
      <c r="S14" s="5">
        <v>39.538444086873568</v>
      </c>
      <c r="T14" s="5">
        <v>46.960133886840083</v>
      </c>
      <c r="U14" s="5">
        <v>61.804724920560268</v>
      </c>
      <c r="V14" s="5">
        <v>89.072377224529134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59.343920029700762</v>
      </c>
    </row>
    <row r="15" spans="1:33" x14ac:dyDescent="0.35">
      <c r="A15" s="105">
        <v>13</v>
      </c>
      <c r="B15" s="3">
        <f t="shared" si="2"/>
        <v>10</v>
      </c>
      <c r="C15" s="3" t="s">
        <v>96</v>
      </c>
      <c r="D15" s="3" t="s">
        <v>52</v>
      </c>
      <c r="E15" s="5">
        <v>113.95552974564865</v>
      </c>
      <c r="F15" s="5">
        <v>114.45656908699996</v>
      </c>
      <c r="G15" s="5">
        <v>108.44287016848101</v>
      </c>
      <c r="H15" s="5">
        <v>126.80518507396602</v>
      </c>
      <c r="I15" s="5">
        <v>132.24545756017682</v>
      </c>
      <c r="J15" s="5">
        <v>110.51089464052286</v>
      </c>
      <c r="K15" s="5">
        <v>112.882520919082</v>
      </c>
      <c r="L15" s="5">
        <v>67.461889288607523</v>
      </c>
      <c r="M15" s="5">
        <v>89.527501197788453</v>
      </c>
      <c r="N15" s="5">
        <v>88.545760131874403</v>
      </c>
      <c r="O15" s="5">
        <v>115.9124502345032</v>
      </c>
      <c r="P15" s="5">
        <v>125.27865746504425</v>
      </c>
      <c r="Q15" s="5">
        <v>110.22516102329926</v>
      </c>
      <c r="R15" s="5">
        <f t="shared" si="0"/>
        <v>108.52457639919548</v>
      </c>
      <c r="S15" s="5">
        <v>79.331301024986786</v>
      </c>
      <c r="T15" s="5">
        <v>124.2057133717427</v>
      </c>
      <c r="U15" s="5">
        <v>109.26121847712115</v>
      </c>
      <c r="V15" s="5">
        <v>110.85592676356063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105.91353990935281</v>
      </c>
    </row>
    <row r="16" spans="1:33" x14ac:dyDescent="0.35">
      <c r="A16" s="105">
        <v>14</v>
      </c>
      <c r="B16" s="3">
        <f t="shared" si="2"/>
        <v>11</v>
      </c>
      <c r="C16" s="3" t="s">
        <v>96</v>
      </c>
      <c r="D16" s="3" t="s">
        <v>55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29.591062000000001</v>
      </c>
      <c r="N16" s="5">
        <v>0</v>
      </c>
      <c r="O16" s="5">
        <v>0</v>
      </c>
      <c r="P16" s="5">
        <v>0</v>
      </c>
      <c r="Q16" s="5">
        <v>0</v>
      </c>
      <c r="R16" s="5">
        <f t="shared" si="0"/>
        <v>2.4659218333333333</v>
      </c>
      <c r="S16" s="5">
        <v>0</v>
      </c>
      <c r="T16" s="5">
        <v>0</v>
      </c>
      <c r="U16" s="5">
        <v>0</v>
      </c>
      <c r="V16" s="5">
        <v>0</v>
      </c>
      <c r="W16" s="5"/>
      <c r="X16" s="5"/>
      <c r="Y16" s="5"/>
      <c r="Z16" s="5"/>
      <c r="AA16" s="5"/>
      <c r="AB16" s="5"/>
      <c r="AC16" s="5"/>
      <c r="AD16" s="5"/>
      <c r="AE16" s="42">
        <f t="shared" si="1"/>
        <v>0</v>
      </c>
      <c r="AG16" s="12"/>
    </row>
    <row r="17" spans="1:35" s="12" customFormat="1" x14ac:dyDescent="0.35">
      <c r="A17" s="105">
        <v>15</v>
      </c>
      <c r="B17" s="81" t="s">
        <v>163</v>
      </c>
      <c r="D17" s="77" t="s">
        <v>164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9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</row>
    <row r="18" spans="1:35" x14ac:dyDescent="0.35">
      <c r="A18" s="105">
        <v>16</v>
      </c>
      <c r="B18" s="3">
        <v>1</v>
      </c>
      <c r="C18" s="3" t="s">
        <v>97</v>
      </c>
      <c r="D18" s="3" t="s">
        <v>168</v>
      </c>
      <c r="E18" s="5">
        <v>1162.584892545035</v>
      </c>
      <c r="F18" s="5">
        <v>13806.249279124366</v>
      </c>
      <c r="G18" s="6">
        <v>16017.679633539201</v>
      </c>
      <c r="H18" s="5">
        <v>15418.780131462807</v>
      </c>
      <c r="I18" s="5">
        <v>15439.21396885885</v>
      </c>
      <c r="J18" s="5">
        <v>14352.017717804669</v>
      </c>
      <c r="K18" s="5">
        <v>14406.249212481653</v>
      </c>
      <c r="L18" s="5">
        <v>11195.965107915856</v>
      </c>
      <c r="M18" s="5">
        <v>13954.596670692245</v>
      </c>
      <c r="N18" s="5">
        <v>15047.58362097771</v>
      </c>
      <c r="O18" s="5">
        <v>14945.704506134565</v>
      </c>
      <c r="P18" s="5">
        <v>14391.852820675518</v>
      </c>
      <c r="Q18" s="5">
        <v>1141.1554214613875</v>
      </c>
      <c r="R18" s="5">
        <f t="shared" si="0"/>
        <v>13343.087340927401</v>
      </c>
      <c r="S18" s="5">
        <v>4662.97563257399</v>
      </c>
      <c r="T18" s="5">
        <v>4668.2004507493748</v>
      </c>
      <c r="U18" s="5">
        <v>4885.2926750209435</v>
      </c>
      <c r="V18" s="5">
        <v>4852.0255870863139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4767.1235863576558</v>
      </c>
    </row>
    <row r="19" spans="1:35" x14ac:dyDescent="0.35">
      <c r="A19" s="105">
        <v>17</v>
      </c>
      <c r="B19" s="3">
        <f t="shared" ref="B19:B24" si="3">B18+1</f>
        <v>2</v>
      </c>
      <c r="C19" s="3" t="s">
        <v>97</v>
      </c>
      <c r="D19" s="3" t="s">
        <v>48</v>
      </c>
      <c r="E19" s="5">
        <v>6598.4450972155764</v>
      </c>
      <c r="F19" s="5">
        <v>8729.55215327937</v>
      </c>
      <c r="G19" s="5">
        <v>8356.6425056872595</v>
      </c>
      <c r="H19" s="5">
        <v>8636.4051226416323</v>
      </c>
      <c r="I19" s="5">
        <v>9360.2837909068639</v>
      </c>
      <c r="J19" s="5">
        <v>8922.1228769269837</v>
      </c>
      <c r="K19" s="5">
        <v>8851.9924876588775</v>
      </c>
      <c r="L19" s="5">
        <v>6844.4896087377529</v>
      </c>
      <c r="M19" s="5">
        <v>8432.9403938734686</v>
      </c>
      <c r="N19" s="5">
        <v>9752.2052030433952</v>
      </c>
      <c r="O19" s="5">
        <v>10104.133251119576</v>
      </c>
      <c r="P19" s="5">
        <v>10073.078433693388</v>
      </c>
      <c r="Q19" s="5">
        <v>10847.40322931308</v>
      </c>
      <c r="R19" s="5">
        <f t="shared" si="0"/>
        <v>9075.937421406803</v>
      </c>
      <c r="S19" s="5">
        <v>10794.985859711798</v>
      </c>
      <c r="T19" s="5">
        <v>11013.669619947081</v>
      </c>
      <c r="U19" s="5">
        <v>11259.667955742798</v>
      </c>
      <c r="V19" s="5">
        <v>12330.624904259097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11349.737084915192</v>
      </c>
    </row>
    <row r="20" spans="1:35" x14ac:dyDescent="0.35">
      <c r="A20" s="105">
        <v>5</v>
      </c>
      <c r="B20" s="3">
        <f t="shared" si="3"/>
        <v>3</v>
      </c>
      <c r="C20" s="3" t="s">
        <v>96</v>
      </c>
      <c r="D20" s="3" t="s">
        <v>16</v>
      </c>
      <c r="E20" s="5">
        <v>2290.5510411717928</v>
      </c>
      <c r="F20" s="5">
        <v>2673.1550931089796</v>
      </c>
      <c r="G20" s="5">
        <v>2867.7015357935561</v>
      </c>
      <c r="H20" s="5">
        <v>2749.1821240827639</v>
      </c>
      <c r="I20" s="5">
        <v>2911.9957199088021</v>
      </c>
      <c r="J20" s="5">
        <v>2767.5834500429505</v>
      </c>
      <c r="K20" s="5">
        <v>2779.4987682640244</v>
      </c>
      <c r="L20" s="5">
        <v>2185.9873594873957</v>
      </c>
      <c r="M20" s="5">
        <v>2864.5384622209199</v>
      </c>
      <c r="N20" s="5">
        <v>3212.4907118063961</v>
      </c>
      <c r="O20" s="5">
        <v>3307.8463956032724</v>
      </c>
      <c r="P20" s="5">
        <v>3244.2177727242706</v>
      </c>
      <c r="Q20" s="5">
        <v>3483.3130213414697</v>
      </c>
      <c r="R20" s="5">
        <f t="shared" si="0"/>
        <v>2920.6258678653999</v>
      </c>
      <c r="S20" s="5">
        <v>3485.0108853204947</v>
      </c>
      <c r="T20" s="5">
        <v>3569.6839116055307</v>
      </c>
      <c r="U20" s="5">
        <v>3797.1477255616728</v>
      </c>
      <c r="V20" s="5">
        <v>3706.3362894071338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3639.5447029737084</v>
      </c>
    </row>
    <row r="21" spans="1:35" x14ac:dyDescent="0.35">
      <c r="A21" s="105">
        <v>18</v>
      </c>
      <c r="B21" s="3">
        <f t="shared" si="3"/>
        <v>4</v>
      </c>
      <c r="C21" s="3" t="s">
        <v>97</v>
      </c>
      <c r="D21" s="3" t="s">
        <v>36</v>
      </c>
      <c r="E21" s="5">
        <v>668.53389617194125</v>
      </c>
      <c r="F21" s="5">
        <v>1469.4146822615933</v>
      </c>
      <c r="G21" s="5">
        <v>1313.3297381840284</v>
      </c>
      <c r="H21" s="5">
        <v>1044.4836047493286</v>
      </c>
      <c r="I21" s="5">
        <v>1212.2942758813554</v>
      </c>
      <c r="J21" s="5">
        <v>1610.2850986136318</v>
      </c>
      <c r="K21" s="5">
        <v>1582.6479243996091</v>
      </c>
      <c r="L21" s="5">
        <v>1033.2758839725921</v>
      </c>
      <c r="M21" s="5">
        <v>2266.2508157205257</v>
      </c>
      <c r="N21" s="5">
        <v>3059.2033247889963</v>
      </c>
      <c r="O21" s="5">
        <v>3384.9866227759226</v>
      </c>
      <c r="P21" s="5">
        <v>3036.1933729505581</v>
      </c>
      <c r="Q21" s="5">
        <v>9520.3895337235626</v>
      </c>
      <c r="R21" s="5">
        <f t="shared" si="0"/>
        <v>2544.3962398351418</v>
      </c>
      <c r="S21" s="5">
        <v>3078.504320385553</v>
      </c>
      <c r="T21" s="5">
        <v>2172.5312397637144</v>
      </c>
      <c r="U21" s="5">
        <v>3484.8169150588269</v>
      </c>
      <c r="V21" s="5">
        <v>2024.1034642036259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2689.9889848529301</v>
      </c>
    </row>
    <row r="22" spans="1:35" x14ac:dyDescent="0.35">
      <c r="A22" s="105">
        <v>19</v>
      </c>
      <c r="B22" s="3">
        <f t="shared" si="3"/>
        <v>5</v>
      </c>
      <c r="C22" s="3" t="s">
        <v>97</v>
      </c>
      <c r="D22" s="3" t="s">
        <v>12</v>
      </c>
      <c r="E22" s="5">
        <v>466.77260080072864</v>
      </c>
      <c r="F22" s="5">
        <v>630.39037355463813</v>
      </c>
      <c r="G22" s="5">
        <v>651.84140243872719</v>
      </c>
      <c r="H22" s="5">
        <v>749.42051623505984</v>
      </c>
      <c r="I22" s="5">
        <v>791.16587743869263</v>
      </c>
      <c r="J22" s="5">
        <v>808.39774949691878</v>
      </c>
      <c r="K22" s="5">
        <v>656.44586841934279</v>
      </c>
      <c r="L22" s="5">
        <v>443.45114556661667</v>
      </c>
      <c r="M22" s="5">
        <v>673.48505978294997</v>
      </c>
      <c r="N22" s="5">
        <v>891.44277568771304</v>
      </c>
      <c r="O22" s="5">
        <v>752.40289287440316</v>
      </c>
      <c r="P22" s="5">
        <v>865.33497684621352</v>
      </c>
      <c r="Q22" s="5">
        <v>942.43048922811545</v>
      </c>
      <c r="R22" s="5">
        <f t="shared" si="0"/>
        <v>738.01742729744944</v>
      </c>
      <c r="S22" s="5">
        <v>725.91614278831196</v>
      </c>
      <c r="T22" s="5">
        <v>879.63651828085824</v>
      </c>
      <c r="U22" s="5">
        <v>848.43227495594942</v>
      </c>
      <c r="V22" s="5">
        <v>977.85765835448865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857.96064859490207</v>
      </c>
    </row>
    <row r="23" spans="1:35" x14ac:dyDescent="0.35">
      <c r="A23" s="105">
        <v>20</v>
      </c>
      <c r="B23" s="3">
        <f t="shared" si="3"/>
        <v>6</v>
      </c>
      <c r="C23" s="3" t="s">
        <v>97</v>
      </c>
      <c r="D23" s="3" t="s">
        <v>51</v>
      </c>
      <c r="E23" s="5">
        <v>373.13880612396957</v>
      </c>
      <c r="F23" s="5">
        <v>479.1034321320343</v>
      </c>
      <c r="G23" s="5">
        <v>614.85575937434521</v>
      </c>
      <c r="H23" s="5">
        <v>633.9358609877213</v>
      </c>
      <c r="I23" s="5">
        <v>580.21791301497422</v>
      </c>
      <c r="J23" s="5">
        <v>646.37778724033615</v>
      </c>
      <c r="K23" s="5">
        <v>713.40106191281484</v>
      </c>
      <c r="L23" s="5">
        <v>375.76875431287692</v>
      </c>
      <c r="M23" s="5">
        <v>665.70932695169961</v>
      </c>
      <c r="N23" s="5">
        <v>826.72487861726972</v>
      </c>
      <c r="O23" s="5">
        <v>922.07913418680755</v>
      </c>
      <c r="P23" s="5">
        <v>1098.9535944975585</v>
      </c>
      <c r="Q23" s="5">
        <v>1304.1890564514445</v>
      </c>
      <c r="R23" s="5">
        <f t="shared" si="0"/>
        <v>738.44304663999026</v>
      </c>
      <c r="S23" s="5">
        <v>825.60840945231882</v>
      </c>
      <c r="T23" s="5">
        <v>1024.0106060179571</v>
      </c>
      <c r="U23" s="5">
        <v>931.90465001871019</v>
      </c>
      <c r="V23" s="5">
        <v>1007.1184028694946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947.16051708962016</v>
      </c>
    </row>
    <row r="24" spans="1:35" x14ac:dyDescent="0.35">
      <c r="A24" s="105">
        <v>21</v>
      </c>
      <c r="B24" s="3">
        <f t="shared" si="3"/>
        <v>7</v>
      </c>
      <c r="C24" s="3" t="s">
        <v>97</v>
      </c>
      <c r="D24" s="3" t="s">
        <v>40</v>
      </c>
      <c r="E24" s="5">
        <v>86.1756083365308</v>
      </c>
      <c r="F24" s="5">
        <v>409.50429343935417</v>
      </c>
      <c r="G24" s="5">
        <v>537.13033560439465</v>
      </c>
      <c r="H24" s="5">
        <v>532.80933779342456</v>
      </c>
      <c r="I24" s="5">
        <v>820.99391638952579</v>
      </c>
      <c r="J24" s="5">
        <v>824.57013098562095</v>
      </c>
      <c r="K24" s="5">
        <v>947.25105491399404</v>
      </c>
      <c r="L24" s="5">
        <v>766.3814904450104</v>
      </c>
      <c r="M24" s="5">
        <v>773.16261888212875</v>
      </c>
      <c r="N24" s="5">
        <v>762.60889523198387</v>
      </c>
      <c r="O24" s="5">
        <v>767.6139250731726</v>
      </c>
      <c r="P24" s="5">
        <v>789.51153330223656</v>
      </c>
      <c r="Q24" s="5">
        <v>906.97737827772266</v>
      </c>
      <c r="R24" s="5">
        <f t="shared" si="0"/>
        <v>736.54290919488074</v>
      </c>
      <c r="S24" s="5">
        <v>963.93922799506231</v>
      </c>
      <c r="T24" s="5">
        <v>821.91690932007475</v>
      </c>
      <c r="U24" s="5">
        <v>608.48050638862605</v>
      </c>
      <c r="V24" s="5">
        <v>796.61048312635955</v>
      </c>
      <c r="W24" s="5"/>
      <c r="X24" s="5"/>
      <c r="Y24" s="5"/>
      <c r="Z24" s="5"/>
      <c r="AA24" s="5"/>
      <c r="AB24" s="5"/>
      <c r="AC24" s="5"/>
      <c r="AD24" s="5"/>
      <c r="AE24" s="42">
        <f t="shared" si="1"/>
        <v>797.73678170753067</v>
      </c>
    </row>
    <row r="25" spans="1:35" s="10" customFormat="1" x14ac:dyDescent="0.35">
      <c r="A25" s="105">
        <v>22</v>
      </c>
      <c r="D25" s="11" t="s">
        <v>98</v>
      </c>
      <c r="E25" s="7">
        <f t="shared" ref="E25:Q25" si="4">SUM(E6:E24)</f>
        <v>17280.900301169175</v>
      </c>
      <c r="F25" s="7">
        <f t="shared" si="4"/>
        <v>115166.46586571509</v>
      </c>
      <c r="G25" s="7">
        <f t="shared" si="4"/>
        <v>90471.05855544754</v>
      </c>
      <c r="H25" s="7">
        <f t="shared" si="4"/>
        <v>121581.06139097377</v>
      </c>
      <c r="I25" s="7">
        <f t="shared" si="4"/>
        <v>117125.94771103513</v>
      </c>
      <c r="J25" s="7">
        <f t="shared" si="4"/>
        <v>111046.1919769283</v>
      </c>
      <c r="K25" s="7">
        <f t="shared" si="4"/>
        <v>92721.570474031862</v>
      </c>
      <c r="L25" s="7">
        <f t="shared" si="4"/>
        <v>53230.765357732867</v>
      </c>
      <c r="M25" s="7">
        <f t="shared" si="4"/>
        <v>67978.501968339726</v>
      </c>
      <c r="N25" s="7">
        <f t="shared" si="4"/>
        <v>87423.334113351084</v>
      </c>
      <c r="O25" s="7">
        <f t="shared" si="4"/>
        <v>115384.95246026822</v>
      </c>
      <c r="P25" s="7">
        <f t="shared" si="4"/>
        <v>119678.72497459612</v>
      </c>
      <c r="Q25" s="7">
        <f t="shared" si="4"/>
        <v>88335.218508907536</v>
      </c>
      <c r="R25" s="42">
        <f t="shared" si="0"/>
        <v>98345.316113110617</v>
      </c>
      <c r="S25" s="7">
        <f>SUM(S6:S24)</f>
        <v>58650.780146864228</v>
      </c>
      <c r="T25" s="7">
        <f>SUM(T6:T24)</f>
        <v>79944.053849907446</v>
      </c>
      <c r="U25" s="7">
        <f>SUM(U6:U24)</f>
        <v>119672.86551722464</v>
      </c>
      <c r="V25" s="7">
        <f>SUM(V6:V24)</f>
        <v>109008.51166340486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91819.052794350297</v>
      </c>
    </row>
    <row r="26" spans="1:35" s="10" customFormat="1" x14ac:dyDescent="0.35">
      <c r="A26" s="105">
        <v>23</v>
      </c>
      <c r="D26" s="11" t="s">
        <v>99</v>
      </c>
      <c r="E26" s="7">
        <v>1734.8775000000003</v>
      </c>
      <c r="F26" s="7">
        <v>4222.8360000000011</v>
      </c>
      <c r="G26" s="7">
        <v>2787.5269999999996</v>
      </c>
      <c r="H26" s="7">
        <v>4442.018</v>
      </c>
      <c r="I26" s="7">
        <v>4103.0010000000002</v>
      </c>
      <c r="J26" s="7">
        <v>3738.8999999999992</v>
      </c>
      <c r="K26" s="7">
        <v>2969.1000000000008</v>
      </c>
      <c r="L26" s="7">
        <v>1232.223</v>
      </c>
      <c r="M26" s="7">
        <v>1804.2249999999997</v>
      </c>
      <c r="N26" s="7">
        <v>2483.9779999999992</v>
      </c>
      <c r="O26" s="7">
        <v>3922.0985000000001</v>
      </c>
      <c r="P26" s="7">
        <v>4240.2209999999995</v>
      </c>
      <c r="Q26" s="7">
        <v>2915.0120000000002</v>
      </c>
      <c r="R26" s="42">
        <f t="shared" si="0"/>
        <v>3238.4282916666671</v>
      </c>
      <c r="S26" s="7">
        <v>1590.7339999999999</v>
      </c>
      <c r="T26" s="7">
        <v>2618.14</v>
      </c>
      <c r="U26" s="7">
        <v>4353.3959999999997</v>
      </c>
      <c r="V26" s="7">
        <v>3665.8779999999997</v>
      </c>
      <c r="W26" s="7"/>
      <c r="X26" s="7"/>
      <c r="Y26" s="7"/>
      <c r="Z26" s="7"/>
      <c r="AA26" s="7"/>
      <c r="AB26" s="7"/>
      <c r="AC26" s="7"/>
      <c r="AD26" s="7"/>
      <c r="AE26" s="42">
        <f>AVERAGE(S26:AD26)</f>
        <v>3057.0370000000003</v>
      </c>
    </row>
    <row r="27" spans="1:35" s="10" customFormat="1" ht="28.5" x14ac:dyDescent="0.35">
      <c r="A27" s="105">
        <v>24</v>
      </c>
      <c r="D27" s="88" t="s">
        <v>167</v>
      </c>
      <c r="E27" s="7">
        <f t="shared" ref="E27:R27" si="5">E25/E26</f>
        <v>9.9608763737896027</v>
      </c>
      <c r="F27" s="7">
        <f t="shared" si="5"/>
        <v>27.272303699626285</v>
      </c>
      <c r="G27" s="7">
        <f t="shared" si="5"/>
        <v>32.455670763170204</v>
      </c>
      <c r="H27" s="7">
        <f t="shared" si="5"/>
        <v>27.370681836717853</v>
      </c>
      <c r="I27" s="7">
        <f t="shared" si="5"/>
        <v>28.546409740342526</v>
      </c>
      <c r="J27" s="7">
        <f t="shared" si="5"/>
        <v>29.700230542921265</v>
      </c>
      <c r="K27" s="7">
        <f t="shared" si="5"/>
        <v>31.228847285046591</v>
      </c>
      <c r="L27" s="7">
        <f t="shared" si="5"/>
        <v>43.198970768872897</v>
      </c>
      <c r="M27" s="7">
        <f t="shared" si="5"/>
        <v>37.67739720286535</v>
      </c>
      <c r="N27" s="7">
        <f t="shared" si="5"/>
        <v>35.194890660606141</v>
      </c>
      <c r="O27" s="7">
        <f t="shared" si="5"/>
        <v>29.419187830256742</v>
      </c>
      <c r="P27" s="7">
        <f t="shared" si="5"/>
        <v>28.224643237839757</v>
      </c>
      <c r="Q27" s="7">
        <f t="shared" si="5"/>
        <v>30.303552269735949</v>
      </c>
      <c r="R27" s="7">
        <f t="shared" si="5"/>
        <v>30.368224106174942</v>
      </c>
      <c r="S27" s="7">
        <f>S25/S26</f>
        <v>36.870262499490316</v>
      </c>
      <c r="T27" s="7">
        <f>T25/T26</f>
        <v>30.534674940953291</v>
      </c>
      <c r="U27" s="7">
        <f>U25/U26</f>
        <v>27.489542765515623</v>
      </c>
      <c r="V27" s="7">
        <f>V25/V26</f>
        <v>29.735990031148027</v>
      </c>
      <c r="W27" s="7"/>
      <c r="X27" s="7"/>
      <c r="Y27" s="7"/>
      <c r="Z27" s="7"/>
      <c r="AA27" s="7"/>
      <c r="AB27" s="7"/>
      <c r="AC27" s="7"/>
      <c r="AD27" s="7"/>
      <c r="AE27" s="7">
        <f>AE25/AE26</f>
        <v>30.035309613311938</v>
      </c>
    </row>
    <row r="28" spans="1:35" s="90" customFormat="1" ht="15.5" hidden="1" x14ac:dyDescent="0.35">
      <c r="D28" s="103" t="s">
        <v>169</v>
      </c>
      <c r="E28" s="92">
        <v>0</v>
      </c>
      <c r="F28" s="92">
        <v>10956.27253</v>
      </c>
      <c r="G28" s="92">
        <v>12556.27253</v>
      </c>
      <c r="H28" s="92">
        <v>9356.2724500000004</v>
      </c>
      <c r="I28" s="92">
        <v>10956.27253</v>
      </c>
      <c r="J28" s="92">
        <v>10956.27253</v>
      </c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H28" s="124"/>
      <c r="AI28" s="124"/>
    </row>
    <row r="29" spans="1:35" s="90" customFormat="1" ht="42" x14ac:dyDescent="0.3">
      <c r="D29" s="88" t="s">
        <v>190</v>
      </c>
      <c r="E29" s="88"/>
      <c r="F29" s="88"/>
      <c r="G29" s="92"/>
      <c r="H29" s="92"/>
      <c r="I29" s="92"/>
      <c r="J29" s="92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H29" s="124"/>
      <c r="AI29" s="124"/>
    </row>
    <row r="30" spans="1:35" s="21" customFormat="1" ht="14" x14ac:dyDescent="0.3">
      <c r="D30" s="21" t="s">
        <v>191</v>
      </c>
      <c r="E30" s="65">
        <v>0</v>
      </c>
      <c r="F30" s="65">
        <v>9743.7852276155936</v>
      </c>
      <c r="G30" s="65">
        <v>11959.99479813556</v>
      </c>
      <c r="H30" s="65">
        <v>8487.9519838307151</v>
      </c>
      <c r="I30" s="65">
        <v>9931.4919192099733</v>
      </c>
      <c r="J30" s="65">
        <v>9272.4233624575172</v>
      </c>
      <c r="K30" s="65">
        <v>9307.4607619445596</v>
      </c>
      <c r="L30" s="65">
        <v>7233.3890936540629</v>
      </c>
      <c r="M30" s="65">
        <v>9015.6611235560122</v>
      </c>
      <c r="N30" s="65">
        <v>9721.8083658434462</v>
      </c>
      <c r="O30" s="65">
        <v>10010.155392922405</v>
      </c>
      <c r="P30" s="65">
        <v>9728.4093580971639</v>
      </c>
      <c r="R30" s="7"/>
      <c r="S30" s="65">
        <v>1893.5961072569846</v>
      </c>
      <c r="T30" s="65">
        <v>2045.09956155449</v>
      </c>
      <c r="U30" s="65">
        <v>2031.3777499419318</v>
      </c>
      <c r="V30" s="65">
        <v>1883.0418108094689</v>
      </c>
      <c r="W30" s="65"/>
      <c r="X30" s="65"/>
      <c r="Y30" s="65"/>
      <c r="Z30" s="65"/>
      <c r="AA30" s="65"/>
      <c r="AB30" s="65"/>
      <c r="AC30" s="65"/>
      <c r="AD30" s="65"/>
      <c r="AE30" s="65"/>
    </row>
    <row r="31" spans="1:35" s="21" customFormat="1" ht="14" hidden="1" x14ac:dyDescent="0.3">
      <c r="D31" s="21" t="s">
        <v>117</v>
      </c>
      <c r="E31" s="21">
        <v>0</v>
      </c>
      <c r="F31" s="125">
        <f>F28-F30</f>
        <v>1212.4873023844066</v>
      </c>
      <c r="G31" s="125">
        <f t="shared" ref="G31:Q31" si="6">G28-G30</f>
        <v>596.27773186444028</v>
      </c>
      <c r="H31" s="125">
        <f t="shared" si="6"/>
        <v>868.32046616928528</v>
      </c>
      <c r="I31" s="125">
        <f t="shared" si="6"/>
        <v>1024.7806107900269</v>
      </c>
      <c r="J31" s="125">
        <f t="shared" si="6"/>
        <v>1683.849167542483</v>
      </c>
      <c r="K31" s="125">
        <f t="shared" si="6"/>
        <v>-9307.4607619445596</v>
      </c>
      <c r="L31" s="125">
        <f t="shared" si="6"/>
        <v>-7233.3890936540629</v>
      </c>
      <c r="M31" s="125">
        <f t="shared" si="6"/>
        <v>-9015.6611235560122</v>
      </c>
      <c r="N31" s="125">
        <f t="shared" si="6"/>
        <v>-9721.8083658434462</v>
      </c>
      <c r="O31" s="125">
        <f t="shared" si="6"/>
        <v>-10010.155392922405</v>
      </c>
      <c r="P31" s="125">
        <f t="shared" si="6"/>
        <v>-9728.4093580971639</v>
      </c>
      <c r="Q31" s="125">
        <f t="shared" si="6"/>
        <v>0</v>
      </c>
    </row>
    <row r="32" spans="1:35" s="21" customFormat="1" ht="14" x14ac:dyDescent="0.3"/>
    <row r="34" spans="2:35" ht="21" x14ac:dyDescent="0.5">
      <c r="B34" s="104" t="s">
        <v>195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154"/>
    </row>
    <row r="35" spans="2:35" ht="16" x14ac:dyDescent="0.4">
      <c r="B35" s="93"/>
      <c r="C35" s="93"/>
      <c r="D35" s="106" t="s">
        <v>193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</row>
    <row r="36" spans="2:35" ht="30" x14ac:dyDescent="0.35">
      <c r="B36" s="94" t="s">
        <v>57</v>
      </c>
      <c r="C36" s="94" t="s">
        <v>58</v>
      </c>
      <c r="D36" s="94" t="s">
        <v>59</v>
      </c>
      <c r="E36" s="96" t="s">
        <v>170</v>
      </c>
      <c r="F36" s="120" t="s">
        <v>185</v>
      </c>
      <c r="G36" s="96">
        <v>2</v>
      </c>
      <c r="H36" s="96">
        <v>3</v>
      </c>
      <c r="I36" s="95">
        <v>4</v>
      </c>
      <c r="J36" s="95">
        <v>5</v>
      </c>
      <c r="K36" s="95">
        <v>6</v>
      </c>
      <c r="L36" s="95">
        <v>7</v>
      </c>
      <c r="M36" s="95">
        <v>8</v>
      </c>
      <c r="N36" s="95">
        <v>9</v>
      </c>
      <c r="O36" s="95">
        <v>10</v>
      </c>
      <c r="P36" s="95">
        <v>11</v>
      </c>
      <c r="Q36" s="95">
        <v>12</v>
      </c>
      <c r="R36" s="96" t="s">
        <v>174</v>
      </c>
      <c r="S36" s="96" t="s">
        <v>228</v>
      </c>
      <c r="T36" s="307">
        <v>2</v>
      </c>
      <c r="U36" s="307">
        <v>3</v>
      </c>
      <c r="V36" s="307">
        <v>4</v>
      </c>
      <c r="W36" s="307">
        <v>5</v>
      </c>
      <c r="X36" s="307">
        <v>6</v>
      </c>
      <c r="Y36" s="307">
        <v>7</v>
      </c>
      <c r="Z36" s="307">
        <v>8</v>
      </c>
      <c r="AA36" s="307">
        <v>9</v>
      </c>
      <c r="AB36" s="307">
        <v>10</v>
      </c>
      <c r="AC36" s="307">
        <v>11</v>
      </c>
      <c r="AD36" s="307">
        <v>12</v>
      </c>
      <c r="AE36" s="307" t="s">
        <v>249</v>
      </c>
      <c r="AF36" s="96" t="s">
        <v>186</v>
      </c>
      <c r="AG36" s="96" t="s">
        <v>179</v>
      </c>
      <c r="AH36" s="96" t="s">
        <v>178</v>
      </c>
      <c r="AI36" s="96" t="s">
        <v>247</v>
      </c>
    </row>
    <row r="37" spans="2:35" ht="16" x14ac:dyDescent="0.4">
      <c r="B37" s="112" t="s">
        <v>161</v>
      </c>
      <c r="C37" s="97"/>
      <c r="D37" s="98" t="s">
        <v>162</v>
      </c>
      <c r="E37" s="129">
        <f t="shared" ref="E37:Q37" si="7">SUM(E38:E48)</f>
        <v>3.2478940782871373</v>
      </c>
      <c r="F37" s="129">
        <f t="shared" si="7"/>
        <v>20.594950066451734</v>
      </c>
      <c r="G37" s="129">
        <f t="shared" si="7"/>
        <v>21.564590278345655</v>
      </c>
      <c r="H37" s="129">
        <f t="shared" si="7"/>
        <v>20.669894784987598</v>
      </c>
      <c r="I37" s="129">
        <f t="shared" si="7"/>
        <v>20.962652031680236</v>
      </c>
      <c r="J37" s="129">
        <f t="shared" si="7"/>
        <v>21.694839970530694</v>
      </c>
      <c r="K37" s="129">
        <f t="shared" si="7"/>
        <v>21.145830081836763</v>
      </c>
      <c r="L37" s="129">
        <f t="shared" si="7"/>
        <v>24.659047921759917</v>
      </c>
      <c r="M37" s="129">
        <f t="shared" si="7"/>
        <v>21.254454749388671</v>
      </c>
      <c r="N37" s="129">
        <f t="shared" si="7"/>
        <v>21.687420219984894</v>
      </c>
      <c r="O37" s="129">
        <f t="shared" si="7"/>
        <v>20.703249990407048</v>
      </c>
      <c r="P37" s="129">
        <f t="shared" si="7"/>
        <v>20.324313867108909</v>
      </c>
      <c r="Q37" s="129">
        <f t="shared" si="7"/>
        <v>20.648066072836315</v>
      </c>
      <c r="R37" s="129">
        <f>SUM(R38:R48)</f>
        <v>21.074502725771133</v>
      </c>
      <c r="S37" s="129">
        <f>SUM(S38:S48)</f>
        <v>21.445345147986217</v>
      </c>
      <c r="T37" s="129">
        <f t="shared" ref="T37:AE37" si="8">SUM(T38:T48)</f>
        <v>21.310703245136949</v>
      </c>
      <c r="U37" s="129">
        <f t="shared" si="8"/>
        <v>21.559518779012311</v>
      </c>
      <c r="V37" s="129">
        <f t="shared" si="8"/>
        <v>22.726843303050003</v>
      </c>
      <c r="W37" s="129" t="e">
        <f t="shared" si="8"/>
        <v>#DIV/0!</v>
      </c>
      <c r="X37" s="129" t="e">
        <f t="shared" si="8"/>
        <v>#DIV/0!</v>
      </c>
      <c r="Y37" s="129" t="e">
        <f t="shared" si="8"/>
        <v>#DIV/0!</v>
      </c>
      <c r="Z37" s="129" t="e">
        <f t="shared" si="8"/>
        <v>#DIV/0!</v>
      </c>
      <c r="AA37" s="129" t="e">
        <f t="shared" si="8"/>
        <v>#DIV/0!</v>
      </c>
      <c r="AB37" s="129" t="e">
        <f t="shared" si="8"/>
        <v>#DIV/0!</v>
      </c>
      <c r="AC37" s="129" t="e">
        <f t="shared" si="8"/>
        <v>#DIV/0!</v>
      </c>
      <c r="AD37" s="129" t="e">
        <f t="shared" si="8"/>
        <v>#DIV/0!</v>
      </c>
      <c r="AE37" s="129">
        <f t="shared" si="8"/>
        <v>21.841345226720751</v>
      </c>
      <c r="AF37" s="129">
        <f>SUM(AF38:AF48)</f>
        <v>0</v>
      </c>
      <c r="AG37" s="116">
        <f t="shared" ref="AG37:AG56" si="9">E37/$E$57</f>
        <v>0.32606509270945616</v>
      </c>
      <c r="AH37" s="116">
        <f t="shared" ref="AH37:AH57" si="10">R37/$R$57</f>
        <v>0.69396559548854031</v>
      </c>
      <c r="AI37" s="116">
        <f>AE37/$AE$57</f>
        <v>0.72718894887104679</v>
      </c>
    </row>
    <row r="38" spans="2:35" ht="15.5" x14ac:dyDescent="0.35">
      <c r="B38" s="113">
        <v>1</v>
      </c>
      <c r="C38" s="99" t="s">
        <v>96</v>
      </c>
      <c r="D38" s="99" t="s">
        <v>260</v>
      </c>
      <c r="E38" s="127">
        <f t="shared" ref="E38:Q38" si="11">E6/E$26</f>
        <v>0</v>
      </c>
      <c r="F38" s="127">
        <f t="shared" si="11"/>
        <v>18.363293333437522</v>
      </c>
      <c r="G38" s="127">
        <f t="shared" si="11"/>
        <v>18.952805058390467</v>
      </c>
      <c r="H38" s="127">
        <f t="shared" si="11"/>
        <v>18.634874879165281</v>
      </c>
      <c r="I38" s="127">
        <f t="shared" si="11"/>
        <v>18.571619593073461</v>
      </c>
      <c r="J38" s="127">
        <f t="shared" si="11"/>
        <v>19.292321270962049</v>
      </c>
      <c r="K38" s="127">
        <f t="shared" si="11"/>
        <v>18.30234656966757</v>
      </c>
      <c r="L38" s="127">
        <f t="shared" si="11"/>
        <v>20.744995301175194</v>
      </c>
      <c r="M38" s="127">
        <f t="shared" si="11"/>
        <v>17.576383765328607</v>
      </c>
      <c r="N38" s="127">
        <f t="shared" si="11"/>
        <v>18.509274143128486</v>
      </c>
      <c r="O38" s="127">
        <f t="shared" si="11"/>
        <v>18.222294537477833</v>
      </c>
      <c r="P38" s="127">
        <f t="shared" si="11"/>
        <v>18.002068876287698</v>
      </c>
      <c r="Q38" s="127">
        <f t="shared" si="11"/>
        <v>17.87760117819494</v>
      </c>
      <c r="R38" s="127">
        <f>R6/R$26</f>
        <v>18.501584603247</v>
      </c>
      <c r="S38" s="127">
        <f>S6/S$26</f>
        <v>17.84265771182007</v>
      </c>
      <c r="T38" s="127">
        <f t="shared" ref="T38:AD38" si="12">T6/T$26</f>
        <v>18.284731863893562</v>
      </c>
      <c r="U38" s="127">
        <f t="shared" si="12"/>
        <v>19.172523520845921</v>
      </c>
      <c r="V38" s="127">
        <f t="shared" si="12"/>
        <v>19.89380509378762</v>
      </c>
      <c r="W38" s="127" t="e">
        <f t="shared" si="12"/>
        <v>#DIV/0!</v>
      </c>
      <c r="X38" s="127" t="e">
        <f t="shared" si="12"/>
        <v>#DIV/0!</v>
      </c>
      <c r="Y38" s="127" t="e">
        <f t="shared" si="12"/>
        <v>#DIV/0!</v>
      </c>
      <c r="Z38" s="127" t="e">
        <f t="shared" si="12"/>
        <v>#DIV/0!</v>
      </c>
      <c r="AA38" s="127" t="e">
        <f t="shared" si="12"/>
        <v>#DIV/0!</v>
      </c>
      <c r="AB38" s="127" t="e">
        <f t="shared" si="12"/>
        <v>#DIV/0!</v>
      </c>
      <c r="AC38" s="127" t="e">
        <f t="shared" si="12"/>
        <v>#DIV/0!</v>
      </c>
      <c r="AD38" s="127" t="e">
        <f t="shared" si="12"/>
        <v>#DIV/0!</v>
      </c>
      <c r="AE38" s="127">
        <f>AE6/AE$26</f>
        <v>19.025674189570584</v>
      </c>
      <c r="AF38" s="127"/>
      <c r="AG38" s="107">
        <f t="shared" si="9"/>
        <v>0</v>
      </c>
      <c r="AH38" s="107">
        <f t="shared" si="10"/>
        <v>0.60924157232773357</v>
      </c>
      <c r="AI38" s="107">
        <f>AE38/$AE$57</f>
        <v>0.63344358471797557</v>
      </c>
    </row>
    <row r="39" spans="2:35" ht="15.5" x14ac:dyDescent="0.35">
      <c r="B39" s="114">
        <f>B38+1</f>
        <v>2</v>
      </c>
      <c r="C39" s="101" t="s">
        <v>96</v>
      </c>
      <c r="D39" s="101" t="s">
        <v>25</v>
      </c>
      <c r="E39" s="130">
        <f t="shared" ref="E39:R39" si="13">E7/E$26</f>
        <v>1.4664295859637577</v>
      </c>
      <c r="F39" s="130">
        <f t="shared" si="13"/>
        <v>1.1622871322930901</v>
      </c>
      <c r="G39" s="130">
        <f t="shared" si="13"/>
        <v>1.4181931192939559</v>
      </c>
      <c r="H39" s="130">
        <f t="shared" si="13"/>
        <v>1.0452688056093022</v>
      </c>
      <c r="I39" s="130">
        <f t="shared" si="13"/>
        <v>1.2247460525202432</v>
      </c>
      <c r="J39" s="130">
        <f t="shared" si="13"/>
        <v>1.3627740259740262</v>
      </c>
      <c r="K39" s="130">
        <f t="shared" si="13"/>
        <v>1.3856628521080163</v>
      </c>
      <c r="L39" s="130">
        <f t="shared" si="13"/>
        <v>1.6408391126560737</v>
      </c>
      <c r="M39" s="130">
        <f t="shared" si="13"/>
        <v>1.6168249997434534</v>
      </c>
      <c r="N39" s="130">
        <f t="shared" si="13"/>
        <v>1.6678597260468149</v>
      </c>
      <c r="O39" s="130">
        <f t="shared" si="13"/>
        <v>1.2979874317417879</v>
      </c>
      <c r="P39" s="130">
        <f t="shared" si="13"/>
        <v>1.3476155595021733</v>
      </c>
      <c r="Q39" s="130">
        <f t="shared" si="13"/>
        <v>1.4725653212197842</v>
      </c>
      <c r="R39" s="130">
        <f t="shared" si="13"/>
        <v>1.3360023744417875</v>
      </c>
      <c r="S39" s="130">
        <f t="shared" ref="S39:S48" si="14">S7/S$26</f>
        <v>1.750520600566061</v>
      </c>
      <c r="T39" s="130">
        <f t="shared" ref="T39:AE39" si="15">T7/T$26</f>
        <v>1.4215826858321168</v>
      </c>
      <c r="U39" s="130">
        <f t="shared" si="15"/>
        <v>1.3607828018714538</v>
      </c>
      <c r="V39" s="130">
        <f t="shared" si="15"/>
        <v>1.5153341381603718</v>
      </c>
      <c r="W39" s="130" t="e">
        <f t="shared" si="15"/>
        <v>#DIV/0!</v>
      </c>
      <c r="X39" s="130" t="e">
        <f t="shared" si="15"/>
        <v>#DIV/0!</v>
      </c>
      <c r="Y39" s="130" t="e">
        <f t="shared" si="15"/>
        <v>#DIV/0!</v>
      </c>
      <c r="Z39" s="130" t="e">
        <f t="shared" si="15"/>
        <v>#DIV/0!</v>
      </c>
      <c r="AA39" s="130" t="e">
        <f t="shared" si="15"/>
        <v>#DIV/0!</v>
      </c>
      <c r="AB39" s="130" t="e">
        <f t="shared" si="15"/>
        <v>#DIV/0!</v>
      </c>
      <c r="AC39" s="130" t="e">
        <f t="shared" si="15"/>
        <v>#DIV/0!</v>
      </c>
      <c r="AD39" s="130" t="e">
        <f t="shared" si="15"/>
        <v>#DIV/0!</v>
      </c>
      <c r="AE39" s="130">
        <f t="shared" si="15"/>
        <v>1.4708336549714964</v>
      </c>
      <c r="AF39" s="121"/>
      <c r="AG39" s="118">
        <f t="shared" si="9"/>
        <v>0.14721893244478215</v>
      </c>
      <c r="AH39" s="118">
        <f t="shared" si="10"/>
        <v>4.3993431086743424E-2</v>
      </c>
      <c r="AI39" s="118">
        <f t="shared" ref="AI39:AI56" si="16">AE39/$AE$57</f>
        <v>4.897015126222002E-2</v>
      </c>
    </row>
    <row r="40" spans="2:35" ht="15.5" x14ac:dyDescent="0.35">
      <c r="B40" s="114">
        <f t="shared" ref="B40:B48" si="17">B39+1</f>
        <v>3</v>
      </c>
      <c r="C40" s="101" t="s">
        <v>96</v>
      </c>
      <c r="D40" s="101" t="s">
        <v>165</v>
      </c>
      <c r="E40" s="130">
        <f t="shared" ref="E40:R40" si="18">E8/E$26</f>
        <v>0.25332032528271781</v>
      </c>
      <c r="F40" s="130">
        <f t="shared" si="18"/>
        <v>0.10780304357287179</v>
      </c>
      <c r="G40" s="130">
        <f t="shared" si="18"/>
        <v>0.13007239485797034</v>
      </c>
      <c r="H40" s="130">
        <f t="shared" si="18"/>
        <v>0.13070129503245481</v>
      </c>
      <c r="I40" s="130">
        <f t="shared" si="18"/>
        <v>0.25480568571418682</v>
      </c>
      <c r="J40" s="130">
        <f t="shared" si="18"/>
        <v>0.22064033996918073</v>
      </c>
      <c r="K40" s="130">
        <f t="shared" si="18"/>
        <v>0.48563138571159048</v>
      </c>
      <c r="L40" s="130">
        <f t="shared" si="18"/>
        <v>0.63717611725888801</v>
      </c>
      <c r="M40" s="130">
        <f t="shared" si="18"/>
        <v>1.0174489610585777</v>
      </c>
      <c r="N40" s="130">
        <f t="shared" si="18"/>
        <v>0.51141664014676158</v>
      </c>
      <c r="O40" s="130">
        <f t="shared" si="18"/>
        <v>0.23941378461645207</v>
      </c>
      <c r="P40" s="130">
        <f t="shared" si="18"/>
        <v>0.16888517189386082</v>
      </c>
      <c r="Q40" s="130">
        <f t="shared" si="18"/>
        <v>0.56324582094169529</v>
      </c>
      <c r="R40" s="130">
        <f t="shared" si="18"/>
        <v>0.30618972238934755</v>
      </c>
      <c r="S40" s="130">
        <f t="shared" si="14"/>
        <v>0.87596585312031605</v>
      </c>
      <c r="T40" s="130">
        <f t="shared" ref="T40:AE40" si="19">T8/T$26</f>
        <v>0.71347056187406988</v>
      </c>
      <c r="U40" s="130">
        <f t="shared" si="19"/>
        <v>0.22457068540279512</v>
      </c>
      <c r="V40" s="130">
        <f t="shared" si="19"/>
        <v>0.31897465595593516</v>
      </c>
      <c r="W40" s="130" t="e">
        <f t="shared" si="19"/>
        <v>#DIV/0!</v>
      </c>
      <c r="X40" s="130" t="e">
        <f t="shared" si="19"/>
        <v>#DIV/0!</v>
      </c>
      <c r="Y40" s="130" t="e">
        <f t="shared" si="19"/>
        <v>#DIV/0!</v>
      </c>
      <c r="Z40" s="130" t="e">
        <f t="shared" si="19"/>
        <v>#DIV/0!</v>
      </c>
      <c r="AA40" s="130" t="e">
        <f t="shared" si="19"/>
        <v>#DIV/0!</v>
      </c>
      <c r="AB40" s="130" t="e">
        <f t="shared" si="19"/>
        <v>#DIV/0!</v>
      </c>
      <c r="AC40" s="130" t="e">
        <f t="shared" si="19"/>
        <v>#DIV/0!</v>
      </c>
      <c r="AD40" s="130" t="e">
        <f t="shared" si="19"/>
        <v>#DIV/0!</v>
      </c>
      <c r="AE40" s="130">
        <f t="shared" si="19"/>
        <v>0.44228789017263181</v>
      </c>
      <c r="AF40" s="130"/>
      <c r="AG40" s="118">
        <f t="shared" si="9"/>
        <v>2.5431529895229742E-2</v>
      </c>
      <c r="AH40" s="118">
        <f t="shared" si="10"/>
        <v>1.0082569244708925E-2</v>
      </c>
      <c r="AI40" s="118">
        <f t="shared" si="16"/>
        <v>1.4725597833578038E-2</v>
      </c>
    </row>
    <row r="41" spans="2:35" ht="15.5" x14ac:dyDescent="0.35">
      <c r="B41" s="114">
        <f t="shared" si="17"/>
        <v>4</v>
      </c>
      <c r="C41" s="101" t="s">
        <v>96</v>
      </c>
      <c r="D41" s="101" t="s">
        <v>54</v>
      </c>
      <c r="E41" s="130">
        <f t="shared" ref="E41:R41" si="20">E9/E$26</f>
        <v>0.52818788593227228</v>
      </c>
      <c r="F41" s="130">
        <f t="shared" si="20"/>
        <v>0.39442090915204842</v>
      </c>
      <c r="G41" s="130">
        <f t="shared" si="20"/>
        <v>0.54174787867525598</v>
      </c>
      <c r="H41" s="130">
        <f t="shared" si="20"/>
        <v>0.37073394322130165</v>
      </c>
      <c r="I41" s="130">
        <f t="shared" si="20"/>
        <v>0.25210029658779021</v>
      </c>
      <c r="J41" s="130">
        <f t="shared" si="20"/>
        <v>0.2422634585038381</v>
      </c>
      <c r="K41" s="130">
        <f t="shared" si="20"/>
        <v>0.19484756256104538</v>
      </c>
      <c r="L41" s="130">
        <f t="shared" si="20"/>
        <v>0.77315709575296043</v>
      </c>
      <c r="M41" s="130">
        <f t="shared" si="20"/>
        <v>0.25104731837769684</v>
      </c>
      <c r="N41" s="130">
        <f t="shared" si="20"/>
        <v>0.40969569456734334</v>
      </c>
      <c r="O41" s="130">
        <f t="shared" si="20"/>
        <v>0.46062944441604409</v>
      </c>
      <c r="P41" s="130">
        <f t="shared" si="20"/>
        <v>0.38777397923362961</v>
      </c>
      <c r="Q41" s="130">
        <f t="shared" si="20"/>
        <v>8.7356798874241331E-2</v>
      </c>
      <c r="R41" s="130">
        <f t="shared" si="20"/>
        <v>0.34662023871739522</v>
      </c>
      <c r="S41" s="130">
        <f t="shared" si="14"/>
        <v>0.15393792362519443</v>
      </c>
      <c r="T41" s="130">
        <f t="shared" ref="T41:AE41" si="21">T9/T$26</f>
        <v>0.30252613191044025</v>
      </c>
      <c r="U41" s="130">
        <f t="shared" si="21"/>
        <v>0.34381435481633194</v>
      </c>
      <c r="V41" s="130">
        <f t="shared" si="21"/>
        <v>0.43839692128325058</v>
      </c>
      <c r="W41" s="130" t="e">
        <f t="shared" si="21"/>
        <v>#DIV/0!</v>
      </c>
      <c r="X41" s="130" t="e">
        <f t="shared" si="21"/>
        <v>#DIV/0!</v>
      </c>
      <c r="Y41" s="130" t="e">
        <f t="shared" si="21"/>
        <v>#DIV/0!</v>
      </c>
      <c r="Z41" s="130" t="e">
        <f t="shared" si="21"/>
        <v>#DIV/0!</v>
      </c>
      <c r="AA41" s="130" t="e">
        <f t="shared" si="21"/>
        <v>#DIV/0!</v>
      </c>
      <c r="AB41" s="130" t="e">
        <f t="shared" si="21"/>
        <v>#DIV/0!</v>
      </c>
      <c r="AC41" s="130" t="e">
        <f t="shared" si="21"/>
        <v>#DIV/0!</v>
      </c>
      <c r="AD41" s="130" t="e">
        <f t="shared" si="21"/>
        <v>#DIV/0!</v>
      </c>
      <c r="AE41" s="130">
        <f t="shared" si="21"/>
        <v>0.33862852510453745</v>
      </c>
      <c r="AF41" s="130"/>
      <c r="AG41" s="118">
        <f t="shared" si="9"/>
        <v>5.3026246497959902E-2</v>
      </c>
      <c r="AH41" s="118">
        <f t="shared" si="10"/>
        <v>1.1413912038633667E-2</v>
      </c>
      <c r="AI41" s="118">
        <f t="shared" si="16"/>
        <v>1.1274347741514678E-2</v>
      </c>
    </row>
    <row r="42" spans="2:35" ht="15.5" x14ac:dyDescent="0.35">
      <c r="B42" s="114">
        <f t="shared" si="17"/>
        <v>5</v>
      </c>
      <c r="C42" s="101" t="s">
        <v>96</v>
      </c>
      <c r="D42" s="101" t="s">
        <v>49</v>
      </c>
      <c r="E42" s="130">
        <f t="shared" ref="E42:R42" si="22">E10/E$26</f>
        <v>0.40392658227820682</v>
      </c>
      <c r="F42" s="130">
        <f t="shared" si="22"/>
        <v>0.22050586651763676</v>
      </c>
      <c r="G42" s="130">
        <f t="shared" si="22"/>
        <v>0.1793877915178485</v>
      </c>
      <c r="H42" s="130">
        <f t="shared" si="22"/>
        <v>0.1825634647481307</v>
      </c>
      <c r="I42" s="130">
        <f t="shared" si="22"/>
        <v>0.32025487922185464</v>
      </c>
      <c r="J42" s="130">
        <f t="shared" si="22"/>
        <v>0.20434361090125247</v>
      </c>
      <c r="K42" s="130">
        <f t="shared" si="22"/>
        <v>0.28978116304579615</v>
      </c>
      <c r="L42" s="130">
        <f t="shared" si="22"/>
        <v>0.27848357731033296</v>
      </c>
      <c r="M42" s="130">
        <f t="shared" si="22"/>
        <v>0.29323910802043407</v>
      </c>
      <c r="N42" s="130">
        <f t="shared" si="22"/>
        <v>0.19943899119134814</v>
      </c>
      <c r="O42" s="130">
        <f t="shared" si="22"/>
        <v>0.14080615320949685</v>
      </c>
      <c r="P42" s="130">
        <f t="shared" si="22"/>
        <v>8.1180571099763732E-2</v>
      </c>
      <c r="Q42" s="130">
        <f t="shared" si="22"/>
        <v>0.22222754198859559</v>
      </c>
      <c r="R42" s="130">
        <f t="shared" si="22"/>
        <v>0.20824079719602331</v>
      </c>
      <c r="S42" s="130">
        <f t="shared" si="14"/>
        <v>0.37205513502848586</v>
      </c>
      <c r="T42" s="130">
        <f t="shared" ref="T42:AE42" si="23">T10/T$26</f>
        <v>0.22646329001936633</v>
      </c>
      <c r="U42" s="130">
        <f t="shared" si="23"/>
        <v>0.14170212251389944</v>
      </c>
      <c r="V42" s="130">
        <f t="shared" si="23"/>
        <v>0.24154180358341074</v>
      </c>
      <c r="W42" s="130" t="e">
        <f t="shared" si="23"/>
        <v>#DIV/0!</v>
      </c>
      <c r="X42" s="130" t="e">
        <f t="shared" si="23"/>
        <v>#DIV/0!</v>
      </c>
      <c r="Y42" s="130" t="e">
        <f t="shared" si="23"/>
        <v>#DIV/0!</v>
      </c>
      <c r="Z42" s="130" t="e">
        <f t="shared" si="23"/>
        <v>#DIV/0!</v>
      </c>
      <c r="AA42" s="130" t="e">
        <f t="shared" si="23"/>
        <v>#DIV/0!</v>
      </c>
      <c r="AB42" s="130" t="e">
        <f t="shared" si="23"/>
        <v>#DIV/0!</v>
      </c>
      <c r="AC42" s="130" t="e">
        <f t="shared" si="23"/>
        <v>#DIV/0!</v>
      </c>
      <c r="AD42" s="130" t="e">
        <f t="shared" si="23"/>
        <v>#DIV/0!</v>
      </c>
      <c r="AE42" s="130">
        <f t="shared" si="23"/>
        <v>0.21974722488442019</v>
      </c>
      <c r="AF42" s="130"/>
      <c r="AG42" s="118">
        <f t="shared" si="9"/>
        <v>4.0551309655952855E-2</v>
      </c>
      <c r="AH42" s="118">
        <f t="shared" si="10"/>
        <v>6.8571937716200067E-3</v>
      </c>
      <c r="AI42" s="118">
        <f t="shared" si="16"/>
        <v>7.3162963096949788E-3</v>
      </c>
    </row>
    <row r="43" spans="2:35" ht="15.5" x14ac:dyDescent="0.35">
      <c r="B43" s="114">
        <f t="shared" si="17"/>
        <v>6</v>
      </c>
      <c r="C43" s="101" t="s">
        <v>96</v>
      </c>
      <c r="D43" s="101" t="s">
        <v>56</v>
      </c>
      <c r="E43" s="130">
        <f t="shared" ref="E43:R43" si="24">E11/E$26</f>
        <v>0.16917023853269167</v>
      </c>
      <c r="F43" s="130">
        <f t="shared" si="24"/>
        <v>0.18398134239643685</v>
      </c>
      <c r="G43" s="130">
        <f t="shared" si="24"/>
        <v>0.13899395665046477</v>
      </c>
      <c r="H43" s="130">
        <f t="shared" si="24"/>
        <v>0.14874135606834551</v>
      </c>
      <c r="I43" s="130">
        <f t="shared" si="24"/>
        <v>0.13377642632794873</v>
      </c>
      <c r="J43" s="130">
        <f t="shared" si="24"/>
        <v>0.14650647837599298</v>
      </c>
      <c r="K43" s="130">
        <f t="shared" si="24"/>
        <v>0.22502705466302914</v>
      </c>
      <c r="L43" s="130">
        <f t="shared" si="24"/>
        <v>0.16967782211499055</v>
      </c>
      <c r="M43" s="130">
        <f t="shared" si="24"/>
        <v>0.14633579570175562</v>
      </c>
      <c r="N43" s="130">
        <f t="shared" si="24"/>
        <v>0.1797852613831524</v>
      </c>
      <c r="O43" s="130">
        <f t="shared" si="24"/>
        <v>0.15029348141052554</v>
      </c>
      <c r="P43" s="130">
        <f t="shared" si="24"/>
        <v>0.16104516981544126</v>
      </c>
      <c r="Q43" s="130">
        <f t="shared" si="24"/>
        <v>0.17264918943729904</v>
      </c>
      <c r="R43" s="130">
        <f t="shared" si="24"/>
        <v>0.16173389853892473</v>
      </c>
      <c r="S43" s="130">
        <f t="shared" si="14"/>
        <v>0.14851426637011594</v>
      </c>
      <c r="T43" s="130">
        <f t="shared" ref="T43:AE43" si="25">T11/T$26</f>
        <v>0.14967491883550918</v>
      </c>
      <c r="U43" s="130">
        <f t="shared" si="25"/>
        <v>0.15316807315484282</v>
      </c>
      <c r="V43" s="130">
        <f t="shared" si="25"/>
        <v>0.15274908521232841</v>
      </c>
      <c r="W43" s="130" t="e">
        <f t="shared" si="25"/>
        <v>#DIV/0!</v>
      </c>
      <c r="X43" s="130" t="e">
        <f t="shared" si="25"/>
        <v>#DIV/0!</v>
      </c>
      <c r="Y43" s="130" t="e">
        <f t="shared" si="25"/>
        <v>#DIV/0!</v>
      </c>
      <c r="Z43" s="130" t="e">
        <f t="shared" si="25"/>
        <v>#DIV/0!</v>
      </c>
      <c r="AA43" s="130" t="e">
        <f t="shared" si="25"/>
        <v>#DIV/0!</v>
      </c>
      <c r="AB43" s="130" t="e">
        <f t="shared" si="25"/>
        <v>#DIV/0!</v>
      </c>
      <c r="AC43" s="130" t="e">
        <f t="shared" si="25"/>
        <v>#DIV/0!</v>
      </c>
      <c r="AD43" s="130" t="e">
        <f t="shared" si="25"/>
        <v>#DIV/0!</v>
      </c>
      <c r="AE43" s="130">
        <f t="shared" si="25"/>
        <v>0.151689149738783</v>
      </c>
      <c r="AF43" s="130"/>
      <c r="AG43" s="118">
        <f t="shared" si="9"/>
        <v>1.6983469343905846E-2</v>
      </c>
      <c r="AH43" s="118">
        <f t="shared" si="10"/>
        <v>5.3257608338723537E-3</v>
      </c>
      <c r="AI43" s="118">
        <f t="shared" si="16"/>
        <v>5.0503607817497893E-3</v>
      </c>
    </row>
    <row r="44" spans="2:35" ht="15.5" x14ac:dyDescent="0.35">
      <c r="B44" s="114">
        <f t="shared" si="17"/>
        <v>7</v>
      </c>
      <c r="C44" s="101" t="s">
        <v>96</v>
      </c>
      <c r="D44" s="101" t="s">
        <v>28</v>
      </c>
      <c r="E44" s="130">
        <f t="shared" ref="E44:R44" si="26">E12/E$26</f>
        <v>0.16519242915142826</v>
      </c>
      <c r="F44" s="130">
        <f t="shared" si="26"/>
        <v>8.0946318197641962E-2</v>
      </c>
      <c r="G44" s="130">
        <f t="shared" si="26"/>
        <v>9.2151969142682991E-2</v>
      </c>
      <c r="H44" s="130">
        <f t="shared" si="26"/>
        <v>8.4277115323424912E-2</v>
      </c>
      <c r="I44" s="130">
        <f t="shared" si="26"/>
        <v>8.6304032437479125E-2</v>
      </c>
      <c r="J44" s="130">
        <f t="shared" si="26"/>
        <v>8.8939596751832065E-2</v>
      </c>
      <c r="K44" s="130">
        <f t="shared" si="26"/>
        <v>0.1016777811173982</v>
      </c>
      <c r="L44" s="130">
        <f t="shared" si="26"/>
        <v>0.16923141151206803</v>
      </c>
      <c r="M44" s="130">
        <f t="shared" si="26"/>
        <v>0.12214887011093085</v>
      </c>
      <c r="N44" s="130">
        <f t="shared" si="26"/>
        <v>9.4340957837718065E-2</v>
      </c>
      <c r="O44" s="130">
        <f t="shared" si="26"/>
        <v>7.2492689093140522E-2</v>
      </c>
      <c r="P44" s="130">
        <f t="shared" si="26"/>
        <v>6.6348175031311532E-2</v>
      </c>
      <c r="Q44" s="130">
        <f t="shared" si="26"/>
        <v>8.7713977955019604E-2</v>
      </c>
      <c r="R44" s="130">
        <f t="shared" si="26"/>
        <v>8.867960031311653E-2</v>
      </c>
      <c r="S44" s="130">
        <f t="shared" si="14"/>
        <v>9.4472927835645537E-2</v>
      </c>
      <c r="T44" s="130">
        <f t="shared" ref="T44:AE44" si="27">T12/T$26</f>
        <v>7.4916739650744996E-2</v>
      </c>
      <c r="U44" s="130">
        <f t="shared" si="27"/>
        <v>5.867962346948933E-2</v>
      </c>
      <c r="V44" s="130">
        <f t="shared" si="27"/>
        <v>5.8127548737858192E-2</v>
      </c>
      <c r="W44" s="130" t="e">
        <f t="shared" si="27"/>
        <v>#DIV/0!</v>
      </c>
      <c r="X44" s="130" t="e">
        <f t="shared" si="27"/>
        <v>#DIV/0!</v>
      </c>
      <c r="Y44" s="130" t="e">
        <f t="shared" si="27"/>
        <v>#DIV/0!</v>
      </c>
      <c r="Z44" s="130" t="e">
        <f t="shared" si="27"/>
        <v>#DIV/0!</v>
      </c>
      <c r="AA44" s="130" t="e">
        <f t="shared" si="27"/>
        <v>#DIV/0!</v>
      </c>
      <c r="AB44" s="130" t="e">
        <f t="shared" si="27"/>
        <v>#DIV/0!</v>
      </c>
      <c r="AC44" s="130" t="e">
        <f t="shared" si="27"/>
        <v>#DIV/0!</v>
      </c>
      <c r="AD44" s="130" t="e">
        <f t="shared" si="27"/>
        <v>#DIV/0!</v>
      </c>
      <c r="AE44" s="130">
        <f t="shared" si="27"/>
        <v>6.6646883186442643E-2</v>
      </c>
      <c r="AF44" s="130"/>
      <c r="AG44" s="118">
        <f t="shared" si="9"/>
        <v>1.6584126029924921E-2</v>
      </c>
      <c r="AH44" s="118">
        <f t="shared" si="10"/>
        <v>2.9201444247470773E-3</v>
      </c>
      <c r="AI44" s="118">
        <f t="shared" si="16"/>
        <v>2.2189510960427764E-3</v>
      </c>
    </row>
    <row r="45" spans="2:35" ht="15.5" x14ac:dyDescent="0.35">
      <c r="B45" s="114">
        <f t="shared" si="17"/>
        <v>8</v>
      </c>
      <c r="C45" s="101" t="s">
        <v>96</v>
      </c>
      <c r="D45" s="101" t="s">
        <v>53</v>
      </c>
      <c r="E45" s="121">
        <f t="shared" ref="E45:R45" si="28">E13/E$26</f>
        <v>0.13873126623253415</v>
      </c>
      <c r="F45" s="121">
        <f t="shared" si="28"/>
        <v>4.0003952320194283E-2</v>
      </c>
      <c r="G45" s="121">
        <f t="shared" si="28"/>
        <v>4.9886244689289122E-2</v>
      </c>
      <c r="H45" s="121">
        <f t="shared" si="28"/>
        <v>2.9487206265260517E-2</v>
      </c>
      <c r="I45" s="121">
        <f t="shared" si="28"/>
        <v>5.267934616637919E-2</v>
      </c>
      <c r="J45" s="121">
        <f t="shared" si="28"/>
        <v>8.1541803471609317E-2</v>
      </c>
      <c r="K45" s="121">
        <f t="shared" si="28"/>
        <v>9.9418744737462497E-2</v>
      </c>
      <c r="L45" s="121">
        <f t="shared" si="28"/>
        <v>0.15160677734468517</v>
      </c>
      <c r="M45" s="121">
        <f t="shared" si="28"/>
        <v>0.12873360251631588</v>
      </c>
      <c r="N45" s="121">
        <f t="shared" si="28"/>
        <v>5.840092826909097E-2</v>
      </c>
      <c r="O45" s="121">
        <f t="shared" si="28"/>
        <v>6.9419162471314785E-2</v>
      </c>
      <c r="P45" s="121">
        <f t="shared" si="28"/>
        <v>6.4194284920526548E-2</v>
      </c>
      <c r="Q45" s="121">
        <f t="shared" si="28"/>
        <v>0.10526471692054784</v>
      </c>
      <c r="R45" s="121">
        <f t="shared" si="28"/>
        <v>6.8722518108353461E-2</v>
      </c>
      <c r="S45" s="121">
        <f t="shared" si="14"/>
        <v>0.13249437995290228</v>
      </c>
      <c r="T45" s="121">
        <f t="shared" ref="T45:AE45" si="29">T13/T$26</f>
        <v>7.1960164467904694E-2</v>
      </c>
      <c r="U45" s="121">
        <f t="shared" si="29"/>
        <v>6.4982769773298824E-2</v>
      </c>
      <c r="V45" s="121">
        <f t="shared" si="29"/>
        <v>5.3376424692802106E-2</v>
      </c>
      <c r="W45" s="121" t="e">
        <f t="shared" si="29"/>
        <v>#DIV/0!</v>
      </c>
      <c r="X45" s="121" t="e">
        <f t="shared" si="29"/>
        <v>#DIV/0!</v>
      </c>
      <c r="Y45" s="121" t="e">
        <f t="shared" si="29"/>
        <v>#DIV/0!</v>
      </c>
      <c r="Z45" s="121" t="e">
        <f t="shared" si="29"/>
        <v>#DIV/0!</v>
      </c>
      <c r="AA45" s="121" t="e">
        <f t="shared" si="29"/>
        <v>#DIV/0!</v>
      </c>
      <c r="AB45" s="121" t="e">
        <f t="shared" si="29"/>
        <v>#DIV/0!</v>
      </c>
      <c r="AC45" s="121" t="e">
        <f t="shared" si="29"/>
        <v>#DIV/0!</v>
      </c>
      <c r="AD45" s="121" t="e">
        <f t="shared" si="29"/>
        <v>#DIV/0!</v>
      </c>
      <c r="AE45" s="121">
        <f t="shared" si="29"/>
        <v>7.1779658783979391E-2</v>
      </c>
      <c r="AF45" s="121"/>
      <c r="AG45" s="118">
        <f t="shared" si="9"/>
        <v>1.3927616509485307E-2</v>
      </c>
      <c r="AH45" s="118">
        <f t="shared" si="10"/>
        <v>2.2629745443158707E-3</v>
      </c>
      <c r="AI45" s="118">
        <f t="shared" si="16"/>
        <v>2.3898424790056425E-3</v>
      </c>
    </row>
    <row r="46" spans="2:35" ht="15.5" x14ac:dyDescent="0.35">
      <c r="B46" s="114">
        <f t="shared" si="17"/>
        <v>9</v>
      </c>
      <c r="C46" s="101" t="s">
        <v>96</v>
      </c>
      <c r="D46" s="101" t="s">
        <v>42</v>
      </c>
      <c r="E46" s="121">
        <f t="shared" ref="E46:R46" si="30">E14/E$26</f>
        <v>5.7250706605003407E-2</v>
      </c>
      <c r="F46" s="121">
        <f t="shared" si="30"/>
        <v>1.4603973874510798E-2</v>
      </c>
      <c r="G46" s="121">
        <f t="shared" si="30"/>
        <v>2.244897013567734E-2</v>
      </c>
      <c r="H46" s="121">
        <f t="shared" si="30"/>
        <v>1.469996781333696E-2</v>
      </c>
      <c r="I46" s="121">
        <f t="shared" si="30"/>
        <v>3.4134321793031011E-2</v>
      </c>
      <c r="J46" s="121">
        <f t="shared" si="30"/>
        <v>2.5952324816795408E-2</v>
      </c>
      <c r="K46" s="121">
        <f t="shared" si="30"/>
        <v>2.3417864483289263E-2</v>
      </c>
      <c r="L46" s="121">
        <f t="shared" si="30"/>
        <v>3.9132589379476473E-2</v>
      </c>
      <c r="M46" s="121">
        <f t="shared" si="30"/>
        <v>3.6270317308470724E-2</v>
      </c>
      <c r="N46" s="121">
        <f t="shared" si="30"/>
        <v>2.1561120425241113E-2</v>
      </c>
      <c r="O46" s="121">
        <f t="shared" si="30"/>
        <v>2.0359624380226562E-2</v>
      </c>
      <c r="P46" s="121">
        <f t="shared" si="30"/>
        <v>1.5656766128554336E-2</v>
      </c>
      <c r="Q46" s="121">
        <f t="shared" si="30"/>
        <v>2.1628591706228283E-2</v>
      </c>
      <c r="R46" s="121">
        <f t="shared" si="30"/>
        <v>2.2456020560792937E-2</v>
      </c>
      <c r="S46" s="121">
        <f t="shared" si="14"/>
        <v>2.485547180538894E-2</v>
      </c>
      <c r="T46" s="121">
        <f t="shared" ref="T46:AE46" si="31">T14/T$26</f>
        <v>1.7936448733390915E-2</v>
      </c>
      <c r="U46" s="121">
        <f t="shared" si="31"/>
        <v>1.4196899367886651E-2</v>
      </c>
      <c r="V46" s="121">
        <f t="shared" si="31"/>
        <v>2.4297692728598479E-2</v>
      </c>
      <c r="W46" s="121" t="e">
        <f t="shared" si="31"/>
        <v>#DIV/0!</v>
      </c>
      <c r="X46" s="121" t="e">
        <f t="shared" si="31"/>
        <v>#DIV/0!</v>
      </c>
      <c r="Y46" s="121" t="e">
        <f t="shared" si="31"/>
        <v>#DIV/0!</v>
      </c>
      <c r="Z46" s="121" t="e">
        <f t="shared" si="31"/>
        <v>#DIV/0!</v>
      </c>
      <c r="AA46" s="121" t="e">
        <f t="shared" si="31"/>
        <v>#DIV/0!</v>
      </c>
      <c r="AB46" s="121" t="e">
        <f t="shared" si="31"/>
        <v>#DIV/0!</v>
      </c>
      <c r="AC46" s="121" t="e">
        <f t="shared" si="31"/>
        <v>#DIV/0!</v>
      </c>
      <c r="AD46" s="121" t="e">
        <f t="shared" si="31"/>
        <v>#DIV/0!</v>
      </c>
      <c r="AE46" s="121">
        <f t="shared" si="31"/>
        <v>1.9412234797845349E-2</v>
      </c>
      <c r="AF46" s="121"/>
      <c r="AG46" s="118">
        <f t="shared" si="9"/>
        <v>5.7475571884065529E-3</v>
      </c>
      <c r="AH46" s="118">
        <f t="shared" si="10"/>
        <v>7.3945781229356878E-4</v>
      </c>
      <c r="AI46" s="118">
        <f t="shared" si="16"/>
        <v>6.4631379026110203E-4</v>
      </c>
    </row>
    <row r="47" spans="2:35" ht="15.5" x14ac:dyDescent="0.35">
      <c r="B47" s="114">
        <f t="shared" si="17"/>
        <v>10</v>
      </c>
      <c r="C47" s="101" t="s">
        <v>96</v>
      </c>
      <c r="D47" s="101" t="s">
        <v>52</v>
      </c>
      <c r="E47" s="121">
        <f t="shared" ref="E47:R47" si="32">E15/E$26</f>
        <v>6.5685058308525321E-2</v>
      </c>
      <c r="F47" s="121">
        <f t="shared" si="32"/>
        <v>2.7104194689777185E-2</v>
      </c>
      <c r="G47" s="121">
        <f t="shared" si="32"/>
        <v>3.8902894992041699E-2</v>
      </c>
      <c r="H47" s="121">
        <f t="shared" si="32"/>
        <v>2.854675174075522E-2</v>
      </c>
      <c r="I47" s="121">
        <f t="shared" si="32"/>
        <v>3.2231397837869602E-2</v>
      </c>
      <c r="J47" s="121">
        <f t="shared" si="32"/>
        <v>2.9557060804119632E-2</v>
      </c>
      <c r="K47" s="121">
        <f t="shared" si="32"/>
        <v>3.8019103741565446E-2</v>
      </c>
      <c r="L47" s="121">
        <f t="shared" si="32"/>
        <v>5.4748117255243187E-2</v>
      </c>
      <c r="M47" s="121">
        <f t="shared" si="32"/>
        <v>4.9621029083284217E-2</v>
      </c>
      <c r="N47" s="121">
        <f t="shared" si="32"/>
        <v>3.5646756988940494E-2</v>
      </c>
      <c r="O47" s="121">
        <f t="shared" si="32"/>
        <v>2.9553681590226047E-2</v>
      </c>
      <c r="P47" s="121">
        <f t="shared" si="32"/>
        <v>2.9545313195949989E-2</v>
      </c>
      <c r="Q47" s="121">
        <f t="shared" si="32"/>
        <v>3.7812935597966411E-2</v>
      </c>
      <c r="R47" s="121">
        <f t="shared" si="32"/>
        <v>3.3511495893998315E-2</v>
      </c>
      <c r="S47" s="121">
        <f t="shared" si="14"/>
        <v>4.9870877862035257E-2</v>
      </c>
      <c r="T47" s="121">
        <f t="shared" ref="T47:AE47" si="33">T15/T$26</f>
        <v>4.7440439919844896E-2</v>
      </c>
      <c r="U47" s="121">
        <f t="shared" si="33"/>
        <v>2.5097927796396458E-2</v>
      </c>
      <c r="V47" s="121">
        <f t="shared" si="33"/>
        <v>3.0239938907830714E-2</v>
      </c>
      <c r="W47" s="121" t="e">
        <f t="shared" si="33"/>
        <v>#DIV/0!</v>
      </c>
      <c r="X47" s="121" t="e">
        <f t="shared" si="33"/>
        <v>#DIV/0!</v>
      </c>
      <c r="Y47" s="121" t="e">
        <f t="shared" si="33"/>
        <v>#DIV/0!</v>
      </c>
      <c r="Z47" s="121" t="e">
        <f t="shared" si="33"/>
        <v>#DIV/0!</v>
      </c>
      <c r="AA47" s="121" t="e">
        <f t="shared" si="33"/>
        <v>#DIV/0!</v>
      </c>
      <c r="AB47" s="121" t="e">
        <f t="shared" si="33"/>
        <v>#DIV/0!</v>
      </c>
      <c r="AC47" s="121" t="e">
        <f t="shared" si="33"/>
        <v>#DIV/0!</v>
      </c>
      <c r="AD47" s="121" t="e">
        <f t="shared" si="33"/>
        <v>#DIV/0!</v>
      </c>
      <c r="AE47" s="121">
        <f t="shared" si="33"/>
        <v>3.4645815510035628E-2</v>
      </c>
      <c r="AF47" s="121"/>
      <c r="AG47" s="118">
        <f t="shared" si="9"/>
        <v>6.5943051438089022E-3</v>
      </c>
      <c r="AH47" s="118">
        <f t="shared" si="10"/>
        <v>1.1035052881865502E-3</v>
      </c>
      <c r="AI47" s="118">
        <f t="shared" si="16"/>
        <v>1.1535028590043326E-3</v>
      </c>
    </row>
    <row r="48" spans="2:35" ht="15.5" x14ac:dyDescent="0.35">
      <c r="B48" s="114">
        <f t="shared" si="17"/>
        <v>11</v>
      </c>
      <c r="C48" s="102" t="s">
        <v>96</v>
      </c>
      <c r="D48" s="102" t="s">
        <v>55</v>
      </c>
      <c r="E48" s="131">
        <f t="shared" ref="E48:R48" si="34">E16/E$26</f>
        <v>0</v>
      </c>
      <c r="F48" s="131">
        <f t="shared" si="34"/>
        <v>0</v>
      </c>
      <c r="G48" s="131">
        <f t="shared" si="34"/>
        <v>0</v>
      </c>
      <c r="H48" s="131">
        <f t="shared" si="34"/>
        <v>0</v>
      </c>
      <c r="I48" s="131">
        <f t="shared" si="34"/>
        <v>0</v>
      </c>
      <c r="J48" s="131">
        <f t="shared" si="34"/>
        <v>0</v>
      </c>
      <c r="K48" s="131">
        <f t="shared" si="34"/>
        <v>0</v>
      </c>
      <c r="L48" s="131">
        <f t="shared" si="34"/>
        <v>0</v>
      </c>
      <c r="M48" s="131">
        <f t="shared" si="34"/>
        <v>1.640098213914562E-2</v>
      </c>
      <c r="N48" s="131">
        <f t="shared" si="34"/>
        <v>0</v>
      </c>
      <c r="O48" s="131">
        <f t="shared" si="34"/>
        <v>0</v>
      </c>
      <c r="P48" s="131">
        <f t="shared" si="34"/>
        <v>0</v>
      </c>
      <c r="Q48" s="131">
        <f t="shared" si="34"/>
        <v>0</v>
      </c>
      <c r="R48" s="131">
        <f t="shared" si="34"/>
        <v>7.6145636439713755E-4</v>
      </c>
      <c r="S48" s="519">
        <f t="shared" si="14"/>
        <v>0</v>
      </c>
      <c r="T48" s="519">
        <f t="shared" ref="T48:AE48" si="35">T16/T$26</f>
        <v>0</v>
      </c>
      <c r="U48" s="519">
        <f t="shared" si="35"/>
        <v>0</v>
      </c>
      <c r="V48" s="519">
        <f t="shared" si="35"/>
        <v>0</v>
      </c>
      <c r="W48" s="519" t="e">
        <f t="shared" si="35"/>
        <v>#DIV/0!</v>
      </c>
      <c r="X48" s="519" t="e">
        <f t="shared" si="35"/>
        <v>#DIV/0!</v>
      </c>
      <c r="Y48" s="519" t="e">
        <f t="shared" si="35"/>
        <v>#DIV/0!</v>
      </c>
      <c r="Z48" s="519" t="e">
        <f t="shared" si="35"/>
        <v>#DIV/0!</v>
      </c>
      <c r="AA48" s="519" t="e">
        <f t="shared" si="35"/>
        <v>#DIV/0!</v>
      </c>
      <c r="AB48" s="519" t="e">
        <f t="shared" si="35"/>
        <v>#DIV/0!</v>
      </c>
      <c r="AC48" s="519" t="e">
        <f t="shared" si="35"/>
        <v>#DIV/0!</v>
      </c>
      <c r="AD48" s="519" t="e">
        <f t="shared" si="35"/>
        <v>#DIV/0!</v>
      </c>
      <c r="AE48" s="519">
        <f t="shared" si="35"/>
        <v>0</v>
      </c>
      <c r="AF48" s="132"/>
      <c r="AG48" s="119">
        <f t="shared" si="9"/>
        <v>0</v>
      </c>
      <c r="AH48" s="119">
        <f t="shared" si="10"/>
        <v>2.5074115685358978E-5</v>
      </c>
      <c r="AI48" s="119">
        <f t="shared" si="16"/>
        <v>0</v>
      </c>
    </row>
    <row r="49" spans="2:35" ht="16" x14ac:dyDescent="0.4">
      <c r="B49" s="112" t="s">
        <v>163</v>
      </c>
      <c r="C49" s="97"/>
      <c r="D49" s="98" t="s">
        <v>164</v>
      </c>
      <c r="E49" s="129">
        <f t="shared" ref="E49:Q49" si="36">SUM(E50:E56)</f>
        <v>6.7129822955024609</v>
      </c>
      <c r="F49" s="129">
        <f t="shared" si="36"/>
        <v>4.3699504501914674</v>
      </c>
      <c r="G49" s="129">
        <f t="shared" si="36"/>
        <v>6.6005409499122187</v>
      </c>
      <c r="H49" s="129">
        <f t="shared" si="36"/>
        <v>4.7899546364112036</v>
      </c>
      <c r="I49" s="129">
        <f t="shared" si="36"/>
        <v>5.1632143260967016</v>
      </c>
      <c r="J49" s="129">
        <f t="shared" si="36"/>
        <v>5.5254035809071125</v>
      </c>
      <c r="K49" s="129">
        <f t="shared" si="36"/>
        <v>6.9482420989881613</v>
      </c>
      <c r="L49" s="129">
        <f t="shared" si="36"/>
        <v>12.669728009284064</v>
      </c>
      <c r="M49" s="129">
        <f t="shared" si="36"/>
        <v>11.425970832112366</v>
      </c>
      <c r="N49" s="129">
        <f t="shared" si="36"/>
        <v>9.5936642934478584</v>
      </c>
      <c r="O49" s="129">
        <f t="shared" si="36"/>
        <v>6.163693067587495</v>
      </c>
      <c r="P49" s="129">
        <f t="shared" si="36"/>
        <v>5.6060127872091066</v>
      </c>
      <c r="Q49" s="129">
        <f t="shared" si="36"/>
        <v>9.6554861968996306</v>
      </c>
      <c r="R49" s="129">
        <f>SUM(R50:R56)</f>
        <v>9.2937213804038024</v>
      </c>
      <c r="S49" s="129">
        <f>SUM(S50:S56)</f>
        <v>15.424917351504105</v>
      </c>
      <c r="T49" s="129">
        <f t="shared" ref="T49:AE49" si="37">SUM(T50:T56)</f>
        <v>9.223971695816342</v>
      </c>
      <c r="U49" s="129">
        <f t="shared" si="37"/>
        <v>5.9300239865033015</v>
      </c>
      <c r="V49" s="129">
        <f t="shared" si="37"/>
        <v>7.0091467280980204</v>
      </c>
      <c r="W49" s="129" t="e">
        <f t="shared" si="37"/>
        <v>#DIV/0!</v>
      </c>
      <c r="X49" s="129" t="e">
        <f t="shared" si="37"/>
        <v>#DIV/0!</v>
      </c>
      <c r="Y49" s="129" t="e">
        <f t="shared" si="37"/>
        <v>#DIV/0!</v>
      </c>
      <c r="Z49" s="129" t="e">
        <f t="shared" si="37"/>
        <v>#DIV/0!</v>
      </c>
      <c r="AA49" s="129" t="e">
        <f t="shared" si="37"/>
        <v>#DIV/0!</v>
      </c>
      <c r="AB49" s="129" t="e">
        <f t="shared" si="37"/>
        <v>#DIV/0!</v>
      </c>
      <c r="AC49" s="129" t="e">
        <f t="shared" si="37"/>
        <v>#DIV/0!</v>
      </c>
      <c r="AD49" s="129" t="e">
        <f t="shared" si="37"/>
        <v>#DIV/0!</v>
      </c>
      <c r="AE49" s="129">
        <f t="shared" si="37"/>
        <v>8.193964386591178</v>
      </c>
      <c r="AF49" s="129">
        <f>SUM(AF50:AF56)</f>
        <v>0</v>
      </c>
      <c r="AG49" s="116">
        <f t="shared" si="9"/>
        <v>0.67393490729054373</v>
      </c>
      <c r="AH49" s="116">
        <f t="shared" si="10"/>
        <v>0.30603440451145975</v>
      </c>
      <c r="AI49" s="116">
        <f t="shared" si="16"/>
        <v>0.2728110511289531</v>
      </c>
    </row>
    <row r="50" spans="2:35" ht="15.5" x14ac:dyDescent="0.35">
      <c r="B50" s="113">
        <v>1</v>
      </c>
      <c r="C50" s="99" t="s">
        <v>97</v>
      </c>
      <c r="D50" s="99" t="s">
        <v>168</v>
      </c>
      <c r="E50" s="127">
        <f t="shared" ref="E50:Q50" si="38">(E18-E30)/E$26</f>
        <v>0.67012506217011569</v>
      </c>
      <c r="F50" s="127">
        <f t="shared" si="38"/>
        <v>0.9620226907956575</v>
      </c>
      <c r="G50" s="127">
        <f t="shared" si="38"/>
        <v>1.4556575901878768</v>
      </c>
      <c r="H50" s="127">
        <f t="shared" si="38"/>
        <v>1.5602881725450215</v>
      </c>
      <c r="I50" s="127">
        <f t="shared" si="38"/>
        <v>1.342364296194146</v>
      </c>
      <c r="J50" s="127">
        <f t="shared" si="38"/>
        <v>1.3585798912373031</v>
      </c>
      <c r="K50" s="127">
        <f t="shared" si="38"/>
        <v>1.7172841772042342</v>
      </c>
      <c r="L50" s="127">
        <f t="shared" si="38"/>
        <v>3.21579455525647</v>
      </c>
      <c r="M50" s="127">
        <f t="shared" si="38"/>
        <v>2.7374277305414974</v>
      </c>
      <c r="N50" s="127">
        <f t="shared" si="38"/>
        <v>2.1440508954323532</v>
      </c>
      <c r="O50" s="127">
        <f t="shared" si="38"/>
        <v>1.258394992683677</v>
      </c>
      <c r="P50" s="127">
        <f t="shared" si="38"/>
        <v>1.0998114160979711</v>
      </c>
      <c r="Q50" s="127">
        <f t="shared" si="38"/>
        <v>0.39147537693202888</v>
      </c>
      <c r="R50" s="127">
        <f t="shared" ref="R50" si="39">R18/R$26</f>
        <v>4.1202355399570516</v>
      </c>
      <c r="S50" s="127">
        <f t="shared" ref="S50:S56" si="40">S18/S$26</f>
        <v>2.9313358692113138</v>
      </c>
      <c r="T50" s="127">
        <f t="shared" ref="T50:AE50" si="41">T18/T$26</f>
        <v>1.783021706535699</v>
      </c>
      <c r="U50" s="127">
        <f t="shared" si="41"/>
        <v>1.122179713267744</v>
      </c>
      <c r="V50" s="127">
        <f t="shared" si="41"/>
        <v>1.3235643922373614</v>
      </c>
      <c r="W50" s="127" t="e">
        <f t="shared" si="41"/>
        <v>#DIV/0!</v>
      </c>
      <c r="X50" s="127" t="e">
        <f t="shared" si="41"/>
        <v>#DIV/0!</v>
      </c>
      <c r="Y50" s="127" t="e">
        <f t="shared" si="41"/>
        <v>#DIV/0!</v>
      </c>
      <c r="Z50" s="127" t="e">
        <f t="shared" si="41"/>
        <v>#DIV/0!</v>
      </c>
      <c r="AA50" s="127" t="e">
        <f t="shared" si="41"/>
        <v>#DIV/0!</v>
      </c>
      <c r="AB50" s="127" t="e">
        <f t="shared" si="41"/>
        <v>#DIV/0!</v>
      </c>
      <c r="AC50" s="127" t="e">
        <f t="shared" si="41"/>
        <v>#DIV/0!</v>
      </c>
      <c r="AD50" s="127" t="e">
        <f t="shared" si="41"/>
        <v>#DIV/0!</v>
      </c>
      <c r="AE50" s="127">
        <f t="shared" si="41"/>
        <v>1.5593934866858514</v>
      </c>
      <c r="AF50" s="127"/>
      <c r="AG50" s="107">
        <f t="shared" si="9"/>
        <v>6.7275713202649426E-2</v>
      </c>
      <c r="AH50" s="107">
        <f t="shared" si="10"/>
        <v>0.13567588033964956</v>
      </c>
      <c r="AI50" s="107">
        <f t="shared" si="16"/>
        <v>5.1918675277937323E-2</v>
      </c>
    </row>
    <row r="51" spans="2:35" ht="15.5" x14ac:dyDescent="0.35">
      <c r="B51" s="114">
        <f t="shared" ref="B51:B56" si="42">B50+1</f>
        <v>2</v>
      </c>
      <c r="C51" s="101" t="s">
        <v>97</v>
      </c>
      <c r="D51" s="101" t="s">
        <v>48</v>
      </c>
      <c r="E51" s="130">
        <f t="shared" ref="E51:R51" si="43">E19/E$26</f>
        <v>3.8034069248206719</v>
      </c>
      <c r="F51" s="130">
        <f t="shared" si="43"/>
        <v>2.0672250007528987</v>
      </c>
      <c r="G51" s="130">
        <f t="shared" si="43"/>
        <v>2.9978696190879086</v>
      </c>
      <c r="H51" s="130">
        <f t="shared" si="43"/>
        <v>1.9442526173107881</v>
      </c>
      <c r="I51" s="130">
        <f t="shared" si="43"/>
        <v>2.2813262270486563</v>
      </c>
      <c r="J51" s="130">
        <f t="shared" si="43"/>
        <v>2.3862962039442044</v>
      </c>
      <c r="K51" s="130">
        <f t="shared" si="43"/>
        <v>2.9813722972142651</v>
      </c>
      <c r="L51" s="130">
        <f t="shared" si="43"/>
        <v>5.5545867986052473</v>
      </c>
      <c r="M51" s="130">
        <f t="shared" si="43"/>
        <v>4.6739959782585156</v>
      </c>
      <c r="N51" s="130">
        <f t="shared" si="43"/>
        <v>3.9260433075668941</v>
      </c>
      <c r="O51" s="130">
        <f t="shared" si="43"/>
        <v>2.5762058885363475</v>
      </c>
      <c r="P51" s="130">
        <f t="shared" si="43"/>
        <v>2.3756022230193636</v>
      </c>
      <c r="Q51" s="130">
        <f t="shared" si="43"/>
        <v>3.7212207803306057</v>
      </c>
      <c r="R51" s="130">
        <f t="shared" si="43"/>
        <v>2.8025747689895102</v>
      </c>
      <c r="S51" s="130">
        <f t="shared" si="40"/>
        <v>6.7861665493487902</v>
      </c>
      <c r="T51" s="130">
        <f t="shared" ref="T51:AE51" si="44">T19/T$26</f>
        <v>4.2066771142670296</v>
      </c>
      <c r="U51" s="130">
        <f t="shared" si="44"/>
        <v>2.5864102314015995</v>
      </c>
      <c r="V51" s="130">
        <f t="shared" si="44"/>
        <v>3.363621185500199</v>
      </c>
      <c r="W51" s="130" t="e">
        <f t="shared" si="44"/>
        <v>#DIV/0!</v>
      </c>
      <c r="X51" s="130" t="e">
        <f t="shared" si="44"/>
        <v>#DIV/0!</v>
      </c>
      <c r="Y51" s="130" t="e">
        <f t="shared" si="44"/>
        <v>#DIV/0!</v>
      </c>
      <c r="Z51" s="130" t="e">
        <f t="shared" si="44"/>
        <v>#DIV/0!</v>
      </c>
      <c r="AA51" s="130" t="e">
        <f t="shared" si="44"/>
        <v>#DIV/0!</v>
      </c>
      <c r="AB51" s="130" t="e">
        <f t="shared" si="44"/>
        <v>#DIV/0!</v>
      </c>
      <c r="AC51" s="130" t="e">
        <f t="shared" si="44"/>
        <v>#DIV/0!</v>
      </c>
      <c r="AD51" s="130" t="e">
        <f t="shared" si="44"/>
        <v>#DIV/0!</v>
      </c>
      <c r="AE51" s="130">
        <f t="shared" si="44"/>
        <v>3.7126593773366796</v>
      </c>
      <c r="AF51" s="130"/>
      <c r="AG51" s="118">
        <f t="shared" si="9"/>
        <v>0.38183456777244107</v>
      </c>
      <c r="AH51" s="118">
        <f t="shared" si="10"/>
        <v>9.2286422781622177E-2</v>
      </c>
      <c r="AI51" s="118">
        <f t="shared" si="16"/>
        <v>0.12360982540666716</v>
      </c>
    </row>
    <row r="52" spans="2:35" ht="15.5" x14ac:dyDescent="0.35">
      <c r="B52" s="114">
        <f t="shared" si="42"/>
        <v>3</v>
      </c>
      <c r="C52" s="101" t="s">
        <v>96</v>
      </c>
      <c r="D52" s="101" t="s">
        <v>16</v>
      </c>
      <c r="E52" s="130">
        <f t="shared" ref="E52:R52" si="45">E20/E$26</f>
        <v>1.3202955489201931</v>
      </c>
      <c r="F52" s="130">
        <f t="shared" si="45"/>
        <v>0.63302365829716778</v>
      </c>
      <c r="G52" s="130">
        <f t="shared" si="45"/>
        <v>1.0287618867166333</v>
      </c>
      <c r="H52" s="130">
        <f t="shared" si="45"/>
        <v>0.61890386848562162</v>
      </c>
      <c r="I52" s="130">
        <f t="shared" si="45"/>
        <v>0.70972337562403764</v>
      </c>
      <c r="J52" s="130">
        <f t="shared" si="45"/>
        <v>0.74021328466740244</v>
      </c>
      <c r="K52" s="130">
        <f t="shared" si="45"/>
        <v>0.93614185048129861</v>
      </c>
      <c r="L52" s="130">
        <f t="shared" si="45"/>
        <v>1.7740192801849954</v>
      </c>
      <c r="M52" s="130">
        <f t="shared" si="45"/>
        <v>1.5876836105368901</v>
      </c>
      <c r="N52" s="130">
        <f t="shared" si="45"/>
        <v>1.2932846876286332</v>
      </c>
      <c r="O52" s="130">
        <f t="shared" si="45"/>
        <v>0.84338687455281203</v>
      </c>
      <c r="P52" s="130">
        <f t="shared" si="45"/>
        <v>0.76510582177774955</v>
      </c>
      <c r="Q52" s="130">
        <f t="shared" si="45"/>
        <v>1.1949566661617412</v>
      </c>
      <c r="R52" s="130">
        <f t="shared" si="45"/>
        <v>0.9018652274564618</v>
      </c>
      <c r="S52" s="130">
        <f t="shared" si="40"/>
        <v>2.1908193860950322</v>
      </c>
      <c r="T52" s="130">
        <f t="shared" ref="T52:AE52" si="46">T20/T$26</f>
        <v>1.3634427156704878</v>
      </c>
      <c r="U52" s="130">
        <f t="shared" si="46"/>
        <v>0.87222658484587046</v>
      </c>
      <c r="V52" s="130">
        <f t="shared" si="46"/>
        <v>1.0110364527698779</v>
      </c>
      <c r="W52" s="130" t="e">
        <f t="shared" si="46"/>
        <v>#DIV/0!</v>
      </c>
      <c r="X52" s="130" t="e">
        <f t="shared" si="46"/>
        <v>#DIV/0!</v>
      </c>
      <c r="Y52" s="130" t="e">
        <f t="shared" si="46"/>
        <v>#DIV/0!</v>
      </c>
      <c r="Z52" s="130" t="e">
        <f t="shared" si="46"/>
        <v>#DIV/0!</v>
      </c>
      <c r="AA52" s="130" t="e">
        <f t="shared" si="46"/>
        <v>#DIV/0!</v>
      </c>
      <c r="AB52" s="130" t="e">
        <f t="shared" si="46"/>
        <v>#DIV/0!</v>
      </c>
      <c r="AC52" s="130" t="e">
        <f t="shared" si="46"/>
        <v>#DIV/0!</v>
      </c>
      <c r="AD52" s="130" t="e">
        <f t="shared" si="46"/>
        <v>#DIV/0!</v>
      </c>
      <c r="AE52" s="130">
        <f t="shared" si="46"/>
        <v>1.1905465007370561</v>
      </c>
      <c r="AF52" s="130"/>
      <c r="AG52" s="118">
        <f t="shared" si="9"/>
        <v>0.13254813124619563</v>
      </c>
      <c r="AH52" s="118">
        <f t="shared" si="10"/>
        <v>2.9697661091518376E-2</v>
      </c>
      <c r="AI52" s="118">
        <f t="shared" si="16"/>
        <v>3.963822967249836E-2</v>
      </c>
    </row>
    <row r="53" spans="2:35" ht="15.5" x14ac:dyDescent="0.35">
      <c r="B53" s="114">
        <f t="shared" si="42"/>
        <v>4</v>
      </c>
      <c r="C53" s="101" t="s">
        <v>97</v>
      </c>
      <c r="D53" s="101" t="s">
        <v>36</v>
      </c>
      <c r="E53" s="130">
        <f t="shared" ref="E53:R53" si="47">E21/E$26</f>
        <v>0.38534933802066207</v>
      </c>
      <c r="F53" s="130">
        <f t="shared" si="47"/>
        <v>0.34796868319337831</v>
      </c>
      <c r="G53" s="130">
        <f t="shared" si="47"/>
        <v>0.47114511830164468</v>
      </c>
      <c r="H53" s="130">
        <f t="shared" si="47"/>
        <v>0.23513718421432075</v>
      </c>
      <c r="I53" s="130">
        <f t="shared" si="47"/>
        <v>0.29546526454206451</v>
      </c>
      <c r="J53" s="130">
        <f t="shared" si="47"/>
        <v>0.43068418481736132</v>
      </c>
      <c r="K53" s="130">
        <f t="shared" si="47"/>
        <v>0.5330396161798554</v>
      </c>
      <c r="L53" s="130">
        <f t="shared" si="47"/>
        <v>0.83854617546709653</v>
      </c>
      <c r="M53" s="130">
        <f t="shared" si="47"/>
        <v>1.2560799322260394</v>
      </c>
      <c r="N53" s="130">
        <f t="shared" si="47"/>
        <v>1.231574242923648</v>
      </c>
      <c r="O53" s="130">
        <f t="shared" si="47"/>
        <v>0.86305497497727879</v>
      </c>
      <c r="P53" s="130">
        <f t="shared" si="47"/>
        <v>0.7160460204669894</v>
      </c>
      <c r="Q53" s="130">
        <f t="shared" si="47"/>
        <v>3.2659863951584289</v>
      </c>
      <c r="R53" s="130">
        <f t="shared" si="47"/>
        <v>0.7856886151787108</v>
      </c>
      <c r="S53" s="130">
        <f t="shared" si="40"/>
        <v>1.9352728491284861</v>
      </c>
      <c r="T53" s="130">
        <f t="shared" ref="T53:AE53" si="48">T21/T$26</f>
        <v>0.82979949115162466</v>
      </c>
      <c r="U53" s="130">
        <f t="shared" si="48"/>
        <v>0.80048240845970065</v>
      </c>
      <c r="V53" s="130">
        <f t="shared" si="48"/>
        <v>0.55214697930581047</v>
      </c>
      <c r="W53" s="130" t="e">
        <f t="shared" si="48"/>
        <v>#DIV/0!</v>
      </c>
      <c r="X53" s="130" t="e">
        <f t="shared" si="48"/>
        <v>#DIV/0!</v>
      </c>
      <c r="Y53" s="130" t="e">
        <f t="shared" si="48"/>
        <v>#DIV/0!</v>
      </c>
      <c r="Z53" s="130" t="e">
        <f t="shared" si="48"/>
        <v>#DIV/0!</v>
      </c>
      <c r="AA53" s="130" t="e">
        <f t="shared" si="48"/>
        <v>#DIV/0!</v>
      </c>
      <c r="AB53" s="130" t="e">
        <f t="shared" si="48"/>
        <v>#DIV/0!</v>
      </c>
      <c r="AC53" s="130" t="e">
        <f t="shared" si="48"/>
        <v>#DIV/0!</v>
      </c>
      <c r="AD53" s="130" t="e">
        <f t="shared" si="48"/>
        <v>#DIV/0!</v>
      </c>
      <c r="AE53" s="130">
        <f t="shared" si="48"/>
        <v>0.8799334076927855</v>
      </c>
      <c r="AF53" s="130"/>
      <c r="AG53" s="118">
        <f t="shared" si="9"/>
        <v>3.8686288591498356E-2</v>
      </c>
      <c r="AH53" s="118">
        <f t="shared" si="10"/>
        <v>2.5872063260325866E-2</v>
      </c>
      <c r="AI53" s="118">
        <f t="shared" si="16"/>
        <v>2.9296631831715519E-2</v>
      </c>
    </row>
    <row r="54" spans="2:35" ht="15.5" x14ac:dyDescent="0.35">
      <c r="B54" s="114">
        <f t="shared" si="42"/>
        <v>5</v>
      </c>
      <c r="C54" s="101" t="s">
        <v>97</v>
      </c>
      <c r="D54" s="101" t="s">
        <v>12</v>
      </c>
      <c r="E54" s="130">
        <f t="shared" ref="E54:R54" si="49">E22/E$26</f>
        <v>0.26905219578945982</v>
      </c>
      <c r="F54" s="130">
        <f t="shared" si="49"/>
        <v>0.14928128242599001</v>
      </c>
      <c r="G54" s="130">
        <f t="shared" si="49"/>
        <v>0.23384218428690637</v>
      </c>
      <c r="H54" s="130">
        <f t="shared" si="49"/>
        <v>0.16871172431878029</v>
      </c>
      <c r="I54" s="130">
        <f t="shared" si="49"/>
        <v>0.19282614784609914</v>
      </c>
      <c r="J54" s="130">
        <f t="shared" si="49"/>
        <v>0.21621272285884055</v>
      </c>
      <c r="K54" s="130">
        <f t="shared" si="49"/>
        <v>0.22109254266253836</v>
      </c>
      <c r="L54" s="130">
        <f t="shared" si="49"/>
        <v>0.35987897123054569</v>
      </c>
      <c r="M54" s="130">
        <f t="shared" si="49"/>
        <v>0.37328219029386583</v>
      </c>
      <c r="N54" s="130">
        <f t="shared" si="49"/>
        <v>0.35887708171638932</v>
      </c>
      <c r="O54" s="130">
        <f t="shared" si="49"/>
        <v>0.1918368171718286</v>
      </c>
      <c r="P54" s="130">
        <f t="shared" si="49"/>
        <v>0.20407780086137342</v>
      </c>
      <c r="Q54" s="130">
        <f t="shared" si="49"/>
        <v>0.32330243897044519</v>
      </c>
      <c r="R54" s="130">
        <f t="shared" si="49"/>
        <v>0.22789370670845593</v>
      </c>
      <c r="S54" s="130">
        <f t="shared" si="40"/>
        <v>0.45634037041284842</v>
      </c>
      <c r="T54" s="130">
        <f t="shared" ref="T54:AE54" si="50">T22/T$26</f>
        <v>0.33597764759747695</v>
      </c>
      <c r="U54" s="130">
        <f t="shared" si="50"/>
        <v>0.1948897538739755</v>
      </c>
      <c r="V54" s="130">
        <f t="shared" si="50"/>
        <v>0.26674582688089693</v>
      </c>
      <c r="W54" s="130" t="e">
        <f t="shared" si="50"/>
        <v>#DIV/0!</v>
      </c>
      <c r="X54" s="130" t="e">
        <f t="shared" si="50"/>
        <v>#DIV/0!</v>
      </c>
      <c r="Y54" s="130" t="e">
        <f t="shared" si="50"/>
        <v>#DIV/0!</v>
      </c>
      <c r="Z54" s="130" t="e">
        <f t="shared" si="50"/>
        <v>#DIV/0!</v>
      </c>
      <c r="AA54" s="130" t="e">
        <f t="shared" si="50"/>
        <v>#DIV/0!</v>
      </c>
      <c r="AB54" s="130" t="e">
        <f t="shared" si="50"/>
        <v>#DIV/0!</v>
      </c>
      <c r="AC54" s="130" t="e">
        <f t="shared" si="50"/>
        <v>#DIV/0!</v>
      </c>
      <c r="AD54" s="130" t="e">
        <f t="shared" si="50"/>
        <v>#DIV/0!</v>
      </c>
      <c r="AE54" s="130">
        <f t="shared" si="50"/>
        <v>0.28065105152306041</v>
      </c>
      <c r="AF54" s="130"/>
      <c r="AG54" s="118">
        <f t="shared" si="9"/>
        <v>2.701089599881254E-2</v>
      </c>
      <c r="AH54" s="118">
        <f t="shared" si="10"/>
        <v>7.504347501904699E-3</v>
      </c>
      <c r="AI54" s="118">
        <f t="shared" si="16"/>
        <v>9.3440372393788548E-3</v>
      </c>
    </row>
    <row r="55" spans="2:35" ht="15.5" x14ac:dyDescent="0.35">
      <c r="B55" s="114">
        <f t="shared" si="42"/>
        <v>6</v>
      </c>
      <c r="C55" s="101" t="s">
        <v>97</v>
      </c>
      <c r="D55" s="101" t="s">
        <v>51</v>
      </c>
      <c r="E55" s="130">
        <f t="shared" ref="E55:R55" si="51">E23/E$26</f>
        <v>0.21508078012653314</v>
      </c>
      <c r="F55" s="130">
        <f t="shared" si="51"/>
        <v>0.11345537267656954</v>
      </c>
      <c r="G55" s="130">
        <f t="shared" si="51"/>
        <v>0.22057392067389672</v>
      </c>
      <c r="H55" s="130">
        <f t="shared" si="51"/>
        <v>0.14271348314836213</v>
      </c>
      <c r="I55" s="130">
        <f t="shared" si="51"/>
        <v>0.14141305669069401</v>
      </c>
      <c r="J55" s="130">
        <f t="shared" si="51"/>
        <v>0.17287913216195575</v>
      </c>
      <c r="K55" s="130">
        <f t="shared" si="51"/>
        <v>0.24027518841157747</v>
      </c>
      <c r="L55" s="130">
        <f t="shared" si="51"/>
        <v>0.30495190749797474</v>
      </c>
      <c r="M55" s="130">
        <f t="shared" si="51"/>
        <v>0.36897245462827516</v>
      </c>
      <c r="N55" s="130">
        <f t="shared" si="51"/>
        <v>0.33282294715060678</v>
      </c>
      <c r="O55" s="130">
        <f t="shared" si="51"/>
        <v>0.23509841330777581</v>
      </c>
      <c r="P55" s="130">
        <f t="shared" si="51"/>
        <v>0.25917365969782202</v>
      </c>
      <c r="Q55" s="130">
        <f t="shared" si="51"/>
        <v>0.44740435252117122</v>
      </c>
      <c r="R55" s="130">
        <f t="shared" si="51"/>
        <v>0.22802513445803313</v>
      </c>
      <c r="S55" s="130">
        <f t="shared" si="40"/>
        <v>0.5190109782354051</v>
      </c>
      <c r="T55" s="130">
        <f t="shared" ref="T55:AE55" si="52">T23/T$26</f>
        <v>0.39112140909880955</v>
      </c>
      <c r="U55" s="130">
        <f t="shared" si="52"/>
        <v>0.21406383660450606</v>
      </c>
      <c r="V55" s="130">
        <f t="shared" si="52"/>
        <v>0.27472774676884903</v>
      </c>
      <c r="W55" s="130" t="e">
        <f t="shared" si="52"/>
        <v>#DIV/0!</v>
      </c>
      <c r="X55" s="130" t="e">
        <f t="shared" si="52"/>
        <v>#DIV/0!</v>
      </c>
      <c r="Y55" s="130" t="e">
        <f t="shared" si="52"/>
        <v>#DIV/0!</v>
      </c>
      <c r="Z55" s="130" t="e">
        <f t="shared" si="52"/>
        <v>#DIV/0!</v>
      </c>
      <c r="AA55" s="130" t="e">
        <f t="shared" si="52"/>
        <v>#DIV/0!</v>
      </c>
      <c r="AB55" s="130" t="e">
        <f t="shared" si="52"/>
        <v>#DIV/0!</v>
      </c>
      <c r="AC55" s="130" t="e">
        <f t="shared" si="52"/>
        <v>#DIV/0!</v>
      </c>
      <c r="AD55" s="130" t="e">
        <f t="shared" si="52"/>
        <v>#DIV/0!</v>
      </c>
      <c r="AE55" s="130">
        <f t="shared" si="52"/>
        <v>0.30982958894171714</v>
      </c>
      <c r="AF55" s="130"/>
      <c r="AG55" s="118">
        <f t="shared" si="9"/>
        <v>2.1592555921332655E-2</v>
      </c>
      <c r="AH55" s="118">
        <f t="shared" si="10"/>
        <v>7.5086753068207088E-3</v>
      </c>
      <c r="AI55" s="118">
        <f t="shared" si="16"/>
        <v>1.0315511740368336E-2</v>
      </c>
    </row>
    <row r="56" spans="2:35" ht="15.5" x14ac:dyDescent="0.35">
      <c r="B56" s="114">
        <f t="shared" si="42"/>
        <v>7</v>
      </c>
      <c r="C56" s="102" t="s">
        <v>97</v>
      </c>
      <c r="D56" s="102" t="s">
        <v>40</v>
      </c>
      <c r="E56" s="133">
        <f t="shared" ref="E56:R56" si="53">E24/E$26</f>
        <v>4.9672445654826224E-2</v>
      </c>
      <c r="F56" s="133">
        <f t="shared" si="53"/>
        <v>9.6973762049805873E-2</v>
      </c>
      <c r="G56" s="133">
        <f t="shared" si="53"/>
        <v>0.19269063065735137</v>
      </c>
      <c r="H56" s="133">
        <f t="shared" si="53"/>
        <v>0.11994758638830923</v>
      </c>
      <c r="I56" s="133">
        <f t="shared" si="53"/>
        <v>0.20009595815100356</v>
      </c>
      <c r="J56" s="133">
        <f t="shared" si="53"/>
        <v>0.22053816122004363</v>
      </c>
      <c r="K56" s="133">
        <f t="shared" si="53"/>
        <v>0.31903642683439215</v>
      </c>
      <c r="L56" s="133">
        <f t="shared" si="53"/>
        <v>0.62195032104173553</v>
      </c>
      <c r="M56" s="133">
        <f t="shared" si="53"/>
        <v>0.42852893562727978</v>
      </c>
      <c r="N56" s="133">
        <f t="shared" si="53"/>
        <v>0.30701113102933447</v>
      </c>
      <c r="O56" s="133">
        <f t="shared" si="53"/>
        <v>0.19571510635777573</v>
      </c>
      <c r="P56" s="133">
        <f t="shared" si="53"/>
        <v>0.18619584528783681</v>
      </c>
      <c r="Q56" s="133">
        <f t="shared" si="53"/>
        <v>0.31114018682520778</v>
      </c>
      <c r="R56" s="133">
        <f t="shared" si="53"/>
        <v>0.22743838765557989</v>
      </c>
      <c r="S56" s="133">
        <f t="shared" si="40"/>
        <v>0.60597134907222849</v>
      </c>
      <c r="T56" s="133">
        <f t="shared" ref="T56:AE56" si="54">T24/T$26</f>
        <v>0.31393161149521215</v>
      </c>
      <c r="U56" s="133">
        <f t="shared" si="54"/>
        <v>0.13977145804990543</v>
      </c>
      <c r="V56" s="133">
        <f t="shared" si="54"/>
        <v>0.21730414463502593</v>
      </c>
      <c r="W56" s="133" t="e">
        <f t="shared" si="54"/>
        <v>#DIV/0!</v>
      </c>
      <c r="X56" s="133" t="e">
        <f t="shared" si="54"/>
        <v>#DIV/0!</v>
      </c>
      <c r="Y56" s="133" t="e">
        <f t="shared" si="54"/>
        <v>#DIV/0!</v>
      </c>
      <c r="Z56" s="133" t="e">
        <f t="shared" si="54"/>
        <v>#DIV/0!</v>
      </c>
      <c r="AA56" s="133" t="e">
        <f t="shared" si="54"/>
        <v>#DIV/0!</v>
      </c>
      <c r="AB56" s="133" t="e">
        <f t="shared" si="54"/>
        <v>#DIV/0!</v>
      </c>
      <c r="AC56" s="133" t="e">
        <f t="shared" si="54"/>
        <v>#DIV/0!</v>
      </c>
      <c r="AD56" s="133" t="e">
        <f t="shared" si="54"/>
        <v>#DIV/0!</v>
      </c>
      <c r="AE56" s="133">
        <f t="shared" si="54"/>
        <v>0.26095097367402836</v>
      </c>
      <c r="AF56" s="133"/>
      <c r="AG56" s="119">
        <f t="shared" si="9"/>
        <v>4.9867545576141332E-3</v>
      </c>
      <c r="AH56" s="119">
        <f t="shared" si="10"/>
        <v>7.4893542296183731E-3</v>
      </c>
      <c r="AI56" s="119">
        <f t="shared" si="16"/>
        <v>8.6881399603875708E-3</v>
      </c>
    </row>
    <row r="57" spans="2:35" ht="16" x14ac:dyDescent="0.4">
      <c r="B57" s="108" t="s">
        <v>172</v>
      </c>
      <c r="C57" s="109"/>
      <c r="D57" s="108"/>
      <c r="E57" s="128">
        <f t="shared" ref="E57:N57" si="55">E37+E49</f>
        <v>9.9608763737895991</v>
      </c>
      <c r="F57" s="128">
        <f t="shared" si="55"/>
        <v>24.964900516643201</v>
      </c>
      <c r="G57" s="128">
        <f t="shared" si="55"/>
        <v>28.165131228257874</v>
      </c>
      <c r="H57" s="128">
        <f t="shared" si="55"/>
        <v>25.4598494213988</v>
      </c>
      <c r="I57" s="128">
        <f t="shared" si="55"/>
        <v>26.125866357776935</v>
      </c>
      <c r="J57" s="128">
        <f t="shared" si="55"/>
        <v>27.220243551437807</v>
      </c>
      <c r="K57" s="128">
        <f t="shared" si="55"/>
        <v>28.094072180824924</v>
      </c>
      <c r="L57" s="128">
        <f t="shared" si="55"/>
        <v>37.328775931043978</v>
      </c>
      <c r="M57" s="128">
        <f t="shared" si="55"/>
        <v>32.680425581501041</v>
      </c>
      <c r="N57" s="128">
        <f t="shared" si="55"/>
        <v>31.281084513432752</v>
      </c>
      <c r="O57" s="128">
        <f t="shared" ref="O57:Q57" si="56">O37+O49</f>
        <v>26.866943057994543</v>
      </c>
      <c r="P57" s="128">
        <f t="shared" si="56"/>
        <v>25.930326654318016</v>
      </c>
      <c r="Q57" s="128">
        <f t="shared" si="56"/>
        <v>30.303552269735945</v>
      </c>
      <c r="R57" s="128">
        <f>R37+R49</f>
        <v>30.368224106174935</v>
      </c>
      <c r="S57" s="128">
        <f>S37+S49</f>
        <v>36.870262499490323</v>
      </c>
      <c r="T57" s="128">
        <f t="shared" ref="T57:AE57" si="57">T37+T49</f>
        <v>30.534674940953291</v>
      </c>
      <c r="U57" s="128">
        <f t="shared" si="57"/>
        <v>27.489542765515612</v>
      </c>
      <c r="V57" s="128">
        <f t="shared" si="57"/>
        <v>29.735990031148024</v>
      </c>
      <c r="W57" s="128" t="e">
        <f t="shared" si="57"/>
        <v>#DIV/0!</v>
      </c>
      <c r="X57" s="128" t="e">
        <f t="shared" si="57"/>
        <v>#DIV/0!</v>
      </c>
      <c r="Y57" s="128" t="e">
        <f t="shared" si="57"/>
        <v>#DIV/0!</v>
      </c>
      <c r="Z57" s="128" t="e">
        <f t="shared" si="57"/>
        <v>#DIV/0!</v>
      </c>
      <c r="AA57" s="128" t="e">
        <f t="shared" si="57"/>
        <v>#DIV/0!</v>
      </c>
      <c r="AB57" s="128" t="e">
        <f t="shared" si="57"/>
        <v>#DIV/0!</v>
      </c>
      <c r="AC57" s="128" t="e">
        <f t="shared" si="57"/>
        <v>#DIV/0!</v>
      </c>
      <c r="AD57" s="128" t="e">
        <f t="shared" si="57"/>
        <v>#DIV/0!</v>
      </c>
      <c r="AE57" s="128">
        <f t="shared" si="57"/>
        <v>30.035309613311931</v>
      </c>
      <c r="AF57" s="128">
        <f>AF37+AF49</f>
        <v>0</v>
      </c>
      <c r="AG57" s="115">
        <f>AG37+AG49</f>
        <v>0.99999999999999989</v>
      </c>
      <c r="AH57" s="115">
        <f t="shared" si="10"/>
        <v>1</v>
      </c>
      <c r="AI57" s="115">
        <f>AI37+AI49</f>
        <v>0.99999999999999989</v>
      </c>
    </row>
    <row r="58" spans="2:35" ht="16" x14ac:dyDescent="0.4">
      <c r="B58" s="134" t="s">
        <v>171</v>
      </c>
      <c r="C58" s="135"/>
      <c r="D58" s="135"/>
      <c r="E58" s="136">
        <f t="shared" ref="E58:Q58" si="58">E26</f>
        <v>1734.8775000000003</v>
      </c>
      <c r="F58" s="136">
        <f t="shared" si="58"/>
        <v>4222.8360000000011</v>
      </c>
      <c r="G58" s="136">
        <f t="shared" si="58"/>
        <v>2787.5269999999996</v>
      </c>
      <c r="H58" s="136">
        <f t="shared" si="58"/>
        <v>4442.018</v>
      </c>
      <c r="I58" s="136">
        <f t="shared" si="58"/>
        <v>4103.0010000000002</v>
      </c>
      <c r="J58" s="136">
        <f t="shared" si="58"/>
        <v>3738.8999999999992</v>
      </c>
      <c r="K58" s="136">
        <f t="shared" si="58"/>
        <v>2969.1000000000008</v>
      </c>
      <c r="L58" s="136">
        <f t="shared" si="58"/>
        <v>1232.223</v>
      </c>
      <c r="M58" s="136">
        <f t="shared" si="58"/>
        <v>1804.2249999999997</v>
      </c>
      <c r="N58" s="136">
        <f t="shared" si="58"/>
        <v>2483.9779999999992</v>
      </c>
      <c r="O58" s="136">
        <f t="shared" ref="O58" si="59">O26</f>
        <v>3922.0985000000001</v>
      </c>
      <c r="P58" s="136">
        <f t="shared" si="58"/>
        <v>4240.2209999999995</v>
      </c>
      <c r="Q58" s="136">
        <f t="shared" si="58"/>
        <v>2915.0120000000002</v>
      </c>
      <c r="R58" s="117">
        <f>SUM(F58:Q58)/(12-COUNTIF($F$20:$Q$20,0))</f>
        <v>3238.4282916666671</v>
      </c>
      <c r="S58" s="117">
        <f>S26</f>
        <v>1590.7339999999999</v>
      </c>
      <c r="T58" s="117">
        <f t="shared" ref="T58:AE58" si="60">T26</f>
        <v>2618.14</v>
      </c>
      <c r="U58" s="117">
        <f t="shared" si="60"/>
        <v>4353.3959999999997</v>
      </c>
      <c r="V58" s="117">
        <f t="shared" si="60"/>
        <v>3665.8779999999997</v>
      </c>
      <c r="W58" s="117">
        <f t="shared" si="60"/>
        <v>0</v>
      </c>
      <c r="X58" s="117">
        <f t="shared" si="60"/>
        <v>0</v>
      </c>
      <c r="Y58" s="117">
        <f t="shared" si="60"/>
        <v>0</v>
      </c>
      <c r="Z58" s="117">
        <f t="shared" si="60"/>
        <v>0</v>
      </c>
      <c r="AA58" s="117">
        <f t="shared" si="60"/>
        <v>0</v>
      </c>
      <c r="AB58" s="117">
        <f t="shared" si="60"/>
        <v>0</v>
      </c>
      <c r="AC58" s="117">
        <f t="shared" si="60"/>
        <v>0</v>
      </c>
      <c r="AD58" s="117">
        <f t="shared" si="60"/>
        <v>0</v>
      </c>
      <c r="AE58" s="117">
        <f t="shared" si="60"/>
        <v>3057.0370000000003</v>
      </c>
      <c r="AF58" s="117"/>
      <c r="AG58" s="137"/>
      <c r="AH58" s="100"/>
      <c r="AI58" s="100"/>
    </row>
    <row r="59" spans="2:35" ht="15.5" x14ac:dyDescent="0.35">
      <c r="B59" s="1025" t="s">
        <v>181</v>
      </c>
      <c r="C59" s="1025"/>
      <c r="D59" s="1025"/>
      <c r="E59" s="138">
        <f t="shared" ref="E59:K59" si="61">SUM(E38,E41,E43,E45,E48)</f>
        <v>0.8360893906974981</v>
      </c>
      <c r="F59" s="138">
        <f t="shared" si="61"/>
        <v>18.981699537306202</v>
      </c>
      <c r="G59" s="138">
        <f t="shared" si="61"/>
        <v>19.683433138405476</v>
      </c>
      <c r="H59" s="138">
        <f t="shared" si="61"/>
        <v>19.183837384720192</v>
      </c>
      <c r="I59" s="138">
        <f t="shared" si="61"/>
        <v>19.010175662155579</v>
      </c>
      <c r="J59" s="138">
        <f t="shared" si="61"/>
        <v>19.76263301131349</v>
      </c>
      <c r="K59" s="138">
        <f t="shared" si="61"/>
        <v>18.821639931629107</v>
      </c>
      <c r="L59" s="138">
        <f t="shared" ref="L59:AF59" si="62">SUM(L38,L41,L43,L45,L48)</f>
        <v>21.839436996387832</v>
      </c>
      <c r="M59" s="138">
        <f t="shared" si="62"/>
        <v>18.118901464063523</v>
      </c>
      <c r="N59" s="138">
        <f t="shared" si="62"/>
        <v>19.157156027348073</v>
      </c>
      <c r="O59" s="138">
        <f t="shared" si="62"/>
        <v>18.902636625775717</v>
      </c>
      <c r="P59" s="138">
        <f t="shared" si="62"/>
        <v>18.615082310257293</v>
      </c>
      <c r="Q59" s="138">
        <f t="shared" si="62"/>
        <v>18.242871883427028</v>
      </c>
      <c r="R59" s="138">
        <f t="shared" si="62"/>
        <v>19.079422714976069</v>
      </c>
      <c r="S59" s="138">
        <f t="shared" ref="S59:AD59" si="63">SUM(S38,S41,S43,S45,S48)</f>
        <v>18.277604281768284</v>
      </c>
      <c r="T59" s="138">
        <f t="shared" si="63"/>
        <v>18.808893079107413</v>
      </c>
      <c r="U59" s="138">
        <f t="shared" si="63"/>
        <v>19.734488718590391</v>
      </c>
      <c r="V59" s="138">
        <f t="shared" si="63"/>
        <v>20.538327524976001</v>
      </c>
      <c r="W59" s="138" t="e">
        <f t="shared" si="63"/>
        <v>#DIV/0!</v>
      </c>
      <c r="X59" s="138" t="e">
        <f t="shared" si="63"/>
        <v>#DIV/0!</v>
      </c>
      <c r="Y59" s="138" t="e">
        <f t="shared" si="63"/>
        <v>#DIV/0!</v>
      </c>
      <c r="Z59" s="138" t="e">
        <f t="shared" si="63"/>
        <v>#DIV/0!</v>
      </c>
      <c r="AA59" s="138" t="e">
        <f t="shared" si="63"/>
        <v>#DIV/0!</v>
      </c>
      <c r="AB59" s="138" t="e">
        <f t="shared" si="63"/>
        <v>#DIV/0!</v>
      </c>
      <c r="AC59" s="138" t="e">
        <f t="shared" si="63"/>
        <v>#DIV/0!</v>
      </c>
      <c r="AD59" s="138" t="e">
        <f t="shared" si="63"/>
        <v>#DIV/0!</v>
      </c>
      <c r="AE59" s="138">
        <f t="shared" ref="AE59" si="64">SUM(AE38,AE41,AE43,AE45,AE48)</f>
        <v>19.58777152319788</v>
      </c>
      <c r="AF59" s="138">
        <f t="shared" si="62"/>
        <v>0</v>
      </c>
      <c r="AG59" s="139">
        <f>E59/E57</f>
        <v>8.3937332351351049E-2</v>
      </c>
      <c r="AH59" s="139">
        <f>R59/R57</f>
        <v>0.62826929386024077</v>
      </c>
      <c r="AI59" s="139">
        <f>G59/G57</f>
        <v>0.69885820800498277</v>
      </c>
    </row>
    <row r="60" spans="2:35" ht="15.5" x14ac:dyDescent="0.35">
      <c r="B60" s="1026" t="s">
        <v>182</v>
      </c>
      <c r="C60" s="1026"/>
      <c r="D60" s="1026"/>
      <c r="E60" s="110">
        <f t="shared" ref="E60:J60" si="65">E57-E59</f>
        <v>9.1247869830921005</v>
      </c>
      <c r="F60" s="110">
        <f t="shared" si="65"/>
        <v>5.9832009793369991</v>
      </c>
      <c r="G60" s="110">
        <f t="shared" si="65"/>
        <v>8.4816980898523973</v>
      </c>
      <c r="H60" s="110">
        <f t="shared" si="65"/>
        <v>6.2760120366786083</v>
      </c>
      <c r="I60" s="110">
        <f t="shared" si="65"/>
        <v>7.1156906956213568</v>
      </c>
      <c r="J60" s="110">
        <f t="shared" si="65"/>
        <v>7.4576105401243176</v>
      </c>
      <c r="K60" s="110">
        <f t="shared" ref="K60:P60" si="66">K57-K59</f>
        <v>9.2724322491958162</v>
      </c>
      <c r="L60" s="110">
        <f t="shared" si="66"/>
        <v>15.489338934656146</v>
      </c>
      <c r="M60" s="110">
        <f t="shared" si="66"/>
        <v>14.561524117437518</v>
      </c>
      <c r="N60" s="110">
        <f t="shared" si="66"/>
        <v>12.123928486084679</v>
      </c>
      <c r="O60" s="110">
        <f t="shared" si="66"/>
        <v>7.9643064322188266</v>
      </c>
      <c r="P60" s="110">
        <f t="shared" si="66"/>
        <v>7.3152443440607229</v>
      </c>
      <c r="Q60" s="110">
        <f t="shared" ref="Q60" si="67">Q57-Q59</f>
        <v>12.060680386308917</v>
      </c>
      <c r="R60" s="110">
        <f>R57-R59</f>
        <v>11.288801391198866</v>
      </c>
      <c r="S60" s="110">
        <f>S57-S59</f>
        <v>18.59265821772204</v>
      </c>
      <c r="T60" s="110">
        <f t="shared" ref="T60:AE60" si="68">T57-T59</f>
        <v>11.725781861845878</v>
      </c>
      <c r="U60" s="110">
        <f t="shared" si="68"/>
        <v>7.7550540469252205</v>
      </c>
      <c r="V60" s="110">
        <f t="shared" si="68"/>
        <v>9.1976625061720227</v>
      </c>
      <c r="W60" s="110" t="e">
        <f t="shared" si="68"/>
        <v>#DIV/0!</v>
      </c>
      <c r="X60" s="110" t="e">
        <f t="shared" si="68"/>
        <v>#DIV/0!</v>
      </c>
      <c r="Y60" s="110" t="e">
        <f t="shared" si="68"/>
        <v>#DIV/0!</v>
      </c>
      <c r="Z60" s="110" t="e">
        <f t="shared" si="68"/>
        <v>#DIV/0!</v>
      </c>
      <c r="AA60" s="110" t="e">
        <f t="shared" si="68"/>
        <v>#DIV/0!</v>
      </c>
      <c r="AB60" s="110" t="e">
        <f t="shared" si="68"/>
        <v>#DIV/0!</v>
      </c>
      <c r="AC60" s="110" t="e">
        <f t="shared" si="68"/>
        <v>#DIV/0!</v>
      </c>
      <c r="AD60" s="110" t="e">
        <f t="shared" si="68"/>
        <v>#DIV/0!</v>
      </c>
      <c r="AE60" s="110">
        <f t="shared" si="68"/>
        <v>10.447538090114051</v>
      </c>
      <c r="AF60" s="110">
        <f>AF57-AF59</f>
        <v>0</v>
      </c>
      <c r="AG60" s="111">
        <f>AG57-AG59</f>
        <v>0.91606266764864885</v>
      </c>
      <c r="AH60" s="111">
        <f>AH57-AH59</f>
        <v>0.37173070613975923</v>
      </c>
      <c r="AI60" s="111">
        <f>AI57-AI59</f>
        <v>0.30114179199501712</v>
      </c>
    </row>
    <row r="63" spans="2:35" ht="21" x14ac:dyDescent="0.5">
      <c r="B63" s="104" t="s">
        <v>194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2:35" ht="16" x14ac:dyDescent="0.4">
      <c r="B64" s="93"/>
      <c r="C64" s="93"/>
      <c r="D64" s="106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2:31" ht="30" x14ac:dyDescent="0.35">
      <c r="B65" s="94" t="s">
        <v>57</v>
      </c>
      <c r="C65" s="94" t="s">
        <v>58</v>
      </c>
      <c r="D65" s="94" t="s">
        <v>59</v>
      </c>
      <c r="E65" s="96" t="s">
        <v>170</v>
      </c>
      <c r="F65" s="120" t="s">
        <v>185</v>
      </c>
      <c r="G65" s="96">
        <v>2</v>
      </c>
      <c r="H65" s="96">
        <v>3</v>
      </c>
      <c r="I65" s="95">
        <v>4</v>
      </c>
      <c r="J65" s="95">
        <v>5</v>
      </c>
      <c r="K65" s="95">
        <v>6</v>
      </c>
      <c r="L65" s="95">
        <v>7</v>
      </c>
      <c r="M65" s="95">
        <v>8</v>
      </c>
      <c r="N65" s="95">
        <v>9</v>
      </c>
      <c r="O65" s="95">
        <v>10</v>
      </c>
      <c r="P65" s="95">
        <v>11</v>
      </c>
      <c r="Q65" s="95">
        <v>12</v>
      </c>
      <c r="R65" s="96" t="s">
        <v>174</v>
      </c>
      <c r="S65" s="307" t="s">
        <v>228</v>
      </c>
      <c r="T65" s="307">
        <v>2</v>
      </c>
      <c r="U65" s="307">
        <v>3</v>
      </c>
      <c r="V65" s="307">
        <v>4</v>
      </c>
      <c r="W65" s="307">
        <v>5</v>
      </c>
      <c r="X65" s="307">
        <v>6</v>
      </c>
      <c r="Y65" s="307">
        <v>7</v>
      </c>
      <c r="Z65" s="307">
        <v>8</v>
      </c>
      <c r="AA65" s="307">
        <v>9</v>
      </c>
      <c r="AB65" s="307">
        <v>10</v>
      </c>
      <c r="AC65" s="307">
        <v>11</v>
      </c>
      <c r="AD65" s="307">
        <v>12</v>
      </c>
      <c r="AE65" s="307" t="s">
        <v>249</v>
      </c>
    </row>
    <row r="66" spans="2:31" ht="16" x14ac:dyDescent="0.4">
      <c r="B66" s="112" t="s">
        <v>161</v>
      </c>
      <c r="C66" s="97"/>
      <c r="D66" s="98" t="s">
        <v>162</v>
      </c>
      <c r="E66" s="116">
        <f t="shared" ref="E66:Q66" si="69">SUM(E67:E77)</f>
        <v>0.32606509270945611</v>
      </c>
      <c r="F66" s="116">
        <f t="shared" si="69"/>
        <v>0.82495622414845249</v>
      </c>
      <c r="G66" s="116">
        <f t="shared" si="69"/>
        <v>0.76564849293903015</v>
      </c>
      <c r="H66" s="116">
        <f t="shared" si="69"/>
        <v>0.81186241296520434</v>
      </c>
      <c r="I66" s="116">
        <f t="shared" si="69"/>
        <v>0.80237155563035534</v>
      </c>
      <c r="J66" s="116">
        <f t="shared" si="69"/>
        <v>0.79701123649148053</v>
      </c>
      <c r="K66" s="116">
        <f t="shared" si="69"/>
        <v>0.75267942453246217</v>
      </c>
      <c r="L66" s="116">
        <f t="shared" si="69"/>
        <v>0.6605908526792208</v>
      </c>
      <c r="M66" s="116">
        <f t="shared" si="69"/>
        <v>0.65037264268124728</v>
      </c>
      <c r="N66" s="116">
        <f t="shared" si="69"/>
        <v>0.69330781068897607</v>
      </c>
      <c r="O66" s="116">
        <f t="shared" si="69"/>
        <v>0.77058450400245959</v>
      </c>
      <c r="P66" s="116">
        <f t="shared" si="69"/>
        <v>0.78380477569974727</v>
      </c>
      <c r="Q66" s="116">
        <f t="shared" si="69"/>
        <v>0.68137444379606504</v>
      </c>
      <c r="R66" s="116">
        <f>SUM(R67:R77)</f>
        <v>0.69396559548854042</v>
      </c>
      <c r="S66" s="116">
        <f t="shared" ref="S66:AE66" si="70">SUM(S67:S77)</f>
        <v>0.58164340837775885</v>
      </c>
      <c r="T66" s="116">
        <f t="shared" si="70"/>
        <v>0.69791813033368499</v>
      </c>
      <c r="U66" s="116">
        <f t="shared" si="70"/>
        <v>0.78428073405636123</v>
      </c>
      <c r="V66" s="116">
        <f t="shared" si="70"/>
        <v>0.76428742675942418</v>
      </c>
      <c r="W66" s="116" t="e">
        <f t="shared" si="70"/>
        <v>#DIV/0!</v>
      </c>
      <c r="X66" s="116" t="e">
        <f t="shared" si="70"/>
        <v>#DIV/0!</v>
      </c>
      <c r="Y66" s="116" t="e">
        <f t="shared" si="70"/>
        <v>#DIV/0!</v>
      </c>
      <c r="Z66" s="116" t="e">
        <f t="shared" si="70"/>
        <v>#DIV/0!</v>
      </c>
      <c r="AA66" s="116" t="e">
        <f t="shared" si="70"/>
        <v>#DIV/0!</v>
      </c>
      <c r="AB66" s="116" t="e">
        <f t="shared" si="70"/>
        <v>#DIV/0!</v>
      </c>
      <c r="AC66" s="116" t="e">
        <f t="shared" si="70"/>
        <v>#DIV/0!</v>
      </c>
      <c r="AD66" s="116" t="e">
        <f t="shared" si="70"/>
        <v>#DIV/0!</v>
      </c>
      <c r="AE66" s="116">
        <f t="shared" si="70"/>
        <v>0.72718894887104701</v>
      </c>
    </row>
    <row r="67" spans="2:31" ht="15.5" x14ac:dyDescent="0.35">
      <c r="B67" s="113">
        <v>1</v>
      </c>
      <c r="C67" s="99" t="s">
        <v>96</v>
      </c>
      <c r="D67" s="99" t="s">
        <v>260</v>
      </c>
      <c r="E67" s="107">
        <f t="shared" ref="E67:R67" si="71">E38/E$57</f>
        <v>0</v>
      </c>
      <c r="F67" s="107">
        <f t="shared" si="71"/>
        <v>0.7355644506252037</v>
      </c>
      <c r="G67" s="107">
        <f t="shared" si="71"/>
        <v>0.67291733543833998</v>
      </c>
      <c r="H67" s="107">
        <f t="shared" si="71"/>
        <v>0.73193185751926781</v>
      </c>
      <c r="I67" s="107">
        <f t="shared" si="71"/>
        <v>0.7108518178401082</v>
      </c>
      <c r="J67" s="107">
        <f t="shared" si="71"/>
        <v>0.70874903211301366</v>
      </c>
      <c r="K67" s="107">
        <f t="shared" si="71"/>
        <v>0.65146648915351935</v>
      </c>
      <c r="L67" s="107">
        <f t="shared" si="71"/>
        <v>0.55573735767539312</v>
      </c>
      <c r="M67" s="107">
        <f t="shared" si="71"/>
        <v>0.53782603661311645</v>
      </c>
      <c r="N67" s="107">
        <f t="shared" si="71"/>
        <v>0.59170819781456796</v>
      </c>
      <c r="O67" s="107">
        <f t="shared" si="71"/>
        <v>0.67824219890381598</v>
      </c>
      <c r="P67" s="107">
        <f t="shared" si="71"/>
        <v>0.69424767054717862</v>
      </c>
      <c r="Q67" s="107">
        <f t="shared" si="71"/>
        <v>0.58995067703825732</v>
      </c>
      <c r="R67" s="107">
        <f t="shared" si="71"/>
        <v>0.60924157232773357</v>
      </c>
      <c r="S67" s="107">
        <f t="shared" ref="S67:AD67" si="72">S38/S$57</f>
        <v>0.48393085652880063</v>
      </c>
      <c r="T67" s="107">
        <f t="shared" si="72"/>
        <v>0.5988186184805252</v>
      </c>
      <c r="U67" s="107">
        <f t="shared" si="72"/>
        <v>0.69744788716154948</v>
      </c>
      <c r="V67" s="107">
        <f t="shared" si="72"/>
        <v>0.66901438536094293</v>
      </c>
      <c r="W67" s="107" t="e">
        <f t="shared" si="72"/>
        <v>#DIV/0!</v>
      </c>
      <c r="X67" s="107" t="e">
        <f t="shared" si="72"/>
        <v>#DIV/0!</v>
      </c>
      <c r="Y67" s="107" t="e">
        <f t="shared" si="72"/>
        <v>#DIV/0!</v>
      </c>
      <c r="Z67" s="107" t="e">
        <f t="shared" si="72"/>
        <v>#DIV/0!</v>
      </c>
      <c r="AA67" s="107" t="e">
        <f t="shared" si="72"/>
        <v>#DIV/0!</v>
      </c>
      <c r="AB67" s="107" t="e">
        <f t="shared" si="72"/>
        <v>#DIV/0!</v>
      </c>
      <c r="AC67" s="107" t="e">
        <f t="shared" si="72"/>
        <v>#DIV/0!</v>
      </c>
      <c r="AD67" s="107" t="e">
        <f t="shared" si="72"/>
        <v>#DIV/0!</v>
      </c>
      <c r="AE67" s="107">
        <f t="shared" ref="AE67" si="73">AE38/AE$57</f>
        <v>0.63344358471797557</v>
      </c>
    </row>
    <row r="68" spans="2:31" ht="15.5" x14ac:dyDescent="0.35">
      <c r="B68" s="114">
        <f>B67+1</f>
        <v>2</v>
      </c>
      <c r="C68" s="101" t="s">
        <v>96</v>
      </c>
      <c r="D68" s="101" t="s">
        <v>25</v>
      </c>
      <c r="E68" s="118">
        <f t="shared" ref="E68:R68" si="74">E39/E$57</f>
        <v>0.14721893244478215</v>
      </c>
      <c r="F68" s="118">
        <f t="shared" si="74"/>
        <v>4.6556850147199069E-2</v>
      </c>
      <c r="G68" s="118">
        <f t="shared" si="74"/>
        <v>5.0352796434731076E-2</v>
      </c>
      <c r="H68" s="118">
        <f t="shared" si="74"/>
        <v>4.1055576893190976E-2</v>
      </c>
      <c r="I68" s="118">
        <f t="shared" si="74"/>
        <v>4.6878677083781024E-2</v>
      </c>
      <c r="J68" s="118">
        <f t="shared" si="74"/>
        <v>5.0064725666352193E-2</v>
      </c>
      <c r="K68" s="118">
        <f t="shared" si="74"/>
        <v>4.9322250017346157E-2</v>
      </c>
      <c r="L68" s="118">
        <f t="shared" si="74"/>
        <v>4.3956413563818249E-2</v>
      </c>
      <c r="M68" s="118">
        <f t="shared" si="74"/>
        <v>4.947380491454393E-2</v>
      </c>
      <c r="N68" s="118">
        <f t="shared" si="74"/>
        <v>5.3318475110113304E-2</v>
      </c>
      <c r="O68" s="118">
        <f t="shared" si="74"/>
        <v>4.8311690278271459E-2</v>
      </c>
      <c r="P68" s="118">
        <f t="shared" si="74"/>
        <v>5.1970635675650592E-2</v>
      </c>
      <c r="Q68" s="118">
        <f t="shared" si="74"/>
        <v>4.8593818576524776E-2</v>
      </c>
      <c r="R68" s="118">
        <f t="shared" si="74"/>
        <v>4.3993431086743424E-2</v>
      </c>
      <c r="S68" s="118">
        <f t="shared" ref="S68:AD68" si="75">S39/S$57</f>
        <v>4.7477844796745328E-2</v>
      </c>
      <c r="T68" s="118">
        <f t="shared" si="75"/>
        <v>4.6556339262858223E-2</v>
      </c>
      <c r="U68" s="118">
        <f t="shared" si="75"/>
        <v>4.950183469688315E-2</v>
      </c>
      <c r="V68" s="118">
        <f t="shared" si="75"/>
        <v>5.0959599346552142E-2</v>
      </c>
      <c r="W68" s="118" t="e">
        <f t="shared" si="75"/>
        <v>#DIV/0!</v>
      </c>
      <c r="X68" s="118" t="e">
        <f t="shared" si="75"/>
        <v>#DIV/0!</v>
      </c>
      <c r="Y68" s="118" t="e">
        <f t="shared" si="75"/>
        <v>#DIV/0!</v>
      </c>
      <c r="Z68" s="118" t="e">
        <f t="shared" si="75"/>
        <v>#DIV/0!</v>
      </c>
      <c r="AA68" s="118" t="e">
        <f t="shared" si="75"/>
        <v>#DIV/0!</v>
      </c>
      <c r="AB68" s="118" t="e">
        <f t="shared" si="75"/>
        <v>#DIV/0!</v>
      </c>
      <c r="AC68" s="118" t="e">
        <f t="shared" si="75"/>
        <v>#DIV/0!</v>
      </c>
      <c r="AD68" s="118" t="e">
        <f t="shared" si="75"/>
        <v>#DIV/0!</v>
      </c>
      <c r="AE68" s="118">
        <f t="shared" ref="AE68" si="76">AE39/AE$57</f>
        <v>4.897015126222002E-2</v>
      </c>
    </row>
    <row r="69" spans="2:31" ht="15.5" x14ac:dyDescent="0.35">
      <c r="B69" s="114">
        <f t="shared" ref="B69:B77" si="77">B68+1</f>
        <v>3</v>
      </c>
      <c r="C69" s="101" t="s">
        <v>96</v>
      </c>
      <c r="D69" s="101" t="s">
        <v>165</v>
      </c>
      <c r="E69" s="118">
        <f t="shared" ref="E69:R69" si="78">E40/E$57</f>
        <v>2.5431529895229742E-2</v>
      </c>
      <c r="F69" s="118">
        <f t="shared" si="78"/>
        <v>4.3181843845523588E-3</v>
      </c>
      <c r="G69" s="118">
        <f t="shared" si="78"/>
        <v>4.6182065975062681E-3</v>
      </c>
      <c r="H69" s="118">
        <f t="shared" si="78"/>
        <v>5.1336240395279563E-3</v>
      </c>
      <c r="I69" s="118">
        <f t="shared" si="78"/>
        <v>9.7530042535159157E-3</v>
      </c>
      <c r="J69" s="118">
        <f t="shared" si="78"/>
        <v>8.1057445188629194E-3</v>
      </c>
      <c r="K69" s="118">
        <f t="shared" si="78"/>
        <v>1.728590225674187E-2</v>
      </c>
      <c r="L69" s="118">
        <f t="shared" si="78"/>
        <v>1.7069301132078885E-2</v>
      </c>
      <c r="M69" s="118">
        <f t="shared" si="78"/>
        <v>3.1133283699784835E-2</v>
      </c>
      <c r="N69" s="118">
        <f t="shared" si="78"/>
        <v>1.6349069992351084E-2</v>
      </c>
      <c r="O69" s="118">
        <f t="shared" si="78"/>
        <v>8.91109137722358E-3</v>
      </c>
      <c r="P69" s="118">
        <f t="shared" si="78"/>
        <v>6.513036806103537E-3</v>
      </c>
      <c r="Q69" s="118">
        <f t="shared" si="78"/>
        <v>1.8586791935419629E-2</v>
      </c>
      <c r="R69" s="118">
        <f t="shared" si="78"/>
        <v>1.0082569244708925E-2</v>
      </c>
      <c r="S69" s="118">
        <f t="shared" ref="S69:AD69" si="79">S40/S$57</f>
        <v>2.3758058493139965E-2</v>
      </c>
      <c r="T69" s="118">
        <f t="shared" si="79"/>
        <v>2.3365913121844269E-2</v>
      </c>
      <c r="U69" s="118">
        <f t="shared" si="79"/>
        <v>8.1693132300661216E-3</v>
      </c>
      <c r="V69" s="118">
        <f t="shared" si="79"/>
        <v>1.0726888717066887E-2</v>
      </c>
      <c r="W69" s="118" t="e">
        <f t="shared" si="79"/>
        <v>#DIV/0!</v>
      </c>
      <c r="X69" s="118" t="e">
        <f t="shared" si="79"/>
        <v>#DIV/0!</v>
      </c>
      <c r="Y69" s="118" t="e">
        <f t="shared" si="79"/>
        <v>#DIV/0!</v>
      </c>
      <c r="Z69" s="118" t="e">
        <f t="shared" si="79"/>
        <v>#DIV/0!</v>
      </c>
      <c r="AA69" s="118" t="e">
        <f t="shared" si="79"/>
        <v>#DIV/0!</v>
      </c>
      <c r="AB69" s="118" t="e">
        <f t="shared" si="79"/>
        <v>#DIV/0!</v>
      </c>
      <c r="AC69" s="118" t="e">
        <f t="shared" si="79"/>
        <v>#DIV/0!</v>
      </c>
      <c r="AD69" s="118" t="e">
        <f t="shared" si="79"/>
        <v>#DIV/0!</v>
      </c>
      <c r="AE69" s="118">
        <f t="shared" ref="AE69" si="80">AE40/AE$57</f>
        <v>1.4725597833578038E-2</v>
      </c>
    </row>
    <row r="70" spans="2:31" ht="15.5" x14ac:dyDescent="0.35">
      <c r="B70" s="114">
        <f t="shared" si="77"/>
        <v>4</v>
      </c>
      <c r="C70" s="101" t="s">
        <v>96</v>
      </c>
      <c r="D70" s="101" t="s">
        <v>54</v>
      </c>
      <c r="E70" s="118">
        <f t="shared" ref="E70:R70" si="81">E41/E$57</f>
        <v>5.3026246497959902E-2</v>
      </c>
      <c r="F70" s="118">
        <f t="shared" si="81"/>
        <v>1.5799017860660097E-2</v>
      </c>
      <c r="G70" s="118">
        <f t="shared" si="81"/>
        <v>1.9234701031029609E-2</v>
      </c>
      <c r="H70" s="118">
        <f t="shared" si="81"/>
        <v>1.4561513584982271E-2</v>
      </c>
      <c r="I70" s="118">
        <f t="shared" si="81"/>
        <v>9.6494521228670006E-3</v>
      </c>
      <c r="J70" s="118">
        <f t="shared" si="81"/>
        <v>8.9001208988463091E-3</v>
      </c>
      <c r="K70" s="118">
        <f t="shared" si="81"/>
        <v>6.9355400422881699E-3</v>
      </c>
      <c r="L70" s="118">
        <f t="shared" si="81"/>
        <v>2.0712093457904542E-2</v>
      </c>
      <c r="M70" s="118">
        <f t="shared" si="81"/>
        <v>7.6818864476417264E-3</v>
      </c>
      <c r="N70" s="118">
        <f t="shared" si="81"/>
        <v>1.309723434912915E-2</v>
      </c>
      <c r="O70" s="118">
        <f t="shared" si="81"/>
        <v>1.7144840163681327E-2</v>
      </c>
      <c r="P70" s="118">
        <f t="shared" si="81"/>
        <v>1.4954457936574279E-2</v>
      </c>
      <c r="Q70" s="118">
        <f t="shared" si="81"/>
        <v>2.8827247082014299E-3</v>
      </c>
      <c r="R70" s="118">
        <f t="shared" si="81"/>
        <v>1.1413912038633667E-2</v>
      </c>
      <c r="S70" s="118">
        <f t="shared" ref="S70:AD70" si="82">S41/S$57</f>
        <v>4.1751241566919247E-3</v>
      </c>
      <c r="T70" s="118">
        <f t="shared" si="82"/>
        <v>9.9076257564704052E-3</v>
      </c>
      <c r="U70" s="118">
        <f t="shared" si="82"/>
        <v>1.2507096161949682E-2</v>
      </c>
      <c r="V70" s="118">
        <f t="shared" si="82"/>
        <v>1.4742973777702914E-2</v>
      </c>
      <c r="W70" s="118" t="e">
        <f t="shared" si="82"/>
        <v>#DIV/0!</v>
      </c>
      <c r="X70" s="118" t="e">
        <f t="shared" si="82"/>
        <v>#DIV/0!</v>
      </c>
      <c r="Y70" s="118" t="e">
        <f t="shared" si="82"/>
        <v>#DIV/0!</v>
      </c>
      <c r="Z70" s="118" t="e">
        <f t="shared" si="82"/>
        <v>#DIV/0!</v>
      </c>
      <c r="AA70" s="118" t="e">
        <f t="shared" si="82"/>
        <v>#DIV/0!</v>
      </c>
      <c r="AB70" s="118" t="e">
        <f t="shared" si="82"/>
        <v>#DIV/0!</v>
      </c>
      <c r="AC70" s="118" t="e">
        <f t="shared" si="82"/>
        <v>#DIV/0!</v>
      </c>
      <c r="AD70" s="118" t="e">
        <f t="shared" si="82"/>
        <v>#DIV/0!</v>
      </c>
      <c r="AE70" s="118">
        <f t="shared" ref="AE70" si="83">AE41/AE$57</f>
        <v>1.1274347741514678E-2</v>
      </c>
    </row>
    <row r="71" spans="2:31" ht="15.5" x14ac:dyDescent="0.35">
      <c r="B71" s="114">
        <f t="shared" si="77"/>
        <v>5</v>
      </c>
      <c r="C71" s="101" t="s">
        <v>96</v>
      </c>
      <c r="D71" s="101" t="s">
        <v>49</v>
      </c>
      <c r="E71" s="118">
        <f t="shared" ref="E71:R71" si="84">E42/E$57</f>
        <v>4.0551309655952855E-2</v>
      </c>
      <c r="F71" s="118">
        <f t="shared" si="84"/>
        <v>8.8326354984123983E-3</v>
      </c>
      <c r="G71" s="118">
        <f t="shared" si="84"/>
        <v>6.3691445306624395E-3</v>
      </c>
      <c r="H71" s="118">
        <f t="shared" si="84"/>
        <v>7.170641967532124E-3</v>
      </c>
      <c r="I71" s="118">
        <f t="shared" si="84"/>
        <v>1.2258153465082078E-2</v>
      </c>
      <c r="J71" s="118">
        <f t="shared" si="84"/>
        <v>7.5070456484015837E-3</v>
      </c>
      <c r="K71" s="118">
        <f t="shared" si="84"/>
        <v>1.0314672831359093E-2</v>
      </c>
      <c r="L71" s="118">
        <f t="shared" si="84"/>
        <v>7.4602922374086156E-3</v>
      </c>
      <c r="M71" s="118">
        <f t="shared" si="84"/>
        <v>8.9729280694075143E-3</v>
      </c>
      <c r="N71" s="118">
        <f t="shared" si="84"/>
        <v>6.3757057753449971E-3</v>
      </c>
      <c r="O71" s="118">
        <f t="shared" si="84"/>
        <v>5.2408699011850732E-3</v>
      </c>
      <c r="P71" s="118">
        <f t="shared" si="84"/>
        <v>3.1307191838343168E-3</v>
      </c>
      <c r="Q71" s="118">
        <f t="shared" si="84"/>
        <v>7.3333825688328127E-3</v>
      </c>
      <c r="R71" s="118">
        <f t="shared" si="84"/>
        <v>6.8571937716200067E-3</v>
      </c>
      <c r="S71" s="118">
        <f t="shared" ref="S71:AD71" si="85">S42/S$57</f>
        <v>1.0090927208170243E-2</v>
      </c>
      <c r="T71" s="118">
        <f t="shared" si="85"/>
        <v>7.4165941002251306E-3</v>
      </c>
      <c r="U71" s="118">
        <f t="shared" si="85"/>
        <v>5.1547646216821893E-3</v>
      </c>
      <c r="V71" s="118">
        <f t="shared" si="85"/>
        <v>8.122877473741387E-3</v>
      </c>
      <c r="W71" s="118" t="e">
        <f t="shared" si="85"/>
        <v>#DIV/0!</v>
      </c>
      <c r="X71" s="118" t="e">
        <f t="shared" si="85"/>
        <v>#DIV/0!</v>
      </c>
      <c r="Y71" s="118" t="e">
        <f t="shared" si="85"/>
        <v>#DIV/0!</v>
      </c>
      <c r="Z71" s="118" t="e">
        <f t="shared" si="85"/>
        <v>#DIV/0!</v>
      </c>
      <c r="AA71" s="118" t="e">
        <f t="shared" si="85"/>
        <v>#DIV/0!</v>
      </c>
      <c r="AB71" s="118" t="e">
        <f t="shared" si="85"/>
        <v>#DIV/0!</v>
      </c>
      <c r="AC71" s="118" t="e">
        <f t="shared" si="85"/>
        <v>#DIV/0!</v>
      </c>
      <c r="AD71" s="118" t="e">
        <f t="shared" si="85"/>
        <v>#DIV/0!</v>
      </c>
      <c r="AE71" s="118">
        <f t="shared" ref="AE71" si="86">AE42/AE$57</f>
        <v>7.3162963096949788E-3</v>
      </c>
    </row>
    <row r="72" spans="2:31" ht="15.5" x14ac:dyDescent="0.35">
      <c r="B72" s="114">
        <f t="shared" si="77"/>
        <v>6</v>
      </c>
      <c r="C72" s="101" t="s">
        <v>96</v>
      </c>
      <c r="D72" s="101" t="s">
        <v>56</v>
      </c>
      <c r="E72" s="118">
        <f t="shared" ref="E72:R72" si="87">E43/E$57</f>
        <v>1.6983469343905846E-2</v>
      </c>
      <c r="F72" s="118">
        <f t="shared" si="87"/>
        <v>7.369600462608818E-3</v>
      </c>
      <c r="G72" s="118">
        <f t="shared" si="87"/>
        <v>4.9349657036574755E-3</v>
      </c>
      <c r="H72" s="118">
        <f t="shared" si="87"/>
        <v>5.8421930784606129E-3</v>
      </c>
      <c r="I72" s="118">
        <f t="shared" si="87"/>
        <v>5.1204589542014267E-3</v>
      </c>
      <c r="J72" s="118">
        <f t="shared" si="87"/>
        <v>5.3822618485812306E-3</v>
      </c>
      <c r="K72" s="118">
        <f t="shared" si="87"/>
        <v>8.0097699334814518E-3</v>
      </c>
      <c r="L72" s="118">
        <f t="shared" si="87"/>
        <v>4.5454965474472E-3</v>
      </c>
      <c r="M72" s="118">
        <f t="shared" si="87"/>
        <v>4.4777812130020094E-3</v>
      </c>
      <c r="N72" s="118">
        <f t="shared" si="87"/>
        <v>5.7474113886923856E-3</v>
      </c>
      <c r="O72" s="118">
        <f t="shared" si="87"/>
        <v>5.5939926282682958E-3</v>
      </c>
      <c r="P72" s="118">
        <f t="shared" si="87"/>
        <v>6.2106880473340818E-3</v>
      </c>
      <c r="Q72" s="118">
        <f t="shared" si="87"/>
        <v>5.6973251155681571E-3</v>
      </c>
      <c r="R72" s="118">
        <f t="shared" si="87"/>
        <v>5.3257608338723537E-3</v>
      </c>
      <c r="S72" s="118">
        <f t="shared" ref="S72:AD72" si="88">S43/S$57</f>
        <v>4.0280230272884262E-3</v>
      </c>
      <c r="T72" s="118">
        <f t="shared" si="88"/>
        <v>4.9018016116085875E-3</v>
      </c>
      <c r="U72" s="118">
        <f t="shared" si="88"/>
        <v>5.5718668899427913E-3</v>
      </c>
      <c r="V72" s="118">
        <f t="shared" si="88"/>
        <v>5.1368420910931816E-3</v>
      </c>
      <c r="W72" s="118" t="e">
        <f t="shared" si="88"/>
        <v>#DIV/0!</v>
      </c>
      <c r="X72" s="118" t="e">
        <f t="shared" si="88"/>
        <v>#DIV/0!</v>
      </c>
      <c r="Y72" s="118" t="e">
        <f t="shared" si="88"/>
        <v>#DIV/0!</v>
      </c>
      <c r="Z72" s="118" t="e">
        <f t="shared" si="88"/>
        <v>#DIV/0!</v>
      </c>
      <c r="AA72" s="118" t="e">
        <f t="shared" si="88"/>
        <v>#DIV/0!</v>
      </c>
      <c r="AB72" s="118" t="e">
        <f t="shared" si="88"/>
        <v>#DIV/0!</v>
      </c>
      <c r="AC72" s="118" t="e">
        <f t="shared" si="88"/>
        <v>#DIV/0!</v>
      </c>
      <c r="AD72" s="118" t="e">
        <f t="shared" si="88"/>
        <v>#DIV/0!</v>
      </c>
      <c r="AE72" s="118">
        <f t="shared" ref="AE72" si="89">AE43/AE$57</f>
        <v>5.0503607817497893E-3</v>
      </c>
    </row>
    <row r="73" spans="2:31" ht="15.5" x14ac:dyDescent="0.35">
      <c r="B73" s="114">
        <f t="shared" si="77"/>
        <v>7</v>
      </c>
      <c r="C73" s="101" t="s">
        <v>96</v>
      </c>
      <c r="D73" s="101" t="s">
        <v>28</v>
      </c>
      <c r="E73" s="118">
        <f t="shared" ref="E73:R73" si="90">E44/E$57</f>
        <v>1.6584126029924921E-2</v>
      </c>
      <c r="F73" s="118">
        <f t="shared" si="90"/>
        <v>3.2424049975155302E-3</v>
      </c>
      <c r="G73" s="118">
        <f t="shared" si="90"/>
        <v>3.2718459003744172E-3</v>
      </c>
      <c r="H73" s="118">
        <f t="shared" si="90"/>
        <v>3.310196927268182E-3</v>
      </c>
      <c r="I73" s="118">
        <f t="shared" si="90"/>
        <v>3.3033940867491594E-3</v>
      </c>
      <c r="J73" s="118">
        <f t="shared" si="90"/>
        <v>3.2674063545303643E-3</v>
      </c>
      <c r="K73" s="118">
        <f t="shared" si="90"/>
        <v>3.6191898583786096E-3</v>
      </c>
      <c r="L73" s="118">
        <f t="shared" si="90"/>
        <v>4.5335376607227289E-3</v>
      </c>
      <c r="M73" s="118">
        <f t="shared" si="90"/>
        <v>3.737676848984304E-3</v>
      </c>
      <c r="N73" s="118">
        <f t="shared" si="90"/>
        <v>3.0159107110626577E-3</v>
      </c>
      <c r="O73" s="118">
        <f t="shared" si="90"/>
        <v>2.698211290233466E-3</v>
      </c>
      <c r="P73" s="118">
        <f t="shared" si="90"/>
        <v>2.5587095726101461E-3</v>
      </c>
      <c r="Q73" s="118">
        <f t="shared" si="90"/>
        <v>2.8945114148422545E-3</v>
      </c>
      <c r="R73" s="118">
        <f t="shared" si="90"/>
        <v>2.9201444247470773E-3</v>
      </c>
      <c r="S73" s="118">
        <f t="shared" ref="S73:AD73" si="91">S44/S$57</f>
        <v>2.5623068953455779E-3</v>
      </c>
      <c r="T73" s="118">
        <f t="shared" si="91"/>
        <v>2.4534972059016818E-3</v>
      </c>
      <c r="U73" s="118">
        <f t="shared" si="91"/>
        <v>2.1346162055158029E-3</v>
      </c>
      <c r="V73" s="118">
        <f t="shared" si="91"/>
        <v>1.9547877396034375E-3</v>
      </c>
      <c r="W73" s="118" t="e">
        <f t="shared" si="91"/>
        <v>#DIV/0!</v>
      </c>
      <c r="X73" s="118" t="e">
        <f t="shared" si="91"/>
        <v>#DIV/0!</v>
      </c>
      <c r="Y73" s="118" t="e">
        <f t="shared" si="91"/>
        <v>#DIV/0!</v>
      </c>
      <c r="Z73" s="118" t="e">
        <f t="shared" si="91"/>
        <v>#DIV/0!</v>
      </c>
      <c r="AA73" s="118" t="e">
        <f t="shared" si="91"/>
        <v>#DIV/0!</v>
      </c>
      <c r="AB73" s="118" t="e">
        <f t="shared" si="91"/>
        <v>#DIV/0!</v>
      </c>
      <c r="AC73" s="118" t="e">
        <f t="shared" si="91"/>
        <v>#DIV/0!</v>
      </c>
      <c r="AD73" s="118" t="e">
        <f t="shared" si="91"/>
        <v>#DIV/0!</v>
      </c>
      <c r="AE73" s="118">
        <f t="shared" ref="AE73" si="92">AE44/AE$57</f>
        <v>2.2189510960427764E-3</v>
      </c>
    </row>
    <row r="74" spans="2:31" ht="15.5" x14ac:dyDescent="0.35">
      <c r="B74" s="114">
        <f t="shared" si="77"/>
        <v>8</v>
      </c>
      <c r="C74" s="101" t="s">
        <v>96</v>
      </c>
      <c r="D74" s="101" t="s">
        <v>53</v>
      </c>
      <c r="E74" s="118">
        <f t="shared" ref="E74:R74" si="93">E45/E$57</f>
        <v>1.3927616509485307E-2</v>
      </c>
      <c r="F74" s="118">
        <f t="shared" si="93"/>
        <v>1.6024078403006287E-3</v>
      </c>
      <c r="G74" s="118">
        <f t="shared" si="93"/>
        <v>1.7712058319557416E-3</v>
      </c>
      <c r="H74" s="118">
        <f t="shared" si="93"/>
        <v>1.1581846293433596E-3</v>
      </c>
      <c r="I74" s="118">
        <f t="shared" si="93"/>
        <v>2.01636743620171E-3</v>
      </c>
      <c r="J74" s="118">
        <f t="shared" si="93"/>
        <v>2.9956309287799219E-3</v>
      </c>
      <c r="K74" s="118">
        <f t="shared" si="93"/>
        <v>3.5387801418592098E-3</v>
      </c>
      <c r="L74" s="118">
        <f t="shared" si="93"/>
        <v>4.0613916091098885E-3</v>
      </c>
      <c r="M74" s="118">
        <f t="shared" si="93"/>
        <v>3.9391654247362779E-3</v>
      </c>
      <c r="N74" s="118">
        <f t="shared" si="93"/>
        <v>1.8669726186767083E-3</v>
      </c>
      <c r="O74" s="118">
        <f t="shared" si="93"/>
        <v>2.5838132131916799E-3</v>
      </c>
      <c r="P74" s="118">
        <f t="shared" si="93"/>
        <v>2.4756450536205133E-3</v>
      </c>
      <c r="Q74" s="118">
        <f t="shared" si="93"/>
        <v>3.4736758246548989E-3</v>
      </c>
      <c r="R74" s="118">
        <f t="shared" si="93"/>
        <v>2.2629745443158707E-3</v>
      </c>
      <c r="S74" s="118">
        <f t="shared" ref="S74:AD74" si="94">S45/S$57</f>
        <v>3.5935296081695601E-3</v>
      </c>
      <c r="T74" s="118">
        <f t="shared" si="94"/>
        <v>2.3566703954457785E-3</v>
      </c>
      <c r="U74" s="118">
        <f t="shared" si="94"/>
        <v>2.3639087171292194E-3</v>
      </c>
      <c r="V74" s="118">
        <f t="shared" si="94"/>
        <v>1.7950108483656023E-3</v>
      </c>
      <c r="W74" s="118" t="e">
        <f t="shared" si="94"/>
        <v>#DIV/0!</v>
      </c>
      <c r="X74" s="118" t="e">
        <f t="shared" si="94"/>
        <v>#DIV/0!</v>
      </c>
      <c r="Y74" s="118" t="e">
        <f t="shared" si="94"/>
        <v>#DIV/0!</v>
      </c>
      <c r="Z74" s="118" t="e">
        <f t="shared" si="94"/>
        <v>#DIV/0!</v>
      </c>
      <c r="AA74" s="118" t="e">
        <f t="shared" si="94"/>
        <v>#DIV/0!</v>
      </c>
      <c r="AB74" s="118" t="e">
        <f t="shared" si="94"/>
        <v>#DIV/0!</v>
      </c>
      <c r="AC74" s="118" t="e">
        <f t="shared" si="94"/>
        <v>#DIV/0!</v>
      </c>
      <c r="AD74" s="118" t="e">
        <f t="shared" si="94"/>
        <v>#DIV/0!</v>
      </c>
      <c r="AE74" s="118">
        <f t="shared" ref="AE74" si="95">AE45/AE$57</f>
        <v>2.3898424790056425E-3</v>
      </c>
    </row>
    <row r="75" spans="2:31" ht="15.5" x14ac:dyDescent="0.35">
      <c r="B75" s="114">
        <f t="shared" si="77"/>
        <v>9</v>
      </c>
      <c r="C75" s="101" t="s">
        <v>96</v>
      </c>
      <c r="D75" s="101" t="s">
        <v>42</v>
      </c>
      <c r="E75" s="118">
        <f t="shared" ref="E75:R75" si="96">E46/E$57</f>
        <v>5.7475571884065529E-3</v>
      </c>
      <c r="F75" s="118">
        <f t="shared" si="96"/>
        <v>5.8498025516964727E-4</v>
      </c>
      <c r="G75" s="118">
        <f t="shared" si="96"/>
        <v>7.9704830606840734E-4</v>
      </c>
      <c r="H75" s="118">
        <f t="shared" si="96"/>
        <v>5.7737842710812559E-4</v>
      </c>
      <c r="I75" s="118">
        <f t="shared" si="96"/>
        <v>1.3065335834449823E-3</v>
      </c>
      <c r="J75" s="118">
        <f t="shared" si="96"/>
        <v>9.5342000771424305E-4</v>
      </c>
      <c r="K75" s="118">
        <f t="shared" si="96"/>
        <v>8.3355180169547235E-4</v>
      </c>
      <c r="L75" s="118">
        <f t="shared" si="96"/>
        <v>1.0483223305196134E-3</v>
      </c>
      <c r="M75" s="118">
        <f t="shared" si="96"/>
        <v>1.1098483775254678E-3</v>
      </c>
      <c r="N75" s="118">
        <f t="shared" si="96"/>
        <v>6.8927023345313732E-4</v>
      </c>
      <c r="O75" s="118">
        <f t="shared" si="96"/>
        <v>7.5779460046044721E-4</v>
      </c>
      <c r="P75" s="118">
        <f t="shared" si="96"/>
        <v>6.0380134570912208E-4</v>
      </c>
      <c r="Q75" s="118">
        <f t="shared" si="96"/>
        <v>7.1373123235551113E-4</v>
      </c>
      <c r="R75" s="118">
        <f t="shared" si="96"/>
        <v>7.3945781229356878E-4</v>
      </c>
      <c r="S75" s="118">
        <f t="shared" ref="S75:AD75" si="97">S46/S$57</f>
        <v>6.741333020271426E-4</v>
      </c>
      <c r="T75" s="118">
        <f t="shared" si="97"/>
        <v>5.8741246691100155E-4</v>
      </c>
      <c r="U75" s="118">
        <f t="shared" si="97"/>
        <v>5.1644727193120212E-4</v>
      </c>
      <c r="V75" s="118">
        <f t="shared" si="97"/>
        <v>8.1711396537149071E-4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ref="AE75" si="98">AE46/AE$57</f>
        <v>6.4631379026110203E-4</v>
      </c>
    </row>
    <row r="76" spans="2:31" ht="15.5" x14ac:dyDescent="0.35">
      <c r="B76" s="114">
        <f t="shared" si="77"/>
        <v>10</v>
      </c>
      <c r="C76" s="101" t="s">
        <v>96</v>
      </c>
      <c r="D76" s="101" t="s">
        <v>52</v>
      </c>
      <c r="E76" s="118">
        <f t="shared" ref="E76:R76" si="99">E47/E$57</f>
        <v>6.5943051438089022E-3</v>
      </c>
      <c r="F76" s="118">
        <f t="shared" si="99"/>
        <v>1.0856920768303399E-3</v>
      </c>
      <c r="G76" s="118">
        <f t="shared" si="99"/>
        <v>1.3812431647046864E-3</v>
      </c>
      <c r="H76" s="118">
        <f t="shared" si="99"/>
        <v>1.1212458985229467E-3</v>
      </c>
      <c r="I76" s="118">
        <f t="shared" si="99"/>
        <v>1.2336968044037791E-3</v>
      </c>
      <c r="J76" s="118">
        <f t="shared" si="99"/>
        <v>1.0858485063980404E-3</v>
      </c>
      <c r="K76" s="118">
        <f t="shared" si="99"/>
        <v>1.3532784957929547E-3</v>
      </c>
      <c r="L76" s="118">
        <f t="shared" si="99"/>
        <v>1.466646464817847E-3</v>
      </c>
      <c r="M76" s="118">
        <f t="shared" si="99"/>
        <v>1.5183715695358787E-3</v>
      </c>
      <c r="N76" s="118">
        <f t="shared" si="99"/>
        <v>1.1395626955847081E-3</v>
      </c>
      <c r="O76" s="118">
        <f t="shared" si="99"/>
        <v>1.1000016461281789E-3</v>
      </c>
      <c r="P76" s="118">
        <f t="shared" si="99"/>
        <v>1.1394115311320226E-3</v>
      </c>
      <c r="Q76" s="118">
        <f t="shared" si="99"/>
        <v>1.2478053814083724E-3</v>
      </c>
      <c r="R76" s="118">
        <f t="shared" si="99"/>
        <v>1.1035052881865502E-3</v>
      </c>
      <c r="S76" s="118">
        <f t="shared" ref="S76:AD76" si="100">S47/S$57</f>
        <v>1.3526043613799779E-3</v>
      </c>
      <c r="T76" s="118">
        <f t="shared" si="100"/>
        <v>1.5536579318949123E-3</v>
      </c>
      <c r="U76" s="118">
        <f t="shared" si="100"/>
        <v>9.1299909971149736E-4</v>
      </c>
      <c r="V76" s="118">
        <f t="shared" si="100"/>
        <v>1.0169474389840328E-3</v>
      </c>
      <c r="W76" s="118" t="e">
        <f t="shared" si="100"/>
        <v>#DIV/0!</v>
      </c>
      <c r="X76" s="118" t="e">
        <f t="shared" si="100"/>
        <v>#DIV/0!</v>
      </c>
      <c r="Y76" s="118" t="e">
        <f t="shared" si="100"/>
        <v>#DIV/0!</v>
      </c>
      <c r="Z76" s="118" t="e">
        <f t="shared" si="100"/>
        <v>#DIV/0!</v>
      </c>
      <c r="AA76" s="118" t="e">
        <f t="shared" si="100"/>
        <v>#DIV/0!</v>
      </c>
      <c r="AB76" s="118" t="e">
        <f t="shared" si="100"/>
        <v>#DIV/0!</v>
      </c>
      <c r="AC76" s="118" t="e">
        <f t="shared" si="100"/>
        <v>#DIV/0!</v>
      </c>
      <c r="AD76" s="118" t="e">
        <f t="shared" si="100"/>
        <v>#DIV/0!</v>
      </c>
      <c r="AE76" s="118">
        <f t="shared" ref="AE76" si="101">AE47/AE$57</f>
        <v>1.1535028590043326E-3</v>
      </c>
    </row>
    <row r="77" spans="2:31" ht="15.5" x14ac:dyDescent="0.35">
      <c r="B77" s="114">
        <f t="shared" si="77"/>
        <v>11</v>
      </c>
      <c r="C77" s="102" t="s">
        <v>96</v>
      </c>
      <c r="D77" s="102" t="s">
        <v>55</v>
      </c>
      <c r="E77" s="119">
        <f t="shared" ref="E77:R77" si="102">E48/E$57</f>
        <v>0</v>
      </c>
      <c r="F77" s="119">
        <f t="shared" si="102"/>
        <v>0</v>
      </c>
      <c r="G77" s="119">
        <f t="shared" si="102"/>
        <v>0</v>
      </c>
      <c r="H77" s="119">
        <f t="shared" si="102"/>
        <v>0</v>
      </c>
      <c r="I77" s="119">
        <f t="shared" si="102"/>
        <v>0</v>
      </c>
      <c r="J77" s="119">
        <f t="shared" si="102"/>
        <v>0</v>
      </c>
      <c r="K77" s="119">
        <f t="shared" si="102"/>
        <v>0</v>
      </c>
      <c r="L77" s="119">
        <f t="shared" si="102"/>
        <v>0</v>
      </c>
      <c r="M77" s="119">
        <f t="shared" si="102"/>
        <v>5.0185950296894233E-4</v>
      </c>
      <c r="N77" s="119">
        <f t="shared" si="102"/>
        <v>0</v>
      </c>
      <c r="O77" s="119">
        <f t="shared" si="102"/>
        <v>0</v>
      </c>
      <c r="P77" s="119">
        <f t="shared" si="102"/>
        <v>0</v>
      </c>
      <c r="Q77" s="119">
        <f t="shared" si="102"/>
        <v>0</v>
      </c>
      <c r="R77" s="119">
        <f t="shared" si="102"/>
        <v>2.5074115685358978E-5</v>
      </c>
      <c r="S77" s="119">
        <f t="shared" ref="S77:AD77" si="103">S48/S$57</f>
        <v>0</v>
      </c>
      <c r="T77" s="119">
        <f t="shared" si="103"/>
        <v>0</v>
      </c>
      <c r="U77" s="119">
        <f t="shared" si="103"/>
        <v>0</v>
      </c>
      <c r="V77" s="119">
        <f t="shared" si="103"/>
        <v>0</v>
      </c>
      <c r="W77" s="119" t="e">
        <f t="shared" si="103"/>
        <v>#DIV/0!</v>
      </c>
      <c r="X77" s="119" t="e">
        <f t="shared" si="103"/>
        <v>#DIV/0!</v>
      </c>
      <c r="Y77" s="119" t="e">
        <f t="shared" si="103"/>
        <v>#DIV/0!</v>
      </c>
      <c r="Z77" s="119" t="e">
        <f t="shared" si="103"/>
        <v>#DIV/0!</v>
      </c>
      <c r="AA77" s="119" t="e">
        <f t="shared" si="103"/>
        <v>#DIV/0!</v>
      </c>
      <c r="AB77" s="119" t="e">
        <f t="shared" si="103"/>
        <v>#DIV/0!</v>
      </c>
      <c r="AC77" s="119" t="e">
        <f t="shared" si="103"/>
        <v>#DIV/0!</v>
      </c>
      <c r="AD77" s="119" t="e">
        <f t="shared" si="103"/>
        <v>#DIV/0!</v>
      </c>
      <c r="AE77" s="119">
        <f t="shared" ref="AE77" si="104">AE48/AE$57</f>
        <v>0</v>
      </c>
    </row>
    <row r="78" spans="2:31" ht="16" x14ac:dyDescent="0.4">
      <c r="B78" s="112" t="s">
        <v>163</v>
      </c>
      <c r="C78" s="97"/>
      <c r="D78" s="98" t="s">
        <v>164</v>
      </c>
      <c r="E78" s="116">
        <f t="shared" ref="E78:Q78" si="105">SUM(E79:E85)</f>
        <v>0.67393490729054384</v>
      </c>
      <c r="F78" s="116">
        <f t="shared" si="105"/>
        <v>0.17504377585154721</v>
      </c>
      <c r="G78" s="116">
        <f t="shared" si="105"/>
        <v>0.23435150706096985</v>
      </c>
      <c r="H78" s="116">
        <f t="shared" si="105"/>
        <v>0.18813758703479547</v>
      </c>
      <c r="I78" s="116">
        <f t="shared" si="105"/>
        <v>0.19762844436964513</v>
      </c>
      <c r="J78" s="116">
        <f t="shared" si="105"/>
        <v>0.20298876350851944</v>
      </c>
      <c r="K78" s="116">
        <f t="shared" si="105"/>
        <v>0.24732057546753772</v>
      </c>
      <c r="L78" s="116">
        <f t="shared" si="105"/>
        <v>0.33940914732077931</v>
      </c>
      <c r="M78" s="116">
        <f t="shared" si="105"/>
        <v>0.34962735731875239</v>
      </c>
      <c r="N78" s="116">
        <f t="shared" si="105"/>
        <v>0.30669218931102404</v>
      </c>
      <c r="O78" s="116">
        <f t="shared" si="105"/>
        <v>0.22941549599754052</v>
      </c>
      <c r="P78" s="116">
        <f t="shared" si="105"/>
        <v>0.21619522430025276</v>
      </c>
      <c r="Q78" s="116">
        <f t="shared" si="105"/>
        <v>0.31862555620393485</v>
      </c>
      <c r="R78" s="116">
        <f>SUM(R79:R85)</f>
        <v>0.3060344045114598</v>
      </c>
      <c r="S78" s="116">
        <f t="shared" ref="S78:AE78" si="106">SUM(S79:S85)</f>
        <v>0.41835659162224109</v>
      </c>
      <c r="T78" s="116">
        <f t="shared" si="106"/>
        <v>0.30208186966631478</v>
      </c>
      <c r="U78" s="116">
        <f t="shared" si="106"/>
        <v>0.21571926594363905</v>
      </c>
      <c r="V78" s="116">
        <f t="shared" si="106"/>
        <v>0.23571257324057615</v>
      </c>
      <c r="W78" s="116" t="e">
        <f t="shared" si="106"/>
        <v>#DIV/0!</v>
      </c>
      <c r="X78" s="116" t="e">
        <f t="shared" si="106"/>
        <v>#DIV/0!</v>
      </c>
      <c r="Y78" s="116" t="e">
        <f t="shared" si="106"/>
        <v>#DIV/0!</v>
      </c>
      <c r="Z78" s="116" t="e">
        <f t="shared" si="106"/>
        <v>#DIV/0!</v>
      </c>
      <c r="AA78" s="116" t="e">
        <f t="shared" si="106"/>
        <v>#DIV/0!</v>
      </c>
      <c r="AB78" s="116" t="e">
        <f t="shared" si="106"/>
        <v>#DIV/0!</v>
      </c>
      <c r="AC78" s="116" t="e">
        <f t="shared" si="106"/>
        <v>#DIV/0!</v>
      </c>
      <c r="AD78" s="116" t="e">
        <f t="shared" si="106"/>
        <v>#DIV/0!</v>
      </c>
      <c r="AE78" s="116">
        <f t="shared" si="106"/>
        <v>0.27281105112895315</v>
      </c>
    </row>
    <row r="79" spans="2:31" ht="15.5" x14ac:dyDescent="0.35">
      <c r="B79" s="113">
        <v>1</v>
      </c>
      <c r="C79" s="99" t="s">
        <v>97</v>
      </c>
      <c r="D79" s="99" t="s">
        <v>168</v>
      </c>
      <c r="E79" s="107">
        <f t="shared" ref="E79:R79" si="107">E50/E$57</f>
        <v>6.7275713202649426E-2</v>
      </c>
      <c r="F79" s="107">
        <f t="shared" si="107"/>
        <v>3.8535009989497521E-2</v>
      </c>
      <c r="G79" s="107">
        <f t="shared" si="107"/>
        <v>5.1682968504241374E-2</v>
      </c>
      <c r="H79" s="107">
        <f t="shared" si="107"/>
        <v>6.1284265539827257E-2</v>
      </c>
      <c r="I79" s="107">
        <f t="shared" si="107"/>
        <v>5.1380661518027011E-2</v>
      </c>
      <c r="J79" s="107">
        <f t="shared" si="107"/>
        <v>4.9910644211173534E-2</v>
      </c>
      <c r="K79" s="107">
        <f t="shared" si="107"/>
        <v>6.1126210759020333E-2</v>
      </c>
      <c r="L79" s="107">
        <f t="shared" si="107"/>
        <v>8.61478705113954E-2</v>
      </c>
      <c r="M79" s="107">
        <f t="shared" si="107"/>
        <v>8.3763527611189839E-2</v>
      </c>
      <c r="N79" s="107">
        <f t="shared" si="107"/>
        <v>6.8541450169723267E-2</v>
      </c>
      <c r="O79" s="107">
        <f t="shared" si="107"/>
        <v>4.6838041453667663E-2</v>
      </c>
      <c r="P79" s="107">
        <f t="shared" si="107"/>
        <v>4.2414098008087618E-2</v>
      </c>
      <c r="Q79" s="107">
        <f t="shared" si="107"/>
        <v>1.2918464919473946E-2</v>
      </c>
      <c r="R79" s="107">
        <f t="shared" si="107"/>
        <v>0.13567588033964956</v>
      </c>
      <c r="S79" s="107">
        <f t="shared" ref="S79:AD79" si="108">S50/S$57</f>
        <v>7.950406833289661E-2</v>
      </c>
      <c r="T79" s="107">
        <f t="shared" si="108"/>
        <v>5.8393341667583941E-2</v>
      </c>
      <c r="U79" s="107">
        <f t="shared" si="108"/>
        <v>4.0822058149161643E-2</v>
      </c>
      <c r="V79" s="107">
        <f t="shared" si="108"/>
        <v>4.4510520445122111E-2</v>
      </c>
      <c r="W79" s="107" t="e">
        <f t="shared" si="108"/>
        <v>#DIV/0!</v>
      </c>
      <c r="X79" s="107" t="e">
        <f t="shared" si="108"/>
        <v>#DIV/0!</v>
      </c>
      <c r="Y79" s="107" t="e">
        <f t="shared" si="108"/>
        <v>#DIV/0!</v>
      </c>
      <c r="Z79" s="107" t="e">
        <f t="shared" si="108"/>
        <v>#DIV/0!</v>
      </c>
      <c r="AA79" s="107" t="e">
        <f t="shared" si="108"/>
        <v>#DIV/0!</v>
      </c>
      <c r="AB79" s="107" t="e">
        <f t="shared" si="108"/>
        <v>#DIV/0!</v>
      </c>
      <c r="AC79" s="107" t="e">
        <f t="shared" si="108"/>
        <v>#DIV/0!</v>
      </c>
      <c r="AD79" s="107" t="e">
        <f t="shared" si="108"/>
        <v>#DIV/0!</v>
      </c>
      <c r="AE79" s="107">
        <f t="shared" ref="AE79" si="109">AE50/AE$57</f>
        <v>5.1918675277937323E-2</v>
      </c>
    </row>
    <row r="80" spans="2:31" ht="15.5" x14ac:dyDescent="0.35">
      <c r="B80" s="114">
        <f t="shared" ref="B80:B85" si="110">B79+1</f>
        <v>2</v>
      </c>
      <c r="C80" s="101" t="s">
        <v>97</v>
      </c>
      <c r="D80" s="101" t="s">
        <v>48</v>
      </c>
      <c r="E80" s="118">
        <f t="shared" ref="E80:R80" si="111">E51/E$57</f>
        <v>0.38183456777244107</v>
      </c>
      <c r="F80" s="118">
        <f t="shared" si="111"/>
        <v>8.2805256899572022E-2</v>
      </c>
      <c r="G80" s="118">
        <f t="shared" si="111"/>
        <v>0.10643904318401214</v>
      </c>
      <c r="H80" s="118">
        <f t="shared" si="111"/>
        <v>7.6365440546425981E-2</v>
      </c>
      <c r="I80" s="118">
        <f t="shared" si="111"/>
        <v>8.7320596217073179E-2</v>
      </c>
      <c r="J80" s="118">
        <f t="shared" si="111"/>
        <v>8.7666232649052003E-2</v>
      </c>
      <c r="K80" s="118">
        <f t="shared" si="111"/>
        <v>0.10612104496724203</v>
      </c>
      <c r="L80" s="118">
        <f t="shared" si="111"/>
        <v>0.14880173967841923</v>
      </c>
      <c r="M80" s="118">
        <f t="shared" si="111"/>
        <v>0.14302127022801869</v>
      </c>
      <c r="N80" s="118">
        <f t="shared" si="111"/>
        <v>0.12550854193948963</v>
      </c>
      <c r="O80" s="118">
        <f t="shared" si="111"/>
        <v>9.5887570200130015E-2</v>
      </c>
      <c r="P80" s="118">
        <f t="shared" si="111"/>
        <v>9.1614820541559561E-2</v>
      </c>
      <c r="Q80" s="118">
        <f t="shared" si="111"/>
        <v>0.12279817056454388</v>
      </c>
      <c r="R80" s="118">
        <f t="shared" si="111"/>
        <v>9.2286422781622177E-2</v>
      </c>
      <c r="S80" s="118">
        <f t="shared" ref="S80:AD80" si="112">S51/S$57</f>
        <v>0.18405528166344351</v>
      </c>
      <c r="T80" s="118">
        <f t="shared" si="112"/>
        <v>0.13776721456513719</v>
      </c>
      <c r="U80" s="118">
        <f t="shared" si="112"/>
        <v>9.4087058975973012E-2</v>
      </c>
      <c r="V80" s="118">
        <f t="shared" si="112"/>
        <v>0.11311616603236865</v>
      </c>
      <c r="W80" s="118" t="e">
        <f t="shared" si="112"/>
        <v>#DIV/0!</v>
      </c>
      <c r="X80" s="118" t="e">
        <f t="shared" si="112"/>
        <v>#DIV/0!</v>
      </c>
      <c r="Y80" s="118" t="e">
        <f t="shared" si="112"/>
        <v>#DIV/0!</v>
      </c>
      <c r="Z80" s="118" t="e">
        <f t="shared" si="112"/>
        <v>#DIV/0!</v>
      </c>
      <c r="AA80" s="118" t="e">
        <f t="shared" si="112"/>
        <v>#DIV/0!</v>
      </c>
      <c r="AB80" s="118" t="e">
        <f t="shared" si="112"/>
        <v>#DIV/0!</v>
      </c>
      <c r="AC80" s="118" t="e">
        <f t="shared" si="112"/>
        <v>#DIV/0!</v>
      </c>
      <c r="AD80" s="118" t="e">
        <f t="shared" si="112"/>
        <v>#DIV/0!</v>
      </c>
      <c r="AE80" s="118">
        <f t="shared" ref="AE80" si="113">AE51/AE$57</f>
        <v>0.12360982540666716</v>
      </c>
    </row>
    <row r="81" spans="2:31" ht="15.5" x14ac:dyDescent="0.35">
      <c r="B81" s="114">
        <f t="shared" si="110"/>
        <v>3</v>
      </c>
      <c r="C81" s="101" t="s">
        <v>96</v>
      </c>
      <c r="D81" s="101" t="s">
        <v>16</v>
      </c>
      <c r="E81" s="118">
        <f t="shared" ref="E81:R81" si="114">E52/E$57</f>
        <v>0.13254813124619563</v>
      </c>
      <c r="F81" s="118">
        <f t="shared" si="114"/>
        <v>2.5356546399019443E-2</v>
      </c>
      <c r="G81" s="118">
        <f t="shared" si="114"/>
        <v>3.6526081784574962E-2</v>
      </c>
      <c r="H81" s="118">
        <f t="shared" si="114"/>
        <v>2.4309015275064346E-2</v>
      </c>
      <c r="I81" s="118">
        <f t="shared" si="114"/>
        <v>2.7165544135640613E-2</v>
      </c>
      <c r="J81" s="118">
        <f t="shared" si="114"/>
        <v>2.7193484998347985E-2</v>
      </c>
      <c r="K81" s="118">
        <f t="shared" si="114"/>
        <v>3.3321685957660649E-2</v>
      </c>
      <c r="L81" s="118">
        <f t="shared" si="114"/>
        <v>4.7524175008097601E-2</v>
      </c>
      <c r="M81" s="118">
        <f t="shared" si="114"/>
        <v>4.8582097151011652E-2</v>
      </c>
      <c r="N81" s="118">
        <f t="shared" si="114"/>
        <v>4.1343984959129845E-2</v>
      </c>
      <c r="O81" s="118">
        <f t="shared" si="114"/>
        <v>3.1391248075089563E-2</v>
      </c>
      <c r="P81" s="118">
        <f t="shared" si="114"/>
        <v>2.9506216098914483E-2</v>
      </c>
      <c r="Q81" s="118">
        <f t="shared" si="114"/>
        <v>3.9432890755686761E-2</v>
      </c>
      <c r="R81" s="118">
        <f t="shared" si="114"/>
        <v>2.9697661091518376E-2</v>
      </c>
      <c r="S81" s="118">
        <f t="shared" ref="S81:AD81" si="115">S52/S$57</f>
        <v>5.9419685068022421E-2</v>
      </c>
      <c r="T81" s="118">
        <f t="shared" si="115"/>
        <v>4.4652275431359849E-2</v>
      </c>
      <c r="U81" s="118">
        <f t="shared" si="115"/>
        <v>3.172939587558507E-2</v>
      </c>
      <c r="V81" s="118">
        <f t="shared" si="115"/>
        <v>3.4000430176053718E-2</v>
      </c>
      <c r="W81" s="118" t="e">
        <f t="shared" si="115"/>
        <v>#DIV/0!</v>
      </c>
      <c r="X81" s="118" t="e">
        <f t="shared" si="115"/>
        <v>#DIV/0!</v>
      </c>
      <c r="Y81" s="118" t="e">
        <f t="shared" si="115"/>
        <v>#DIV/0!</v>
      </c>
      <c r="Z81" s="118" t="e">
        <f t="shared" si="115"/>
        <v>#DIV/0!</v>
      </c>
      <c r="AA81" s="118" t="e">
        <f t="shared" si="115"/>
        <v>#DIV/0!</v>
      </c>
      <c r="AB81" s="118" t="e">
        <f t="shared" si="115"/>
        <v>#DIV/0!</v>
      </c>
      <c r="AC81" s="118" t="e">
        <f t="shared" si="115"/>
        <v>#DIV/0!</v>
      </c>
      <c r="AD81" s="118" t="e">
        <f t="shared" si="115"/>
        <v>#DIV/0!</v>
      </c>
      <c r="AE81" s="118">
        <f t="shared" ref="AE81" si="116">AE52/AE$57</f>
        <v>3.963822967249836E-2</v>
      </c>
    </row>
    <row r="82" spans="2:31" ht="15.5" x14ac:dyDescent="0.35">
      <c r="B82" s="114">
        <f t="shared" si="110"/>
        <v>4</v>
      </c>
      <c r="C82" s="101" t="s">
        <v>97</v>
      </c>
      <c r="D82" s="101" t="s">
        <v>36</v>
      </c>
      <c r="E82" s="118">
        <f t="shared" ref="E82:R82" si="117">E53/E$57</f>
        <v>3.8686288591498356E-2</v>
      </c>
      <c r="F82" s="118">
        <f t="shared" si="117"/>
        <v>1.3938316435965771E-2</v>
      </c>
      <c r="G82" s="118">
        <f t="shared" si="117"/>
        <v>1.6727957504737212E-2</v>
      </c>
      <c r="H82" s="118">
        <f t="shared" si="117"/>
        <v>9.2356078122241298E-3</v>
      </c>
      <c r="I82" s="118">
        <f t="shared" si="117"/>
        <v>1.130930015854241E-2</v>
      </c>
      <c r="J82" s="118">
        <f t="shared" si="117"/>
        <v>1.5822201737596579E-2</v>
      </c>
      <c r="K82" s="118">
        <f t="shared" si="117"/>
        <v>1.8973383877886933E-2</v>
      </c>
      <c r="L82" s="118">
        <f t="shared" si="117"/>
        <v>2.246380050114986E-2</v>
      </c>
      <c r="M82" s="118">
        <f t="shared" si="117"/>
        <v>3.8435237910030499E-2</v>
      </c>
      <c r="N82" s="118">
        <f t="shared" si="117"/>
        <v>3.9371213053523903E-2</v>
      </c>
      <c r="O82" s="118">
        <f t="shared" si="117"/>
        <v>3.2123303835285708E-2</v>
      </c>
      <c r="P82" s="118">
        <f t="shared" si="117"/>
        <v>2.7614230627046526E-2</v>
      </c>
      <c r="Q82" s="118">
        <f t="shared" si="117"/>
        <v>0.10777569461452736</v>
      </c>
      <c r="R82" s="118">
        <f t="shared" si="117"/>
        <v>2.5872063260325866E-2</v>
      </c>
      <c r="S82" s="118">
        <f t="shared" ref="S82:AD82" si="118">S53/S$57</f>
        <v>5.248871903624875E-2</v>
      </c>
      <c r="T82" s="118">
        <f t="shared" si="118"/>
        <v>2.7175645156080983E-2</v>
      </c>
      <c r="U82" s="118">
        <f t="shared" si="118"/>
        <v>2.9119524296485195E-2</v>
      </c>
      <c r="V82" s="118">
        <f t="shared" si="118"/>
        <v>1.8568306578238842E-2</v>
      </c>
      <c r="W82" s="118" t="e">
        <f t="shared" si="118"/>
        <v>#DIV/0!</v>
      </c>
      <c r="X82" s="118" t="e">
        <f t="shared" si="118"/>
        <v>#DIV/0!</v>
      </c>
      <c r="Y82" s="118" t="e">
        <f t="shared" si="118"/>
        <v>#DIV/0!</v>
      </c>
      <c r="Z82" s="118" t="e">
        <f t="shared" si="118"/>
        <v>#DIV/0!</v>
      </c>
      <c r="AA82" s="118" t="e">
        <f t="shared" si="118"/>
        <v>#DIV/0!</v>
      </c>
      <c r="AB82" s="118" t="e">
        <f t="shared" si="118"/>
        <v>#DIV/0!</v>
      </c>
      <c r="AC82" s="118" t="e">
        <f t="shared" si="118"/>
        <v>#DIV/0!</v>
      </c>
      <c r="AD82" s="118" t="e">
        <f t="shared" si="118"/>
        <v>#DIV/0!</v>
      </c>
      <c r="AE82" s="118">
        <f t="shared" ref="AE82" si="119">AE53/AE$57</f>
        <v>2.9296631831715519E-2</v>
      </c>
    </row>
    <row r="83" spans="2:31" ht="15.5" x14ac:dyDescent="0.35">
      <c r="B83" s="114">
        <f t="shared" si="110"/>
        <v>5</v>
      </c>
      <c r="C83" s="101" t="s">
        <v>97</v>
      </c>
      <c r="D83" s="101" t="s">
        <v>12</v>
      </c>
      <c r="E83" s="118">
        <f t="shared" ref="E83:R83" si="120">E54/E$57</f>
        <v>2.701089599881254E-2</v>
      </c>
      <c r="F83" s="118">
        <f t="shared" si="120"/>
        <v>5.9796465972884426E-3</v>
      </c>
      <c r="G83" s="118">
        <f t="shared" si="120"/>
        <v>8.3025419761685402E-3</v>
      </c>
      <c r="H83" s="118">
        <f t="shared" si="120"/>
        <v>6.6265798169638599E-3</v>
      </c>
      <c r="I83" s="118">
        <f t="shared" si="120"/>
        <v>7.3806604231021113E-3</v>
      </c>
      <c r="J83" s="118">
        <f t="shared" si="120"/>
        <v>7.9430855366986568E-3</v>
      </c>
      <c r="K83" s="118">
        <f t="shared" si="120"/>
        <v>7.8697221691286495E-3</v>
      </c>
      <c r="L83" s="118">
        <f t="shared" si="120"/>
        <v>9.6407921838995297E-3</v>
      </c>
      <c r="M83" s="118">
        <f t="shared" si="120"/>
        <v>1.1422194896542736E-2</v>
      </c>
      <c r="N83" s="118">
        <f t="shared" si="120"/>
        <v>1.147265471445787E-2</v>
      </c>
      <c r="O83" s="118">
        <f t="shared" si="120"/>
        <v>7.1402547270723281E-3</v>
      </c>
      <c r="P83" s="118">
        <f t="shared" si="120"/>
        <v>7.8702364062733319E-3</v>
      </c>
      <c r="Q83" s="118">
        <f t="shared" si="120"/>
        <v>1.0668796717054398E-2</v>
      </c>
      <c r="R83" s="118">
        <f t="shared" si="120"/>
        <v>7.504347501904699E-3</v>
      </c>
      <c r="S83" s="118">
        <f t="shared" ref="S83:AD83" si="121">S54/S$57</f>
        <v>1.2376922198998629E-2</v>
      </c>
      <c r="T83" s="118">
        <f t="shared" si="121"/>
        <v>1.1003151277921799E-2</v>
      </c>
      <c r="U83" s="118">
        <f t="shared" si="121"/>
        <v>7.0895960524471101E-3</v>
      </c>
      <c r="V83" s="118">
        <f t="shared" si="121"/>
        <v>8.9704706855727526E-3</v>
      </c>
      <c r="W83" s="118" t="e">
        <f t="shared" si="121"/>
        <v>#DIV/0!</v>
      </c>
      <c r="X83" s="118" t="e">
        <f t="shared" si="121"/>
        <v>#DIV/0!</v>
      </c>
      <c r="Y83" s="118" t="e">
        <f t="shared" si="121"/>
        <v>#DIV/0!</v>
      </c>
      <c r="Z83" s="118" t="e">
        <f t="shared" si="121"/>
        <v>#DIV/0!</v>
      </c>
      <c r="AA83" s="118" t="e">
        <f t="shared" si="121"/>
        <v>#DIV/0!</v>
      </c>
      <c r="AB83" s="118" t="e">
        <f t="shared" si="121"/>
        <v>#DIV/0!</v>
      </c>
      <c r="AC83" s="118" t="e">
        <f t="shared" si="121"/>
        <v>#DIV/0!</v>
      </c>
      <c r="AD83" s="118" t="e">
        <f t="shared" si="121"/>
        <v>#DIV/0!</v>
      </c>
      <c r="AE83" s="118">
        <f t="shared" ref="AE83" si="122">AE54/AE$57</f>
        <v>9.3440372393788548E-3</v>
      </c>
    </row>
    <row r="84" spans="2:31" ht="15.5" x14ac:dyDescent="0.35">
      <c r="B84" s="114">
        <f t="shared" si="110"/>
        <v>6</v>
      </c>
      <c r="C84" s="101" t="s">
        <v>97</v>
      </c>
      <c r="D84" s="101" t="s">
        <v>51</v>
      </c>
      <c r="E84" s="118">
        <f t="shared" ref="E84:R84" si="123">E55/E$57</f>
        <v>2.1592555921332655E-2</v>
      </c>
      <c r="F84" s="118">
        <f t="shared" si="123"/>
        <v>4.5445954251222796E-3</v>
      </c>
      <c r="G84" s="118">
        <f t="shared" si="123"/>
        <v>7.8314536824382521E-3</v>
      </c>
      <c r="H84" s="118">
        <f t="shared" si="123"/>
        <v>5.6054331188782518E-3</v>
      </c>
      <c r="I84" s="118">
        <f t="shared" si="123"/>
        <v>5.4127604709498685E-3</v>
      </c>
      <c r="J84" s="118">
        <f t="shared" si="123"/>
        <v>6.3511236347047325E-3</v>
      </c>
      <c r="K84" s="118">
        <f t="shared" si="123"/>
        <v>8.5525226412557151E-3</v>
      </c>
      <c r="L84" s="118">
        <f t="shared" si="123"/>
        <v>8.1693519246733605E-3</v>
      </c>
      <c r="M84" s="118">
        <f t="shared" si="123"/>
        <v>1.1290319757559533E-2</v>
      </c>
      <c r="N84" s="118">
        <f t="shared" si="123"/>
        <v>1.063975090146525E-2</v>
      </c>
      <c r="O84" s="118">
        <f t="shared" si="123"/>
        <v>8.7504712687370579E-3</v>
      </c>
      <c r="P84" s="118">
        <f t="shared" si="123"/>
        <v>9.9950017272406183E-3</v>
      </c>
      <c r="Q84" s="118">
        <f t="shared" si="123"/>
        <v>1.4764089323217478E-2</v>
      </c>
      <c r="R84" s="118">
        <f t="shared" si="123"/>
        <v>7.5086753068207088E-3</v>
      </c>
      <c r="S84" s="118">
        <f t="shared" ref="S84:AD84" si="124">S55/S$57</f>
        <v>1.4076682482056634E-2</v>
      </c>
      <c r="T84" s="118">
        <f t="shared" si="124"/>
        <v>1.2809090316341804E-2</v>
      </c>
      <c r="U84" s="118">
        <f t="shared" si="124"/>
        <v>7.7871006597112075E-3</v>
      </c>
      <c r="V84" s="118">
        <f t="shared" si="124"/>
        <v>9.2388969219143417E-3</v>
      </c>
      <c r="W84" s="118" t="e">
        <f t="shared" si="124"/>
        <v>#DIV/0!</v>
      </c>
      <c r="X84" s="118" t="e">
        <f t="shared" si="124"/>
        <v>#DIV/0!</v>
      </c>
      <c r="Y84" s="118" t="e">
        <f t="shared" si="124"/>
        <v>#DIV/0!</v>
      </c>
      <c r="Z84" s="118" t="e">
        <f t="shared" si="124"/>
        <v>#DIV/0!</v>
      </c>
      <c r="AA84" s="118" t="e">
        <f t="shared" si="124"/>
        <v>#DIV/0!</v>
      </c>
      <c r="AB84" s="118" t="e">
        <f t="shared" si="124"/>
        <v>#DIV/0!</v>
      </c>
      <c r="AC84" s="118" t="e">
        <f t="shared" si="124"/>
        <v>#DIV/0!</v>
      </c>
      <c r="AD84" s="118" t="e">
        <f t="shared" si="124"/>
        <v>#DIV/0!</v>
      </c>
      <c r="AE84" s="118">
        <f t="shared" ref="AE84" si="125">AE55/AE$57</f>
        <v>1.0315511740368336E-2</v>
      </c>
    </row>
    <row r="85" spans="2:31" ht="15.5" x14ac:dyDescent="0.35">
      <c r="B85" s="114">
        <f t="shared" si="110"/>
        <v>7</v>
      </c>
      <c r="C85" s="102" t="s">
        <v>97</v>
      </c>
      <c r="D85" s="102" t="s">
        <v>40</v>
      </c>
      <c r="E85" s="119">
        <f t="shared" ref="E85:R85" si="126">E56/E$57</f>
        <v>4.9867545576141332E-3</v>
      </c>
      <c r="F85" s="119">
        <f t="shared" si="126"/>
        <v>3.8844041050817308E-3</v>
      </c>
      <c r="G85" s="119">
        <f t="shared" si="126"/>
        <v>6.8414604247973906E-3</v>
      </c>
      <c r="H85" s="119">
        <f t="shared" si="126"/>
        <v>4.7112449254116265E-3</v>
      </c>
      <c r="I85" s="119">
        <f t="shared" si="126"/>
        <v>7.6589214463098796E-3</v>
      </c>
      <c r="J85" s="119">
        <f t="shared" si="126"/>
        <v>8.1019907409459798E-3</v>
      </c>
      <c r="K85" s="119">
        <f t="shared" si="126"/>
        <v>1.1356005095343366E-2</v>
      </c>
      <c r="L85" s="119">
        <f t="shared" si="126"/>
        <v>1.6661417513144299E-2</v>
      </c>
      <c r="M85" s="119">
        <f t="shared" si="126"/>
        <v>1.3112709764399497E-2</v>
      </c>
      <c r="N85" s="119">
        <f t="shared" si="126"/>
        <v>9.8145935732342482E-3</v>
      </c>
      <c r="O85" s="119">
        <f t="shared" si="126"/>
        <v>7.2846064375581658E-3</v>
      </c>
      <c r="P85" s="119">
        <f t="shared" si="126"/>
        <v>7.1806208911306089E-3</v>
      </c>
      <c r="Q85" s="119">
        <f t="shared" si="126"/>
        <v>1.0267449309431041E-2</v>
      </c>
      <c r="R85" s="119">
        <f t="shared" si="126"/>
        <v>7.4893542296183731E-3</v>
      </c>
      <c r="S85" s="119">
        <f t="shared" ref="S85:AD85" si="127">S56/S$57</f>
        <v>1.6435232840574573E-2</v>
      </c>
      <c r="T85" s="119">
        <f t="shared" si="127"/>
        <v>1.0281151251889215E-2</v>
      </c>
      <c r="U85" s="119">
        <f t="shared" si="127"/>
        <v>5.084531934275837E-3</v>
      </c>
      <c r="V85" s="119">
        <f t="shared" si="127"/>
        <v>7.3077824013057227E-3</v>
      </c>
      <c r="W85" s="119" t="e">
        <f t="shared" si="127"/>
        <v>#DIV/0!</v>
      </c>
      <c r="X85" s="119" t="e">
        <f t="shared" si="127"/>
        <v>#DIV/0!</v>
      </c>
      <c r="Y85" s="119" t="e">
        <f t="shared" si="127"/>
        <v>#DIV/0!</v>
      </c>
      <c r="Z85" s="119" t="e">
        <f t="shared" si="127"/>
        <v>#DIV/0!</v>
      </c>
      <c r="AA85" s="119" t="e">
        <f t="shared" si="127"/>
        <v>#DIV/0!</v>
      </c>
      <c r="AB85" s="119" t="e">
        <f t="shared" si="127"/>
        <v>#DIV/0!</v>
      </c>
      <c r="AC85" s="119" t="e">
        <f t="shared" si="127"/>
        <v>#DIV/0!</v>
      </c>
      <c r="AD85" s="119" t="e">
        <f t="shared" si="127"/>
        <v>#DIV/0!</v>
      </c>
      <c r="AE85" s="119">
        <f t="shared" ref="AE85" si="128">AE56/AE$57</f>
        <v>8.6881399603875708E-3</v>
      </c>
    </row>
    <row r="86" spans="2:31" ht="16" x14ac:dyDescent="0.4">
      <c r="B86" s="108" t="s">
        <v>172</v>
      </c>
      <c r="C86" s="109"/>
      <c r="D86" s="108"/>
      <c r="E86" s="115">
        <f t="shared" ref="E86:Q86" si="129">E66+E78</f>
        <v>1</v>
      </c>
      <c r="F86" s="115">
        <f t="shared" si="129"/>
        <v>0.99999999999999967</v>
      </c>
      <c r="G86" s="115">
        <f t="shared" si="129"/>
        <v>1</v>
      </c>
      <c r="H86" s="115">
        <f t="shared" si="129"/>
        <v>0.99999999999999978</v>
      </c>
      <c r="I86" s="115">
        <f t="shared" si="129"/>
        <v>1.0000000000000004</v>
      </c>
      <c r="J86" s="115">
        <f t="shared" si="129"/>
        <v>1</v>
      </c>
      <c r="K86" s="115">
        <f t="shared" si="129"/>
        <v>0.99999999999999989</v>
      </c>
      <c r="L86" s="115">
        <f t="shared" si="129"/>
        <v>1</v>
      </c>
      <c r="M86" s="115">
        <f t="shared" si="129"/>
        <v>0.99999999999999967</v>
      </c>
      <c r="N86" s="115">
        <f t="shared" si="129"/>
        <v>1</v>
      </c>
      <c r="O86" s="115">
        <f t="shared" si="129"/>
        <v>1</v>
      </c>
      <c r="P86" s="115">
        <f t="shared" si="129"/>
        <v>1</v>
      </c>
      <c r="Q86" s="115">
        <f t="shared" si="129"/>
        <v>0.99999999999999989</v>
      </c>
      <c r="R86" s="115">
        <f>R66+R78</f>
        <v>1.0000000000000002</v>
      </c>
      <c r="S86" s="115">
        <f t="shared" ref="S86:AD86" si="130">S66+S78</f>
        <v>1</v>
      </c>
      <c r="T86" s="115">
        <f t="shared" si="130"/>
        <v>0.99999999999999978</v>
      </c>
      <c r="U86" s="115">
        <f t="shared" si="130"/>
        <v>1.0000000000000002</v>
      </c>
      <c r="V86" s="115">
        <f t="shared" si="130"/>
        <v>1.0000000000000004</v>
      </c>
      <c r="W86" s="115" t="e">
        <f t="shared" si="130"/>
        <v>#DIV/0!</v>
      </c>
      <c r="X86" s="115" t="e">
        <f t="shared" si="130"/>
        <v>#DIV/0!</v>
      </c>
      <c r="Y86" s="115" t="e">
        <f t="shared" si="130"/>
        <v>#DIV/0!</v>
      </c>
      <c r="Z86" s="115" t="e">
        <f t="shared" si="130"/>
        <v>#DIV/0!</v>
      </c>
      <c r="AA86" s="115" t="e">
        <f t="shared" si="130"/>
        <v>#DIV/0!</v>
      </c>
      <c r="AB86" s="115" t="e">
        <f t="shared" si="130"/>
        <v>#DIV/0!</v>
      </c>
      <c r="AC86" s="115" t="e">
        <f t="shared" si="130"/>
        <v>#DIV/0!</v>
      </c>
      <c r="AD86" s="115" t="e">
        <f t="shared" si="130"/>
        <v>#DIV/0!</v>
      </c>
      <c r="AE86" s="115">
        <f t="shared" ref="AE86" si="131">AE66+AE78</f>
        <v>1.0000000000000002</v>
      </c>
    </row>
    <row r="90" spans="2:31" ht="30" x14ac:dyDescent="0.35">
      <c r="B90" s="94" t="s">
        <v>57</v>
      </c>
      <c r="C90" s="94" t="s">
        <v>58</v>
      </c>
      <c r="D90" s="94" t="s">
        <v>59</v>
      </c>
      <c r="E90" s="96" t="s">
        <v>170</v>
      </c>
      <c r="F90" s="120" t="s">
        <v>185</v>
      </c>
      <c r="G90" s="96">
        <v>2</v>
      </c>
      <c r="H90" s="96">
        <v>3</v>
      </c>
      <c r="I90" s="95">
        <v>4</v>
      </c>
      <c r="J90" s="95">
        <v>5</v>
      </c>
      <c r="K90" s="95">
        <v>6</v>
      </c>
      <c r="L90" s="95">
        <v>7</v>
      </c>
      <c r="M90" s="95">
        <v>8</v>
      </c>
      <c r="N90" s="95">
        <v>9</v>
      </c>
      <c r="O90" s="95">
        <v>10</v>
      </c>
      <c r="P90" s="95">
        <v>11</v>
      </c>
      <c r="Q90" s="95">
        <v>12</v>
      </c>
      <c r="R90" s="96" t="s">
        <v>174</v>
      </c>
      <c r="S90" s="520" t="s">
        <v>228</v>
      </c>
      <c r="T90" s="520">
        <v>2</v>
      </c>
      <c r="U90" s="520">
        <v>3</v>
      </c>
      <c r="V90" s="520">
        <v>4</v>
      </c>
      <c r="W90" s="520">
        <v>5</v>
      </c>
      <c r="X90" s="520">
        <v>6</v>
      </c>
      <c r="Y90" s="520">
        <v>7</v>
      </c>
      <c r="Z90" s="520">
        <v>8</v>
      </c>
      <c r="AA90" s="520">
        <v>9</v>
      </c>
      <c r="AB90" s="520">
        <v>10</v>
      </c>
      <c r="AC90" s="520">
        <v>11</v>
      </c>
      <c r="AD90" s="520">
        <v>12</v>
      </c>
      <c r="AE90" s="520" t="s">
        <v>249</v>
      </c>
    </row>
    <row r="91" spans="2:31" ht="15.5" x14ac:dyDescent="0.35">
      <c r="B91" s="1025" t="s">
        <v>181</v>
      </c>
      <c r="C91" s="1025"/>
      <c r="D91" s="1025"/>
      <c r="E91" s="140">
        <f>E59/E$57</f>
        <v>8.3937332351351049E-2</v>
      </c>
      <c r="F91" s="140">
        <f t="shared" ref="F91:R91" si="132">F59/F$57</f>
        <v>0.76033547678877333</v>
      </c>
      <c r="G91" s="140">
        <f t="shared" si="132"/>
        <v>0.69885820800498277</v>
      </c>
      <c r="H91" s="140">
        <f t="shared" si="132"/>
        <v>0.75349374881205422</v>
      </c>
      <c r="I91" s="140">
        <f t="shared" si="132"/>
        <v>0.72763809635337828</v>
      </c>
      <c r="J91" s="140">
        <f t="shared" si="132"/>
        <v>0.72602704578922117</v>
      </c>
      <c r="K91" s="140">
        <f t="shared" si="132"/>
        <v>0.66995057927114821</v>
      </c>
      <c r="L91" s="140">
        <f t="shared" si="132"/>
        <v>0.58505633928985479</v>
      </c>
      <c r="M91" s="140">
        <f t="shared" si="132"/>
        <v>0.55442672920146552</v>
      </c>
      <c r="N91" s="140">
        <f t="shared" si="132"/>
        <v>0.61241981617106622</v>
      </c>
      <c r="O91" s="140">
        <f t="shared" si="132"/>
        <v>0.70356484490895721</v>
      </c>
      <c r="P91" s="140">
        <f t="shared" si="132"/>
        <v>0.71788846158470743</v>
      </c>
      <c r="Q91" s="140">
        <f t="shared" si="132"/>
        <v>0.60200440268668176</v>
      </c>
      <c r="R91" s="140">
        <f t="shared" si="132"/>
        <v>0.62826929386024077</v>
      </c>
      <c r="S91" s="521">
        <f t="shared" ref="S91:AE91" si="133">S59/S$57</f>
        <v>0.4957275333209506</v>
      </c>
      <c r="T91" s="521">
        <f t="shared" si="133"/>
        <v>0.61598471624404982</v>
      </c>
      <c r="U91" s="521">
        <f t="shared" si="133"/>
        <v>0.71789075893057108</v>
      </c>
      <c r="V91" s="521">
        <f t="shared" si="133"/>
        <v>0.69068921207810463</v>
      </c>
      <c r="W91" s="521" t="e">
        <f t="shared" si="133"/>
        <v>#DIV/0!</v>
      </c>
      <c r="X91" s="521" t="e">
        <f t="shared" si="133"/>
        <v>#DIV/0!</v>
      </c>
      <c r="Y91" s="521" t="e">
        <f t="shared" si="133"/>
        <v>#DIV/0!</v>
      </c>
      <c r="Z91" s="521" t="e">
        <f t="shared" si="133"/>
        <v>#DIV/0!</v>
      </c>
      <c r="AA91" s="521" t="e">
        <f t="shared" si="133"/>
        <v>#DIV/0!</v>
      </c>
      <c r="AB91" s="521" t="e">
        <f t="shared" si="133"/>
        <v>#DIV/0!</v>
      </c>
      <c r="AC91" s="521" t="e">
        <f t="shared" si="133"/>
        <v>#DIV/0!</v>
      </c>
      <c r="AD91" s="521" t="e">
        <f t="shared" si="133"/>
        <v>#DIV/0!</v>
      </c>
      <c r="AE91" s="521">
        <f t="shared" si="133"/>
        <v>0.65215813572024561</v>
      </c>
    </row>
    <row r="92" spans="2:31" ht="15.5" x14ac:dyDescent="0.35">
      <c r="B92" s="1026" t="s">
        <v>182</v>
      </c>
      <c r="C92" s="1026"/>
      <c r="D92" s="1026"/>
      <c r="E92" s="140">
        <f>E60/E$57</f>
        <v>0.91606266764864885</v>
      </c>
      <c r="F92" s="140">
        <f t="shared" ref="F92:R92" si="134">F60/F$57</f>
        <v>0.23966452321122667</v>
      </c>
      <c r="G92" s="140">
        <f t="shared" si="134"/>
        <v>0.30114179199501723</v>
      </c>
      <c r="H92" s="140">
        <f t="shared" si="134"/>
        <v>0.24650625118794575</v>
      </c>
      <c r="I92" s="140">
        <f t="shared" si="134"/>
        <v>0.27236190364662166</v>
      </c>
      <c r="J92" s="140">
        <f t="shared" si="134"/>
        <v>0.27397295421077883</v>
      </c>
      <c r="K92" s="140">
        <f t="shared" si="134"/>
        <v>0.33004942072885179</v>
      </c>
      <c r="L92" s="140">
        <f t="shared" si="134"/>
        <v>0.41494366071014516</v>
      </c>
      <c r="M92" s="140">
        <f t="shared" si="134"/>
        <v>0.44557327079853454</v>
      </c>
      <c r="N92" s="140">
        <f t="shared" si="134"/>
        <v>0.38758018382893378</v>
      </c>
      <c r="O92" s="140">
        <f t="shared" si="134"/>
        <v>0.29643515509104273</v>
      </c>
      <c r="P92" s="140">
        <f t="shared" si="134"/>
        <v>0.28211153841529263</v>
      </c>
      <c r="Q92" s="140">
        <f t="shared" si="134"/>
        <v>0.39799559731331818</v>
      </c>
      <c r="R92" s="140">
        <f t="shared" si="134"/>
        <v>0.37173070613975923</v>
      </c>
      <c r="S92" s="521">
        <f t="shared" ref="S92:AE92" si="135">S60/S$57</f>
        <v>0.50427246667904946</v>
      </c>
      <c r="T92" s="521">
        <f t="shared" si="135"/>
        <v>0.38401528375595012</v>
      </c>
      <c r="U92" s="521">
        <f t="shared" si="135"/>
        <v>0.28210924106942897</v>
      </c>
      <c r="V92" s="521">
        <f t="shared" si="135"/>
        <v>0.30931078792189542</v>
      </c>
      <c r="W92" s="521" t="e">
        <f t="shared" si="135"/>
        <v>#DIV/0!</v>
      </c>
      <c r="X92" s="521" t="e">
        <f t="shared" si="135"/>
        <v>#DIV/0!</v>
      </c>
      <c r="Y92" s="521" t="e">
        <f t="shared" si="135"/>
        <v>#DIV/0!</v>
      </c>
      <c r="Z92" s="521" t="e">
        <f t="shared" si="135"/>
        <v>#DIV/0!</v>
      </c>
      <c r="AA92" s="521" t="e">
        <f t="shared" si="135"/>
        <v>#DIV/0!</v>
      </c>
      <c r="AB92" s="521" t="e">
        <f t="shared" si="135"/>
        <v>#DIV/0!</v>
      </c>
      <c r="AC92" s="521" t="e">
        <f t="shared" si="135"/>
        <v>#DIV/0!</v>
      </c>
      <c r="AD92" s="521" t="e">
        <f t="shared" si="135"/>
        <v>#DIV/0!</v>
      </c>
      <c r="AE92" s="521">
        <f t="shared" si="135"/>
        <v>0.34784186427975439</v>
      </c>
    </row>
  </sheetData>
  <mergeCells count="4">
    <mergeCell ref="B59:D59"/>
    <mergeCell ref="B60:D60"/>
    <mergeCell ref="B91:D91"/>
    <mergeCell ref="B92:D9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CA1E-BCB5-4FEE-B64F-CD38C76220C0}">
  <sheetPr>
    <tabColor rgb="FFFFC000"/>
  </sheetPr>
  <dimension ref="A1:AI81"/>
  <sheetViews>
    <sheetView zoomScaleNormal="100" workbookViewId="0">
      <pane xSplit="4" ySplit="3" topLeftCell="R4" activePane="bottomRight" state="frozen"/>
      <selection activeCell="AH13" sqref="AH13"/>
      <selection pane="topRight" activeCell="AH13" sqref="AH13"/>
      <selection pane="bottomLeft" activeCell="AH13" sqref="AH13"/>
      <selection pane="bottomRight" activeCell="AH23" sqref="AH23"/>
    </sheetView>
  </sheetViews>
  <sheetFormatPr defaultRowHeight="14.5" x14ac:dyDescent="0.35"/>
  <cols>
    <col min="1" max="1" width="4.453125" hidden="1" customWidth="1"/>
    <col min="2" max="2" width="4.453125" customWidth="1"/>
    <col min="3" max="3" width="10.453125" hidden="1" customWidth="1"/>
    <col min="4" max="4" width="23.54296875" bestFit="1" customWidth="1"/>
    <col min="5" max="17" width="7.7265625" hidden="1" customWidth="1"/>
    <col min="18" max="25" width="7.7265625" customWidth="1"/>
    <col min="26" max="30" width="7.7265625" hidden="1" customWidth="1"/>
    <col min="31" max="31" width="8.7265625" customWidth="1"/>
    <col min="32" max="32" width="0" hidden="1" customWidth="1"/>
    <col min="35" max="35" width="9.26953125" customWidth="1"/>
  </cols>
  <sheetData>
    <row r="1" spans="1:31" x14ac:dyDescent="0.35">
      <c r="D1" s="13" t="s">
        <v>117</v>
      </c>
    </row>
    <row r="2" spans="1:31" x14ac:dyDescent="0.35">
      <c r="F2" s="105"/>
      <c r="G2" s="105"/>
      <c r="H2" s="105"/>
      <c r="I2" s="105"/>
      <c r="J2" s="105"/>
      <c r="K2" s="105"/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s="89" customFormat="1" x14ac:dyDescent="0.35">
      <c r="A3" s="105">
        <v>1</v>
      </c>
      <c r="B3" s="74" t="s">
        <v>57</v>
      </c>
      <c r="C3" s="74" t="s">
        <v>58</v>
      </c>
      <c r="D3" s="74" t="s">
        <v>59</v>
      </c>
      <c r="E3" s="74" t="s">
        <v>170</v>
      </c>
      <c r="F3" s="76" t="s">
        <v>72</v>
      </c>
      <c r="G3" s="76" t="s">
        <v>73</v>
      </c>
      <c r="H3" s="76" t="s">
        <v>74</v>
      </c>
      <c r="I3" s="76" t="s">
        <v>75</v>
      </c>
      <c r="J3" s="76" t="s">
        <v>76</v>
      </c>
      <c r="K3" s="76" t="s">
        <v>77</v>
      </c>
      <c r="L3" s="76" t="s">
        <v>78</v>
      </c>
      <c r="M3" s="76" t="s">
        <v>79</v>
      </c>
      <c r="N3" s="76" t="s">
        <v>80</v>
      </c>
      <c r="O3" s="76" t="s">
        <v>81</v>
      </c>
      <c r="P3" s="76" t="s">
        <v>82</v>
      </c>
      <c r="Q3" s="76" t="s">
        <v>83</v>
      </c>
      <c r="R3" s="76" t="s">
        <v>184</v>
      </c>
      <c r="S3" s="76" t="s">
        <v>228</v>
      </c>
      <c r="T3" s="76">
        <v>2</v>
      </c>
      <c r="U3" s="76">
        <v>3</v>
      </c>
      <c r="V3" s="76">
        <v>4</v>
      </c>
      <c r="W3" s="76">
        <v>5</v>
      </c>
      <c r="X3" s="76">
        <v>6</v>
      </c>
      <c r="Y3" s="76">
        <v>7</v>
      </c>
      <c r="Z3" s="76">
        <v>8</v>
      </c>
      <c r="AA3" s="76">
        <v>9</v>
      </c>
      <c r="AB3" s="76">
        <v>10</v>
      </c>
      <c r="AC3" s="76">
        <v>11</v>
      </c>
      <c r="AD3" s="76">
        <v>12</v>
      </c>
      <c r="AE3" s="76" t="s">
        <v>249</v>
      </c>
    </row>
    <row r="4" spans="1:31" s="12" customFormat="1" x14ac:dyDescent="0.35">
      <c r="A4" s="105">
        <v>2</v>
      </c>
      <c r="B4" s="81" t="s">
        <v>161</v>
      </c>
      <c r="C4" s="77" t="s">
        <v>162</v>
      </c>
      <c r="D4" s="77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</row>
    <row r="5" spans="1:31" x14ac:dyDescent="0.35">
      <c r="A5" s="105">
        <v>3</v>
      </c>
      <c r="B5" s="3">
        <v>1</v>
      </c>
      <c r="C5" s="3" t="s">
        <v>96</v>
      </c>
      <c r="D5" s="3" t="s">
        <v>260</v>
      </c>
      <c r="E5" s="126">
        <v>0</v>
      </c>
      <c r="F5" s="5">
        <v>9669.5562090000003</v>
      </c>
      <c r="G5" s="5">
        <v>2770.8608000000004</v>
      </c>
      <c r="H5" s="5">
        <v>9640.6678449999981</v>
      </c>
      <c r="I5" s="5">
        <v>7415.648506999999</v>
      </c>
      <c r="J5" s="5">
        <v>12959.9771</v>
      </c>
      <c r="K5" s="5">
        <v>8507.887539000003</v>
      </c>
      <c r="L5" s="5">
        <v>7712.6165700000001</v>
      </c>
      <c r="M5" s="5">
        <v>7957.0451679999996</v>
      </c>
      <c r="N5" s="5">
        <v>6250.8351554000001</v>
      </c>
      <c r="O5" s="5">
        <v>8769.1359200000006</v>
      </c>
      <c r="P5" s="5">
        <v>11147.77336903461</v>
      </c>
      <c r="Q5" s="5">
        <v>8565.9155420273073</v>
      </c>
      <c r="R5" s="5">
        <f>AVERAGE(F5:Q5)</f>
        <v>8447.3266437051589</v>
      </c>
      <c r="S5" s="5">
        <v>5307.2314091755552</v>
      </c>
      <c r="T5" s="5">
        <v>7112.7750845959836</v>
      </c>
      <c r="U5" s="5">
        <v>10027.978410793301</v>
      </c>
      <c r="V5" s="5">
        <v>8865.9092319088195</v>
      </c>
      <c r="W5" s="5"/>
      <c r="X5" s="5"/>
      <c r="Y5" s="5"/>
      <c r="Z5" s="5"/>
      <c r="AA5" s="5"/>
      <c r="AB5" s="5"/>
      <c r="AC5" s="5"/>
      <c r="AD5" s="5"/>
      <c r="AE5" s="42">
        <f>AVERAGE(S5:AD5)</f>
        <v>7828.473534118415</v>
      </c>
    </row>
    <row r="6" spans="1:31" x14ac:dyDescent="0.35">
      <c r="A6" s="105">
        <v>4</v>
      </c>
      <c r="B6" s="3">
        <f>B5+1</f>
        <v>2</v>
      </c>
      <c r="C6" s="3" t="s">
        <v>96</v>
      </c>
      <c r="D6" s="3" t="s">
        <v>25</v>
      </c>
      <c r="E6" s="126">
        <v>323.01838806049415</v>
      </c>
      <c r="F6" s="5">
        <v>610.75515541597599</v>
      </c>
      <c r="G6" s="5">
        <v>197.09338875387758</v>
      </c>
      <c r="H6" s="5">
        <v>474.99105064497905</v>
      </c>
      <c r="I6" s="5">
        <v>518.51828676339028</v>
      </c>
      <c r="J6" s="5">
        <v>925.28949428571457</v>
      </c>
      <c r="K6" s="5">
        <v>728.82332580608761</v>
      </c>
      <c r="L6" s="5">
        <v>1040.6218060855947</v>
      </c>
      <c r="M6" s="5">
        <v>627.90611483786836</v>
      </c>
      <c r="N6" s="5">
        <v>526.06413941368612</v>
      </c>
      <c r="O6" s="5">
        <v>481.16394094668078</v>
      </c>
      <c r="P6" s="5">
        <v>721.21150467213522</v>
      </c>
      <c r="Q6" s="5">
        <v>594.37168786047368</v>
      </c>
      <c r="R6" s="5">
        <f t="shared" ref="R6:R27" si="0">AVERAGE(F6:Q6)</f>
        <v>620.56749129053878</v>
      </c>
      <c r="S6" s="5">
        <v>435.87437797914743</v>
      </c>
      <c r="T6" s="5">
        <v>482.09564991550235</v>
      </c>
      <c r="U6" s="5">
        <v>637.55940146402088</v>
      </c>
      <c r="V6" s="5">
        <v>640.03319526893426</v>
      </c>
      <c r="W6" s="5"/>
      <c r="X6" s="5"/>
      <c r="Y6" s="5"/>
      <c r="Z6" s="5"/>
      <c r="AA6" s="5"/>
      <c r="AB6" s="5"/>
      <c r="AC6" s="5"/>
      <c r="AD6" s="5"/>
      <c r="AE6" s="42">
        <f t="shared" ref="AE6:AE25" si="1">AVERAGE(S6:AD6)</f>
        <v>548.89065615690129</v>
      </c>
    </row>
    <row r="7" spans="1:31" x14ac:dyDescent="0.35">
      <c r="A7" s="105">
        <v>6</v>
      </c>
      <c r="B7" s="3">
        <f t="shared" ref="B7:B15" si="2">B6+1</f>
        <v>3</v>
      </c>
      <c r="C7" s="3" t="s">
        <v>96</v>
      </c>
      <c r="D7" s="3" t="s">
        <v>165</v>
      </c>
      <c r="E7" s="126">
        <v>7.5180477076650565</v>
      </c>
      <c r="F7" s="5">
        <v>19.905530690908229</v>
      </c>
      <c r="G7" s="5">
        <v>7.243187378746585</v>
      </c>
      <c r="H7" s="5">
        <v>8.1524948425251029</v>
      </c>
      <c r="I7" s="5">
        <v>7.9891387090057044</v>
      </c>
      <c r="J7" s="5">
        <v>7.3785128892304028</v>
      </c>
      <c r="K7" s="5">
        <v>14.613812683716194</v>
      </c>
      <c r="L7" s="5">
        <v>14.403673262901254</v>
      </c>
      <c r="M7" s="5">
        <v>25.060754234087923</v>
      </c>
      <c r="N7" s="5">
        <v>14.671498041527812</v>
      </c>
      <c r="O7" s="5">
        <v>28.321362476490304</v>
      </c>
      <c r="P7" s="5">
        <v>37.932949547041595</v>
      </c>
      <c r="Q7" s="5">
        <v>40.086278005107005</v>
      </c>
      <c r="R7" s="5">
        <f t="shared" si="0"/>
        <v>18.813266063440675</v>
      </c>
      <c r="S7" s="5">
        <v>12.948206602507058</v>
      </c>
      <c r="T7" s="5">
        <v>28.529209135022615</v>
      </c>
      <c r="U7" s="5">
        <v>33.692530450213425</v>
      </c>
      <c r="V7" s="5">
        <v>22.779053173568691</v>
      </c>
      <c r="W7" s="5"/>
      <c r="X7" s="5"/>
      <c r="Y7" s="5"/>
      <c r="Z7" s="5"/>
      <c r="AA7" s="5"/>
      <c r="AB7" s="5"/>
      <c r="AC7" s="5"/>
      <c r="AD7" s="5"/>
      <c r="AE7" s="42">
        <f t="shared" si="1"/>
        <v>24.487249840327948</v>
      </c>
    </row>
    <row r="8" spans="1:31" x14ac:dyDescent="0.35">
      <c r="A8" s="105">
        <v>7</v>
      </c>
      <c r="B8" s="3">
        <f t="shared" si="2"/>
        <v>4</v>
      </c>
      <c r="C8" s="3" t="s">
        <v>96</v>
      </c>
      <c r="D8" s="3" t="s">
        <v>54</v>
      </c>
      <c r="E8" s="126">
        <v>50.312190166666667</v>
      </c>
      <c r="F8" s="5">
        <v>64.042685000000006</v>
      </c>
      <c r="G8" s="5">
        <v>7.3138459999999998</v>
      </c>
      <c r="H8" s="5">
        <v>120.98595300000001</v>
      </c>
      <c r="I8" s="5">
        <v>11.485238000000001</v>
      </c>
      <c r="J8" s="5">
        <v>66.225380000000001</v>
      </c>
      <c r="K8" s="5">
        <v>12.673625000000001</v>
      </c>
      <c r="L8" s="5">
        <v>125.26359200000002</v>
      </c>
      <c r="M8" s="5">
        <v>95.680999999999997</v>
      </c>
      <c r="N8" s="5">
        <v>54.220112</v>
      </c>
      <c r="O8" s="5">
        <v>86.870660000000001</v>
      </c>
      <c r="P8" s="5">
        <v>76.427878000000007</v>
      </c>
      <c r="Q8" s="5">
        <v>67.006164999999996</v>
      </c>
      <c r="R8" s="5">
        <f t="shared" si="0"/>
        <v>65.683011166666674</v>
      </c>
      <c r="S8" s="5">
        <v>88.127313000000001</v>
      </c>
      <c r="T8" s="5">
        <v>88.891142000000002</v>
      </c>
      <c r="U8" s="5">
        <v>73.682073000000003</v>
      </c>
      <c r="V8" s="5">
        <v>30.512768999999999</v>
      </c>
      <c r="W8" s="5"/>
      <c r="X8" s="5"/>
      <c r="Y8" s="5"/>
      <c r="Z8" s="5"/>
      <c r="AA8" s="5"/>
      <c r="AB8" s="5"/>
      <c r="AC8" s="5"/>
      <c r="AD8" s="5"/>
      <c r="AE8" s="42">
        <f t="shared" si="1"/>
        <v>70.303324250000003</v>
      </c>
    </row>
    <row r="9" spans="1:31" x14ac:dyDescent="0.35">
      <c r="A9" s="105">
        <v>8</v>
      </c>
      <c r="B9" s="3">
        <f t="shared" si="2"/>
        <v>5</v>
      </c>
      <c r="C9" s="3" t="s">
        <v>96</v>
      </c>
      <c r="D9" s="3" t="s">
        <v>49</v>
      </c>
      <c r="E9" s="126">
        <v>201.56791554133866</v>
      </c>
      <c r="F9" s="5">
        <v>118.42357265812871</v>
      </c>
      <c r="G9" s="5">
        <v>9.1813556736264008</v>
      </c>
      <c r="H9" s="5">
        <v>42.886294446438001</v>
      </c>
      <c r="I9" s="5">
        <v>22.048397297851324</v>
      </c>
      <c r="J9" s="5">
        <v>202.30603920130721</v>
      </c>
      <c r="K9" s="5">
        <v>52.46595580072642</v>
      </c>
      <c r="L9" s="5">
        <v>177.60429591592964</v>
      </c>
      <c r="M9" s="5">
        <v>35.415202331832447</v>
      </c>
      <c r="N9" s="5">
        <v>99.724873538497619</v>
      </c>
      <c r="O9" s="5">
        <v>65.211278706262249</v>
      </c>
      <c r="P9" s="5">
        <v>47.32710463078881</v>
      </c>
      <c r="Q9" s="5">
        <v>65.168916372739915</v>
      </c>
      <c r="R9" s="5">
        <f t="shared" si="0"/>
        <v>78.146940547844039</v>
      </c>
      <c r="S9" s="5">
        <v>60.085832835596612</v>
      </c>
      <c r="T9" s="5">
        <v>57.12674286869629</v>
      </c>
      <c r="U9" s="5">
        <v>73.806842656480399</v>
      </c>
      <c r="V9" s="5">
        <v>115.65883816325351</v>
      </c>
      <c r="W9" s="5"/>
      <c r="X9" s="5"/>
      <c r="Y9" s="5"/>
      <c r="Z9" s="5"/>
      <c r="AA9" s="5"/>
      <c r="AB9" s="5"/>
      <c r="AC9" s="5"/>
      <c r="AD9" s="5"/>
      <c r="AE9" s="42">
        <f t="shared" si="1"/>
        <v>76.669564131006695</v>
      </c>
    </row>
    <row r="10" spans="1:31" x14ac:dyDescent="0.35">
      <c r="A10" s="105">
        <v>9</v>
      </c>
      <c r="B10" s="3">
        <f t="shared" si="2"/>
        <v>6</v>
      </c>
      <c r="C10" s="3" t="s">
        <v>96</v>
      </c>
      <c r="D10" s="3" t="s">
        <v>56</v>
      </c>
      <c r="E10" s="126">
        <v>87.982019750000006</v>
      </c>
      <c r="F10" s="5">
        <v>137.10714899999999</v>
      </c>
      <c r="G10" s="5">
        <v>39.876287000000005</v>
      </c>
      <c r="H10" s="5">
        <v>100.417382</v>
      </c>
      <c r="I10" s="5">
        <v>127.24527799999998</v>
      </c>
      <c r="J10" s="5">
        <v>145.26237399999999</v>
      </c>
      <c r="K10" s="5">
        <v>114.84347099999998</v>
      </c>
      <c r="L10" s="5">
        <v>112.36982099999999</v>
      </c>
      <c r="M10" s="5">
        <v>97.615588000000002</v>
      </c>
      <c r="N10" s="5">
        <v>69.804575</v>
      </c>
      <c r="O10" s="5">
        <v>117.72641200000001</v>
      </c>
      <c r="P10" s="5">
        <v>141.65364500000001</v>
      </c>
      <c r="Q10" s="5">
        <v>108.96037800000002</v>
      </c>
      <c r="R10" s="5">
        <f t="shared" si="0"/>
        <v>109.40686333333333</v>
      </c>
      <c r="S10" s="5">
        <v>64.294326999999996</v>
      </c>
      <c r="T10" s="5">
        <v>115.75129600000002</v>
      </c>
      <c r="U10" s="5">
        <v>123.24428499999999</v>
      </c>
      <c r="V10" s="5">
        <v>102.46235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101.43806450000001</v>
      </c>
    </row>
    <row r="11" spans="1:31" x14ac:dyDescent="0.35">
      <c r="A11" s="105">
        <v>10</v>
      </c>
      <c r="B11" s="3">
        <f t="shared" si="2"/>
        <v>7</v>
      </c>
      <c r="C11" s="3" t="s">
        <v>96</v>
      </c>
      <c r="D11" s="3" t="s">
        <v>28</v>
      </c>
      <c r="E11" s="126">
        <v>36.387831161509666</v>
      </c>
      <c r="F11" s="5">
        <v>42.535428447542301</v>
      </c>
      <c r="G11" s="5">
        <v>12.806819911604371</v>
      </c>
      <c r="H11" s="5">
        <v>38.297206745270742</v>
      </c>
      <c r="I11" s="5">
        <v>36.538365604990659</v>
      </c>
      <c r="J11" s="5">
        <v>60.387762704575174</v>
      </c>
      <c r="K11" s="5">
        <v>53.479920084332946</v>
      </c>
      <c r="L11" s="5">
        <v>107.32673041236505</v>
      </c>
      <c r="M11" s="5">
        <v>47.437429824105841</v>
      </c>
      <c r="N11" s="5">
        <v>29.756336232180811</v>
      </c>
      <c r="O11" s="5">
        <v>26.87303984682719</v>
      </c>
      <c r="P11" s="5">
        <v>35.507950920557185</v>
      </c>
      <c r="Q11" s="5">
        <v>35.404001693382362</v>
      </c>
      <c r="R11" s="5">
        <f t="shared" si="0"/>
        <v>43.862582702311215</v>
      </c>
      <c r="S11" s="5">
        <v>23.523475612292231</v>
      </c>
      <c r="T11" s="5">
        <v>25.406214250798545</v>
      </c>
      <c r="U11" s="5">
        <v>27.492811906419018</v>
      </c>
      <c r="V11" s="5">
        <v>24.551390887957901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25.243473164366925</v>
      </c>
    </row>
    <row r="12" spans="1:31" x14ac:dyDescent="0.35">
      <c r="A12" s="105">
        <v>11</v>
      </c>
      <c r="B12" s="3">
        <f t="shared" si="2"/>
        <v>8</v>
      </c>
      <c r="C12" s="3" t="s">
        <v>96</v>
      </c>
      <c r="D12" s="3" t="s">
        <v>53</v>
      </c>
      <c r="E12" s="12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f t="shared" si="0"/>
        <v>0</v>
      </c>
      <c r="S12" s="5">
        <v>0</v>
      </c>
      <c r="T12" s="5">
        <v>0</v>
      </c>
      <c r="U12" s="5">
        <v>0</v>
      </c>
      <c r="V12" s="5">
        <v>0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0</v>
      </c>
    </row>
    <row r="13" spans="1:31" x14ac:dyDescent="0.35">
      <c r="A13" s="105">
        <v>12</v>
      </c>
      <c r="B13" s="3">
        <f t="shared" si="2"/>
        <v>9</v>
      </c>
      <c r="C13" s="3" t="s">
        <v>96</v>
      </c>
      <c r="D13" s="3" t="s">
        <v>42</v>
      </c>
      <c r="E13" s="126">
        <v>12.610923251878207</v>
      </c>
      <c r="F13" s="5">
        <v>7.6740523796563096</v>
      </c>
      <c r="G13" s="5">
        <v>3.1198456246057593</v>
      </c>
      <c r="H13" s="5">
        <v>6.6799593737365814</v>
      </c>
      <c r="I13" s="5">
        <v>14.451379548871953</v>
      </c>
      <c r="J13" s="5">
        <v>17.620979742483662</v>
      </c>
      <c r="K13" s="5">
        <v>12.317199562665827</v>
      </c>
      <c r="L13" s="5">
        <v>24.817927317053364</v>
      </c>
      <c r="M13" s="5">
        <v>14.085849754124421</v>
      </c>
      <c r="N13" s="5">
        <v>6.8006512083504465</v>
      </c>
      <c r="O13" s="5">
        <v>7.5473127577499852</v>
      </c>
      <c r="P13" s="5">
        <v>8.3791254696151967</v>
      </c>
      <c r="Q13" s="5">
        <v>8.7299506332440906</v>
      </c>
      <c r="R13" s="5">
        <f t="shared" si="0"/>
        <v>11.018686114346467</v>
      </c>
      <c r="S13" s="5">
        <v>6.1889379131264288</v>
      </c>
      <c r="T13" s="5">
        <v>6.0827161131599254</v>
      </c>
      <c r="U13" s="5">
        <v>6.6515880794397244</v>
      </c>
      <c r="V13" s="5">
        <v>10.262640775470869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7.2964707202992365</v>
      </c>
    </row>
    <row r="14" spans="1:31" x14ac:dyDescent="0.35">
      <c r="A14" s="105">
        <v>13</v>
      </c>
      <c r="B14" s="3">
        <f t="shared" si="2"/>
        <v>10</v>
      </c>
      <c r="C14" s="3" t="s">
        <v>96</v>
      </c>
      <c r="D14" s="3" t="s">
        <v>52</v>
      </c>
      <c r="E14" s="126">
        <v>14.468803587684706</v>
      </c>
      <c r="F14" s="5">
        <v>14.242630913000044</v>
      </c>
      <c r="G14" s="5">
        <v>5.4065298315189967</v>
      </c>
      <c r="H14" s="5">
        <v>12.972214926033987</v>
      </c>
      <c r="I14" s="5">
        <v>13.645742439823177</v>
      </c>
      <c r="J14" s="5">
        <v>20.068505359477129</v>
      </c>
      <c r="K14" s="5">
        <v>19.997079080918009</v>
      </c>
      <c r="L14" s="5">
        <v>34.721310711392483</v>
      </c>
      <c r="M14" s="5">
        <v>19.270698802211552</v>
      </c>
      <c r="N14" s="5">
        <v>11.24343986812559</v>
      </c>
      <c r="O14" s="5">
        <v>10.955549765496796</v>
      </c>
      <c r="P14" s="5">
        <v>15.811942534955733</v>
      </c>
      <c r="Q14" s="5">
        <v>15.262438976700741</v>
      </c>
      <c r="R14" s="5">
        <f t="shared" si="0"/>
        <v>16.133173600804518</v>
      </c>
      <c r="S14" s="5">
        <v>12.417698975013192</v>
      </c>
      <c r="T14" s="5">
        <v>16.088286628257318</v>
      </c>
      <c r="U14" s="5">
        <v>11.758981522878853</v>
      </c>
      <c r="V14" s="5">
        <v>12.772473236439366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13.259360090647183</v>
      </c>
    </row>
    <row r="15" spans="1:31" x14ac:dyDescent="0.35">
      <c r="A15" s="105">
        <v>14</v>
      </c>
      <c r="B15" s="3">
        <f t="shared" si="2"/>
        <v>11</v>
      </c>
      <c r="C15" s="3" t="s">
        <v>96</v>
      </c>
      <c r="D15" s="3" t="s">
        <v>55</v>
      </c>
      <c r="E15" s="126">
        <v>30.554300666666666</v>
      </c>
      <c r="F15" s="5">
        <v>22.973268999999998</v>
      </c>
      <c r="G15" s="5">
        <v>0</v>
      </c>
      <c r="H15" s="5">
        <v>23.045940000000002</v>
      </c>
      <c r="I15" s="5">
        <v>0</v>
      </c>
      <c r="J15" s="5">
        <v>0</v>
      </c>
      <c r="K15" s="5">
        <v>10.511874000000001</v>
      </c>
      <c r="L15" s="5">
        <v>20.243397999999999</v>
      </c>
      <c r="M15" s="5">
        <v>0</v>
      </c>
      <c r="N15" s="5">
        <v>0.11293499999999999</v>
      </c>
      <c r="O15" s="5">
        <v>40.229782999999998</v>
      </c>
      <c r="P15" s="5">
        <v>11.25</v>
      </c>
      <c r="Q15" s="5">
        <v>7.5</v>
      </c>
      <c r="R15" s="5">
        <f t="shared" si="0"/>
        <v>11.322266583333333</v>
      </c>
      <c r="S15" s="5">
        <v>69.350499999999997</v>
      </c>
      <c r="T15" s="5">
        <v>24.741619999999998</v>
      </c>
      <c r="U15" s="5">
        <v>27.060865</v>
      </c>
      <c r="V15" s="5">
        <v>59.404617999999999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45.13940075</v>
      </c>
    </row>
    <row r="16" spans="1:31" s="12" customFormat="1" x14ac:dyDescent="0.35">
      <c r="A16" s="105">
        <v>15</v>
      </c>
      <c r="B16" s="81" t="s">
        <v>163</v>
      </c>
      <c r="C16" s="77" t="s">
        <v>164</v>
      </c>
      <c r="D16" s="77"/>
      <c r="E16" s="77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</row>
    <row r="17" spans="1:35" x14ac:dyDescent="0.35">
      <c r="A17" s="105">
        <v>16</v>
      </c>
      <c r="B17" s="3">
        <v>1</v>
      </c>
      <c r="C17" s="3" t="s">
        <v>97</v>
      </c>
      <c r="D17" s="3" t="s">
        <v>168</v>
      </c>
      <c r="E17" s="126">
        <v>147.61207728829808</v>
      </c>
      <c r="F17" s="5">
        <v>1718.0080998756359</v>
      </c>
      <c r="G17" s="5">
        <v>798.57774546080134</v>
      </c>
      <c r="H17" s="5">
        <v>1577.3466175371932</v>
      </c>
      <c r="I17" s="5">
        <v>1593.0946981411494</v>
      </c>
      <c r="J17" s="5">
        <v>2606.2909491953324</v>
      </c>
      <c r="K17" s="5">
        <v>2552.059454518348</v>
      </c>
      <c r="L17" s="5">
        <v>5762.3435590841464</v>
      </c>
      <c r="M17" s="5">
        <v>3003.711996307758</v>
      </c>
      <c r="N17" s="5">
        <v>1910.7250460222904</v>
      </c>
      <c r="O17" s="5">
        <v>1412.6041608654355</v>
      </c>
      <c r="P17" s="5">
        <v>1816.4558463244823</v>
      </c>
      <c r="Q17" s="5">
        <v>158.01124553861251</v>
      </c>
      <c r="R17" s="5">
        <f t="shared" si="0"/>
        <v>2075.769118239265</v>
      </c>
      <c r="S17" s="5">
        <v>729.89383742600944</v>
      </c>
      <c r="T17" s="5">
        <v>604.66901925062541</v>
      </c>
      <c r="U17" s="5">
        <v>525.76812797905643</v>
      </c>
      <c r="V17" s="5">
        <v>559.03521591368656</v>
      </c>
      <c r="W17" s="5"/>
      <c r="X17" s="5"/>
      <c r="Y17" s="5"/>
      <c r="Z17" s="5"/>
      <c r="AA17" s="5"/>
      <c r="AB17" s="5"/>
      <c r="AC17" s="5"/>
      <c r="AD17" s="5"/>
      <c r="AE17" s="42">
        <f t="shared" si="1"/>
        <v>604.84155014234443</v>
      </c>
    </row>
    <row r="18" spans="1:35" x14ac:dyDescent="0.35">
      <c r="A18" s="105">
        <v>17</v>
      </c>
      <c r="B18" s="3">
        <f t="shared" ref="B18:B23" si="3">B17+1</f>
        <v>2</v>
      </c>
      <c r="C18" s="3" t="s">
        <v>97</v>
      </c>
      <c r="D18" s="3" t="s">
        <v>48</v>
      </c>
      <c r="E18" s="126">
        <v>837.79704511775867</v>
      </c>
      <c r="F18" s="5">
        <v>1086.2791917206309</v>
      </c>
      <c r="G18" s="5">
        <v>416.62893031274217</v>
      </c>
      <c r="H18" s="5">
        <v>883.50727435836825</v>
      </c>
      <c r="I18" s="5">
        <v>965.84052209313552</v>
      </c>
      <c r="J18" s="5">
        <v>1620.2354650730163</v>
      </c>
      <c r="K18" s="5">
        <v>1568.1258033411241</v>
      </c>
      <c r="L18" s="5">
        <v>3522.7245022622465</v>
      </c>
      <c r="M18" s="5">
        <v>1815.1813931265317</v>
      </c>
      <c r="N18" s="5">
        <v>1238.3239199566044</v>
      </c>
      <c r="O18" s="5">
        <v>954.99952288042402</v>
      </c>
      <c r="P18" s="5">
        <v>1271.3652953066112</v>
      </c>
      <c r="Q18" s="5">
        <v>1501.9967156869202</v>
      </c>
      <c r="R18" s="5">
        <f t="shared" si="0"/>
        <v>1403.767378009863</v>
      </c>
      <c r="S18" s="5">
        <v>1689.7351122882005</v>
      </c>
      <c r="T18" s="5">
        <v>1426.5935830529206</v>
      </c>
      <c r="U18" s="5">
        <v>1211.795267257203</v>
      </c>
      <c r="V18" s="5">
        <v>1420.6960437409043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1437.2050015848072</v>
      </c>
    </row>
    <row r="19" spans="1:35" x14ac:dyDescent="0.35">
      <c r="A19" s="105">
        <v>5</v>
      </c>
      <c r="B19" s="3">
        <f t="shared" si="3"/>
        <v>3</v>
      </c>
      <c r="C19" s="3" t="s">
        <v>96</v>
      </c>
      <c r="D19" s="3" t="s">
        <v>16</v>
      </c>
      <c r="E19" s="126">
        <v>290.8286521615409</v>
      </c>
      <c r="F19" s="5">
        <v>332.6393728910208</v>
      </c>
      <c r="G19" s="5">
        <v>142.97218320644413</v>
      </c>
      <c r="H19" s="5">
        <v>281.24229591723616</v>
      </c>
      <c r="I19" s="5">
        <v>300.47416609119756</v>
      </c>
      <c r="J19" s="5">
        <v>502.58631495704964</v>
      </c>
      <c r="K19" s="5">
        <v>492.38674173597565</v>
      </c>
      <c r="L19" s="5">
        <v>1125.0848015126044</v>
      </c>
      <c r="M19" s="5">
        <v>616.58883777908034</v>
      </c>
      <c r="N19" s="5">
        <v>407.91841519360372</v>
      </c>
      <c r="O19" s="5">
        <v>312.64351439672743</v>
      </c>
      <c r="P19" s="5">
        <v>409.46627327572895</v>
      </c>
      <c r="Q19" s="5">
        <v>482.32047865853019</v>
      </c>
      <c r="R19" s="5">
        <f t="shared" si="0"/>
        <v>450.52694963459982</v>
      </c>
      <c r="S19" s="5">
        <v>545.50745467950469</v>
      </c>
      <c r="T19" s="5">
        <v>462.37887439446979</v>
      </c>
      <c r="U19" s="5">
        <v>408.65908843832659</v>
      </c>
      <c r="V19" s="5">
        <v>427.03247759286603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460.89447377629176</v>
      </c>
    </row>
    <row r="20" spans="1:35" x14ac:dyDescent="0.35">
      <c r="A20" s="105">
        <v>18</v>
      </c>
      <c r="B20" s="3">
        <f t="shared" si="3"/>
        <v>4</v>
      </c>
      <c r="C20" s="3" t="s">
        <v>97</v>
      </c>
      <c r="D20" s="3" t="s">
        <v>36</v>
      </c>
      <c r="E20" s="126">
        <v>84.882985994725516</v>
      </c>
      <c r="F20" s="5">
        <v>182.84953973840683</v>
      </c>
      <c r="G20" s="5">
        <v>65.477392815971115</v>
      </c>
      <c r="H20" s="5">
        <v>106.85103925067159</v>
      </c>
      <c r="I20" s="5">
        <v>125.09053811864473</v>
      </c>
      <c r="J20" s="5">
        <v>292.42379438636794</v>
      </c>
      <c r="K20" s="5">
        <v>280.36524560039118</v>
      </c>
      <c r="L20" s="5">
        <v>531.80682302740809</v>
      </c>
      <c r="M20" s="5">
        <v>487.8080622794742</v>
      </c>
      <c r="N20" s="5">
        <v>388.45415721100363</v>
      </c>
      <c r="O20" s="5">
        <v>319.93447922407734</v>
      </c>
      <c r="P20" s="5">
        <v>383.21064504944161</v>
      </c>
      <c r="Q20" s="5">
        <v>1318.2504152764361</v>
      </c>
      <c r="R20" s="5">
        <f t="shared" si="0"/>
        <v>373.54351099819115</v>
      </c>
      <c r="S20" s="5">
        <v>481.87713361444577</v>
      </c>
      <c r="T20" s="5">
        <v>281.40658223628583</v>
      </c>
      <c r="U20" s="5">
        <v>375.04521994117289</v>
      </c>
      <c r="V20" s="5">
        <v>233.21087179637448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342.88495189706975</v>
      </c>
    </row>
    <row r="21" spans="1:35" x14ac:dyDescent="0.35">
      <c r="A21" s="105">
        <v>19</v>
      </c>
      <c r="B21" s="3">
        <f t="shared" si="3"/>
        <v>5</v>
      </c>
      <c r="C21" s="3" t="s">
        <v>97</v>
      </c>
      <c r="D21" s="3" t="s">
        <v>12</v>
      </c>
      <c r="E21" s="126">
        <v>59.265584532604827</v>
      </c>
      <c r="F21" s="5">
        <v>78.443880445361941</v>
      </c>
      <c r="G21" s="5">
        <v>32.498217561272817</v>
      </c>
      <c r="H21" s="5">
        <v>76.665981764940142</v>
      </c>
      <c r="I21" s="5">
        <v>81.636420561307304</v>
      </c>
      <c r="J21" s="5">
        <v>146.80303350308128</v>
      </c>
      <c r="K21" s="5">
        <v>116.28903958065725</v>
      </c>
      <c r="L21" s="5">
        <v>228.23560343338332</v>
      </c>
      <c r="M21" s="5">
        <v>144.96693821705003</v>
      </c>
      <c r="N21" s="5">
        <v>113.19438931228696</v>
      </c>
      <c r="O21" s="5">
        <v>71.113908125596851</v>
      </c>
      <c r="P21" s="5">
        <v>109.21754115378639</v>
      </c>
      <c r="Q21" s="5">
        <v>130.49459577188469</v>
      </c>
      <c r="R21" s="5">
        <f t="shared" si="0"/>
        <v>110.79662911921741</v>
      </c>
      <c r="S21" s="5">
        <v>113.627383211688</v>
      </c>
      <c r="T21" s="5">
        <v>113.93875571914195</v>
      </c>
      <c r="U21" s="5">
        <v>91.310527044050488</v>
      </c>
      <c r="V21" s="5">
        <v>112.66570164551132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107.88559190509794</v>
      </c>
    </row>
    <row r="22" spans="1:35" x14ac:dyDescent="0.35">
      <c r="A22" s="105">
        <v>20</v>
      </c>
      <c r="B22" s="3">
        <f t="shared" si="3"/>
        <v>6</v>
      </c>
      <c r="C22" s="3" t="s">
        <v>97</v>
      </c>
      <c r="D22" s="3" t="s">
        <v>51</v>
      </c>
      <c r="E22" s="126">
        <v>47.377008459363793</v>
      </c>
      <c r="F22" s="5">
        <v>59.618188867965713</v>
      </c>
      <c r="G22" s="5">
        <v>30.6542606256548</v>
      </c>
      <c r="H22" s="5">
        <v>64.851861012278718</v>
      </c>
      <c r="I22" s="5">
        <v>59.869762985025744</v>
      </c>
      <c r="J22" s="5">
        <v>117.3806087596639</v>
      </c>
      <c r="K22" s="5">
        <v>126.37862208718521</v>
      </c>
      <c r="L22" s="5">
        <v>193.4008046871231</v>
      </c>
      <c r="M22" s="5">
        <v>143.29322004830041</v>
      </c>
      <c r="N22" s="5">
        <v>104.97658438273018</v>
      </c>
      <c r="O22" s="5">
        <v>87.150981813192487</v>
      </c>
      <c r="P22" s="5">
        <v>138.70352250244159</v>
      </c>
      <c r="Q22" s="5">
        <v>180.58586354855561</v>
      </c>
      <c r="R22" s="5">
        <f t="shared" si="0"/>
        <v>108.90535677667646</v>
      </c>
      <c r="S22" s="5">
        <v>129.23217654768112</v>
      </c>
      <c r="T22" s="5">
        <v>132.63943898204286</v>
      </c>
      <c r="U22" s="5">
        <v>100.29404498128962</v>
      </c>
      <c r="V22" s="5">
        <v>116.03703313050552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119.55067341037977</v>
      </c>
    </row>
    <row r="23" spans="1:35" x14ac:dyDescent="0.35">
      <c r="A23" s="105">
        <v>21</v>
      </c>
      <c r="B23" s="3">
        <f t="shared" si="3"/>
        <v>7</v>
      </c>
      <c r="C23" s="3" t="s">
        <v>97</v>
      </c>
      <c r="D23" s="3" t="s">
        <v>40</v>
      </c>
      <c r="E23" s="126">
        <v>10.941618663469201</v>
      </c>
      <c r="F23" s="5">
        <v>50.957481560645839</v>
      </c>
      <c r="G23" s="5">
        <v>26.779180395605415</v>
      </c>
      <c r="H23" s="5">
        <v>54.506582206575473</v>
      </c>
      <c r="I23" s="5">
        <v>84.714225610474074</v>
      </c>
      <c r="J23" s="5">
        <v>149.73989801437912</v>
      </c>
      <c r="K23" s="5">
        <v>167.80502508600597</v>
      </c>
      <c r="L23" s="5">
        <v>394.44151555498973</v>
      </c>
      <c r="M23" s="5">
        <v>166.42242611787134</v>
      </c>
      <c r="N23" s="5">
        <v>96.835209768016142</v>
      </c>
      <c r="O23" s="5">
        <v>72.551589926827447</v>
      </c>
      <c r="P23" s="5">
        <v>99.647547697763358</v>
      </c>
      <c r="Q23" s="5">
        <v>125.58554472227731</v>
      </c>
      <c r="R23" s="5">
        <f t="shared" si="0"/>
        <v>124.16551888845261</v>
      </c>
      <c r="S23" s="5">
        <v>150.88504800493766</v>
      </c>
      <c r="T23" s="5">
        <v>106.46237167992531</v>
      </c>
      <c r="U23" s="5">
        <v>65.486282611373881</v>
      </c>
      <c r="V23" s="5">
        <v>91.782968873640527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103.65416779246935</v>
      </c>
    </row>
    <row r="24" spans="1:35" s="10" customFormat="1" x14ac:dyDescent="0.35">
      <c r="A24" s="105">
        <v>22</v>
      </c>
      <c r="D24" s="11" t="s">
        <v>98</v>
      </c>
      <c r="E24" s="7">
        <f t="shared" ref="E24:Q24" si="4">SUM(E5:E23)</f>
        <v>2243.1253921116654</v>
      </c>
      <c r="F24" s="7">
        <f t="shared" si="4"/>
        <v>14216.01143760488</v>
      </c>
      <c r="G24" s="7">
        <f t="shared" si="4"/>
        <v>4566.4899705524713</v>
      </c>
      <c r="H24" s="7">
        <f t="shared" si="4"/>
        <v>13514.067993026245</v>
      </c>
      <c r="I24" s="7">
        <f t="shared" si="4"/>
        <v>11378.290666964866</v>
      </c>
      <c r="J24" s="7">
        <f t="shared" si="4"/>
        <v>19839.97621207168</v>
      </c>
      <c r="K24" s="7">
        <f t="shared" si="4"/>
        <v>14831.023733968135</v>
      </c>
      <c r="L24" s="7">
        <f t="shared" si="4"/>
        <v>21128.026734267136</v>
      </c>
      <c r="M24" s="7">
        <f t="shared" si="4"/>
        <v>15297.490679660299</v>
      </c>
      <c r="N24" s="7">
        <f t="shared" si="4"/>
        <v>11323.661437548903</v>
      </c>
      <c r="O24" s="7">
        <f t="shared" si="4"/>
        <v>12865.033416731789</v>
      </c>
      <c r="P24" s="7">
        <f t="shared" si="4"/>
        <v>16471.342141119963</v>
      </c>
      <c r="Q24" s="7">
        <f t="shared" si="4"/>
        <v>13405.650217772172</v>
      </c>
      <c r="R24" s="7">
        <f t="shared" si="0"/>
        <v>14069.755386774044</v>
      </c>
      <c r="S24" s="7">
        <f>SUM(S5:S23)</f>
        <v>9920.8002248657012</v>
      </c>
      <c r="T24" s="7">
        <f>SUM(T5:T23)</f>
        <v>11085.576586822835</v>
      </c>
      <c r="U24" s="7">
        <f>SUM(U5:U23)</f>
        <v>13821.286348125223</v>
      </c>
      <c r="V24" s="7">
        <f>SUM(V5:V23)</f>
        <v>12844.806873107935</v>
      </c>
      <c r="W24" s="7"/>
      <c r="X24" s="7"/>
      <c r="Y24" s="7"/>
      <c r="Z24" s="7"/>
      <c r="AA24" s="7"/>
      <c r="AB24" s="7"/>
      <c r="AC24" s="7"/>
      <c r="AD24" s="7"/>
      <c r="AE24" s="42">
        <f t="shared" si="1"/>
        <v>11918.117508230423</v>
      </c>
    </row>
    <row r="25" spans="1:35" s="10" customFormat="1" x14ac:dyDescent="0.35">
      <c r="A25" s="105">
        <v>23</v>
      </c>
      <c r="D25" s="11" t="s">
        <v>99</v>
      </c>
      <c r="E25" s="7">
        <v>220.27541666666662</v>
      </c>
      <c r="F25" s="7">
        <v>525.47699999999998</v>
      </c>
      <c r="G25" s="7">
        <v>138.97500000000002</v>
      </c>
      <c r="H25" s="7">
        <v>454.42</v>
      </c>
      <c r="I25" s="7">
        <v>423.36799999999999</v>
      </c>
      <c r="J25" s="7">
        <v>678.97500000000002</v>
      </c>
      <c r="K25" s="7">
        <v>525.97449999999992</v>
      </c>
      <c r="L25" s="7">
        <v>634.20100000000002</v>
      </c>
      <c r="M25" s="7">
        <v>388.35750000000007</v>
      </c>
      <c r="N25" s="7">
        <v>315.41269999999992</v>
      </c>
      <c r="O25" s="7">
        <v>370.7</v>
      </c>
      <c r="P25" s="7">
        <v>535.17600000000004</v>
      </c>
      <c r="Q25" s="7">
        <v>403.63009999999997</v>
      </c>
      <c r="R25" s="7">
        <f t="shared" si="0"/>
        <v>449.55556666666672</v>
      </c>
      <c r="S25" s="7">
        <v>248.99699999999999</v>
      </c>
      <c r="T25" s="7">
        <v>339.12599999999998</v>
      </c>
      <c r="U25" s="7">
        <v>468.524</v>
      </c>
      <c r="V25" s="7">
        <v>422.37099999999998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369.75450000000001</v>
      </c>
    </row>
    <row r="26" spans="1:35" s="10" customFormat="1" ht="28.5" x14ac:dyDescent="0.35">
      <c r="A26" s="105">
        <v>24</v>
      </c>
      <c r="D26" s="88" t="s">
        <v>167</v>
      </c>
      <c r="E26" s="7">
        <f t="shared" ref="E26:Q26" si="5">E24/E25</f>
        <v>10.18327612793075</v>
      </c>
      <c r="F26" s="7">
        <f t="shared" si="5"/>
        <v>27.053536953291736</v>
      </c>
      <c r="G26" s="7">
        <f t="shared" si="5"/>
        <v>32.858355607501139</v>
      </c>
      <c r="H26" s="7">
        <f t="shared" si="5"/>
        <v>29.739157592153173</v>
      </c>
      <c r="I26" s="7">
        <f t="shared" si="5"/>
        <v>26.875651128486012</v>
      </c>
      <c r="J26" s="7">
        <f t="shared" si="5"/>
        <v>29.220481184243425</v>
      </c>
      <c r="K26" s="7">
        <f t="shared" si="5"/>
        <v>28.197229588065841</v>
      </c>
      <c r="L26" s="7">
        <f t="shared" si="5"/>
        <v>33.314401481970442</v>
      </c>
      <c r="M26" s="7">
        <f t="shared" si="5"/>
        <v>39.390228538550936</v>
      </c>
      <c r="N26" s="7">
        <f t="shared" si="5"/>
        <v>35.901095414195133</v>
      </c>
      <c r="O26" s="7">
        <f t="shared" si="5"/>
        <v>34.704703039470701</v>
      </c>
      <c r="P26" s="7">
        <f t="shared" si="5"/>
        <v>30.777430492249209</v>
      </c>
      <c r="Q26" s="7">
        <f t="shared" si="5"/>
        <v>33.212711880932993</v>
      </c>
      <c r="R26" s="7">
        <f>R24/R25</f>
        <v>31.297032958789689</v>
      </c>
      <c r="S26" s="7">
        <f>S24/S25</f>
        <v>39.843051220961307</v>
      </c>
      <c r="T26" s="7">
        <f>T24/T25</f>
        <v>32.688666120624298</v>
      </c>
      <c r="U26" s="7">
        <f>U24/U25</f>
        <v>29.499633632695918</v>
      </c>
      <c r="V26" s="7">
        <f>V24/V25</f>
        <v>30.411195070466331</v>
      </c>
      <c r="W26" s="7"/>
      <c r="X26" s="7"/>
      <c r="Y26" s="7"/>
      <c r="Z26" s="7"/>
      <c r="AA26" s="7"/>
      <c r="AB26" s="7"/>
      <c r="AC26" s="7"/>
      <c r="AD26" s="7"/>
      <c r="AE26" s="7">
        <f>AE24/AE25</f>
        <v>32.232515109972759</v>
      </c>
    </row>
    <row r="27" spans="1:35" s="12" customFormat="1" ht="15.5" x14ac:dyDescent="0.35">
      <c r="D27" s="103" t="s">
        <v>169</v>
      </c>
      <c r="E27" s="87">
        <v>0</v>
      </c>
      <c r="F27" s="87">
        <v>1212.4873023844066</v>
      </c>
      <c r="G27" s="87">
        <v>596.27773186444028</v>
      </c>
      <c r="H27" s="87">
        <v>868.32046616928528</v>
      </c>
      <c r="I27" s="87">
        <v>1024.7806107900269</v>
      </c>
      <c r="J27" s="87">
        <v>1683.849167542483</v>
      </c>
      <c r="K27" s="87">
        <v>1648.8117680554406</v>
      </c>
      <c r="L27" s="87">
        <v>3722.8834363459373</v>
      </c>
      <c r="M27" s="87">
        <v>1940.611406443988</v>
      </c>
      <c r="N27" s="87">
        <v>1234.464164156554</v>
      </c>
      <c r="O27" s="157">
        <v>946.11713707759554</v>
      </c>
      <c r="P27" s="87">
        <v>1227.8631719028363</v>
      </c>
      <c r="R27" s="12">
        <f t="shared" si="0"/>
        <v>1464.2242147939085</v>
      </c>
      <c r="S27" s="157">
        <v>296.40389274301538</v>
      </c>
      <c r="T27" s="157">
        <v>264.90043844550996</v>
      </c>
      <c r="U27" s="157">
        <v>218.62225005806818</v>
      </c>
      <c r="V27" s="157">
        <v>216.95818919053113</v>
      </c>
      <c r="AE27" s="42">
        <f>AVERAGE(S27:AD27)</f>
        <v>249.22119260928116</v>
      </c>
    </row>
    <row r="28" spans="1:35" x14ac:dyDescent="0.35">
      <c r="F28" s="123"/>
      <c r="G28" s="123"/>
      <c r="H28" s="123"/>
      <c r="I28" s="123"/>
      <c r="J28" s="123"/>
      <c r="K28" s="9"/>
      <c r="L28" s="9"/>
      <c r="M28" s="9"/>
      <c r="N28" s="9"/>
      <c r="O28" s="9"/>
      <c r="P28" s="9"/>
      <c r="Q28" s="9">
        <f>Q24+'KMP- PET'!Q25</f>
        <v>101740.86872667971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5" ht="21" x14ac:dyDescent="0.5">
      <c r="B29" s="104" t="s">
        <v>196</v>
      </c>
      <c r="C29" s="93"/>
      <c r="D29" s="93"/>
      <c r="F29" s="123"/>
      <c r="G29" s="123"/>
      <c r="H29" s="123"/>
      <c r="I29" s="123"/>
      <c r="J29" s="1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5" ht="16" x14ac:dyDescent="0.4">
      <c r="B30" s="93"/>
      <c r="C30" s="93"/>
      <c r="D30" s="106" t="s">
        <v>192</v>
      </c>
      <c r="F30" s="123"/>
      <c r="G30" s="123"/>
      <c r="H30" s="123"/>
      <c r="I30" s="123"/>
      <c r="J30" s="123"/>
    </row>
    <row r="31" spans="1:35" s="522" customFormat="1" ht="26" x14ac:dyDescent="0.3">
      <c r="B31" s="523" t="s">
        <v>57</v>
      </c>
      <c r="C31" s="523" t="s">
        <v>58</v>
      </c>
      <c r="D31" s="523" t="s">
        <v>59</v>
      </c>
      <c r="E31" s="524" t="s">
        <v>170</v>
      </c>
      <c r="F31" s="525" t="s">
        <v>185</v>
      </c>
      <c r="G31" s="524">
        <v>2</v>
      </c>
      <c r="H31" s="524">
        <v>3</v>
      </c>
      <c r="I31" s="526">
        <v>4</v>
      </c>
      <c r="J31" s="526">
        <v>5</v>
      </c>
      <c r="K31" s="526">
        <v>6</v>
      </c>
      <c r="L31" s="526">
        <v>7</v>
      </c>
      <c r="M31" s="526">
        <v>8</v>
      </c>
      <c r="N31" s="526">
        <v>9</v>
      </c>
      <c r="O31" s="526">
        <v>10</v>
      </c>
      <c r="P31" s="526">
        <v>11</v>
      </c>
      <c r="Q31" s="526">
        <v>12</v>
      </c>
      <c r="R31" s="526" t="s">
        <v>184</v>
      </c>
      <c r="S31" s="524" t="s">
        <v>228</v>
      </c>
      <c r="T31" s="524">
        <v>2</v>
      </c>
      <c r="U31" s="524">
        <v>3</v>
      </c>
      <c r="V31" s="526">
        <v>4</v>
      </c>
      <c r="W31" s="526">
        <v>5</v>
      </c>
      <c r="X31" s="526">
        <v>6</v>
      </c>
      <c r="Y31" s="526">
        <v>7</v>
      </c>
      <c r="Z31" s="526">
        <v>8</v>
      </c>
      <c r="AA31" s="526">
        <v>9</v>
      </c>
      <c r="AB31" s="526">
        <v>10</v>
      </c>
      <c r="AC31" s="526">
        <v>11</v>
      </c>
      <c r="AD31" s="526">
        <v>12</v>
      </c>
      <c r="AE31" s="526" t="s">
        <v>249</v>
      </c>
      <c r="AF31" s="524" t="s">
        <v>186</v>
      </c>
      <c r="AG31" s="524" t="s">
        <v>179</v>
      </c>
      <c r="AH31" s="524" t="s">
        <v>178</v>
      </c>
      <c r="AI31" s="524" t="s">
        <v>247</v>
      </c>
    </row>
    <row r="32" spans="1:35" ht="16" x14ac:dyDescent="0.4">
      <c r="B32" s="112" t="s">
        <v>161</v>
      </c>
      <c r="C32" s="97"/>
      <c r="D32" s="98" t="s">
        <v>162</v>
      </c>
      <c r="E32" s="129">
        <f t="shared" ref="E32:Q32" si="6">SUM(E33:E43)</f>
        <v>3.4702938324282844</v>
      </c>
      <c r="F32" s="129">
        <f t="shared" si="6"/>
        <v>20.376183320117178</v>
      </c>
      <c r="G32" s="129">
        <f t="shared" si="6"/>
        <v>21.967275122676597</v>
      </c>
      <c r="H32" s="129">
        <f t="shared" si="6"/>
        <v>23.03837054042291</v>
      </c>
      <c r="I32" s="129">
        <f t="shared" si="6"/>
        <v>19.291893419823726</v>
      </c>
      <c r="J32" s="129">
        <f t="shared" si="6"/>
        <v>21.215090611852848</v>
      </c>
      <c r="K32" s="129">
        <f t="shared" si="6"/>
        <v>18.114212384856017</v>
      </c>
      <c r="L32" s="129">
        <f t="shared" si="6"/>
        <v>14.774478634857465</v>
      </c>
      <c r="M32" s="129">
        <f t="shared" si="6"/>
        <v>22.967286085074264</v>
      </c>
      <c r="N32" s="129">
        <f t="shared" si="6"/>
        <v>22.393624973573893</v>
      </c>
      <c r="O32" s="129">
        <f t="shared" si="6"/>
        <v>25.988765199621014</v>
      </c>
      <c r="P32" s="129">
        <f t="shared" si="6"/>
        <v>22.877101121518347</v>
      </c>
      <c r="Q32" s="129">
        <f t="shared" si="6"/>
        <v>23.557225684033366</v>
      </c>
      <c r="R32" s="129">
        <f>SUM(R33:R43)</f>
        <v>20.959101885827934</v>
      </c>
      <c r="S32" s="129">
        <f>SUM(S33:S43)</f>
        <v>24.418133869457218</v>
      </c>
      <c r="T32" s="129">
        <f t="shared" ref="T32:AE32" si="7">SUM(T33:T43)</f>
        <v>23.464694424807949</v>
      </c>
      <c r="U32" s="129">
        <f t="shared" si="7"/>
        <v>23.569609646192628</v>
      </c>
      <c r="V32" s="129">
        <f t="shared" si="7"/>
        <v>23.402048342368307</v>
      </c>
      <c r="W32" s="129" t="e">
        <f t="shared" si="7"/>
        <v>#DIV/0!</v>
      </c>
      <c r="X32" s="129" t="e">
        <f t="shared" si="7"/>
        <v>#DIV/0!</v>
      </c>
      <c r="Y32" s="129" t="e">
        <f t="shared" si="7"/>
        <v>#DIV/0!</v>
      </c>
      <c r="Z32" s="129" t="e">
        <f t="shared" si="7"/>
        <v>#DIV/0!</v>
      </c>
      <c r="AA32" s="129" t="e">
        <f t="shared" si="7"/>
        <v>#DIV/0!</v>
      </c>
      <c r="AB32" s="129" t="e">
        <f t="shared" si="7"/>
        <v>#DIV/0!</v>
      </c>
      <c r="AC32" s="129" t="e">
        <f t="shared" si="7"/>
        <v>#DIV/0!</v>
      </c>
      <c r="AD32" s="129" t="e">
        <f t="shared" si="7"/>
        <v>#DIV/0!</v>
      </c>
      <c r="AE32" s="129">
        <f t="shared" si="7"/>
        <v>23.640553658500348</v>
      </c>
      <c r="AF32" s="129">
        <f>SUM(AF33:AF43)</f>
        <v>0</v>
      </c>
      <c r="AG32" s="116">
        <f>E32/E$52</f>
        <v>0.34078363277510892</v>
      </c>
      <c r="AH32" s="116">
        <f>R32/R$52</f>
        <v>0.66968335028517845</v>
      </c>
      <c r="AI32" s="116">
        <f t="shared" ref="AI32" si="8">AE32/AE$52</f>
        <v>0.73343806953450974</v>
      </c>
    </row>
    <row r="33" spans="2:35" ht="15.5" x14ac:dyDescent="0.35">
      <c r="B33" s="113">
        <v>1</v>
      </c>
      <c r="C33" s="99" t="s">
        <v>96</v>
      </c>
      <c r="D33" s="99" t="s">
        <v>260</v>
      </c>
      <c r="E33" s="127">
        <f t="shared" ref="E33:S33" si="9">E5/E$25</f>
        <v>0</v>
      </c>
      <c r="F33" s="127">
        <f t="shared" si="9"/>
        <v>18.40148324094109</v>
      </c>
      <c r="G33" s="127">
        <f t="shared" si="9"/>
        <v>19.937836301493075</v>
      </c>
      <c r="H33" s="127">
        <f t="shared" si="9"/>
        <v>21.215324688614054</v>
      </c>
      <c r="I33" s="127">
        <f t="shared" si="9"/>
        <v>17.515845569339202</v>
      </c>
      <c r="J33" s="127">
        <f t="shared" si="9"/>
        <v>19.087561544975884</v>
      </c>
      <c r="K33" s="127">
        <f t="shared" si="9"/>
        <v>16.175475311065469</v>
      </c>
      <c r="L33" s="127">
        <f t="shared" si="9"/>
        <v>12.161154854691178</v>
      </c>
      <c r="M33" s="127">
        <f t="shared" si="9"/>
        <v>20.488970003154307</v>
      </c>
      <c r="N33" s="127">
        <f t="shared" si="9"/>
        <v>19.817956459584543</v>
      </c>
      <c r="O33" s="127">
        <f t="shared" si="9"/>
        <v>23.655613487995687</v>
      </c>
      <c r="P33" s="127">
        <f t="shared" si="9"/>
        <v>20.830107047092188</v>
      </c>
      <c r="Q33" s="127">
        <f t="shared" si="9"/>
        <v>21.222192155707187</v>
      </c>
      <c r="R33" s="127">
        <f>R5/R$25</f>
        <v>18.790394936803491</v>
      </c>
      <c r="S33" s="127">
        <f t="shared" si="9"/>
        <v>21.314439166638778</v>
      </c>
      <c r="T33" s="127">
        <f t="shared" ref="T33:AE33" si="10">T5/T$25</f>
        <v>20.973841830458248</v>
      </c>
      <c r="U33" s="127">
        <f t="shared" si="10"/>
        <v>21.403339873289951</v>
      </c>
      <c r="V33" s="127">
        <f t="shared" si="10"/>
        <v>20.990809577146205</v>
      </c>
      <c r="W33" s="127" t="e">
        <f t="shared" si="10"/>
        <v>#DIV/0!</v>
      </c>
      <c r="X33" s="127" t="e">
        <f t="shared" si="10"/>
        <v>#DIV/0!</v>
      </c>
      <c r="Y33" s="127" t="e">
        <f t="shared" si="10"/>
        <v>#DIV/0!</v>
      </c>
      <c r="Z33" s="127" t="e">
        <f t="shared" si="10"/>
        <v>#DIV/0!</v>
      </c>
      <c r="AA33" s="127" t="e">
        <f t="shared" si="10"/>
        <v>#DIV/0!</v>
      </c>
      <c r="AB33" s="127" t="e">
        <f t="shared" si="10"/>
        <v>#DIV/0!</v>
      </c>
      <c r="AC33" s="127" t="e">
        <f t="shared" si="10"/>
        <v>#DIV/0!</v>
      </c>
      <c r="AD33" s="127" t="e">
        <f t="shared" si="10"/>
        <v>#DIV/0!</v>
      </c>
      <c r="AE33" s="127">
        <f t="shared" si="10"/>
        <v>21.172084542901885</v>
      </c>
      <c r="AF33" s="127"/>
      <c r="AG33" s="527">
        <f>E33/E$52</f>
        <v>0</v>
      </c>
      <c r="AH33" s="527">
        <f>R33/R$52</f>
        <v>0.60038901967306957</v>
      </c>
      <c r="AI33" s="527">
        <f>AE33/AE$52</f>
        <v>0.65685487063810355</v>
      </c>
    </row>
    <row r="34" spans="2:35" ht="15.5" x14ac:dyDescent="0.35">
      <c r="B34" s="114">
        <f>B33+1</f>
        <v>2</v>
      </c>
      <c r="C34" s="101" t="s">
        <v>96</v>
      </c>
      <c r="D34" s="101" t="s">
        <v>25</v>
      </c>
      <c r="E34" s="130">
        <f t="shared" ref="E34:R34" si="11">E6/E$25</f>
        <v>1.4664295859637577</v>
      </c>
      <c r="F34" s="130">
        <f t="shared" si="11"/>
        <v>1.1622871322930899</v>
      </c>
      <c r="G34" s="130">
        <f t="shared" si="11"/>
        <v>1.4181931192939561</v>
      </c>
      <c r="H34" s="130">
        <f t="shared" si="11"/>
        <v>1.045268805609302</v>
      </c>
      <c r="I34" s="130">
        <f t="shared" si="11"/>
        <v>1.2247460525202432</v>
      </c>
      <c r="J34" s="130">
        <f t="shared" si="11"/>
        <v>1.3627740259740264</v>
      </c>
      <c r="K34" s="130">
        <f t="shared" si="11"/>
        <v>1.3856628521080161</v>
      </c>
      <c r="L34" s="130">
        <f t="shared" si="11"/>
        <v>1.6408391126560737</v>
      </c>
      <c r="M34" s="130">
        <f t="shared" si="11"/>
        <v>1.6168249997434534</v>
      </c>
      <c r="N34" s="130">
        <f t="shared" si="11"/>
        <v>1.6678597260468151</v>
      </c>
      <c r="O34" s="130">
        <f t="shared" si="11"/>
        <v>1.2979874317417879</v>
      </c>
      <c r="P34" s="130">
        <f t="shared" si="11"/>
        <v>1.3476155595021735</v>
      </c>
      <c r="Q34" s="130">
        <f t="shared" si="11"/>
        <v>1.4725653212197845</v>
      </c>
      <c r="R34" s="130">
        <f t="shared" si="11"/>
        <v>1.380402195643754</v>
      </c>
      <c r="S34" s="130">
        <f t="shared" ref="S34:AE34" si="12">S6/S$25</f>
        <v>1.7505206005660607</v>
      </c>
      <c r="T34" s="130">
        <f t="shared" si="12"/>
        <v>1.4215826858321166</v>
      </c>
      <c r="U34" s="130">
        <f t="shared" si="12"/>
        <v>1.3607828018714534</v>
      </c>
      <c r="V34" s="130">
        <f t="shared" si="12"/>
        <v>1.5153341381603715</v>
      </c>
      <c r="W34" s="130" t="e">
        <f t="shared" si="12"/>
        <v>#DIV/0!</v>
      </c>
      <c r="X34" s="130" t="e">
        <f t="shared" si="12"/>
        <v>#DIV/0!</v>
      </c>
      <c r="Y34" s="130" t="e">
        <f t="shared" si="12"/>
        <v>#DIV/0!</v>
      </c>
      <c r="Z34" s="130" t="e">
        <f t="shared" si="12"/>
        <v>#DIV/0!</v>
      </c>
      <c r="AA34" s="130" t="e">
        <f t="shared" si="12"/>
        <v>#DIV/0!</v>
      </c>
      <c r="AB34" s="130" t="e">
        <f t="shared" si="12"/>
        <v>#DIV/0!</v>
      </c>
      <c r="AC34" s="130" t="e">
        <f t="shared" si="12"/>
        <v>#DIV/0!</v>
      </c>
      <c r="AD34" s="130" t="e">
        <f t="shared" si="12"/>
        <v>#DIV/0!</v>
      </c>
      <c r="AE34" s="130">
        <f t="shared" si="12"/>
        <v>1.484473227930698</v>
      </c>
      <c r="AF34" s="130"/>
      <c r="AG34" s="140">
        <f t="shared" ref="AG34:AG52" si="13">E34/E$52</f>
        <v>0.14400371428028222</v>
      </c>
      <c r="AH34" s="140">
        <f t="shared" ref="AH34:AH52" si="14">R34/R$52</f>
        <v>4.4106487584985962E-2</v>
      </c>
      <c r="AI34" s="140">
        <f t="shared" ref="AI34:AI55" si="15">AE34/AE$52</f>
        <v>4.6055147197352916E-2</v>
      </c>
    </row>
    <row r="35" spans="2:35" ht="15.5" x14ac:dyDescent="0.35">
      <c r="B35" s="114">
        <f t="shared" ref="B35:B43" si="16">B34+1</f>
        <v>3</v>
      </c>
      <c r="C35" s="101" t="s">
        <v>96</v>
      </c>
      <c r="D35" s="101" t="s">
        <v>165</v>
      </c>
      <c r="E35" s="130">
        <f t="shared" ref="E35:R35" si="17">E7/E$25</f>
        <v>3.4130216714295433E-2</v>
      </c>
      <c r="F35" s="130">
        <f t="shared" si="17"/>
        <v>3.7880879069699017E-2</v>
      </c>
      <c r="G35" s="130">
        <f t="shared" si="17"/>
        <v>5.2118635572920194E-2</v>
      </c>
      <c r="H35" s="130">
        <f t="shared" si="17"/>
        <v>1.794044021505458E-2</v>
      </c>
      <c r="I35" s="130">
        <f t="shared" si="17"/>
        <v>1.8870435906836854E-2</v>
      </c>
      <c r="J35" s="130">
        <f t="shared" si="17"/>
        <v>1.086713485655643E-2</v>
      </c>
      <c r="K35" s="130">
        <f t="shared" si="17"/>
        <v>2.7784260802978463E-2</v>
      </c>
      <c r="L35" s="130">
        <f t="shared" si="17"/>
        <v>2.2711527201788161E-2</v>
      </c>
      <c r="M35" s="130">
        <f t="shared" si="17"/>
        <v>6.4530115252281514E-2</v>
      </c>
      <c r="N35" s="130">
        <f t="shared" si="17"/>
        <v>4.6515241908546535E-2</v>
      </c>
      <c r="O35" s="130">
        <f t="shared" si="17"/>
        <v>7.6399682968681701E-2</v>
      </c>
      <c r="P35" s="130">
        <f t="shared" si="17"/>
        <v>7.0879392100994046E-2</v>
      </c>
      <c r="Q35" s="130">
        <f t="shared" si="17"/>
        <v>9.9314392076079089E-2</v>
      </c>
      <c r="R35" s="130">
        <f t="shared" si="17"/>
        <v>4.1848588825038849E-2</v>
      </c>
      <c r="S35" s="130">
        <f t="shared" ref="S35:S40" si="18">S7/S$25</f>
        <v>5.2001456252513317E-2</v>
      </c>
      <c r="T35" s="130">
        <f t="shared" ref="T35:AE35" si="19">T7/T$25</f>
        <v>8.4125691144361137E-2</v>
      </c>
      <c r="U35" s="130">
        <f t="shared" si="19"/>
        <v>7.1912069499563358E-2</v>
      </c>
      <c r="V35" s="130">
        <f t="shared" si="19"/>
        <v>5.3931385378183379E-2</v>
      </c>
      <c r="W35" s="130" t="e">
        <f t="shared" si="19"/>
        <v>#DIV/0!</v>
      </c>
      <c r="X35" s="130" t="e">
        <f t="shared" si="19"/>
        <v>#DIV/0!</v>
      </c>
      <c r="Y35" s="130" t="e">
        <f t="shared" si="19"/>
        <v>#DIV/0!</v>
      </c>
      <c r="Z35" s="130" t="e">
        <f t="shared" si="19"/>
        <v>#DIV/0!</v>
      </c>
      <c r="AA35" s="130" t="e">
        <f t="shared" si="19"/>
        <v>#DIV/0!</v>
      </c>
      <c r="AB35" s="130" t="e">
        <f t="shared" si="19"/>
        <v>#DIV/0!</v>
      </c>
      <c r="AC35" s="130" t="e">
        <f t="shared" si="19"/>
        <v>#DIV/0!</v>
      </c>
      <c r="AD35" s="130" t="e">
        <f t="shared" si="19"/>
        <v>#DIV/0!</v>
      </c>
      <c r="AE35" s="130">
        <f t="shared" si="19"/>
        <v>6.6225697970756128E-2</v>
      </c>
      <c r="AF35" s="130"/>
      <c r="AG35" s="140">
        <f t="shared" si="13"/>
        <v>3.351594937181649E-3</v>
      </c>
      <c r="AH35" s="140">
        <f t="shared" si="14"/>
        <v>1.3371423700177232E-3</v>
      </c>
      <c r="AI35" s="140">
        <f t="shared" si="15"/>
        <v>2.0546239641803759E-3</v>
      </c>
    </row>
    <row r="36" spans="2:35" ht="15.5" x14ac:dyDescent="0.35">
      <c r="B36" s="114">
        <f t="shared" si="16"/>
        <v>4</v>
      </c>
      <c r="C36" s="101" t="s">
        <v>96</v>
      </c>
      <c r="D36" s="101" t="s">
        <v>54</v>
      </c>
      <c r="E36" s="130">
        <f t="shared" ref="E36:R36" si="20">E8/E$25</f>
        <v>0.22840583360603492</v>
      </c>
      <c r="F36" s="130">
        <f t="shared" si="20"/>
        <v>0.12187533422014667</v>
      </c>
      <c r="G36" s="130">
        <f t="shared" si="20"/>
        <v>5.2627062421298783E-2</v>
      </c>
      <c r="H36" s="130">
        <f t="shared" si="20"/>
        <v>0.26624257955195635</v>
      </c>
      <c r="I36" s="130">
        <f t="shared" si="20"/>
        <v>2.7128261937605112E-2</v>
      </c>
      <c r="J36" s="130">
        <f t="shared" si="20"/>
        <v>9.753728782355757E-2</v>
      </c>
      <c r="K36" s="130">
        <f t="shared" si="20"/>
        <v>2.4095512234908731E-2</v>
      </c>
      <c r="L36" s="130">
        <f t="shared" si="20"/>
        <v>0.19751402473348356</v>
      </c>
      <c r="M36" s="130">
        <f t="shared" si="20"/>
        <v>0.24637350894472226</v>
      </c>
      <c r="N36" s="130">
        <f t="shared" si="20"/>
        <v>0.17190212061847862</v>
      </c>
      <c r="O36" s="130">
        <f t="shared" si="20"/>
        <v>0.23434221742649045</v>
      </c>
      <c r="P36" s="130">
        <f t="shared" si="20"/>
        <v>0.14280886661584227</v>
      </c>
      <c r="Q36" s="130">
        <f t="shared" si="20"/>
        <v>0.16600884076782182</v>
      </c>
      <c r="R36" s="130">
        <f t="shared" si="20"/>
        <v>0.14610654619113825</v>
      </c>
      <c r="S36" s="130">
        <f t="shared" si="18"/>
        <v>0.35392921601465083</v>
      </c>
      <c r="T36" s="130">
        <f t="shared" ref="T36:AE36" si="21">T8/T$25</f>
        <v>0.26211833359872144</v>
      </c>
      <c r="U36" s="130">
        <f t="shared" si="21"/>
        <v>0.15726424473452802</v>
      </c>
      <c r="V36" s="130">
        <f t="shared" si="21"/>
        <v>7.2241628805007924E-2</v>
      </c>
      <c r="W36" s="130" t="e">
        <f t="shared" si="21"/>
        <v>#DIV/0!</v>
      </c>
      <c r="X36" s="130" t="e">
        <f t="shared" si="21"/>
        <v>#DIV/0!</v>
      </c>
      <c r="Y36" s="130" t="e">
        <f t="shared" si="21"/>
        <v>#DIV/0!</v>
      </c>
      <c r="Z36" s="130" t="e">
        <f t="shared" si="21"/>
        <v>#DIV/0!</v>
      </c>
      <c r="AA36" s="130" t="e">
        <f t="shared" si="21"/>
        <v>#DIV/0!</v>
      </c>
      <c r="AB36" s="130" t="e">
        <f t="shared" si="21"/>
        <v>#DIV/0!</v>
      </c>
      <c r="AC36" s="130" t="e">
        <f t="shared" si="21"/>
        <v>#DIV/0!</v>
      </c>
      <c r="AD36" s="130" t="e">
        <f t="shared" si="21"/>
        <v>#DIV/0!</v>
      </c>
      <c r="AE36" s="130">
        <f t="shared" si="21"/>
        <v>0.19013514169536816</v>
      </c>
      <c r="AF36" s="130"/>
      <c r="AG36" s="140">
        <f t="shared" si="13"/>
        <v>2.2429504094420277E-2</v>
      </c>
      <c r="AH36" s="140">
        <f t="shared" si="14"/>
        <v>4.6683833059678135E-3</v>
      </c>
      <c r="AI36" s="140">
        <f t="shared" si="15"/>
        <v>5.8988614771963649E-3</v>
      </c>
    </row>
    <row r="37" spans="2:35" ht="15.5" x14ac:dyDescent="0.35">
      <c r="B37" s="114">
        <f t="shared" si="16"/>
        <v>5</v>
      </c>
      <c r="C37" s="101" t="s">
        <v>96</v>
      </c>
      <c r="D37" s="101" t="s">
        <v>49</v>
      </c>
      <c r="E37" s="130">
        <f t="shared" ref="E37:R37" si="22">E9/E$25</f>
        <v>0.91507222454316262</v>
      </c>
      <c r="F37" s="130">
        <f t="shared" si="22"/>
        <v>0.22536395057848146</v>
      </c>
      <c r="G37" s="130">
        <f t="shared" si="22"/>
        <v>6.6064800673692387E-2</v>
      </c>
      <c r="H37" s="130">
        <f t="shared" si="22"/>
        <v>9.4375895529329693E-2</v>
      </c>
      <c r="I37" s="130">
        <f t="shared" si="22"/>
        <v>5.2078563561372908E-2</v>
      </c>
      <c r="J37" s="130">
        <f t="shared" si="22"/>
        <v>0.29795800905969616</v>
      </c>
      <c r="K37" s="130">
        <f t="shared" si="22"/>
        <v>9.974999890817221E-2</v>
      </c>
      <c r="L37" s="130">
        <f t="shared" si="22"/>
        <v>0.28004417513679358</v>
      </c>
      <c r="M37" s="130">
        <f t="shared" si="22"/>
        <v>9.11922708633989E-2</v>
      </c>
      <c r="N37" s="130">
        <f t="shared" si="22"/>
        <v>0.31617266374656966</v>
      </c>
      <c r="O37" s="130">
        <f t="shared" si="22"/>
        <v>0.17591388914556852</v>
      </c>
      <c r="P37" s="130">
        <f t="shared" si="22"/>
        <v>8.8432785907418876E-2</v>
      </c>
      <c r="Q37" s="130">
        <f t="shared" si="22"/>
        <v>0.1614570280381466</v>
      </c>
      <c r="R37" s="130">
        <f t="shared" si="22"/>
        <v>0.17383154907252629</v>
      </c>
      <c r="S37" s="130">
        <f t="shared" si="18"/>
        <v>0.24131147297194994</v>
      </c>
      <c r="T37" s="130">
        <f t="shared" ref="T37:AE37" si="23">T9/T$25</f>
        <v>0.16845285489374537</v>
      </c>
      <c r="U37" s="130">
        <f t="shared" si="23"/>
        <v>0.15753054839555797</v>
      </c>
      <c r="V37" s="130">
        <f t="shared" si="23"/>
        <v>0.27383233736040946</v>
      </c>
      <c r="W37" s="130" t="e">
        <f t="shared" si="23"/>
        <v>#DIV/0!</v>
      </c>
      <c r="X37" s="130" t="e">
        <f t="shared" si="23"/>
        <v>#DIV/0!</v>
      </c>
      <c r="Y37" s="130" t="e">
        <f t="shared" si="23"/>
        <v>#DIV/0!</v>
      </c>
      <c r="Z37" s="130" t="e">
        <f t="shared" si="23"/>
        <v>#DIV/0!</v>
      </c>
      <c r="AA37" s="130" t="e">
        <f t="shared" si="23"/>
        <v>#DIV/0!</v>
      </c>
      <c r="AB37" s="130" t="e">
        <f t="shared" si="23"/>
        <v>#DIV/0!</v>
      </c>
      <c r="AC37" s="130" t="e">
        <f t="shared" si="23"/>
        <v>#DIV/0!</v>
      </c>
      <c r="AD37" s="130" t="e">
        <f t="shared" si="23"/>
        <v>#DIV/0!</v>
      </c>
      <c r="AE37" s="130">
        <f t="shared" si="23"/>
        <v>0.20735261945698211</v>
      </c>
      <c r="AF37" s="130"/>
      <c r="AG37" s="140">
        <f t="shared" si="13"/>
        <v>8.9860297712373471E-2</v>
      </c>
      <c r="AH37" s="140">
        <f t="shared" si="14"/>
        <v>5.5542501201765243E-3</v>
      </c>
      <c r="AI37" s="140">
        <f t="shared" si="15"/>
        <v>6.4330263632708887E-3</v>
      </c>
    </row>
    <row r="38" spans="2:35" ht="15.5" x14ac:dyDescent="0.35">
      <c r="B38" s="114">
        <f t="shared" si="16"/>
        <v>6</v>
      </c>
      <c r="C38" s="101" t="s">
        <v>96</v>
      </c>
      <c r="D38" s="101" t="s">
        <v>56</v>
      </c>
      <c r="E38" s="130">
        <f t="shared" ref="E38:R38" si="24">E10/E$25</f>
        <v>0.39941824231407286</v>
      </c>
      <c r="F38" s="130">
        <f t="shared" si="24"/>
        <v>0.26091941036429755</v>
      </c>
      <c r="G38" s="130">
        <f t="shared" si="24"/>
        <v>0.28693136895125021</v>
      </c>
      <c r="H38" s="130">
        <f t="shared" si="24"/>
        <v>0.22097923066766428</v>
      </c>
      <c r="I38" s="130">
        <f t="shared" si="24"/>
        <v>0.30055478449008899</v>
      </c>
      <c r="J38" s="130">
        <f t="shared" si="24"/>
        <v>0.21394362679038254</v>
      </c>
      <c r="K38" s="130">
        <f t="shared" si="24"/>
        <v>0.21834418018364007</v>
      </c>
      <c r="L38" s="130">
        <f t="shared" si="24"/>
        <v>0.17718329204778924</v>
      </c>
      <c r="M38" s="130">
        <f t="shared" si="24"/>
        <v>0.25135497061341672</v>
      </c>
      <c r="N38" s="130">
        <f t="shared" si="24"/>
        <v>0.22131187171600897</v>
      </c>
      <c r="O38" s="130">
        <f t="shared" si="24"/>
        <v>0.31757866738602647</v>
      </c>
      <c r="P38" s="130">
        <f t="shared" si="24"/>
        <v>0.26468609392050468</v>
      </c>
      <c r="Q38" s="130">
        <f t="shared" si="24"/>
        <v>0.26995107153802461</v>
      </c>
      <c r="R38" s="130">
        <f t="shared" si="24"/>
        <v>0.24336671914565694</v>
      </c>
      <c r="S38" s="130">
        <f t="shared" si="18"/>
        <v>0.25821325959750518</v>
      </c>
      <c r="T38" s="130">
        <f t="shared" ref="T38:AE38" si="25">T10/T$25</f>
        <v>0.3413223875491706</v>
      </c>
      <c r="U38" s="130">
        <f t="shared" si="25"/>
        <v>0.2630479655257788</v>
      </c>
      <c r="V38" s="130">
        <f t="shared" si="25"/>
        <v>0.24258850631317019</v>
      </c>
      <c r="W38" s="130" t="e">
        <f t="shared" si="25"/>
        <v>#DIV/0!</v>
      </c>
      <c r="X38" s="130" t="e">
        <f t="shared" si="25"/>
        <v>#DIV/0!</v>
      </c>
      <c r="Y38" s="130" t="e">
        <f t="shared" si="25"/>
        <v>#DIV/0!</v>
      </c>
      <c r="Z38" s="130" t="e">
        <f t="shared" si="25"/>
        <v>#DIV/0!</v>
      </c>
      <c r="AA38" s="130" t="e">
        <f t="shared" si="25"/>
        <v>#DIV/0!</v>
      </c>
      <c r="AB38" s="130" t="e">
        <f t="shared" si="25"/>
        <v>#DIV/0!</v>
      </c>
      <c r="AC38" s="130" t="e">
        <f t="shared" si="25"/>
        <v>#DIV/0!</v>
      </c>
      <c r="AD38" s="130" t="e">
        <f t="shared" si="25"/>
        <v>#DIV/0!</v>
      </c>
      <c r="AE38" s="130">
        <f t="shared" si="25"/>
        <v>0.27433895868745345</v>
      </c>
      <c r="AF38" s="130"/>
      <c r="AG38" s="140">
        <f t="shared" si="13"/>
        <v>3.9222960989788572E-2</v>
      </c>
      <c r="AH38" s="140">
        <f t="shared" si="14"/>
        <v>7.7760316598097208E-3</v>
      </c>
      <c r="AI38" s="140">
        <f t="shared" si="15"/>
        <v>8.5112488973152663E-3</v>
      </c>
    </row>
    <row r="39" spans="2:35" ht="15.5" x14ac:dyDescent="0.35">
      <c r="B39" s="114">
        <f t="shared" si="16"/>
        <v>7</v>
      </c>
      <c r="C39" s="101" t="s">
        <v>96</v>
      </c>
      <c r="D39" s="101" t="s">
        <v>28</v>
      </c>
      <c r="E39" s="130">
        <f t="shared" ref="E39:R39" si="26">E11/E$25</f>
        <v>0.16519242915142826</v>
      </c>
      <c r="F39" s="130">
        <f t="shared" si="26"/>
        <v>8.0946318197641962E-2</v>
      </c>
      <c r="G39" s="130">
        <f t="shared" si="26"/>
        <v>9.2151969142682991E-2</v>
      </c>
      <c r="H39" s="130">
        <f t="shared" si="26"/>
        <v>8.4277115323424898E-2</v>
      </c>
      <c r="I39" s="130">
        <f t="shared" si="26"/>
        <v>8.6304032437479125E-2</v>
      </c>
      <c r="J39" s="130">
        <f t="shared" si="26"/>
        <v>8.8939596751832065E-2</v>
      </c>
      <c r="K39" s="130">
        <f t="shared" si="26"/>
        <v>0.10167778111739818</v>
      </c>
      <c r="L39" s="130">
        <f t="shared" si="26"/>
        <v>0.16923141151206803</v>
      </c>
      <c r="M39" s="130">
        <f t="shared" si="26"/>
        <v>0.12214887011093087</v>
      </c>
      <c r="N39" s="130">
        <f t="shared" si="26"/>
        <v>9.4340957837718065E-2</v>
      </c>
      <c r="O39" s="130">
        <f t="shared" si="26"/>
        <v>7.2492689093140522E-2</v>
      </c>
      <c r="P39" s="130">
        <f t="shared" si="26"/>
        <v>6.6348175031311532E-2</v>
      </c>
      <c r="Q39" s="130">
        <f t="shared" si="26"/>
        <v>8.7713977955019617E-2</v>
      </c>
      <c r="R39" s="130">
        <f t="shared" si="26"/>
        <v>9.7568767811152771E-2</v>
      </c>
      <c r="S39" s="130">
        <f t="shared" si="18"/>
        <v>9.4472927835645537E-2</v>
      </c>
      <c r="T39" s="130">
        <f t="shared" ref="T39:AE39" si="27">T11/T$25</f>
        <v>7.4916739650744996E-2</v>
      </c>
      <c r="U39" s="130">
        <f t="shared" si="27"/>
        <v>5.867962346948933E-2</v>
      </c>
      <c r="V39" s="130">
        <f t="shared" si="27"/>
        <v>5.8127548737858192E-2</v>
      </c>
      <c r="W39" s="130" t="e">
        <f t="shared" si="27"/>
        <v>#DIV/0!</v>
      </c>
      <c r="X39" s="130" t="e">
        <f t="shared" si="27"/>
        <v>#DIV/0!</v>
      </c>
      <c r="Y39" s="130" t="e">
        <f t="shared" si="27"/>
        <v>#DIV/0!</v>
      </c>
      <c r="Z39" s="130" t="e">
        <f t="shared" si="27"/>
        <v>#DIV/0!</v>
      </c>
      <c r="AA39" s="130" t="e">
        <f t="shared" si="27"/>
        <v>#DIV/0!</v>
      </c>
      <c r="AB39" s="130" t="e">
        <f t="shared" si="27"/>
        <v>#DIV/0!</v>
      </c>
      <c r="AC39" s="130" t="e">
        <f t="shared" si="27"/>
        <v>#DIV/0!</v>
      </c>
      <c r="AD39" s="130" t="e">
        <f t="shared" si="27"/>
        <v>#DIV/0!</v>
      </c>
      <c r="AE39" s="130">
        <f t="shared" si="27"/>
        <v>6.8270901812870224E-2</v>
      </c>
      <c r="AF39" s="130"/>
      <c r="AG39" s="140">
        <f t="shared" si="13"/>
        <v>1.6221933597414445E-2</v>
      </c>
      <c r="AH39" s="140">
        <f t="shared" si="14"/>
        <v>3.1175085491211342E-3</v>
      </c>
      <c r="AI39" s="140">
        <f t="shared" si="15"/>
        <v>2.1180755389376095E-3</v>
      </c>
    </row>
    <row r="40" spans="2:35" ht="15.5" hidden="1" x14ac:dyDescent="0.35">
      <c r="B40" s="114">
        <f t="shared" si="16"/>
        <v>8</v>
      </c>
      <c r="C40" s="101" t="s">
        <v>96</v>
      </c>
      <c r="D40" s="101" t="s">
        <v>53</v>
      </c>
      <c r="E40" s="130">
        <f t="shared" ref="E40:R40" si="28">E12/E$25</f>
        <v>0</v>
      </c>
      <c r="F40" s="130">
        <f t="shared" si="28"/>
        <v>0</v>
      </c>
      <c r="G40" s="130">
        <f t="shared" si="28"/>
        <v>0</v>
      </c>
      <c r="H40" s="130">
        <f t="shared" si="28"/>
        <v>0</v>
      </c>
      <c r="I40" s="130">
        <f t="shared" si="28"/>
        <v>0</v>
      </c>
      <c r="J40" s="130">
        <f t="shared" si="28"/>
        <v>0</v>
      </c>
      <c r="K40" s="130">
        <f t="shared" si="28"/>
        <v>0</v>
      </c>
      <c r="L40" s="130">
        <f t="shared" si="28"/>
        <v>0</v>
      </c>
      <c r="M40" s="130">
        <f t="shared" si="28"/>
        <v>0</v>
      </c>
      <c r="N40" s="130">
        <f t="shared" si="28"/>
        <v>0</v>
      </c>
      <c r="O40" s="130">
        <f t="shared" si="28"/>
        <v>0</v>
      </c>
      <c r="P40" s="130">
        <f t="shared" si="28"/>
        <v>0</v>
      </c>
      <c r="Q40" s="130">
        <f t="shared" si="28"/>
        <v>0</v>
      </c>
      <c r="R40" s="130">
        <f t="shared" si="28"/>
        <v>0</v>
      </c>
      <c r="S40" s="130">
        <f t="shared" si="18"/>
        <v>0</v>
      </c>
      <c r="T40" s="130">
        <f t="shared" ref="T40:AE40" si="29">T12/T$25</f>
        <v>0</v>
      </c>
      <c r="U40" s="130">
        <f t="shared" si="29"/>
        <v>0</v>
      </c>
      <c r="V40" s="130">
        <f t="shared" si="29"/>
        <v>0</v>
      </c>
      <c r="W40" s="130" t="e">
        <f t="shared" si="29"/>
        <v>#DIV/0!</v>
      </c>
      <c r="X40" s="130" t="e">
        <f t="shared" si="29"/>
        <v>#DIV/0!</v>
      </c>
      <c r="Y40" s="130" t="e">
        <f t="shared" si="29"/>
        <v>#DIV/0!</v>
      </c>
      <c r="Z40" s="130" t="e">
        <f t="shared" si="29"/>
        <v>#DIV/0!</v>
      </c>
      <c r="AA40" s="130" t="e">
        <f t="shared" si="29"/>
        <v>#DIV/0!</v>
      </c>
      <c r="AB40" s="130" t="e">
        <f t="shared" si="29"/>
        <v>#DIV/0!</v>
      </c>
      <c r="AC40" s="130" t="e">
        <f t="shared" si="29"/>
        <v>#DIV/0!</v>
      </c>
      <c r="AD40" s="130" t="e">
        <f t="shared" si="29"/>
        <v>#DIV/0!</v>
      </c>
      <c r="AE40" s="130">
        <f t="shared" si="29"/>
        <v>0</v>
      </c>
      <c r="AF40" s="130"/>
      <c r="AG40" s="140">
        <f t="shared" si="13"/>
        <v>0</v>
      </c>
      <c r="AH40" s="140">
        <f t="shared" si="14"/>
        <v>0</v>
      </c>
      <c r="AI40" s="140">
        <f t="shared" si="15"/>
        <v>0</v>
      </c>
    </row>
    <row r="41" spans="2:35" ht="15.5" x14ac:dyDescent="0.35">
      <c r="B41" s="114">
        <f t="shared" si="16"/>
        <v>9</v>
      </c>
      <c r="C41" s="101" t="s">
        <v>96</v>
      </c>
      <c r="D41" s="101" t="s">
        <v>42</v>
      </c>
      <c r="E41" s="121">
        <f t="shared" ref="E41:R41" si="30">E13/E$25</f>
        <v>5.72507066050034E-2</v>
      </c>
      <c r="F41" s="121">
        <f t="shared" si="30"/>
        <v>1.4603973874510796E-2</v>
      </c>
      <c r="G41" s="121">
        <f t="shared" si="30"/>
        <v>2.2448970135677343E-2</v>
      </c>
      <c r="H41" s="121">
        <f t="shared" si="30"/>
        <v>1.469996781333696E-2</v>
      </c>
      <c r="I41" s="121">
        <f t="shared" si="30"/>
        <v>3.4134321793031011E-2</v>
      </c>
      <c r="J41" s="121">
        <f t="shared" si="30"/>
        <v>2.5952324816795408E-2</v>
      </c>
      <c r="K41" s="121">
        <f t="shared" si="30"/>
        <v>2.3417864483289263E-2</v>
      </c>
      <c r="L41" s="121">
        <f t="shared" si="30"/>
        <v>3.913258937947648E-2</v>
      </c>
      <c r="M41" s="121">
        <f t="shared" si="30"/>
        <v>3.6270317308470724E-2</v>
      </c>
      <c r="N41" s="121">
        <f t="shared" si="30"/>
        <v>2.1561120425241116E-2</v>
      </c>
      <c r="O41" s="121">
        <f t="shared" si="30"/>
        <v>2.0359624380226558E-2</v>
      </c>
      <c r="P41" s="121">
        <f t="shared" si="30"/>
        <v>1.5656766128554336E-2</v>
      </c>
      <c r="Q41" s="121">
        <f t="shared" si="30"/>
        <v>2.162859170622828E-2</v>
      </c>
      <c r="R41" s="121">
        <f t="shared" si="30"/>
        <v>2.4510176119154865E-2</v>
      </c>
      <c r="S41" s="121">
        <f t="shared" ref="S41:AE41" si="31">S13/S$25</f>
        <v>2.4855471805388937E-2</v>
      </c>
      <c r="T41" s="121">
        <f t="shared" si="31"/>
        <v>1.7936448733390911E-2</v>
      </c>
      <c r="U41" s="121">
        <f t="shared" si="31"/>
        <v>1.4196899367886649E-2</v>
      </c>
      <c r="V41" s="121">
        <f t="shared" si="31"/>
        <v>2.4297692728598483E-2</v>
      </c>
      <c r="W41" s="121" t="e">
        <f t="shared" si="31"/>
        <v>#DIV/0!</v>
      </c>
      <c r="X41" s="121" t="e">
        <f t="shared" si="31"/>
        <v>#DIV/0!</v>
      </c>
      <c r="Y41" s="121" t="e">
        <f t="shared" si="31"/>
        <v>#DIV/0!</v>
      </c>
      <c r="Z41" s="121" t="e">
        <f t="shared" si="31"/>
        <v>#DIV/0!</v>
      </c>
      <c r="AA41" s="121" t="e">
        <f t="shared" si="31"/>
        <v>#DIV/0!</v>
      </c>
      <c r="AB41" s="121" t="e">
        <f t="shared" si="31"/>
        <v>#DIV/0!</v>
      </c>
      <c r="AC41" s="121" t="e">
        <f t="shared" si="31"/>
        <v>#DIV/0!</v>
      </c>
      <c r="AD41" s="121" t="e">
        <f t="shared" si="31"/>
        <v>#DIV/0!</v>
      </c>
      <c r="AE41" s="121">
        <f t="shared" si="31"/>
        <v>1.9733284436833726E-2</v>
      </c>
      <c r="AF41" s="121"/>
      <c r="AG41" s="140">
        <f t="shared" si="13"/>
        <v>5.6220322306664988E-3</v>
      </c>
      <c r="AH41" s="140">
        <f t="shared" si="14"/>
        <v>7.8314695681947204E-4</v>
      </c>
      <c r="AI41" s="140">
        <f t="shared" si="15"/>
        <v>6.1221671251860288E-4</v>
      </c>
    </row>
    <row r="42" spans="2:35" ht="15.5" x14ac:dyDescent="0.35">
      <c r="B42" s="114">
        <f t="shared" si="16"/>
        <v>10</v>
      </c>
      <c r="C42" s="101" t="s">
        <v>96</v>
      </c>
      <c r="D42" s="101" t="s">
        <v>52</v>
      </c>
      <c r="E42" s="121">
        <f t="shared" ref="E42:R42" si="32">E14/E$25</f>
        <v>6.5685058308525321E-2</v>
      </c>
      <c r="F42" s="121">
        <f t="shared" si="32"/>
        <v>2.7104194689777181E-2</v>
      </c>
      <c r="G42" s="121">
        <f t="shared" si="32"/>
        <v>3.8902894992041706E-2</v>
      </c>
      <c r="H42" s="121">
        <f t="shared" si="32"/>
        <v>2.8546751740755216E-2</v>
      </c>
      <c r="I42" s="121">
        <f t="shared" si="32"/>
        <v>3.2231397837869602E-2</v>
      </c>
      <c r="J42" s="121">
        <f t="shared" si="32"/>
        <v>2.9557060804119635E-2</v>
      </c>
      <c r="K42" s="121">
        <f t="shared" si="32"/>
        <v>3.801910374156544E-2</v>
      </c>
      <c r="L42" s="121">
        <f t="shared" si="32"/>
        <v>5.4748117255243187E-2</v>
      </c>
      <c r="M42" s="121">
        <f t="shared" si="32"/>
        <v>4.962102908328421E-2</v>
      </c>
      <c r="N42" s="121">
        <f t="shared" si="32"/>
        <v>3.5646756988940501E-2</v>
      </c>
      <c r="O42" s="121">
        <f t="shared" si="32"/>
        <v>2.955368159022605E-2</v>
      </c>
      <c r="P42" s="121">
        <f t="shared" si="32"/>
        <v>2.9545313195949989E-2</v>
      </c>
      <c r="Q42" s="121">
        <f t="shared" si="32"/>
        <v>3.7812935597966411E-2</v>
      </c>
      <c r="R42" s="121">
        <f t="shared" si="32"/>
        <v>3.5886939895834566E-2</v>
      </c>
      <c r="S42" s="121">
        <f t="shared" ref="S42:AE42" si="33">S14/S$25</f>
        <v>4.9870877862035257E-2</v>
      </c>
      <c r="T42" s="121">
        <f t="shared" si="33"/>
        <v>4.7440439919844896E-2</v>
      </c>
      <c r="U42" s="121">
        <f t="shared" si="33"/>
        <v>2.5097927796396458E-2</v>
      </c>
      <c r="V42" s="121">
        <f t="shared" si="33"/>
        <v>3.0239938907830714E-2</v>
      </c>
      <c r="W42" s="121" t="e">
        <f t="shared" si="33"/>
        <v>#DIV/0!</v>
      </c>
      <c r="X42" s="121" t="e">
        <f t="shared" si="33"/>
        <v>#DIV/0!</v>
      </c>
      <c r="Y42" s="121" t="e">
        <f t="shared" si="33"/>
        <v>#DIV/0!</v>
      </c>
      <c r="Z42" s="121" t="e">
        <f t="shared" si="33"/>
        <v>#DIV/0!</v>
      </c>
      <c r="AA42" s="121" t="e">
        <f t="shared" si="33"/>
        <v>#DIV/0!</v>
      </c>
      <c r="AB42" s="121" t="e">
        <f t="shared" si="33"/>
        <v>#DIV/0!</v>
      </c>
      <c r="AC42" s="121" t="e">
        <f t="shared" si="33"/>
        <v>#DIV/0!</v>
      </c>
      <c r="AD42" s="121" t="e">
        <f t="shared" si="33"/>
        <v>#DIV/0!</v>
      </c>
      <c r="AE42" s="121">
        <f t="shared" si="33"/>
        <v>3.5859901882592866E-2</v>
      </c>
      <c r="AF42" s="121"/>
      <c r="AG42" s="140">
        <f t="shared" si="13"/>
        <v>6.4502874598837577E-3</v>
      </c>
      <c r="AH42" s="140">
        <f t="shared" si="14"/>
        <v>1.1466562962402418E-3</v>
      </c>
      <c r="AI42" s="140">
        <f t="shared" si="15"/>
        <v>1.1125381237003678E-3</v>
      </c>
    </row>
    <row r="43" spans="2:35" ht="15.5" x14ac:dyDescent="0.35">
      <c r="B43" s="114">
        <f t="shared" si="16"/>
        <v>11</v>
      </c>
      <c r="C43" s="102" t="s">
        <v>96</v>
      </c>
      <c r="D43" s="102" t="s">
        <v>55</v>
      </c>
      <c r="E43" s="122">
        <f t="shared" ref="E43:R43" si="34">E15/E$25</f>
        <v>0.1387095352220043</v>
      </c>
      <c r="F43" s="122">
        <f t="shared" si="34"/>
        <v>4.3718885888440404E-2</v>
      </c>
      <c r="G43" s="122">
        <f t="shared" si="34"/>
        <v>0</v>
      </c>
      <c r="H43" s="122">
        <f t="shared" si="34"/>
        <v>5.0715065358038817E-2</v>
      </c>
      <c r="I43" s="122">
        <f t="shared" si="34"/>
        <v>0</v>
      </c>
      <c r="J43" s="122">
        <f t="shared" si="34"/>
        <v>0</v>
      </c>
      <c r="K43" s="122">
        <f t="shared" si="34"/>
        <v>1.9985520210580556E-2</v>
      </c>
      <c r="L43" s="122">
        <f t="shared" si="34"/>
        <v>3.1919530243566314E-2</v>
      </c>
      <c r="M43" s="122">
        <f t="shared" si="34"/>
        <v>0</v>
      </c>
      <c r="N43" s="122">
        <f t="shared" si="34"/>
        <v>3.5805470103137895E-4</v>
      </c>
      <c r="O43" s="122">
        <f t="shared" si="34"/>
        <v>0.10852382789317506</v>
      </c>
      <c r="P43" s="122">
        <f t="shared" si="34"/>
        <v>2.1021122023409118E-2</v>
      </c>
      <c r="Q43" s="122">
        <f t="shared" si="34"/>
        <v>1.8581369427106652E-2</v>
      </c>
      <c r="R43" s="122">
        <f t="shared" si="34"/>
        <v>2.5185466320181253E-2</v>
      </c>
      <c r="S43" s="122">
        <f t="shared" ref="S43:AE43" si="35">S15/S$25</f>
        <v>0.27851941991268969</v>
      </c>
      <c r="T43" s="122">
        <f t="shared" si="35"/>
        <v>7.2957013027606252E-2</v>
      </c>
      <c r="U43" s="122">
        <f t="shared" si="35"/>
        <v>5.7757692242019619E-2</v>
      </c>
      <c r="V43" s="122">
        <f t="shared" si="35"/>
        <v>0.14064558883067257</v>
      </c>
      <c r="W43" s="122" t="e">
        <f t="shared" si="35"/>
        <v>#DIV/0!</v>
      </c>
      <c r="X43" s="122" t="e">
        <f t="shared" si="35"/>
        <v>#DIV/0!</v>
      </c>
      <c r="Y43" s="122" t="e">
        <f t="shared" si="35"/>
        <v>#DIV/0!</v>
      </c>
      <c r="Z43" s="122" t="e">
        <f t="shared" si="35"/>
        <v>#DIV/0!</v>
      </c>
      <c r="AA43" s="122" t="e">
        <f t="shared" si="35"/>
        <v>#DIV/0!</v>
      </c>
      <c r="AB43" s="122" t="e">
        <f t="shared" si="35"/>
        <v>#DIV/0!</v>
      </c>
      <c r="AC43" s="122" t="e">
        <f t="shared" si="35"/>
        <v>#DIV/0!</v>
      </c>
      <c r="AD43" s="122" t="e">
        <f t="shared" si="35"/>
        <v>#DIV/0!</v>
      </c>
      <c r="AE43" s="122">
        <f t="shared" si="35"/>
        <v>0.12207938172490125</v>
      </c>
      <c r="AF43" s="122"/>
      <c r="AG43" s="528">
        <f t="shared" si="13"/>
        <v>1.3621307473098076E-2</v>
      </c>
      <c r="AH43" s="528">
        <f t="shared" si="14"/>
        <v>8.0472376897018215E-4</v>
      </c>
      <c r="AI43" s="528">
        <f t="shared" si="15"/>
        <v>3.7874606219335878E-3</v>
      </c>
    </row>
    <row r="44" spans="2:35" ht="16" x14ac:dyDescent="0.4">
      <c r="B44" s="112" t="s">
        <v>163</v>
      </c>
      <c r="C44" s="97"/>
      <c r="D44" s="98" t="s">
        <v>164</v>
      </c>
      <c r="E44" s="129">
        <f t="shared" ref="E44:Q44" si="36">SUM(E45:E51)</f>
        <v>6.7129822955024618</v>
      </c>
      <c r="F44" s="129">
        <f t="shared" si="36"/>
        <v>4.3699504501914674</v>
      </c>
      <c r="G44" s="129">
        <f t="shared" si="36"/>
        <v>6.6005409499122241</v>
      </c>
      <c r="H44" s="129">
        <f t="shared" si="36"/>
        <v>4.7899546364112018</v>
      </c>
      <c r="I44" s="129">
        <f t="shared" si="36"/>
        <v>5.1632143260966998</v>
      </c>
      <c r="J44" s="129">
        <f t="shared" si="36"/>
        <v>5.5254035809071143</v>
      </c>
      <c r="K44" s="129">
        <f t="shared" si="36"/>
        <v>6.9482420989881595</v>
      </c>
      <c r="L44" s="129">
        <f t="shared" si="36"/>
        <v>12.669728009284066</v>
      </c>
      <c r="M44" s="129">
        <f t="shared" si="36"/>
        <v>11.425970832112366</v>
      </c>
      <c r="N44" s="129">
        <f t="shared" si="36"/>
        <v>9.5936642934478602</v>
      </c>
      <c r="O44" s="129">
        <f t="shared" si="36"/>
        <v>6.1636930675874986</v>
      </c>
      <c r="P44" s="129">
        <f t="shared" si="36"/>
        <v>5.606012787209103</v>
      </c>
      <c r="Q44" s="129">
        <f t="shared" si="36"/>
        <v>9.6554861968996306</v>
      </c>
      <c r="R44" s="129">
        <f>SUM(R45:R51)</f>
        <v>10.337931072961759</v>
      </c>
      <c r="S44" s="129">
        <f>SUM(S45:S51)</f>
        <v>15.424917351504105</v>
      </c>
      <c r="T44" s="129">
        <f t="shared" ref="T44:AE44" si="37">SUM(T45:T51)</f>
        <v>9.223971695816342</v>
      </c>
      <c r="U44" s="129">
        <f t="shared" si="37"/>
        <v>5.9300239865033015</v>
      </c>
      <c r="V44" s="129">
        <f t="shared" si="37"/>
        <v>7.0091467280980204</v>
      </c>
      <c r="W44" s="129" t="e">
        <f t="shared" si="37"/>
        <v>#DIV/0!</v>
      </c>
      <c r="X44" s="129" t="e">
        <f t="shared" si="37"/>
        <v>#DIV/0!</v>
      </c>
      <c r="Y44" s="129" t="e">
        <f t="shared" si="37"/>
        <v>#DIV/0!</v>
      </c>
      <c r="Z44" s="129" t="e">
        <f t="shared" si="37"/>
        <v>#DIV/0!</v>
      </c>
      <c r="AA44" s="129" t="e">
        <f t="shared" si="37"/>
        <v>#DIV/0!</v>
      </c>
      <c r="AB44" s="129" t="e">
        <f t="shared" si="37"/>
        <v>#DIV/0!</v>
      </c>
      <c r="AC44" s="129" t="e">
        <f t="shared" si="37"/>
        <v>#DIV/0!</v>
      </c>
      <c r="AD44" s="129" t="e">
        <f t="shared" si="37"/>
        <v>#DIV/0!</v>
      </c>
      <c r="AE44" s="129">
        <f t="shared" si="37"/>
        <v>8.5919614514724234</v>
      </c>
      <c r="AF44" s="129">
        <f>SUM(AF45:AF51)</f>
        <v>0</v>
      </c>
      <c r="AG44" s="116">
        <f t="shared" si="13"/>
        <v>0.65921636722489108</v>
      </c>
      <c r="AH44" s="116">
        <f t="shared" si="14"/>
        <v>0.3303166497148215</v>
      </c>
      <c r="AI44" s="116">
        <f t="shared" si="15"/>
        <v>0.26656193046549015</v>
      </c>
    </row>
    <row r="45" spans="2:35" ht="15.5" x14ac:dyDescent="0.35">
      <c r="B45" s="113">
        <v>1</v>
      </c>
      <c r="C45" s="99" t="s">
        <v>97</v>
      </c>
      <c r="D45" s="99" t="s">
        <v>168</v>
      </c>
      <c r="E45" s="127">
        <f t="shared" ref="E45:Q45" si="38">(E17-E27)/E$25</f>
        <v>0.67012506217011558</v>
      </c>
      <c r="F45" s="127">
        <f t="shared" si="38"/>
        <v>0.96202269079565683</v>
      </c>
      <c r="G45" s="127">
        <f t="shared" si="38"/>
        <v>1.4556575901878828</v>
      </c>
      <c r="H45" s="127">
        <f t="shared" si="38"/>
        <v>1.5602881725450197</v>
      </c>
      <c r="I45" s="127">
        <f t="shared" si="38"/>
        <v>1.3423642961941442</v>
      </c>
      <c r="J45" s="127">
        <f t="shared" si="38"/>
        <v>1.3585798912373053</v>
      </c>
      <c r="K45" s="127">
        <f t="shared" si="38"/>
        <v>1.7172841772042327</v>
      </c>
      <c r="L45" s="127">
        <f t="shared" si="38"/>
        <v>3.2157945552564708</v>
      </c>
      <c r="M45" s="127">
        <f t="shared" si="38"/>
        <v>2.7374277305414978</v>
      </c>
      <c r="N45" s="127">
        <f t="shared" si="38"/>
        <v>2.1440508954323541</v>
      </c>
      <c r="O45" s="127">
        <f t="shared" si="38"/>
        <v>1.2583949926836793</v>
      </c>
      <c r="P45" s="127">
        <f t="shared" si="38"/>
        <v>1.0998114160979677</v>
      </c>
      <c r="Q45" s="127">
        <f t="shared" si="38"/>
        <v>0.39147537693202894</v>
      </c>
      <c r="R45" s="127">
        <f t="shared" ref="R45:R51" si="39">R17/R$25</f>
        <v>4.6173805245712627</v>
      </c>
      <c r="S45" s="127">
        <f t="shared" ref="S45:AE45" si="40">S17/S$25</f>
        <v>2.9313358692113138</v>
      </c>
      <c r="T45" s="127">
        <f t="shared" si="40"/>
        <v>1.783021706535699</v>
      </c>
      <c r="U45" s="127">
        <f t="shared" si="40"/>
        <v>1.1221797132677438</v>
      </c>
      <c r="V45" s="127">
        <f t="shared" si="40"/>
        <v>1.3235643922373614</v>
      </c>
      <c r="W45" s="127" t="e">
        <f t="shared" si="40"/>
        <v>#DIV/0!</v>
      </c>
      <c r="X45" s="127" t="e">
        <f t="shared" si="40"/>
        <v>#DIV/0!</v>
      </c>
      <c r="Y45" s="127" t="e">
        <f t="shared" si="40"/>
        <v>#DIV/0!</v>
      </c>
      <c r="Z45" s="127" t="e">
        <f t="shared" si="40"/>
        <v>#DIV/0!</v>
      </c>
      <c r="AA45" s="127" t="e">
        <f t="shared" si="40"/>
        <v>#DIV/0!</v>
      </c>
      <c r="AB45" s="127" t="e">
        <f t="shared" si="40"/>
        <v>#DIV/0!</v>
      </c>
      <c r="AC45" s="127" t="e">
        <f t="shared" si="40"/>
        <v>#DIV/0!</v>
      </c>
      <c r="AD45" s="127" t="e">
        <f t="shared" si="40"/>
        <v>#DIV/0!</v>
      </c>
      <c r="AE45" s="127">
        <f t="shared" si="40"/>
        <v>1.6357922625481081</v>
      </c>
      <c r="AF45" s="127"/>
      <c r="AG45" s="527">
        <f t="shared" si="13"/>
        <v>6.5806431422604048E-2</v>
      </c>
      <c r="AH45" s="527">
        <f t="shared" si="14"/>
        <v>0.14753412985349729</v>
      </c>
      <c r="AI45" s="527">
        <f t="shared" si="15"/>
        <v>5.0749755548613461E-2</v>
      </c>
    </row>
    <row r="46" spans="2:35" ht="15.5" x14ac:dyDescent="0.35">
      <c r="B46" s="114">
        <f t="shared" ref="B46:B51" si="41">B45+1</f>
        <v>2</v>
      </c>
      <c r="C46" s="101" t="s">
        <v>97</v>
      </c>
      <c r="D46" s="101" t="s">
        <v>48</v>
      </c>
      <c r="E46" s="130">
        <f t="shared" ref="E46:S46" si="42">E18/E$25</f>
        <v>3.8034069248206719</v>
      </c>
      <c r="F46" s="130">
        <f t="shared" si="42"/>
        <v>2.0672250007528987</v>
      </c>
      <c r="G46" s="130">
        <f t="shared" si="42"/>
        <v>2.9978696190879086</v>
      </c>
      <c r="H46" s="130">
        <f t="shared" si="42"/>
        <v>1.9442526173107879</v>
      </c>
      <c r="I46" s="130">
        <f t="shared" si="42"/>
        <v>2.2813262270486563</v>
      </c>
      <c r="J46" s="130">
        <f t="shared" si="42"/>
        <v>2.3862962039442044</v>
      </c>
      <c r="K46" s="130">
        <f t="shared" si="42"/>
        <v>2.9813722972142647</v>
      </c>
      <c r="L46" s="130">
        <f t="shared" si="42"/>
        <v>5.5545867986052473</v>
      </c>
      <c r="M46" s="130">
        <f t="shared" si="42"/>
        <v>4.6739959782585156</v>
      </c>
      <c r="N46" s="130">
        <f t="shared" si="42"/>
        <v>3.926043307566895</v>
      </c>
      <c r="O46" s="130">
        <f t="shared" si="42"/>
        <v>2.5762058885363475</v>
      </c>
      <c r="P46" s="130">
        <f t="shared" si="42"/>
        <v>2.3756022230193641</v>
      </c>
      <c r="Q46" s="130">
        <f t="shared" si="42"/>
        <v>3.7212207803306057</v>
      </c>
      <c r="R46" s="130">
        <f t="shared" si="39"/>
        <v>3.1225670019357552</v>
      </c>
      <c r="S46" s="130">
        <f t="shared" si="42"/>
        <v>6.7861665493487902</v>
      </c>
      <c r="T46" s="130">
        <f t="shared" ref="T46:AE46" si="43">T18/T$25</f>
        <v>4.2066771142670296</v>
      </c>
      <c r="U46" s="130">
        <f t="shared" si="43"/>
        <v>2.5864102314015995</v>
      </c>
      <c r="V46" s="130">
        <f t="shared" si="43"/>
        <v>3.3636211855001985</v>
      </c>
      <c r="W46" s="130" t="e">
        <f t="shared" si="43"/>
        <v>#DIV/0!</v>
      </c>
      <c r="X46" s="130" t="e">
        <f t="shared" si="43"/>
        <v>#DIV/0!</v>
      </c>
      <c r="Y46" s="130" t="e">
        <f t="shared" si="43"/>
        <v>#DIV/0!</v>
      </c>
      <c r="Z46" s="130" t="e">
        <f t="shared" si="43"/>
        <v>#DIV/0!</v>
      </c>
      <c r="AA46" s="130" t="e">
        <f t="shared" si="43"/>
        <v>#DIV/0!</v>
      </c>
      <c r="AB46" s="130" t="e">
        <f t="shared" si="43"/>
        <v>#DIV/0!</v>
      </c>
      <c r="AC46" s="130" t="e">
        <f t="shared" si="43"/>
        <v>#DIV/0!</v>
      </c>
      <c r="AD46" s="130" t="e">
        <f t="shared" si="43"/>
        <v>#DIV/0!</v>
      </c>
      <c r="AE46" s="130">
        <f t="shared" si="43"/>
        <v>3.8869168639862588</v>
      </c>
      <c r="AF46" s="130"/>
      <c r="AG46" s="140">
        <f t="shared" si="13"/>
        <v>0.37349541316950702</v>
      </c>
      <c r="AH46" s="140">
        <f t="shared" si="14"/>
        <v>9.9771981773716031E-2</v>
      </c>
      <c r="AI46" s="140">
        <f t="shared" si="15"/>
        <v>0.12058993382069781</v>
      </c>
    </row>
    <row r="47" spans="2:35" ht="15.5" x14ac:dyDescent="0.35">
      <c r="B47" s="114">
        <f t="shared" si="41"/>
        <v>3</v>
      </c>
      <c r="C47" s="101" t="s">
        <v>96</v>
      </c>
      <c r="D47" s="101" t="s">
        <v>16</v>
      </c>
      <c r="E47" s="130">
        <f t="shared" ref="E47:S47" si="44">E19/E$25</f>
        <v>1.3202955489201933</v>
      </c>
      <c r="F47" s="130">
        <f t="shared" si="44"/>
        <v>0.63302365829716778</v>
      </c>
      <c r="G47" s="130">
        <f t="shared" si="44"/>
        <v>1.0287618867166333</v>
      </c>
      <c r="H47" s="130">
        <f t="shared" si="44"/>
        <v>0.61890386848562162</v>
      </c>
      <c r="I47" s="130">
        <f t="shared" si="44"/>
        <v>0.70972337562403764</v>
      </c>
      <c r="J47" s="130">
        <f t="shared" si="44"/>
        <v>0.74021328466740255</v>
      </c>
      <c r="K47" s="130">
        <f t="shared" si="44"/>
        <v>0.9361418504812985</v>
      </c>
      <c r="L47" s="130">
        <f t="shared" si="44"/>
        <v>1.7740192801849954</v>
      </c>
      <c r="M47" s="130">
        <f t="shared" si="44"/>
        <v>1.5876836105368899</v>
      </c>
      <c r="N47" s="130">
        <f t="shared" si="44"/>
        <v>1.2932846876286332</v>
      </c>
      <c r="O47" s="130">
        <f t="shared" si="44"/>
        <v>0.84338687455281203</v>
      </c>
      <c r="P47" s="130">
        <f t="shared" si="44"/>
        <v>0.76510582177774955</v>
      </c>
      <c r="Q47" s="130">
        <f t="shared" si="44"/>
        <v>1.1949566661617412</v>
      </c>
      <c r="R47" s="130">
        <f t="shared" si="39"/>
        <v>1.0021607628510434</v>
      </c>
      <c r="S47" s="130">
        <f t="shared" si="44"/>
        <v>2.1908193860950322</v>
      </c>
      <c r="T47" s="130">
        <f t="shared" ref="T47:AE47" si="45">T19/T$25</f>
        <v>1.3634427156704878</v>
      </c>
      <c r="U47" s="130">
        <f t="shared" si="45"/>
        <v>0.87222658484587046</v>
      </c>
      <c r="V47" s="130">
        <f t="shared" si="45"/>
        <v>1.0110364527698779</v>
      </c>
      <c r="W47" s="130" t="e">
        <f t="shared" si="45"/>
        <v>#DIV/0!</v>
      </c>
      <c r="X47" s="130" t="e">
        <f t="shared" si="45"/>
        <v>#DIV/0!</v>
      </c>
      <c r="Y47" s="130" t="e">
        <f t="shared" si="45"/>
        <v>#DIV/0!</v>
      </c>
      <c r="Z47" s="130" t="e">
        <f t="shared" si="45"/>
        <v>#DIV/0!</v>
      </c>
      <c r="AA47" s="130" t="e">
        <f t="shared" si="45"/>
        <v>#DIV/0!</v>
      </c>
      <c r="AB47" s="130" t="e">
        <f t="shared" si="45"/>
        <v>#DIV/0!</v>
      </c>
      <c r="AC47" s="130" t="e">
        <f t="shared" si="45"/>
        <v>#DIV/0!</v>
      </c>
      <c r="AD47" s="130" t="e">
        <f t="shared" si="45"/>
        <v>#DIV/0!</v>
      </c>
      <c r="AE47" s="130">
        <f t="shared" si="45"/>
        <v>1.2464878014366065</v>
      </c>
      <c r="AF47" s="130"/>
      <c r="AG47" s="140">
        <f t="shared" si="13"/>
        <v>0.12965331906289759</v>
      </c>
      <c r="AH47" s="140">
        <f t="shared" si="14"/>
        <v>3.202095112883821E-2</v>
      </c>
      <c r="AI47" s="140">
        <f t="shared" si="15"/>
        <v>3.8671751093073775E-2</v>
      </c>
    </row>
    <row r="48" spans="2:35" ht="15.5" x14ac:dyDescent="0.35">
      <c r="B48" s="114">
        <f t="shared" si="41"/>
        <v>4</v>
      </c>
      <c r="C48" s="101" t="s">
        <v>97</v>
      </c>
      <c r="D48" s="101" t="s">
        <v>36</v>
      </c>
      <c r="E48" s="130">
        <f t="shared" ref="E48:S48" si="46">E20/E$25</f>
        <v>0.38534933802066218</v>
      </c>
      <c r="F48" s="130">
        <f t="shared" si="46"/>
        <v>0.34796868319337826</v>
      </c>
      <c r="G48" s="130">
        <f t="shared" si="46"/>
        <v>0.47114511830164491</v>
      </c>
      <c r="H48" s="130">
        <f t="shared" si="46"/>
        <v>0.23513718421432064</v>
      </c>
      <c r="I48" s="130">
        <f t="shared" si="46"/>
        <v>0.2954652645420644</v>
      </c>
      <c r="J48" s="130">
        <f t="shared" si="46"/>
        <v>0.43068418481736137</v>
      </c>
      <c r="K48" s="130">
        <f t="shared" si="46"/>
        <v>0.53303961617985518</v>
      </c>
      <c r="L48" s="130">
        <f t="shared" si="46"/>
        <v>0.83854617546709653</v>
      </c>
      <c r="M48" s="130">
        <f t="shared" si="46"/>
        <v>1.2560799322260394</v>
      </c>
      <c r="N48" s="130">
        <f t="shared" si="46"/>
        <v>1.231574242923648</v>
      </c>
      <c r="O48" s="130">
        <f t="shared" si="46"/>
        <v>0.86305497497727901</v>
      </c>
      <c r="P48" s="130">
        <f t="shared" si="46"/>
        <v>0.71604602046698951</v>
      </c>
      <c r="Q48" s="130">
        <f t="shared" si="46"/>
        <v>3.2659863951584289</v>
      </c>
      <c r="R48" s="130">
        <f t="shared" si="39"/>
        <v>0.83091732968165766</v>
      </c>
      <c r="S48" s="130">
        <f t="shared" si="46"/>
        <v>1.9352728491284867</v>
      </c>
      <c r="T48" s="130">
        <f t="shared" ref="T48:AE48" si="47">T20/T$25</f>
        <v>0.82979949115162466</v>
      </c>
      <c r="U48" s="130">
        <f t="shared" si="47"/>
        <v>0.80048240845970087</v>
      </c>
      <c r="V48" s="130">
        <f t="shared" si="47"/>
        <v>0.55214697930581047</v>
      </c>
      <c r="W48" s="130" t="e">
        <f t="shared" si="47"/>
        <v>#DIV/0!</v>
      </c>
      <c r="X48" s="130" t="e">
        <f t="shared" si="47"/>
        <v>#DIV/0!</v>
      </c>
      <c r="Y48" s="130" t="e">
        <f t="shared" si="47"/>
        <v>#DIV/0!</v>
      </c>
      <c r="Z48" s="130" t="e">
        <f t="shared" si="47"/>
        <v>#DIV/0!</v>
      </c>
      <c r="AA48" s="130" t="e">
        <f t="shared" si="47"/>
        <v>#DIV/0!</v>
      </c>
      <c r="AB48" s="130" t="e">
        <f t="shared" si="47"/>
        <v>#DIV/0!</v>
      </c>
      <c r="AC48" s="130" t="e">
        <f t="shared" si="47"/>
        <v>#DIV/0!</v>
      </c>
      <c r="AD48" s="130" t="e">
        <f t="shared" si="47"/>
        <v>#DIV/0!</v>
      </c>
      <c r="AE48" s="130">
        <f t="shared" si="47"/>
        <v>0.92733138311249697</v>
      </c>
      <c r="AF48" s="130"/>
      <c r="AG48" s="140">
        <f t="shared" si="13"/>
        <v>3.7841391432343066E-2</v>
      </c>
      <c r="AH48" s="140">
        <f t="shared" si="14"/>
        <v>2.6549396256692014E-2</v>
      </c>
      <c r="AI48" s="140">
        <f t="shared" si="15"/>
        <v>2.8770059672618586E-2</v>
      </c>
    </row>
    <row r="49" spans="2:35" ht="15.5" x14ac:dyDescent="0.35">
      <c r="B49" s="114">
        <f t="shared" si="41"/>
        <v>5</v>
      </c>
      <c r="C49" s="101" t="s">
        <v>97</v>
      </c>
      <c r="D49" s="101" t="s">
        <v>12</v>
      </c>
      <c r="E49" s="130">
        <f t="shared" ref="E49:S49" si="48">E21/E$25</f>
        <v>0.26905219578945982</v>
      </c>
      <c r="F49" s="130">
        <f t="shared" si="48"/>
        <v>0.14928128242599001</v>
      </c>
      <c r="G49" s="130">
        <f t="shared" si="48"/>
        <v>0.23384218428690637</v>
      </c>
      <c r="H49" s="130">
        <f t="shared" si="48"/>
        <v>0.16871172431878029</v>
      </c>
      <c r="I49" s="130">
        <f t="shared" si="48"/>
        <v>0.19282614784609914</v>
      </c>
      <c r="J49" s="130">
        <f t="shared" si="48"/>
        <v>0.21621272285884058</v>
      </c>
      <c r="K49" s="130">
        <f t="shared" si="48"/>
        <v>0.22109254266253833</v>
      </c>
      <c r="L49" s="130">
        <f t="shared" si="48"/>
        <v>0.35987897123054569</v>
      </c>
      <c r="M49" s="130">
        <f t="shared" si="48"/>
        <v>0.37328219029386583</v>
      </c>
      <c r="N49" s="130">
        <f t="shared" si="48"/>
        <v>0.35887708171638932</v>
      </c>
      <c r="O49" s="130">
        <f t="shared" si="48"/>
        <v>0.19183681717182857</v>
      </c>
      <c r="P49" s="130">
        <f t="shared" si="48"/>
        <v>0.20407780086137342</v>
      </c>
      <c r="Q49" s="130">
        <f t="shared" si="48"/>
        <v>0.32330243897044519</v>
      </c>
      <c r="R49" s="130">
        <f t="shared" si="39"/>
        <v>0.24645814073829525</v>
      </c>
      <c r="S49" s="130">
        <f t="shared" si="48"/>
        <v>0.45634037041284836</v>
      </c>
      <c r="T49" s="130">
        <f t="shared" ref="T49:AE49" si="49">T21/T$25</f>
        <v>0.33597764759747695</v>
      </c>
      <c r="U49" s="130">
        <f t="shared" si="49"/>
        <v>0.19488975387397547</v>
      </c>
      <c r="V49" s="130">
        <f t="shared" si="49"/>
        <v>0.26674582688089693</v>
      </c>
      <c r="W49" s="130" t="e">
        <f t="shared" si="49"/>
        <v>#DIV/0!</v>
      </c>
      <c r="X49" s="130" t="e">
        <f t="shared" si="49"/>
        <v>#DIV/0!</v>
      </c>
      <c r="Y49" s="130" t="e">
        <f t="shared" si="49"/>
        <v>#DIV/0!</v>
      </c>
      <c r="Z49" s="130" t="e">
        <f t="shared" si="49"/>
        <v>#DIV/0!</v>
      </c>
      <c r="AA49" s="130" t="e">
        <f t="shared" si="49"/>
        <v>#DIV/0!</v>
      </c>
      <c r="AB49" s="130" t="e">
        <f t="shared" si="49"/>
        <v>#DIV/0!</v>
      </c>
      <c r="AC49" s="130" t="e">
        <f t="shared" si="49"/>
        <v>#DIV/0!</v>
      </c>
      <c r="AD49" s="130" t="e">
        <f t="shared" si="49"/>
        <v>#DIV/0!</v>
      </c>
      <c r="AE49" s="130">
        <f t="shared" si="49"/>
        <v>0.29177627832818243</v>
      </c>
      <c r="AF49" s="130"/>
      <c r="AG49" s="140">
        <f t="shared" si="13"/>
        <v>2.6420985978324006E-2</v>
      </c>
      <c r="AH49" s="140">
        <f t="shared" si="14"/>
        <v>7.8748084862491127E-3</v>
      </c>
      <c r="AI49" s="140">
        <f t="shared" si="15"/>
        <v>9.0522342836940623E-3</v>
      </c>
    </row>
    <row r="50" spans="2:35" ht="15.5" x14ac:dyDescent="0.35">
      <c r="B50" s="114">
        <f t="shared" si="41"/>
        <v>6</v>
      </c>
      <c r="C50" s="101" t="s">
        <v>97</v>
      </c>
      <c r="D50" s="101" t="s">
        <v>51</v>
      </c>
      <c r="E50" s="130">
        <f t="shared" ref="E50:S50" si="50">E22/E$25</f>
        <v>0.21508078012653312</v>
      </c>
      <c r="F50" s="130">
        <f t="shared" si="50"/>
        <v>0.11345537267656951</v>
      </c>
      <c r="G50" s="130">
        <f t="shared" si="50"/>
        <v>0.2205739206738967</v>
      </c>
      <c r="H50" s="130">
        <f t="shared" si="50"/>
        <v>0.14271348314836213</v>
      </c>
      <c r="I50" s="130">
        <f t="shared" si="50"/>
        <v>0.14141305669069401</v>
      </c>
      <c r="J50" s="130">
        <f t="shared" si="50"/>
        <v>0.17287913216195575</v>
      </c>
      <c r="K50" s="130">
        <f t="shared" si="50"/>
        <v>0.24027518841157741</v>
      </c>
      <c r="L50" s="130">
        <f t="shared" si="50"/>
        <v>0.30495190749797474</v>
      </c>
      <c r="M50" s="130">
        <f t="shared" si="50"/>
        <v>0.36897245462827521</v>
      </c>
      <c r="N50" s="130">
        <f t="shared" si="50"/>
        <v>0.33282294715060684</v>
      </c>
      <c r="O50" s="130">
        <f t="shared" si="50"/>
        <v>0.23509841330777581</v>
      </c>
      <c r="P50" s="130">
        <f t="shared" si="50"/>
        <v>0.25917365969782197</v>
      </c>
      <c r="Q50" s="130">
        <f t="shared" si="50"/>
        <v>0.44740435252117128</v>
      </c>
      <c r="R50" s="130">
        <f t="shared" si="39"/>
        <v>0.24225115836998817</v>
      </c>
      <c r="S50" s="130">
        <f t="shared" si="50"/>
        <v>0.51901097823540498</v>
      </c>
      <c r="T50" s="130">
        <f t="shared" ref="T50:AE50" si="51">T22/T$25</f>
        <v>0.39112140909880949</v>
      </c>
      <c r="U50" s="130">
        <f t="shared" si="51"/>
        <v>0.21406383660450609</v>
      </c>
      <c r="V50" s="130">
        <f t="shared" si="51"/>
        <v>0.27472774676884903</v>
      </c>
      <c r="W50" s="130" t="e">
        <f t="shared" si="51"/>
        <v>#DIV/0!</v>
      </c>
      <c r="X50" s="130" t="e">
        <f t="shared" si="51"/>
        <v>#DIV/0!</v>
      </c>
      <c r="Y50" s="130" t="e">
        <f t="shared" si="51"/>
        <v>#DIV/0!</v>
      </c>
      <c r="Z50" s="130" t="e">
        <f t="shared" si="51"/>
        <v>#DIV/0!</v>
      </c>
      <c r="AA50" s="130" t="e">
        <f t="shared" si="51"/>
        <v>#DIV/0!</v>
      </c>
      <c r="AB50" s="130" t="e">
        <f t="shared" si="51"/>
        <v>#DIV/0!</v>
      </c>
      <c r="AC50" s="130" t="e">
        <f t="shared" si="51"/>
        <v>#DIV/0!</v>
      </c>
      <c r="AD50" s="130" t="e">
        <f t="shared" si="51"/>
        <v>#DIV/0!</v>
      </c>
      <c r="AE50" s="130">
        <f t="shared" si="51"/>
        <v>0.32332445828348205</v>
      </c>
      <c r="AF50" s="130"/>
      <c r="AG50" s="140">
        <f t="shared" si="13"/>
        <v>2.1120980853755734E-2</v>
      </c>
      <c r="AH50" s="140">
        <f t="shared" si="14"/>
        <v>7.7403873616061917E-3</v>
      </c>
      <c r="AI50" s="140">
        <f t="shared" si="15"/>
        <v>1.0031003078113663E-2</v>
      </c>
    </row>
    <row r="51" spans="2:35" ht="15.5" x14ac:dyDescent="0.35">
      <c r="B51" s="114">
        <f t="shared" si="41"/>
        <v>7</v>
      </c>
      <c r="C51" s="102" t="s">
        <v>97</v>
      </c>
      <c r="D51" s="102" t="s">
        <v>40</v>
      </c>
      <c r="E51" s="133">
        <f t="shared" ref="E51:S51" si="52">E23/E$25</f>
        <v>4.9672445654826231E-2</v>
      </c>
      <c r="F51" s="133">
        <f t="shared" si="52"/>
        <v>9.6973762049805873E-2</v>
      </c>
      <c r="G51" s="133">
        <f t="shared" si="52"/>
        <v>0.1926906306573514</v>
      </c>
      <c r="H51" s="133">
        <f t="shared" si="52"/>
        <v>0.11994758638830921</v>
      </c>
      <c r="I51" s="133">
        <f t="shared" si="52"/>
        <v>0.20009595815100356</v>
      </c>
      <c r="J51" s="133">
        <f t="shared" si="52"/>
        <v>0.22053816122004363</v>
      </c>
      <c r="K51" s="133">
        <f t="shared" si="52"/>
        <v>0.31903642683439215</v>
      </c>
      <c r="L51" s="133">
        <f t="shared" si="52"/>
        <v>0.62195032104173553</v>
      </c>
      <c r="M51" s="133">
        <f t="shared" si="52"/>
        <v>0.42852893562727978</v>
      </c>
      <c r="N51" s="133">
        <f t="shared" si="52"/>
        <v>0.30701113102933447</v>
      </c>
      <c r="O51" s="133">
        <f t="shared" si="52"/>
        <v>0.1957151063577757</v>
      </c>
      <c r="P51" s="133">
        <f t="shared" si="52"/>
        <v>0.18619584528783681</v>
      </c>
      <c r="Q51" s="133">
        <f t="shared" si="52"/>
        <v>0.31114018682520783</v>
      </c>
      <c r="R51" s="133">
        <f t="shared" si="39"/>
        <v>0.27619615481375626</v>
      </c>
      <c r="S51" s="133">
        <f t="shared" si="52"/>
        <v>0.60597134907222849</v>
      </c>
      <c r="T51" s="133">
        <f t="shared" ref="T51:AE51" si="53">T23/T$25</f>
        <v>0.31393161149521215</v>
      </c>
      <c r="U51" s="133">
        <f t="shared" si="53"/>
        <v>0.1397714580499054</v>
      </c>
      <c r="V51" s="133">
        <f t="shared" si="53"/>
        <v>0.21730414463502593</v>
      </c>
      <c r="W51" s="133" t="e">
        <f t="shared" si="53"/>
        <v>#DIV/0!</v>
      </c>
      <c r="X51" s="133" t="e">
        <f t="shared" si="53"/>
        <v>#DIV/0!</v>
      </c>
      <c r="Y51" s="133" t="e">
        <f t="shared" si="53"/>
        <v>#DIV/0!</v>
      </c>
      <c r="Z51" s="133" t="e">
        <f t="shared" si="53"/>
        <v>#DIV/0!</v>
      </c>
      <c r="AA51" s="133" t="e">
        <f t="shared" si="53"/>
        <v>#DIV/0!</v>
      </c>
      <c r="AB51" s="133" t="e">
        <f t="shared" si="53"/>
        <v>#DIV/0!</v>
      </c>
      <c r="AC51" s="133" t="e">
        <f t="shared" si="53"/>
        <v>#DIV/0!</v>
      </c>
      <c r="AD51" s="133" t="e">
        <f t="shared" si="53"/>
        <v>#DIV/0!</v>
      </c>
      <c r="AE51" s="133">
        <f t="shared" si="53"/>
        <v>0.2803324037772883</v>
      </c>
      <c r="AF51" s="133"/>
      <c r="AG51" s="528">
        <f t="shared" si="13"/>
        <v>4.8778453054596415E-3</v>
      </c>
      <c r="AH51" s="528">
        <f t="shared" si="14"/>
        <v>8.8249948542226675E-3</v>
      </c>
      <c r="AI51" s="528">
        <f t="shared" si="15"/>
        <v>8.6971929686787981E-3</v>
      </c>
    </row>
    <row r="52" spans="2:35" ht="16" x14ac:dyDescent="0.4">
      <c r="B52" s="108" t="s">
        <v>172</v>
      </c>
      <c r="C52" s="109"/>
      <c r="D52" s="108"/>
      <c r="E52" s="128">
        <f t="shared" ref="E52:Q52" si="54">E32+E44</f>
        <v>10.183276127930746</v>
      </c>
      <c r="F52" s="128">
        <f t="shared" si="54"/>
        <v>24.746133770308646</v>
      </c>
      <c r="G52" s="128">
        <f t="shared" si="54"/>
        <v>28.567816072588819</v>
      </c>
      <c r="H52" s="128">
        <f t="shared" si="54"/>
        <v>27.828325176834113</v>
      </c>
      <c r="I52" s="128">
        <f t="shared" si="54"/>
        <v>24.455107745920426</v>
      </c>
      <c r="J52" s="128">
        <f t="shared" si="54"/>
        <v>26.740494192759961</v>
      </c>
      <c r="K52" s="128">
        <f t="shared" si="54"/>
        <v>25.062454483844178</v>
      </c>
      <c r="L52" s="128">
        <f t="shared" si="54"/>
        <v>27.444206644141531</v>
      </c>
      <c r="M52" s="128">
        <f t="shared" si="54"/>
        <v>34.393256917186633</v>
      </c>
      <c r="N52" s="128">
        <f t="shared" si="54"/>
        <v>31.987289267021751</v>
      </c>
      <c r="O52" s="128">
        <f t="shared" si="54"/>
        <v>32.152458267208516</v>
      </c>
      <c r="P52" s="128">
        <f t="shared" si="54"/>
        <v>28.48311390872745</v>
      </c>
      <c r="Q52" s="128">
        <f t="shared" si="54"/>
        <v>33.212711880933</v>
      </c>
      <c r="R52" s="128">
        <f>R32+R44</f>
        <v>31.297032958789693</v>
      </c>
      <c r="S52" s="128">
        <f>S32+S44</f>
        <v>39.843051220961321</v>
      </c>
      <c r="T52" s="128">
        <f>T32+T44</f>
        <v>32.688666120624291</v>
      </c>
      <c r="U52" s="128">
        <f>U32+U44</f>
        <v>29.499633632695929</v>
      </c>
      <c r="V52" s="128">
        <f t="shared" ref="V52:AE52" si="55">V32+V44</f>
        <v>30.411195070466327</v>
      </c>
      <c r="W52" s="128" t="e">
        <f t="shared" si="55"/>
        <v>#DIV/0!</v>
      </c>
      <c r="X52" s="128" t="e">
        <f t="shared" si="55"/>
        <v>#DIV/0!</v>
      </c>
      <c r="Y52" s="128" t="e">
        <f t="shared" si="55"/>
        <v>#DIV/0!</v>
      </c>
      <c r="Z52" s="128" t="e">
        <f t="shared" si="55"/>
        <v>#DIV/0!</v>
      </c>
      <c r="AA52" s="128" t="e">
        <f t="shared" si="55"/>
        <v>#DIV/0!</v>
      </c>
      <c r="AB52" s="128" t="e">
        <f t="shared" si="55"/>
        <v>#DIV/0!</v>
      </c>
      <c r="AC52" s="128" t="e">
        <f t="shared" si="55"/>
        <v>#DIV/0!</v>
      </c>
      <c r="AD52" s="128" t="e">
        <f t="shared" si="55"/>
        <v>#DIV/0!</v>
      </c>
      <c r="AE52" s="128">
        <f t="shared" si="55"/>
        <v>32.232515109972773</v>
      </c>
      <c r="AF52" s="128">
        <f>AF32+AF44</f>
        <v>0</v>
      </c>
      <c r="AG52" s="115">
        <f t="shared" si="13"/>
        <v>1</v>
      </c>
      <c r="AH52" s="115">
        <f t="shared" si="14"/>
        <v>1</v>
      </c>
      <c r="AI52" s="115">
        <f t="shared" si="15"/>
        <v>1</v>
      </c>
    </row>
    <row r="53" spans="2:35" ht="16" x14ac:dyDescent="0.4">
      <c r="B53" s="134" t="s">
        <v>171</v>
      </c>
      <c r="C53" s="135"/>
      <c r="D53" s="135"/>
      <c r="E53" s="136">
        <f t="shared" ref="E53:U53" si="56">E25</f>
        <v>220.27541666666662</v>
      </c>
      <c r="F53" s="136">
        <f t="shared" si="56"/>
        <v>525.47699999999998</v>
      </c>
      <c r="G53" s="136">
        <f t="shared" si="56"/>
        <v>138.97500000000002</v>
      </c>
      <c r="H53" s="136">
        <f t="shared" si="56"/>
        <v>454.42</v>
      </c>
      <c r="I53" s="136">
        <f t="shared" si="56"/>
        <v>423.36799999999999</v>
      </c>
      <c r="J53" s="136">
        <f t="shared" si="56"/>
        <v>678.97500000000002</v>
      </c>
      <c r="K53" s="136">
        <f t="shared" si="56"/>
        <v>525.97449999999992</v>
      </c>
      <c r="L53" s="136">
        <f t="shared" si="56"/>
        <v>634.20100000000002</v>
      </c>
      <c r="M53" s="136">
        <f t="shared" si="56"/>
        <v>388.35750000000007</v>
      </c>
      <c r="N53" s="136">
        <f t="shared" si="56"/>
        <v>315.41269999999992</v>
      </c>
      <c r="O53" s="136">
        <f t="shared" si="56"/>
        <v>370.7</v>
      </c>
      <c r="P53" s="136">
        <f t="shared" si="56"/>
        <v>535.17600000000004</v>
      </c>
      <c r="Q53" s="136">
        <f t="shared" si="56"/>
        <v>403.63009999999997</v>
      </c>
      <c r="R53" s="136">
        <f>R25</f>
        <v>449.55556666666672</v>
      </c>
      <c r="S53" s="136">
        <f t="shared" si="56"/>
        <v>248.99699999999999</v>
      </c>
      <c r="T53" s="136">
        <f t="shared" si="56"/>
        <v>339.12599999999998</v>
      </c>
      <c r="U53" s="136">
        <f t="shared" si="56"/>
        <v>468.524</v>
      </c>
      <c r="V53" s="136"/>
      <c r="W53" s="136"/>
      <c r="X53" s="136"/>
      <c r="Y53" s="136"/>
      <c r="Z53" s="136"/>
      <c r="AA53" s="136"/>
      <c r="AB53" s="136"/>
      <c r="AC53" s="136"/>
      <c r="AD53" s="136"/>
      <c r="AE53" s="136">
        <f>AE27</f>
        <v>249.22119260928116</v>
      </c>
      <c r="AF53" s="136">
        <f t="shared" ref="AF53" si="57">AF25</f>
        <v>0</v>
      </c>
      <c r="AG53" s="529"/>
      <c r="AH53" s="529"/>
      <c r="AI53" s="529"/>
    </row>
    <row r="54" spans="2:35" ht="15" x14ac:dyDescent="0.35">
      <c r="B54" s="1025" t="s">
        <v>181</v>
      </c>
      <c r="C54" s="1025"/>
      <c r="D54" s="1025"/>
      <c r="E54" s="138">
        <f t="shared" ref="E54:K54" si="58">SUM(E33,E36,E38,E40,E43)</f>
        <v>0.76653361114211216</v>
      </c>
      <c r="F54" s="138">
        <f t="shared" si="58"/>
        <v>18.827996871413976</v>
      </c>
      <c r="G54" s="138">
        <f t="shared" si="58"/>
        <v>20.277394732865623</v>
      </c>
      <c r="H54" s="138">
        <f t="shared" si="58"/>
        <v>21.75326156419171</v>
      </c>
      <c r="I54" s="138">
        <f t="shared" si="58"/>
        <v>17.843528615766896</v>
      </c>
      <c r="J54" s="138">
        <f t="shared" si="58"/>
        <v>19.399042459589822</v>
      </c>
      <c r="K54" s="138">
        <f t="shared" si="58"/>
        <v>16.437900523694598</v>
      </c>
      <c r="L54" s="138">
        <f t="shared" ref="L54:S54" si="59">SUM(L33,L36,L38,L40,L43)</f>
        <v>12.567771701716017</v>
      </c>
      <c r="M54" s="138">
        <f t="shared" si="59"/>
        <v>20.986698482712445</v>
      </c>
      <c r="N54" s="138">
        <f t="shared" si="59"/>
        <v>20.211528506620063</v>
      </c>
      <c r="O54" s="138">
        <f t="shared" si="59"/>
        <v>24.316058200701381</v>
      </c>
      <c r="P54" s="138">
        <f t="shared" si="59"/>
        <v>21.258623129651944</v>
      </c>
      <c r="Q54" s="138">
        <f t="shared" si="59"/>
        <v>21.676733437440141</v>
      </c>
      <c r="R54" s="138">
        <f t="shared" si="59"/>
        <v>19.205053668460469</v>
      </c>
      <c r="S54" s="138">
        <f t="shared" si="59"/>
        <v>22.205101062163624</v>
      </c>
      <c r="T54" s="138">
        <f>E54/E52</f>
        <v>7.5273772557306926E-2</v>
      </c>
      <c r="U54" s="138">
        <f>R54/R52</f>
        <v>0.61363815840781732</v>
      </c>
      <c r="V54" s="138">
        <f t="shared" ref="V54:AD54" si="60">S54/S52</f>
        <v>0.55731427141507628</v>
      </c>
      <c r="W54" s="138">
        <f t="shared" si="60"/>
        <v>2.3027483678758729E-3</v>
      </c>
      <c r="X54" s="138">
        <f t="shared" si="60"/>
        <v>2.0801551844619903E-2</v>
      </c>
      <c r="Y54" s="138">
        <f t="shared" si="60"/>
        <v>1.8325957599617949E-2</v>
      </c>
      <c r="Z54" s="138" t="e">
        <f t="shared" si="60"/>
        <v>#DIV/0!</v>
      </c>
      <c r="AA54" s="138" t="e">
        <f t="shared" si="60"/>
        <v>#DIV/0!</v>
      </c>
      <c r="AB54" s="138" t="e">
        <f t="shared" si="60"/>
        <v>#DIV/0!</v>
      </c>
      <c r="AC54" s="138" t="e">
        <f t="shared" si="60"/>
        <v>#DIV/0!</v>
      </c>
      <c r="AD54" s="138" t="e">
        <f t="shared" si="60"/>
        <v>#DIV/0!</v>
      </c>
      <c r="AE54" s="138">
        <f>SUM(AE33,AE36,AE38,AE40,AE43)</f>
        <v>21.75863802500961</v>
      </c>
      <c r="AF54" s="138">
        <f t="shared" ref="AF54" si="61">SUM(AF33,AF36,AF38,AF40,AF43)</f>
        <v>0</v>
      </c>
      <c r="AG54" s="530">
        <f>R54/R52</f>
        <v>0.61363815840781732</v>
      </c>
      <c r="AH54" s="530">
        <f>AE54/AE52</f>
        <v>0.67505244163454892</v>
      </c>
      <c r="AI54" s="530">
        <f t="shared" si="15"/>
        <v>0.67505244163454892</v>
      </c>
    </row>
    <row r="55" spans="2:35" ht="15" x14ac:dyDescent="0.35">
      <c r="B55" s="1026" t="s">
        <v>182</v>
      </c>
      <c r="C55" s="1026"/>
      <c r="D55" s="1026"/>
      <c r="E55" s="110">
        <f t="shared" ref="E55:J55" si="62">E52-E54</f>
        <v>9.4167425167886343</v>
      </c>
      <c r="F55" s="110">
        <f t="shared" si="62"/>
        <v>5.9181368988946694</v>
      </c>
      <c r="G55" s="110">
        <f t="shared" si="62"/>
        <v>8.2904213397231956</v>
      </c>
      <c r="H55" s="110">
        <f t="shared" si="62"/>
        <v>6.0750636126424027</v>
      </c>
      <c r="I55" s="110">
        <f t="shared" si="62"/>
        <v>6.6115791301535296</v>
      </c>
      <c r="J55" s="110">
        <f t="shared" si="62"/>
        <v>7.341451733170139</v>
      </c>
      <c r="K55" s="110">
        <f t="shared" ref="K55:P55" si="63">K52-K54</f>
        <v>8.62455396014958</v>
      </c>
      <c r="L55" s="110">
        <f t="shared" si="63"/>
        <v>14.876434942425513</v>
      </c>
      <c r="M55" s="110">
        <f t="shared" si="63"/>
        <v>13.406558434474189</v>
      </c>
      <c r="N55" s="110">
        <f t="shared" si="63"/>
        <v>11.775760760401688</v>
      </c>
      <c r="O55" s="110">
        <f t="shared" si="63"/>
        <v>7.8364000665071352</v>
      </c>
      <c r="P55" s="110">
        <f t="shared" si="63"/>
        <v>7.2244907790755057</v>
      </c>
      <c r="Q55" s="110">
        <f t="shared" ref="Q55" si="64">Q52-Q54</f>
        <v>11.535978443492859</v>
      </c>
      <c r="R55" s="110">
        <f>R52-R54</f>
        <v>12.091979290329224</v>
      </c>
      <c r="S55" s="110">
        <f>S52-S54</f>
        <v>17.637950158797697</v>
      </c>
      <c r="T55" s="110">
        <f>T52-T54</f>
        <v>32.613392348066981</v>
      </c>
      <c r="U55" s="110">
        <f>U52-U54</f>
        <v>28.885995474288112</v>
      </c>
      <c r="V55" s="110">
        <f t="shared" ref="V55:AD55" si="65">V52-V54</f>
        <v>29.85388079905125</v>
      </c>
      <c r="W55" s="110" t="e">
        <f t="shared" si="65"/>
        <v>#DIV/0!</v>
      </c>
      <c r="X55" s="110" t="e">
        <f t="shared" si="65"/>
        <v>#DIV/0!</v>
      </c>
      <c r="Y55" s="110" t="e">
        <f t="shared" si="65"/>
        <v>#DIV/0!</v>
      </c>
      <c r="Z55" s="110" t="e">
        <f t="shared" si="65"/>
        <v>#DIV/0!</v>
      </c>
      <c r="AA55" s="110" t="e">
        <f t="shared" si="65"/>
        <v>#DIV/0!</v>
      </c>
      <c r="AB55" s="110" t="e">
        <f t="shared" si="65"/>
        <v>#DIV/0!</v>
      </c>
      <c r="AC55" s="110" t="e">
        <f t="shared" si="65"/>
        <v>#DIV/0!</v>
      </c>
      <c r="AD55" s="110" t="e">
        <f t="shared" si="65"/>
        <v>#DIV/0!</v>
      </c>
      <c r="AE55" s="110">
        <f>AE52-AE54</f>
        <v>10.473877084963163</v>
      </c>
      <c r="AF55" s="110">
        <f>AF52-AF54</f>
        <v>0</v>
      </c>
      <c r="AG55" s="531">
        <f>AG52-AG54</f>
        <v>0.38636184159218268</v>
      </c>
      <c r="AH55" s="531">
        <f>AH52-AH54</f>
        <v>0.32494755836545108</v>
      </c>
      <c r="AI55" s="531">
        <f t="shared" si="15"/>
        <v>0.32494755836545114</v>
      </c>
    </row>
    <row r="58" spans="2:35" ht="21" x14ac:dyDescent="0.5">
      <c r="B58" s="104" t="s">
        <v>180</v>
      </c>
      <c r="C58" s="93"/>
      <c r="D58" s="93"/>
      <c r="F58" s="123"/>
      <c r="G58" s="123"/>
      <c r="H58" s="123"/>
      <c r="I58" s="123"/>
      <c r="J58" s="12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2:35" ht="16" x14ac:dyDescent="0.4">
      <c r="B59" s="93"/>
      <c r="C59" s="93"/>
      <c r="D59" s="106" t="s">
        <v>183</v>
      </c>
      <c r="F59" s="123"/>
      <c r="G59" s="123"/>
      <c r="H59" s="123"/>
      <c r="I59" s="123"/>
      <c r="J59" s="123"/>
    </row>
    <row r="60" spans="2:35" ht="30" x14ac:dyDescent="0.35">
      <c r="B60" s="94" t="s">
        <v>57</v>
      </c>
      <c r="C60" s="94" t="s">
        <v>58</v>
      </c>
      <c r="D60" s="94" t="s">
        <v>59</v>
      </c>
      <c r="E60" s="96" t="s">
        <v>170</v>
      </c>
      <c r="F60" s="120" t="s">
        <v>185</v>
      </c>
      <c r="G60" s="96">
        <v>2</v>
      </c>
      <c r="H60" s="96">
        <v>3</v>
      </c>
      <c r="I60" s="95">
        <v>4</v>
      </c>
      <c r="J60" s="95">
        <v>5</v>
      </c>
      <c r="K60" s="95">
        <v>6</v>
      </c>
      <c r="L60" s="95">
        <v>7</v>
      </c>
      <c r="M60" s="95">
        <v>8</v>
      </c>
      <c r="N60" s="95">
        <v>9</v>
      </c>
      <c r="O60" s="95">
        <v>10</v>
      </c>
      <c r="P60" s="95">
        <v>11</v>
      </c>
      <c r="Q60" s="95">
        <v>12</v>
      </c>
      <c r="R60" s="96" t="s">
        <v>184</v>
      </c>
      <c r="S60" s="95" t="s">
        <v>228</v>
      </c>
      <c r="T60" s="95">
        <v>2</v>
      </c>
      <c r="U60" s="95">
        <v>3</v>
      </c>
      <c r="V60" s="95">
        <v>4</v>
      </c>
      <c r="W60" s="95">
        <v>5</v>
      </c>
      <c r="X60" s="95">
        <v>6</v>
      </c>
      <c r="Y60" s="95">
        <v>7</v>
      </c>
      <c r="Z60" s="95">
        <v>8</v>
      </c>
      <c r="AA60" s="95">
        <v>9</v>
      </c>
      <c r="AB60" s="95">
        <v>10</v>
      </c>
      <c r="AC60" s="95">
        <v>11</v>
      </c>
      <c r="AD60" s="95">
        <v>12</v>
      </c>
      <c r="AE60" s="95" t="s">
        <v>249</v>
      </c>
    </row>
    <row r="61" spans="2:35" ht="16" x14ac:dyDescent="0.4">
      <c r="B61" s="112" t="s">
        <v>161</v>
      </c>
      <c r="C61" s="97"/>
      <c r="D61" s="98" t="s">
        <v>162</v>
      </c>
      <c r="E61" s="116">
        <f t="shared" ref="E61:Q61" si="66">SUM(E62:E72)</f>
        <v>0.34078363277510892</v>
      </c>
      <c r="F61" s="116">
        <f t="shared" si="66"/>
        <v>0.8234087598995079</v>
      </c>
      <c r="G61" s="116">
        <f t="shared" si="66"/>
        <v>0.76895185361244567</v>
      </c>
      <c r="H61" s="116">
        <f t="shared" si="66"/>
        <v>0.82787485031982366</v>
      </c>
      <c r="I61" s="116">
        <f t="shared" si="66"/>
        <v>0.78886969627201831</v>
      </c>
      <c r="J61" s="116">
        <f t="shared" si="66"/>
        <v>0.79336942911088304</v>
      </c>
      <c r="K61" s="116">
        <f t="shared" si="66"/>
        <v>0.72276290402972487</v>
      </c>
      <c r="L61" s="116">
        <f t="shared" si="66"/>
        <v>0.53834599143026585</v>
      </c>
      <c r="M61" s="116">
        <f t="shared" si="66"/>
        <v>0.66778456429339494</v>
      </c>
      <c r="N61" s="116">
        <f t="shared" si="66"/>
        <v>0.70007885903171141</v>
      </c>
      <c r="O61" s="116">
        <f t="shared" si="66"/>
        <v>0.80829792184587956</v>
      </c>
      <c r="P61" s="116">
        <f t="shared" si="66"/>
        <v>0.80318118288705176</v>
      </c>
      <c r="Q61" s="116">
        <f t="shared" si="66"/>
        <v>0.70928341438921383</v>
      </c>
      <c r="R61" s="116">
        <f>SUM(R62:R72)</f>
        <v>0.66968335028517834</v>
      </c>
      <c r="S61" s="116">
        <f t="shared" ref="S61:AE61" si="67">SUM(S62:S72)</f>
        <v>0.61285802972365977</v>
      </c>
      <c r="T61" s="116">
        <f t="shared" si="67"/>
        <v>0.71782355199875669</v>
      </c>
      <c r="U61" s="116">
        <f t="shared" si="67"/>
        <v>0.79897974122869242</v>
      </c>
      <c r="V61" s="116">
        <f t="shared" si="67"/>
        <v>0.7695208388931446</v>
      </c>
      <c r="W61" s="116" t="e">
        <f t="shared" si="67"/>
        <v>#DIV/0!</v>
      </c>
      <c r="X61" s="116" t="e">
        <f t="shared" si="67"/>
        <v>#DIV/0!</v>
      </c>
      <c r="Y61" s="116" t="e">
        <f t="shared" si="67"/>
        <v>#DIV/0!</v>
      </c>
      <c r="Z61" s="116" t="e">
        <f t="shared" si="67"/>
        <v>#DIV/0!</v>
      </c>
      <c r="AA61" s="116" t="e">
        <f t="shared" si="67"/>
        <v>#DIV/0!</v>
      </c>
      <c r="AB61" s="116" t="e">
        <f t="shared" si="67"/>
        <v>#DIV/0!</v>
      </c>
      <c r="AC61" s="116" t="e">
        <f t="shared" si="67"/>
        <v>#DIV/0!</v>
      </c>
      <c r="AD61" s="116" t="e">
        <f t="shared" si="67"/>
        <v>#DIV/0!</v>
      </c>
      <c r="AE61" s="116">
        <f t="shared" si="67"/>
        <v>0.73343806953450952</v>
      </c>
    </row>
    <row r="62" spans="2:35" ht="15.5" x14ac:dyDescent="0.35">
      <c r="B62" s="113">
        <v>1</v>
      </c>
      <c r="C62" s="99" t="s">
        <v>96</v>
      </c>
      <c r="D62" s="99" t="s">
        <v>260</v>
      </c>
      <c r="E62" s="107">
        <f t="shared" ref="E62:R62" si="68">E33/E$52</f>
        <v>0</v>
      </c>
      <c r="F62" s="107">
        <f t="shared" si="68"/>
        <v>0.74361043271413541</v>
      </c>
      <c r="G62" s="107">
        <f t="shared" si="68"/>
        <v>0.69791251283725819</v>
      </c>
      <c r="H62" s="107">
        <f t="shared" si="68"/>
        <v>0.76236440942104922</v>
      </c>
      <c r="I62" s="107">
        <f t="shared" si="68"/>
        <v>0.7162448741310975</v>
      </c>
      <c r="J62" s="107">
        <f t="shared" si="68"/>
        <v>0.71380735925755168</v>
      </c>
      <c r="K62" s="107">
        <f t="shared" si="68"/>
        <v>0.64540667082278569</v>
      </c>
      <c r="L62" s="107">
        <f t="shared" si="68"/>
        <v>0.44312284236816152</v>
      </c>
      <c r="M62" s="107">
        <f t="shared" si="68"/>
        <v>0.59572636730765027</v>
      </c>
      <c r="N62" s="107">
        <f t="shared" si="68"/>
        <v>0.6195572339421852</v>
      </c>
      <c r="O62" s="107">
        <f t="shared" si="68"/>
        <v>0.73573265507108843</v>
      </c>
      <c r="P62" s="107">
        <f t="shared" si="68"/>
        <v>0.73131424864012773</v>
      </c>
      <c r="Q62" s="107">
        <f t="shared" si="68"/>
        <v>0.63897799829741031</v>
      </c>
      <c r="R62" s="107">
        <f t="shared" si="68"/>
        <v>0.60038901967306957</v>
      </c>
      <c r="S62" s="107">
        <f t="shared" ref="S62:AE62" si="69">S33/S$52</f>
        <v>0.53496001218464184</v>
      </c>
      <c r="T62" s="107">
        <f t="shared" si="69"/>
        <v>0.64162427897983887</v>
      </c>
      <c r="U62" s="107">
        <f t="shared" si="69"/>
        <v>0.72554595557985346</v>
      </c>
      <c r="V62" s="107">
        <f t="shared" si="69"/>
        <v>0.69023297270982031</v>
      </c>
      <c r="W62" s="107" t="e">
        <f t="shared" si="69"/>
        <v>#DIV/0!</v>
      </c>
      <c r="X62" s="107" t="e">
        <f t="shared" si="69"/>
        <v>#DIV/0!</v>
      </c>
      <c r="Y62" s="107" t="e">
        <f t="shared" si="69"/>
        <v>#DIV/0!</v>
      </c>
      <c r="Z62" s="107" t="e">
        <f t="shared" si="69"/>
        <v>#DIV/0!</v>
      </c>
      <c r="AA62" s="107" t="e">
        <f t="shared" si="69"/>
        <v>#DIV/0!</v>
      </c>
      <c r="AB62" s="107" t="e">
        <f t="shared" si="69"/>
        <v>#DIV/0!</v>
      </c>
      <c r="AC62" s="107" t="e">
        <f t="shared" si="69"/>
        <v>#DIV/0!</v>
      </c>
      <c r="AD62" s="107" t="e">
        <f t="shared" si="69"/>
        <v>#DIV/0!</v>
      </c>
      <c r="AE62" s="107">
        <f t="shared" si="69"/>
        <v>0.65685487063810355</v>
      </c>
    </row>
    <row r="63" spans="2:35" ht="15.5" x14ac:dyDescent="0.35">
      <c r="B63" s="114">
        <f>B62+1</f>
        <v>2</v>
      </c>
      <c r="C63" s="101" t="s">
        <v>96</v>
      </c>
      <c r="D63" s="101" t="s">
        <v>25</v>
      </c>
      <c r="E63" s="118">
        <f t="shared" ref="E63:R63" si="70">E34/E$52</f>
        <v>0.14400371428028222</v>
      </c>
      <c r="F63" s="118">
        <f t="shared" si="70"/>
        <v>4.6968433254314913E-2</v>
      </c>
      <c r="G63" s="118">
        <f t="shared" si="70"/>
        <v>4.9643035914625981E-2</v>
      </c>
      <c r="H63" s="118">
        <f t="shared" si="70"/>
        <v>3.756132641713715E-2</v>
      </c>
      <c r="I63" s="118">
        <f t="shared" si="70"/>
        <v>5.0081400795486335E-2</v>
      </c>
      <c r="J63" s="118">
        <f t="shared" si="70"/>
        <v>5.0962933450309979E-2</v>
      </c>
      <c r="K63" s="118">
        <f t="shared" si="70"/>
        <v>5.5288393760525155E-2</v>
      </c>
      <c r="L63" s="118">
        <f t="shared" si="70"/>
        <v>5.9788178027231874E-2</v>
      </c>
      <c r="M63" s="118">
        <f t="shared" si="70"/>
        <v>4.7009941618396445E-2</v>
      </c>
      <c r="N63" s="118">
        <f t="shared" si="70"/>
        <v>5.2141327516812899E-2</v>
      </c>
      <c r="O63" s="118">
        <f t="shared" si="70"/>
        <v>4.0369772692173046E-2</v>
      </c>
      <c r="P63" s="118">
        <f t="shared" si="70"/>
        <v>4.7312789037762246E-2</v>
      </c>
      <c r="Q63" s="118">
        <f t="shared" si="70"/>
        <v>4.4337400887314041E-2</v>
      </c>
      <c r="R63" s="118">
        <f t="shared" si="70"/>
        <v>4.4106487584985962E-2</v>
      </c>
      <c r="S63" s="118">
        <f t="shared" ref="S63:AE63" si="71">S34/S$52</f>
        <v>4.3935405219294968E-2</v>
      </c>
      <c r="T63" s="118">
        <f t="shared" si="71"/>
        <v>4.3488549841291815E-2</v>
      </c>
      <c r="U63" s="118">
        <f t="shared" si="71"/>
        <v>4.6128803456163242E-2</v>
      </c>
      <c r="V63" s="118">
        <f t="shared" si="71"/>
        <v>4.9828168036447219E-2</v>
      </c>
      <c r="W63" s="118" t="e">
        <f t="shared" si="71"/>
        <v>#DIV/0!</v>
      </c>
      <c r="X63" s="118" t="e">
        <f t="shared" si="71"/>
        <v>#DIV/0!</v>
      </c>
      <c r="Y63" s="118" t="e">
        <f t="shared" si="71"/>
        <v>#DIV/0!</v>
      </c>
      <c r="Z63" s="118" t="e">
        <f t="shared" si="71"/>
        <v>#DIV/0!</v>
      </c>
      <c r="AA63" s="118" t="e">
        <f t="shared" si="71"/>
        <v>#DIV/0!</v>
      </c>
      <c r="AB63" s="118" t="e">
        <f t="shared" si="71"/>
        <v>#DIV/0!</v>
      </c>
      <c r="AC63" s="118" t="e">
        <f t="shared" si="71"/>
        <v>#DIV/0!</v>
      </c>
      <c r="AD63" s="118" t="e">
        <f t="shared" si="71"/>
        <v>#DIV/0!</v>
      </c>
      <c r="AE63" s="118">
        <f t="shared" si="71"/>
        <v>4.6055147197352916E-2</v>
      </c>
    </row>
    <row r="64" spans="2:35" ht="15.5" x14ac:dyDescent="0.35">
      <c r="B64" s="114">
        <f t="shared" ref="B64:B72" si="72">B63+1</f>
        <v>3</v>
      </c>
      <c r="C64" s="101" t="s">
        <v>96</v>
      </c>
      <c r="D64" s="101" t="s">
        <v>165</v>
      </c>
      <c r="E64" s="118">
        <f t="shared" ref="E64:R64" si="73">E35/E$52</f>
        <v>3.351594937181649E-3</v>
      </c>
      <c r="F64" s="118">
        <f t="shared" si="73"/>
        <v>1.5307796935596437E-3</v>
      </c>
      <c r="G64" s="118">
        <f t="shared" si="73"/>
        <v>1.8243829153929861E-3</v>
      </c>
      <c r="H64" s="118">
        <f t="shared" si="73"/>
        <v>6.4468271450231673E-4</v>
      </c>
      <c r="I64" s="118">
        <f t="shared" si="73"/>
        <v>7.7163577044492065E-4</v>
      </c>
      <c r="J64" s="118">
        <f t="shared" si="73"/>
        <v>4.0639244653521505E-4</v>
      </c>
      <c r="K64" s="118">
        <f t="shared" si="73"/>
        <v>1.1086009481189811E-3</v>
      </c>
      <c r="L64" s="118">
        <f t="shared" si="73"/>
        <v>8.2755269614020175E-4</v>
      </c>
      <c r="M64" s="118">
        <f t="shared" si="73"/>
        <v>1.8762432242942135E-3</v>
      </c>
      <c r="N64" s="118">
        <f t="shared" si="73"/>
        <v>1.4541789246425082E-3</v>
      </c>
      <c r="O64" s="118">
        <f t="shared" si="73"/>
        <v>2.3761692600220187E-3</v>
      </c>
      <c r="P64" s="118">
        <f t="shared" si="73"/>
        <v>2.4884706190525063E-3</v>
      </c>
      <c r="Q64" s="118">
        <f t="shared" si="73"/>
        <v>2.9902524199806229E-3</v>
      </c>
      <c r="R64" s="118">
        <f t="shared" si="73"/>
        <v>1.3371423700177232E-3</v>
      </c>
      <c r="S64" s="118">
        <f t="shared" ref="S64:AE64" si="74">S35/S$52</f>
        <v>1.3051574781289715E-3</v>
      </c>
      <c r="T64" s="118">
        <f t="shared" si="74"/>
        <v>2.5735431000435847E-3</v>
      </c>
      <c r="U64" s="118">
        <f t="shared" si="74"/>
        <v>2.4377275458722846E-3</v>
      </c>
      <c r="V64" s="118">
        <f t="shared" si="74"/>
        <v>1.7734056571344203E-3</v>
      </c>
      <c r="W64" s="118" t="e">
        <f t="shared" si="74"/>
        <v>#DIV/0!</v>
      </c>
      <c r="X64" s="118" t="e">
        <f t="shared" si="74"/>
        <v>#DIV/0!</v>
      </c>
      <c r="Y64" s="118" t="e">
        <f t="shared" si="74"/>
        <v>#DIV/0!</v>
      </c>
      <c r="Z64" s="118" t="e">
        <f t="shared" si="74"/>
        <v>#DIV/0!</v>
      </c>
      <c r="AA64" s="118" t="e">
        <f t="shared" si="74"/>
        <v>#DIV/0!</v>
      </c>
      <c r="AB64" s="118" t="e">
        <f t="shared" si="74"/>
        <v>#DIV/0!</v>
      </c>
      <c r="AC64" s="118" t="e">
        <f t="shared" si="74"/>
        <v>#DIV/0!</v>
      </c>
      <c r="AD64" s="118" t="e">
        <f t="shared" si="74"/>
        <v>#DIV/0!</v>
      </c>
      <c r="AE64" s="118">
        <f t="shared" si="74"/>
        <v>2.0546239641803759E-3</v>
      </c>
    </row>
    <row r="65" spans="2:31" ht="15.5" x14ac:dyDescent="0.35">
      <c r="B65" s="114">
        <f t="shared" si="72"/>
        <v>4</v>
      </c>
      <c r="C65" s="101" t="s">
        <v>96</v>
      </c>
      <c r="D65" s="101" t="s">
        <v>54</v>
      </c>
      <c r="E65" s="118">
        <f t="shared" ref="E65:R65" si="75">E36/E$52</f>
        <v>2.2429504094420277E-2</v>
      </c>
      <c r="F65" s="118">
        <f t="shared" si="75"/>
        <v>4.9250252726903681E-3</v>
      </c>
      <c r="G65" s="118">
        <f t="shared" si="75"/>
        <v>1.842180105317715E-3</v>
      </c>
      <c r="H65" s="118">
        <f t="shared" si="75"/>
        <v>9.5673231450375557E-3</v>
      </c>
      <c r="I65" s="118">
        <f t="shared" si="75"/>
        <v>1.1093086245809168E-3</v>
      </c>
      <c r="J65" s="118">
        <f t="shared" si="75"/>
        <v>3.647549933836525E-3</v>
      </c>
      <c r="K65" s="118">
        <f t="shared" si="75"/>
        <v>9.6141869306700344E-4</v>
      </c>
      <c r="L65" s="118">
        <f t="shared" si="75"/>
        <v>7.1969296578535472E-3</v>
      </c>
      <c r="M65" s="118">
        <f t="shared" si="75"/>
        <v>7.1634247823039732E-3</v>
      </c>
      <c r="N65" s="118">
        <f t="shared" si="75"/>
        <v>5.374075908198518E-3</v>
      </c>
      <c r="O65" s="118">
        <f t="shared" si="75"/>
        <v>7.2884696864839778E-3</v>
      </c>
      <c r="P65" s="118">
        <f t="shared" si="75"/>
        <v>5.0138080784799489E-3</v>
      </c>
      <c r="Q65" s="118">
        <f t="shared" si="75"/>
        <v>4.9983524791038037E-3</v>
      </c>
      <c r="R65" s="118">
        <f t="shared" si="75"/>
        <v>4.6683833059678135E-3</v>
      </c>
      <c r="S65" s="118">
        <f t="shared" ref="S65:AE65" si="76">S36/S$52</f>
        <v>8.8830851345152416E-3</v>
      </c>
      <c r="T65" s="118">
        <f t="shared" si="76"/>
        <v>8.018630452263786E-3</v>
      </c>
      <c r="U65" s="118">
        <f t="shared" si="76"/>
        <v>5.3310575545665127E-3</v>
      </c>
      <c r="V65" s="118">
        <f t="shared" si="76"/>
        <v>2.3754945715752226E-3</v>
      </c>
      <c r="W65" s="118" t="e">
        <f t="shared" si="76"/>
        <v>#DIV/0!</v>
      </c>
      <c r="X65" s="118" t="e">
        <f t="shared" si="76"/>
        <v>#DIV/0!</v>
      </c>
      <c r="Y65" s="118" t="e">
        <f t="shared" si="76"/>
        <v>#DIV/0!</v>
      </c>
      <c r="Z65" s="118" t="e">
        <f t="shared" si="76"/>
        <v>#DIV/0!</v>
      </c>
      <c r="AA65" s="118" t="e">
        <f t="shared" si="76"/>
        <v>#DIV/0!</v>
      </c>
      <c r="AB65" s="118" t="e">
        <f t="shared" si="76"/>
        <v>#DIV/0!</v>
      </c>
      <c r="AC65" s="118" t="e">
        <f t="shared" si="76"/>
        <v>#DIV/0!</v>
      </c>
      <c r="AD65" s="118" t="e">
        <f t="shared" si="76"/>
        <v>#DIV/0!</v>
      </c>
      <c r="AE65" s="118">
        <f t="shared" si="76"/>
        <v>5.8988614771963649E-3</v>
      </c>
    </row>
    <row r="66" spans="2:31" ht="15.5" x14ac:dyDescent="0.35">
      <c r="B66" s="114">
        <f t="shared" si="72"/>
        <v>5</v>
      </c>
      <c r="C66" s="101" t="s">
        <v>96</v>
      </c>
      <c r="D66" s="101" t="s">
        <v>49</v>
      </c>
      <c r="E66" s="118">
        <f t="shared" ref="E66:R66" si="77">E37/E$52</f>
        <v>8.9860297712373471E-2</v>
      </c>
      <c r="F66" s="118">
        <f t="shared" si="77"/>
        <v>9.1070367868487691E-3</v>
      </c>
      <c r="G66" s="118">
        <f t="shared" si="77"/>
        <v>2.3125604178431546E-3</v>
      </c>
      <c r="H66" s="118">
        <f t="shared" si="77"/>
        <v>3.3913609579312226E-3</v>
      </c>
      <c r="I66" s="118">
        <f t="shared" si="77"/>
        <v>2.1295577227649137E-3</v>
      </c>
      <c r="J66" s="118">
        <f t="shared" si="77"/>
        <v>1.1142576756878669E-2</v>
      </c>
      <c r="K66" s="118">
        <f t="shared" si="77"/>
        <v>3.9800570599528989E-3</v>
      </c>
      <c r="L66" s="118">
        <f t="shared" si="77"/>
        <v>1.0204127186769094E-2</v>
      </c>
      <c r="M66" s="118">
        <f t="shared" si="77"/>
        <v>2.6514578448611323E-3</v>
      </c>
      <c r="N66" s="118">
        <f t="shared" si="77"/>
        <v>9.8843218975900315E-3</v>
      </c>
      <c r="O66" s="118">
        <f t="shared" si="77"/>
        <v>5.471242282117466E-3</v>
      </c>
      <c r="P66" s="118">
        <f t="shared" si="77"/>
        <v>3.1047443123949441E-3</v>
      </c>
      <c r="Q66" s="118">
        <f t="shared" si="77"/>
        <v>4.8613021609607574E-3</v>
      </c>
      <c r="R66" s="118">
        <f t="shared" si="77"/>
        <v>5.5542501201765243E-3</v>
      </c>
      <c r="S66" s="118">
        <f t="shared" ref="S66:AE66" si="78">S37/S$52</f>
        <v>6.0565510315383833E-3</v>
      </c>
      <c r="T66" s="118">
        <f t="shared" si="78"/>
        <v>5.153249578068995E-3</v>
      </c>
      <c r="U66" s="118">
        <f t="shared" si="78"/>
        <v>5.3400849094260927E-3</v>
      </c>
      <c r="V66" s="118">
        <f t="shared" si="78"/>
        <v>9.0043267528917437E-3</v>
      </c>
      <c r="W66" s="118" t="e">
        <f t="shared" si="78"/>
        <v>#DIV/0!</v>
      </c>
      <c r="X66" s="118" t="e">
        <f t="shared" si="78"/>
        <v>#DIV/0!</v>
      </c>
      <c r="Y66" s="118" t="e">
        <f t="shared" si="78"/>
        <v>#DIV/0!</v>
      </c>
      <c r="Z66" s="118" t="e">
        <f t="shared" si="78"/>
        <v>#DIV/0!</v>
      </c>
      <c r="AA66" s="118" t="e">
        <f t="shared" si="78"/>
        <v>#DIV/0!</v>
      </c>
      <c r="AB66" s="118" t="e">
        <f t="shared" si="78"/>
        <v>#DIV/0!</v>
      </c>
      <c r="AC66" s="118" t="e">
        <f t="shared" si="78"/>
        <v>#DIV/0!</v>
      </c>
      <c r="AD66" s="118" t="e">
        <f t="shared" si="78"/>
        <v>#DIV/0!</v>
      </c>
      <c r="AE66" s="118">
        <f t="shared" si="78"/>
        <v>6.4330263632708887E-3</v>
      </c>
    </row>
    <row r="67" spans="2:31" ht="15.5" x14ac:dyDescent="0.35">
      <c r="B67" s="114">
        <f t="shared" si="72"/>
        <v>6</v>
      </c>
      <c r="C67" s="101" t="s">
        <v>96</v>
      </c>
      <c r="D67" s="101" t="s">
        <v>56</v>
      </c>
      <c r="E67" s="118">
        <f t="shared" ref="E67:R67" si="79">E38/E$52</f>
        <v>3.9222960989788572E-2</v>
      </c>
      <c r="F67" s="118">
        <f t="shared" si="79"/>
        <v>1.0543845466371745E-2</v>
      </c>
      <c r="G67" s="118">
        <f t="shared" si="79"/>
        <v>1.0043867834425204E-2</v>
      </c>
      <c r="H67" s="118">
        <f t="shared" si="79"/>
        <v>7.940802375402024E-3</v>
      </c>
      <c r="I67" s="118">
        <f t="shared" si="79"/>
        <v>1.2290061757762127E-2</v>
      </c>
      <c r="J67" s="118">
        <f t="shared" si="79"/>
        <v>8.000735709974581E-3</v>
      </c>
      <c r="K67" s="118">
        <f t="shared" si="79"/>
        <v>8.7120030611682366E-3</v>
      </c>
      <c r="L67" s="118">
        <f t="shared" si="79"/>
        <v>6.4561273111391716E-3</v>
      </c>
      <c r="M67" s="118">
        <f t="shared" si="79"/>
        <v>7.3082631057197808E-3</v>
      </c>
      <c r="N67" s="118">
        <f t="shared" si="79"/>
        <v>6.9187441883103561E-3</v>
      </c>
      <c r="O67" s="118">
        <f t="shared" si="79"/>
        <v>9.8772748493049737E-3</v>
      </c>
      <c r="P67" s="118">
        <f t="shared" si="79"/>
        <v>9.2927372607038861E-3</v>
      </c>
      <c r="Q67" s="118">
        <f t="shared" si="79"/>
        <v>8.1279442794612664E-3</v>
      </c>
      <c r="R67" s="118">
        <f t="shared" si="79"/>
        <v>7.7760316598097208E-3</v>
      </c>
      <c r="S67" s="118">
        <f t="shared" ref="S67:AE67" si="80">S38/S$52</f>
        <v>6.4807601748547786E-3</v>
      </c>
      <c r="T67" s="118">
        <f t="shared" si="80"/>
        <v>1.0441612584914248E-2</v>
      </c>
      <c r="U67" s="118">
        <f t="shared" si="80"/>
        <v>8.9169909294815608E-3</v>
      </c>
      <c r="V67" s="118">
        <f t="shared" si="80"/>
        <v>7.9769474942061307E-3</v>
      </c>
      <c r="W67" s="118" t="e">
        <f t="shared" si="80"/>
        <v>#DIV/0!</v>
      </c>
      <c r="X67" s="118" t="e">
        <f t="shared" si="80"/>
        <v>#DIV/0!</v>
      </c>
      <c r="Y67" s="118" t="e">
        <f t="shared" si="80"/>
        <v>#DIV/0!</v>
      </c>
      <c r="Z67" s="118" t="e">
        <f t="shared" si="80"/>
        <v>#DIV/0!</v>
      </c>
      <c r="AA67" s="118" t="e">
        <f t="shared" si="80"/>
        <v>#DIV/0!</v>
      </c>
      <c r="AB67" s="118" t="e">
        <f t="shared" si="80"/>
        <v>#DIV/0!</v>
      </c>
      <c r="AC67" s="118" t="e">
        <f t="shared" si="80"/>
        <v>#DIV/0!</v>
      </c>
      <c r="AD67" s="118" t="e">
        <f t="shared" si="80"/>
        <v>#DIV/0!</v>
      </c>
      <c r="AE67" s="118">
        <f t="shared" si="80"/>
        <v>8.5112488973152663E-3</v>
      </c>
    </row>
    <row r="68" spans="2:31" ht="15.5" x14ac:dyDescent="0.35">
      <c r="B68" s="114">
        <f t="shared" si="72"/>
        <v>7</v>
      </c>
      <c r="C68" s="101" t="s">
        <v>96</v>
      </c>
      <c r="D68" s="101" t="s">
        <v>28</v>
      </c>
      <c r="E68" s="118">
        <f t="shared" ref="E68:R68" si="81">E39/E$52</f>
        <v>1.6221933597414445E-2</v>
      </c>
      <c r="F68" s="118">
        <f t="shared" si="81"/>
        <v>3.2710692890040236E-3</v>
      </c>
      <c r="G68" s="118">
        <f t="shared" si="81"/>
        <v>3.2257267726917343E-3</v>
      </c>
      <c r="H68" s="118">
        <f t="shared" si="81"/>
        <v>3.0284652341773691E-3</v>
      </c>
      <c r="I68" s="118">
        <f t="shared" si="81"/>
        <v>3.5290800324474657E-3</v>
      </c>
      <c r="J68" s="118">
        <f t="shared" si="81"/>
        <v>3.3260266661755498E-3</v>
      </c>
      <c r="K68" s="118">
        <f t="shared" si="81"/>
        <v>4.0569761905380006E-3</v>
      </c>
      <c r="L68" s="118">
        <f t="shared" si="81"/>
        <v>6.1663801656366545E-3</v>
      </c>
      <c r="M68" s="118">
        <f t="shared" si="81"/>
        <v>3.5515354188481035E-3</v>
      </c>
      <c r="N68" s="118">
        <f t="shared" si="81"/>
        <v>2.9493264355783247E-3</v>
      </c>
      <c r="O68" s="118">
        <f t="shared" si="81"/>
        <v>2.2546546360678738E-3</v>
      </c>
      <c r="P68" s="118">
        <f t="shared" si="81"/>
        <v>2.329386289853018E-3</v>
      </c>
      <c r="Q68" s="118">
        <f t="shared" si="81"/>
        <v>2.6409760898017816E-3</v>
      </c>
      <c r="R68" s="118">
        <f t="shared" si="81"/>
        <v>3.1175085491211342E-3</v>
      </c>
      <c r="S68" s="118">
        <f t="shared" ref="S68:AE68" si="82">S39/S$52</f>
        <v>2.3711268324235063E-3</v>
      </c>
      <c r="T68" s="118">
        <f t="shared" si="82"/>
        <v>2.2918261447039501E-3</v>
      </c>
      <c r="U68" s="118">
        <f t="shared" si="82"/>
        <v>1.9891644825192592E-3</v>
      </c>
      <c r="V68" s="118">
        <f t="shared" si="82"/>
        <v>1.9113865339119296E-3</v>
      </c>
      <c r="W68" s="118" t="e">
        <f t="shared" si="82"/>
        <v>#DIV/0!</v>
      </c>
      <c r="X68" s="118" t="e">
        <f t="shared" si="82"/>
        <v>#DIV/0!</v>
      </c>
      <c r="Y68" s="118" t="e">
        <f t="shared" si="82"/>
        <v>#DIV/0!</v>
      </c>
      <c r="Z68" s="118" t="e">
        <f t="shared" si="82"/>
        <v>#DIV/0!</v>
      </c>
      <c r="AA68" s="118" t="e">
        <f t="shared" si="82"/>
        <v>#DIV/0!</v>
      </c>
      <c r="AB68" s="118" t="e">
        <f t="shared" si="82"/>
        <v>#DIV/0!</v>
      </c>
      <c r="AC68" s="118" t="e">
        <f t="shared" si="82"/>
        <v>#DIV/0!</v>
      </c>
      <c r="AD68" s="118" t="e">
        <f t="shared" si="82"/>
        <v>#DIV/0!</v>
      </c>
      <c r="AE68" s="118">
        <f t="shared" si="82"/>
        <v>2.1180755389376095E-3</v>
      </c>
    </row>
    <row r="69" spans="2:31" ht="15.5" x14ac:dyDescent="0.35">
      <c r="B69" s="114">
        <f t="shared" si="72"/>
        <v>8</v>
      </c>
      <c r="C69" s="101" t="s">
        <v>96</v>
      </c>
      <c r="D69" s="101" t="s">
        <v>53</v>
      </c>
      <c r="E69" s="118">
        <f t="shared" ref="E69:R69" si="83">E40/E$52</f>
        <v>0</v>
      </c>
      <c r="F69" s="118">
        <f t="shared" si="83"/>
        <v>0</v>
      </c>
      <c r="G69" s="118">
        <f t="shared" si="83"/>
        <v>0</v>
      </c>
      <c r="H69" s="118">
        <f t="shared" si="83"/>
        <v>0</v>
      </c>
      <c r="I69" s="118">
        <f t="shared" si="83"/>
        <v>0</v>
      </c>
      <c r="J69" s="118">
        <f t="shared" si="83"/>
        <v>0</v>
      </c>
      <c r="K69" s="118">
        <f t="shared" si="83"/>
        <v>0</v>
      </c>
      <c r="L69" s="118">
        <f t="shared" si="83"/>
        <v>0</v>
      </c>
      <c r="M69" s="118">
        <f t="shared" si="83"/>
        <v>0</v>
      </c>
      <c r="N69" s="118">
        <f t="shared" si="83"/>
        <v>0</v>
      </c>
      <c r="O69" s="118">
        <f t="shared" si="83"/>
        <v>0</v>
      </c>
      <c r="P69" s="118">
        <f t="shared" si="83"/>
        <v>0</v>
      </c>
      <c r="Q69" s="118">
        <f t="shared" si="83"/>
        <v>0</v>
      </c>
      <c r="R69" s="118">
        <f t="shared" si="83"/>
        <v>0</v>
      </c>
      <c r="S69" s="118">
        <f t="shared" ref="S69:AE69" si="84">S40/S$52</f>
        <v>0</v>
      </c>
      <c r="T69" s="118">
        <f t="shared" si="84"/>
        <v>0</v>
      </c>
      <c r="U69" s="118">
        <f t="shared" si="84"/>
        <v>0</v>
      </c>
      <c r="V69" s="118">
        <f t="shared" si="84"/>
        <v>0</v>
      </c>
      <c r="W69" s="118" t="e">
        <f t="shared" si="84"/>
        <v>#DIV/0!</v>
      </c>
      <c r="X69" s="118" t="e">
        <f t="shared" si="84"/>
        <v>#DIV/0!</v>
      </c>
      <c r="Y69" s="118" t="e">
        <f t="shared" si="84"/>
        <v>#DIV/0!</v>
      </c>
      <c r="Z69" s="118" t="e">
        <f t="shared" si="84"/>
        <v>#DIV/0!</v>
      </c>
      <c r="AA69" s="118" t="e">
        <f t="shared" si="84"/>
        <v>#DIV/0!</v>
      </c>
      <c r="AB69" s="118" t="e">
        <f t="shared" si="84"/>
        <v>#DIV/0!</v>
      </c>
      <c r="AC69" s="118" t="e">
        <f t="shared" si="84"/>
        <v>#DIV/0!</v>
      </c>
      <c r="AD69" s="118" t="e">
        <f t="shared" si="84"/>
        <v>#DIV/0!</v>
      </c>
      <c r="AE69" s="118">
        <f t="shared" si="84"/>
        <v>0</v>
      </c>
    </row>
    <row r="70" spans="2:31" ht="15.5" x14ac:dyDescent="0.35">
      <c r="B70" s="114">
        <f t="shared" si="72"/>
        <v>9</v>
      </c>
      <c r="C70" s="101" t="s">
        <v>96</v>
      </c>
      <c r="D70" s="101" t="s">
        <v>42</v>
      </c>
      <c r="E70" s="118">
        <f t="shared" ref="E70:R70" si="85">E41/E$52</f>
        <v>5.6220322306664988E-3</v>
      </c>
      <c r="F70" s="118">
        <f t="shared" si="85"/>
        <v>5.9015173885599865E-4</v>
      </c>
      <c r="G70" s="118">
        <f t="shared" si="85"/>
        <v>7.8581331098730417E-4</v>
      </c>
      <c r="H70" s="118">
        <f t="shared" si="85"/>
        <v>5.2823760394944837E-4</v>
      </c>
      <c r="I70" s="118">
        <f t="shared" si="85"/>
        <v>1.3957951912407854E-3</v>
      </c>
      <c r="J70" s="118">
        <f t="shared" si="85"/>
        <v>9.7052525019608832E-4</v>
      </c>
      <c r="K70" s="118">
        <f t="shared" si="85"/>
        <v>9.3438032968338938E-4</v>
      </c>
      <c r="L70" s="118">
        <f t="shared" si="85"/>
        <v>1.4258961786322961E-3</v>
      </c>
      <c r="M70" s="118">
        <f t="shared" si="85"/>
        <v>1.0545764071080487E-3</v>
      </c>
      <c r="N70" s="118">
        <f t="shared" si="85"/>
        <v>6.7405275405659946E-4</v>
      </c>
      <c r="O70" s="118">
        <f t="shared" si="85"/>
        <v>6.3322139200133341E-4</v>
      </c>
      <c r="P70" s="118">
        <f t="shared" si="85"/>
        <v>5.4968590087184886E-4</v>
      </c>
      <c r="Q70" s="118">
        <f t="shared" si="85"/>
        <v>6.5121426349544747E-4</v>
      </c>
      <c r="R70" s="118">
        <f t="shared" si="85"/>
        <v>7.8314695681947204E-4</v>
      </c>
      <c r="S70" s="118">
        <f t="shared" ref="S70:AE70" si="86">S41/S$52</f>
        <v>6.2383454689616093E-4</v>
      </c>
      <c r="T70" s="118">
        <f t="shared" si="86"/>
        <v>5.4870543408543212E-4</v>
      </c>
      <c r="U70" s="118">
        <f t="shared" si="86"/>
        <v>4.8125680286929091E-4</v>
      </c>
      <c r="V70" s="118">
        <f t="shared" si="86"/>
        <v>7.9897197963769138E-4</v>
      </c>
      <c r="W70" s="118" t="e">
        <f t="shared" si="86"/>
        <v>#DIV/0!</v>
      </c>
      <c r="X70" s="118" t="e">
        <f t="shared" si="86"/>
        <v>#DIV/0!</v>
      </c>
      <c r="Y70" s="118" t="e">
        <f t="shared" si="86"/>
        <v>#DIV/0!</v>
      </c>
      <c r="Z70" s="118" t="e">
        <f t="shared" si="86"/>
        <v>#DIV/0!</v>
      </c>
      <c r="AA70" s="118" t="e">
        <f t="shared" si="86"/>
        <v>#DIV/0!</v>
      </c>
      <c r="AB70" s="118" t="e">
        <f t="shared" si="86"/>
        <v>#DIV/0!</v>
      </c>
      <c r="AC70" s="118" t="e">
        <f t="shared" si="86"/>
        <v>#DIV/0!</v>
      </c>
      <c r="AD70" s="118" t="e">
        <f t="shared" si="86"/>
        <v>#DIV/0!</v>
      </c>
      <c r="AE70" s="118">
        <f t="shared" si="86"/>
        <v>6.1221671251860288E-4</v>
      </c>
    </row>
    <row r="71" spans="2:31" ht="15.5" x14ac:dyDescent="0.35">
      <c r="B71" s="114">
        <f t="shared" si="72"/>
        <v>10</v>
      </c>
      <c r="C71" s="101" t="s">
        <v>96</v>
      </c>
      <c r="D71" s="101" t="s">
        <v>52</v>
      </c>
      <c r="E71" s="118">
        <f t="shared" ref="E71:R71" si="87">E42/E$52</f>
        <v>6.4502874598837577E-3</v>
      </c>
      <c r="F71" s="118">
        <f t="shared" si="87"/>
        <v>1.0952900740518032E-3</v>
      </c>
      <c r="G71" s="118">
        <f t="shared" si="87"/>
        <v>1.3617735039035597E-3</v>
      </c>
      <c r="H71" s="118">
        <f t="shared" si="87"/>
        <v>1.0258163780736314E-3</v>
      </c>
      <c r="I71" s="118">
        <f t="shared" si="87"/>
        <v>1.3179822461933911E-3</v>
      </c>
      <c r="J71" s="118">
        <f t="shared" si="87"/>
        <v>1.1053296394246245E-3</v>
      </c>
      <c r="K71" s="118">
        <f t="shared" si="87"/>
        <v>1.5169744753481113E-3</v>
      </c>
      <c r="L71" s="118">
        <f t="shared" si="87"/>
        <v>1.9948879545013255E-3</v>
      </c>
      <c r="M71" s="118">
        <f t="shared" si="87"/>
        <v>1.4427545842129338E-3</v>
      </c>
      <c r="N71" s="118">
        <f t="shared" si="87"/>
        <v>1.1144038086932108E-3</v>
      </c>
      <c r="O71" s="118">
        <f t="shared" si="87"/>
        <v>9.1917331311388737E-4</v>
      </c>
      <c r="P71" s="118">
        <f t="shared" si="87"/>
        <v>1.0372922458768482E-3</v>
      </c>
      <c r="Q71" s="118">
        <f t="shared" si="87"/>
        <v>1.1385079223137555E-3</v>
      </c>
      <c r="R71" s="118">
        <f t="shared" si="87"/>
        <v>1.1466562962402418E-3</v>
      </c>
      <c r="S71" s="118">
        <f t="shared" ref="S71:AE71" si="88">S42/S$52</f>
        <v>1.2516832003016457E-3</v>
      </c>
      <c r="T71" s="118">
        <f t="shared" si="88"/>
        <v>1.4512809958284977E-3</v>
      </c>
      <c r="U71" s="118">
        <f t="shared" si="88"/>
        <v>8.5078777956683371E-4</v>
      </c>
      <c r="V71" s="118">
        <f t="shared" si="88"/>
        <v>9.9436864739321177E-4</v>
      </c>
      <c r="W71" s="118" t="e">
        <f t="shared" si="88"/>
        <v>#DIV/0!</v>
      </c>
      <c r="X71" s="118" t="e">
        <f t="shared" si="88"/>
        <v>#DIV/0!</v>
      </c>
      <c r="Y71" s="118" t="e">
        <f t="shared" si="88"/>
        <v>#DIV/0!</v>
      </c>
      <c r="Z71" s="118" t="e">
        <f t="shared" si="88"/>
        <v>#DIV/0!</v>
      </c>
      <c r="AA71" s="118" t="e">
        <f t="shared" si="88"/>
        <v>#DIV/0!</v>
      </c>
      <c r="AB71" s="118" t="e">
        <f t="shared" si="88"/>
        <v>#DIV/0!</v>
      </c>
      <c r="AC71" s="118" t="e">
        <f t="shared" si="88"/>
        <v>#DIV/0!</v>
      </c>
      <c r="AD71" s="118" t="e">
        <f t="shared" si="88"/>
        <v>#DIV/0!</v>
      </c>
      <c r="AE71" s="118">
        <f t="shared" si="88"/>
        <v>1.1125381237003678E-3</v>
      </c>
    </row>
    <row r="72" spans="2:31" ht="15.5" x14ac:dyDescent="0.35">
      <c r="B72" s="518">
        <f t="shared" si="72"/>
        <v>11</v>
      </c>
      <c r="C72" s="102" t="s">
        <v>96</v>
      </c>
      <c r="D72" s="102" t="s">
        <v>55</v>
      </c>
      <c r="E72" s="119">
        <f t="shared" ref="E72:R72" si="89">E43/E$52</f>
        <v>1.3621307473098076E-2</v>
      </c>
      <c r="F72" s="119">
        <f t="shared" si="89"/>
        <v>1.7666956096752369E-3</v>
      </c>
      <c r="G72" s="119">
        <f t="shared" si="89"/>
        <v>0</v>
      </c>
      <c r="H72" s="119">
        <f t="shared" si="89"/>
        <v>1.8224260725635381E-3</v>
      </c>
      <c r="I72" s="119">
        <f t="shared" si="89"/>
        <v>0</v>
      </c>
      <c r="J72" s="119">
        <f t="shared" si="89"/>
        <v>0</v>
      </c>
      <c r="K72" s="119">
        <f t="shared" si="89"/>
        <v>7.9742868853741652E-4</v>
      </c>
      <c r="L72" s="119">
        <f t="shared" si="89"/>
        <v>1.1630698842001368E-3</v>
      </c>
      <c r="M72" s="119">
        <f t="shared" si="89"/>
        <v>0</v>
      </c>
      <c r="N72" s="119">
        <f t="shared" si="89"/>
        <v>1.1193655643728651E-5</v>
      </c>
      <c r="O72" s="119">
        <f t="shared" si="89"/>
        <v>3.3752886635065099E-3</v>
      </c>
      <c r="P72" s="119">
        <f t="shared" si="89"/>
        <v>7.3802050192862099E-4</v>
      </c>
      <c r="Q72" s="119">
        <f t="shared" si="89"/>
        <v>5.594655893719411E-4</v>
      </c>
      <c r="R72" s="119">
        <f t="shared" si="89"/>
        <v>8.0472376897018215E-4</v>
      </c>
      <c r="S72" s="119">
        <f t="shared" ref="S72:AE72" si="90">S43/S$52</f>
        <v>6.9904139210643932E-3</v>
      </c>
      <c r="T72" s="119">
        <f t="shared" si="90"/>
        <v>2.2318748877175939E-3</v>
      </c>
      <c r="U72" s="119">
        <f t="shared" si="90"/>
        <v>1.9579121883738877E-3</v>
      </c>
      <c r="V72" s="119">
        <f t="shared" si="90"/>
        <v>4.6247965101266211E-3</v>
      </c>
      <c r="W72" s="119" t="e">
        <f t="shared" si="90"/>
        <v>#DIV/0!</v>
      </c>
      <c r="X72" s="119" t="e">
        <f t="shared" si="90"/>
        <v>#DIV/0!</v>
      </c>
      <c r="Y72" s="119" t="e">
        <f t="shared" si="90"/>
        <v>#DIV/0!</v>
      </c>
      <c r="Z72" s="119" t="e">
        <f t="shared" si="90"/>
        <v>#DIV/0!</v>
      </c>
      <c r="AA72" s="119" t="e">
        <f t="shared" si="90"/>
        <v>#DIV/0!</v>
      </c>
      <c r="AB72" s="119" t="e">
        <f t="shared" si="90"/>
        <v>#DIV/0!</v>
      </c>
      <c r="AC72" s="119" t="e">
        <f t="shared" si="90"/>
        <v>#DIV/0!</v>
      </c>
      <c r="AD72" s="119" t="e">
        <f t="shared" si="90"/>
        <v>#DIV/0!</v>
      </c>
      <c r="AE72" s="119">
        <f t="shared" si="90"/>
        <v>3.7874606219335878E-3</v>
      </c>
    </row>
    <row r="73" spans="2:31" ht="16" x14ac:dyDescent="0.4">
      <c r="B73" s="112" t="s">
        <v>163</v>
      </c>
      <c r="C73" s="97"/>
      <c r="D73" s="98" t="s">
        <v>164</v>
      </c>
      <c r="E73" s="116">
        <f t="shared" ref="E73:Q73" si="91">SUM(E74:E80)</f>
        <v>0.65921636722489108</v>
      </c>
      <c r="F73" s="116">
        <f t="shared" si="91"/>
        <v>0.17659124010049199</v>
      </c>
      <c r="G73" s="116">
        <f t="shared" si="91"/>
        <v>0.23104814638755414</v>
      </c>
      <c r="H73" s="116">
        <f t="shared" si="91"/>
        <v>0.17212514968017673</v>
      </c>
      <c r="I73" s="116">
        <f t="shared" si="91"/>
        <v>0.21113030372798175</v>
      </c>
      <c r="J73" s="116">
        <f t="shared" si="91"/>
        <v>0.20663057088911715</v>
      </c>
      <c r="K73" s="116">
        <f t="shared" si="91"/>
        <v>0.27723709597027507</v>
      </c>
      <c r="L73" s="116">
        <f t="shared" si="91"/>
        <v>0.4616540085697341</v>
      </c>
      <c r="M73" s="116">
        <f t="shared" si="91"/>
        <v>0.33221543570660494</v>
      </c>
      <c r="N73" s="116">
        <f t="shared" si="91"/>
        <v>0.29992114096828876</v>
      </c>
      <c r="O73" s="116">
        <f t="shared" si="91"/>
        <v>0.19170207815412027</v>
      </c>
      <c r="P73" s="116">
        <f t="shared" si="91"/>
        <v>0.19681881711294835</v>
      </c>
      <c r="Q73" s="116">
        <f t="shared" si="91"/>
        <v>0.290716585610786</v>
      </c>
      <c r="R73" s="116">
        <f>SUM(R74:R80)</f>
        <v>0.33031664971482155</v>
      </c>
      <c r="S73" s="116">
        <f t="shared" ref="S73:AE73" si="92">SUM(S74:S80)</f>
        <v>0.38714197027634012</v>
      </c>
      <c r="T73" s="116">
        <f t="shared" si="92"/>
        <v>0.2821764480012432</v>
      </c>
      <c r="U73" s="116">
        <f t="shared" si="92"/>
        <v>0.2010202587713075</v>
      </c>
      <c r="V73" s="116">
        <f t="shared" si="92"/>
        <v>0.23047916110685554</v>
      </c>
      <c r="W73" s="116" t="e">
        <f t="shared" si="92"/>
        <v>#DIV/0!</v>
      </c>
      <c r="X73" s="116" t="e">
        <f t="shared" si="92"/>
        <v>#DIV/0!</v>
      </c>
      <c r="Y73" s="116" t="e">
        <f t="shared" si="92"/>
        <v>#DIV/0!</v>
      </c>
      <c r="Z73" s="116" t="e">
        <f t="shared" si="92"/>
        <v>#DIV/0!</v>
      </c>
      <c r="AA73" s="116" t="e">
        <f t="shared" si="92"/>
        <v>#DIV/0!</v>
      </c>
      <c r="AB73" s="116" t="e">
        <f t="shared" si="92"/>
        <v>#DIV/0!</v>
      </c>
      <c r="AC73" s="116" t="e">
        <f t="shared" si="92"/>
        <v>#DIV/0!</v>
      </c>
      <c r="AD73" s="116" t="e">
        <f t="shared" si="92"/>
        <v>#DIV/0!</v>
      </c>
      <c r="AE73" s="116">
        <f t="shared" si="92"/>
        <v>0.26656193046549015</v>
      </c>
    </row>
    <row r="74" spans="2:31" ht="15.5" x14ac:dyDescent="0.35">
      <c r="B74" s="113">
        <v>1</v>
      </c>
      <c r="C74" s="99" t="s">
        <v>97</v>
      </c>
      <c r="D74" s="99" t="s">
        <v>168</v>
      </c>
      <c r="E74" s="107">
        <f t="shared" ref="E74:R74" si="93">E45/E$52</f>
        <v>6.5806431422604048E-2</v>
      </c>
      <c r="F74" s="107">
        <f t="shared" si="93"/>
        <v>3.8875676488499725E-2</v>
      </c>
      <c r="G74" s="107">
        <f t="shared" si="93"/>
        <v>5.0954458208816479E-2</v>
      </c>
      <c r="H74" s="107">
        <f t="shared" si="93"/>
        <v>5.6068346284953316E-2</v>
      </c>
      <c r="I74" s="107">
        <f t="shared" si="93"/>
        <v>5.4890958164683444E-2</v>
      </c>
      <c r="J74" s="107">
        <f t="shared" si="93"/>
        <v>5.0806087630390288E-2</v>
      </c>
      <c r="K74" s="107">
        <f t="shared" si="93"/>
        <v>6.8520191360795596E-2</v>
      </c>
      <c r="L74" s="107">
        <f t="shared" si="93"/>
        <v>0.11717571569673854</v>
      </c>
      <c r="M74" s="107">
        <f t="shared" si="93"/>
        <v>7.9591989125449167E-2</v>
      </c>
      <c r="N74" s="107">
        <f t="shared" si="93"/>
        <v>6.7028214786641116E-2</v>
      </c>
      <c r="O74" s="107">
        <f t="shared" si="93"/>
        <v>3.9138375741772896E-2</v>
      </c>
      <c r="P74" s="107">
        <f t="shared" si="93"/>
        <v>3.8612752089615343E-2</v>
      </c>
      <c r="Q74" s="107">
        <f t="shared" si="93"/>
        <v>1.1786913948353914E-2</v>
      </c>
      <c r="R74" s="107">
        <f t="shared" si="93"/>
        <v>0.14753412985349729</v>
      </c>
      <c r="S74" s="107">
        <f t="shared" ref="S74:AE74" si="94">S45/S$52</f>
        <v>7.3572072905629934E-2</v>
      </c>
      <c r="T74" s="107">
        <f t="shared" si="94"/>
        <v>5.4545563283499521E-2</v>
      </c>
      <c r="U74" s="107">
        <f t="shared" si="94"/>
        <v>3.804046271354284E-2</v>
      </c>
      <c r="V74" s="107">
        <f t="shared" si="94"/>
        <v>4.3522274911278774E-2</v>
      </c>
      <c r="W74" s="107" t="e">
        <f t="shared" si="94"/>
        <v>#DIV/0!</v>
      </c>
      <c r="X74" s="107" t="e">
        <f t="shared" si="94"/>
        <v>#DIV/0!</v>
      </c>
      <c r="Y74" s="107" t="e">
        <f t="shared" si="94"/>
        <v>#DIV/0!</v>
      </c>
      <c r="Z74" s="107" t="e">
        <f t="shared" si="94"/>
        <v>#DIV/0!</v>
      </c>
      <c r="AA74" s="107" t="e">
        <f t="shared" si="94"/>
        <v>#DIV/0!</v>
      </c>
      <c r="AB74" s="107" t="e">
        <f t="shared" si="94"/>
        <v>#DIV/0!</v>
      </c>
      <c r="AC74" s="107" t="e">
        <f t="shared" si="94"/>
        <v>#DIV/0!</v>
      </c>
      <c r="AD74" s="107" t="e">
        <f t="shared" si="94"/>
        <v>#DIV/0!</v>
      </c>
      <c r="AE74" s="107">
        <f t="shared" si="94"/>
        <v>5.0749755548613461E-2</v>
      </c>
    </row>
    <row r="75" spans="2:31" ht="15.5" x14ac:dyDescent="0.35">
      <c r="B75" s="114">
        <f t="shared" ref="B75:B80" si="95">B74+1</f>
        <v>2</v>
      </c>
      <c r="C75" s="101" t="s">
        <v>97</v>
      </c>
      <c r="D75" s="101" t="s">
        <v>48</v>
      </c>
      <c r="E75" s="118">
        <f t="shared" ref="E75:R75" si="96">E46/E$52</f>
        <v>0.37349541316950702</v>
      </c>
      <c r="F75" s="118">
        <f t="shared" si="96"/>
        <v>8.3537291923687654E-2</v>
      </c>
      <c r="G75" s="118">
        <f t="shared" si="96"/>
        <v>0.10493870485131002</v>
      </c>
      <c r="H75" s="118">
        <f t="shared" si="96"/>
        <v>6.9865958693385355E-2</v>
      </c>
      <c r="I75" s="118">
        <f t="shared" si="96"/>
        <v>9.3286288114155805E-2</v>
      </c>
      <c r="J75" s="118">
        <f t="shared" si="96"/>
        <v>8.9239046471710257E-2</v>
      </c>
      <c r="K75" s="118">
        <f t="shared" si="96"/>
        <v>0.11895771418302722</v>
      </c>
      <c r="L75" s="118">
        <f t="shared" si="96"/>
        <v>0.20239560467640538</v>
      </c>
      <c r="M75" s="118">
        <f t="shared" si="96"/>
        <v>0.13589861493817632</v>
      </c>
      <c r="N75" s="118">
        <f t="shared" si="96"/>
        <v>0.12273760601572971</v>
      </c>
      <c r="O75" s="118">
        <f t="shared" si="96"/>
        <v>8.012469426525172E-2</v>
      </c>
      <c r="P75" s="118">
        <f t="shared" si="96"/>
        <v>8.3403880300161312E-2</v>
      </c>
      <c r="Q75" s="118">
        <f t="shared" si="96"/>
        <v>0.1120420637035337</v>
      </c>
      <c r="R75" s="118">
        <f t="shared" si="96"/>
        <v>9.9771981773716031E-2</v>
      </c>
      <c r="S75" s="118">
        <f t="shared" ref="S75:AE75" si="97">S46/S$52</f>
        <v>0.17032246129228693</v>
      </c>
      <c r="T75" s="118">
        <f t="shared" si="97"/>
        <v>0.12868916396722921</v>
      </c>
      <c r="U75" s="118">
        <f t="shared" si="97"/>
        <v>8.7676011966974082E-2</v>
      </c>
      <c r="V75" s="118">
        <f t="shared" si="97"/>
        <v>0.11060470256779753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si="97"/>
        <v>0.12058993382069781</v>
      </c>
    </row>
    <row r="76" spans="2:31" ht="15.5" x14ac:dyDescent="0.35">
      <c r="B76" s="114">
        <f t="shared" si="95"/>
        <v>3</v>
      </c>
      <c r="C76" s="101" t="s">
        <v>96</v>
      </c>
      <c r="D76" s="101" t="s">
        <v>16</v>
      </c>
      <c r="E76" s="118">
        <f t="shared" ref="E76:R76" si="98">E47/E$52</f>
        <v>0.12965331906289759</v>
      </c>
      <c r="F76" s="118">
        <f t="shared" si="98"/>
        <v>2.5580709462449187E-2</v>
      </c>
      <c r="G76" s="118">
        <f t="shared" si="98"/>
        <v>3.6011219202147671E-2</v>
      </c>
      <c r="H76" s="118">
        <f t="shared" si="98"/>
        <v>2.2240068870577685E-2</v>
      </c>
      <c r="I76" s="118">
        <f t="shared" si="98"/>
        <v>2.9021478171259864E-2</v>
      </c>
      <c r="J76" s="118">
        <f t="shared" si="98"/>
        <v>2.7681361433769487E-2</v>
      </c>
      <c r="K76" s="118">
        <f t="shared" si="98"/>
        <v>3.7352361121882796E-2</v>
      </c>
      <c r="L76" s="118">
        <f t="shared" si="98"/>
        <v>6.4640938730276334E-2</v>
      </c>
      <c r="M76" s="118">
        <f t="shared" si="98"/>
        <v>4.6162642123709706E-2</v>
      </c>
      <c r="N76" s="118">
        <f t="shared" si="98"/>
        <v>4.0431206184200909E-2</v>
      </c>
      <c r="O76" s="118">
        <f t="shared" si="98"/>
        <v>2.6230867560536143E-2</v>
      </c>
      <c r="P76" s="118">
        <f t="shared" si="98"/>
        <v>2.6861733735626257E-2</v>
      </c>
      <c r="Q76" s="118">
        <f t="shared" si="98"/>
        <v>3.597889478118018E-2</v>
      </c>
      <c r="R76" s="118">
        <f t="shared" si="98"/>
        <v>3.202095112883821E-2</v>
      </c>
      <c r="S76" s="118">
        <f t="shared" ref="S76:AE76" si="99">S47/S$52</f>
        <v>5.4986235214396634E-2</v>
      </c>
      <c r="T76" s="118">
        <f t="shared" si="99"/>
        <v>4.1709952637383682E-2</v>
      </c>
      <c r="U76" s="118">
        <f t="shared" si="99"/>
        <v>2.9567370080119837E-2</v>
      </c>
      <c r="V76" s="118">
        <f t="shared" si="99"/>
        <v>3.3245535087561902E-2</v>
      </c>
      <c r="W76" s="118" t="e">
        <f t="shared" si="99"/>
        <v>#DIV/0!</v>
      </c>
      <c r="X76" s="118" t="e">
        <f t="shared" si="99"/>
        <v>#DIV/0!</v>
      </c>
      <c r="Y76" s="118" t="e">
        <f t="shared" si="99"/>
        <v>#DIV/0!</v>
      </c>
      <c r="Z76" s="118" t="e">
        <f t="shared" si="99"/>
        <v>#DIV/0!</v>
      </c>
      <c r="AA76" s="118" t="e">
        <f t="shared" si="99"/>
        <v>#DIV/0!</v>
      </c>
      <c r="AB76" s="118" t="e">
        <f t="shared" si="99"/>
        <v>#DIV/0!</v>
      </c>
      <c r="AC76" s="118" t="e">
        <f t="shared" si="99"/>
        <v>#DIV/0!</v>
      </c>
      <c r="AD76" s="118" t="e">
        <f t="shared" si="99"/>
        <v>#DIV/0!</v>
      </c>
      <c r="AE76" s="118">
        <f t="shared" si="99"/>
        <v>3.8671751093073775E-2</v>
      </c>
    </row>
    <row r="77" spans="2:31" ht="15.5" x14ac:dyDescent="0.35">
      <c r="B77" s="114">
        <f t="shared" si="95"/>
        <v>4</v>
      </c>
      <c r="C77" s="101" t="s">
        <v>97</v>
      </c>
      <c r="D77" s="101" t="s">
        <v>36</v>
      </c>
      <c r="E77" s="118">
        <f t="shared" ref="E77:R77" si="100">E48/E$52</f>
        <v>3.7841391432343066E-2</v>
      </c>
      <c r="F77" s="118">
        <f t="shared" si="100"/>
        <v>1.406153730611787E-2</v>
      </c>
      <c r="G77" s="118">
        <f t="shared" si="100"/>
        <v>1.6492164367920115E-2</v>
      </c>
      <c r="H77" s="118">
        <f t="shared" si="100"/>
        <v>8.449562908301152E-3</v>
      </c>
      <c r="I77" s="118">
        <f t="shared" si="100"/>
        <v>1.2081944909498654E-2</v>
      </c>
      <c r="J77" s="118">
        <f t="shared" si="100"/>
        <v>1.6106066765735762E-2</v>
      </c>
      <c r="K77" s="118">
        <f t="shared" si="100"/>
        <v>2.1268452238924346E-2</v>
      </c>
      <c r="L77" s="118">
        <f t="shared" si="100"/>
        <v>3.0554578834804818E-2</v>
      </c>
      <c r="M77" s="118">
        <f t="shared" si="100"/>
        <v>3.6521110380749212E-2</v>
      </c>
      <c r="N77" s="118">
        <f t="shared" si="100"/>
        <v>3.850198848182413E-2</v>
      </c>
      <c r="O77" s="118">
        <f t="shared" si="100"/>
        <v>2.6842581298285585E-2</v>
      </c>
      <c r="P77" s="118">
        <f t="shared" si="100"/>
        <v>2.5139316675891515E-2</v>
      </c>
      <c r="Q77" s="118">
        <f t="shared" si="100"/>
        <v>9.8335432736324987E-2</v>
      </c>
      <c r="R77" s="118">
        <f t="shared" si="100"/>
        <v>2.6549396256692014E-2</v>
      </c>
      <c r="S77" s="118">
        <f t="shared" ref="S77:AE77" si="101">S48/S$52</f>
        <v>4.857240572254027E-2</v>
      </c>
      <c r="T77" s="118">
        <f t="shared" si="101"/>
        <v>2.5384929690602409E-2</v>
      </c>
      <c r="U77" s="118">
        <f t="shared" si="101"/>
        <v>2.7135333896909346E-2</v>
      </c>
      <c r="V77" s="118">
        <f t="shared" si="101"/>
        <v>1.8156043457891766E-2</v>
      </c>
      <c r="W77" s="118" t="e">
        <f t="shared" si="101"/>
        <v>#DIV/0!</v>
      </c>
      <c r="X77" s="118" t="e">
        <f t="shared" si="101"/>
        <v>#DIV/0!</v>
      </c>
      <c r="Y77" s="118" t="e">
        <f t="shared" si="101"/>
        <v>#DIV/0!</v>
      </c>
      <c r="Z77" s="118" t="e">
        <f t="shared" si="101"/>
        <v>#DIV/0!</v>
      </c>
      <c r="AA77" s="118" t="e">
        <f t="shared" si="101"/>
        <v>#DIV/0!</v>
      </c>
      <c r="AB77" s="118" t="e">
        <f t="shared" si="101"/>
        <v>#DIV/0!</v>
      </c>
      <c r="AC77" s="118" t="e">
        <f t="shared" si="101"/>
        <v>#DIV/0!</v>
      </c>
      <c r="AD77" s="118" t="e">
        <f t="shared" si="101"/>
        <v>#DIV/0!</v>
      </c>
      <c r="AE77" s="118">
        <f t="shared" si="101"/>
        <v>2.8770059672618586E-2</v>
      </c>
    </row>
    <row r="78" spans="2:31" ht="15.5" x14ac:dyDescent="0.35">
      <c r="B78" s="114">
        <f t="shared" si="95"/>
        <v>5</v>
      </c>
      <c r="C78" s="101" t="s">
        <v>97</v>
      </c>
      <c r="D78" s="101" t="s">
        <v>12</v>
      </c>
      <c r="E78" s="118">
        <f t="shared" ref="E78:R78" si="102">E49/E$52</f>
        <v>2.6420985978324006E-2</v>
      </c>
      <c r="F78" s="118">
        <f t="shared" si="102"/>
        <v>6.0325093128326731E-3</v>
      </c>
      <c r="G78" s="118">
        <f t="shared" si="102"/>
        <v>8.185511405307629E-3</v>
      </c>
      <c r="H78" s="118">
        <f t="shared" si="102"/>
        <v>6.0625899419640807E-3</v>
      </c>
      <c r="I78" s="118">
        <f t="shared" si="102"/>
        <v>7.8849028125122927E-3</v>
      </c>
      <c r="J78" s="118">
        <f t="shared" si="102"/>
        <v>8.0855918854850703E-3</v>
      </c>
      <c r="K78" s="118">
        <f t="shared" si="102"/>
        <v>8.8216636086086292E-3</v>
      </c>
      <c r="L78" s="118">
        <f t="shared" si="102"/>
        <v>1.3113112574065552E-2</v>
      </c>
      <c r="M78" s="118">
        <f t="shared" si="102"/>
        <v>1.0853353934832884E-2</v>
      </c>
      <c r="N78" s="118">
        <f t="shared" si="102"/>
        <v>1.1219365252259257E-2</v>
      </c>
      <c r="O78" s="118">
        <f t="shared" si="102"/>
        <v>5.9664743385260252E-3</v>
      </c>
      <c r="P78" s="118">
        <f t="shared" si="102"/>
        <v>7.1648697370424227E-3</v>
      </c>
      <c r="Q78" s="118">
        <f t="shared" si="102"/>
        <v>9.7342981244494236E-3</v>
      </c>
      <c r="R78" s="118">
        <f t="shared" si="102"/>
        <v>7.8748084862491127E-3</v>
      </c>
      <c r="S78" s="118">
        <f t="shared" ref="S78:AE78" si="103">S49/S$52</f>
        <v>1.1453449382731233E-2</v>
      </c>
      <c r="T78" s="118">
        <f t="shared" si="103"/>
        <v>1.0278108209055928E-2</v>
      </c>
      <c r="U78" s="118">
        <f t="shared" si="103"/>
        <v>6.6065143825369188E-3</v>
      </c>
      <c r="V78" s="118">
        <f t="shared" si="103"/>
        <v>8.771303668363423E-3</v>
      </c>
      <c r="W78" s="118" t="e">
        <f t="shared" si="103"/>
        <v>#DIV/0!</v>
      </c>
      <c r="X78" s="118" t="e">
        <f t="shared" si="103"/>
        <v>#DIV/0!</v>
      </c>
      <c r="Y78" s="118" t="e">
        <f t="shared" si="103"/>
        <v>#DIV/0!</v>
      </c>
      <c r="Z78" s="118" t="e">
        <f t="shared" si="103"/>
        <v>#DIV/0!</v>
      </c>
      <c r="AA78" s="118" t="e">
        <f t="shared" si="103"/>
        <v>#DIV/0!</v>
      </c>
      <c r="AB78" s="118" t="e">
        <f t="shared" si="103"/>
        <v>#DIV/0!</v>
      </c>
      <c r="AC78" s="118" t="e">
        <f t="shared" si="103"/>
        <v>#DIV/0!</v>
      </c>
      <c r="AD78" s="118" t="e">
        <f t="shared" si="103"/>
        <v>#DIV/0!</v>
      </c>
      <c r="AE78" s="118">
        <f t="shared" si="103"/>
        <v>9.0522342836940623E-3</v>
      </c>
    </row>
    <row r="79" spans="2:31" ht="15.5" x14ac:dyDescent="0.35">
      <c r="B79" s="114">
        <f t="shared" si="95"/>
        <v>6</v>
      </c>
      <c r="C79" s="101" t="s">
        <v>97</v>
      </c>
      <c r="D79" s="101" t="s">
        <v>51</v>
      </c>
      <c r="E79" s="118">
        <f t="shared" ref="E79:R79" si="104">E50/E$52</f>
        <v>2.1120980853755734E-2</v>
      </c>
      <c r="F79" s="118">
        <f t="shared" si="104"/>
        <v>4.5847716548230088E-3</v>
      </c>
      <c r="G79" s="118">
        <f t="shared" si="104"/>
        <v>7.7210634552334631E-3</v>
      </c>
      <c r="H79" s="118">
        <f t="shared" si="104"/>
        <v>5.1283532962006989E-3</v>
      </c>
      <c r="I79" s="118">
        <f t="shared" si="104"/>
        <v>5.7825570903192762E-3</v>
      </c>
      <c r="J79" s="118">
        <f t="shared" si="104"/>
        <v>6.4650687050040795E-3</v>
      </c>
      <c r="K79" s="118">
        <f t="shared" si="104"/>
        <v>9.5870573477336071E-3</v>
      </c>
      <c r="L79" s="118">
        <f t="shared" si="104"/>
        <v>1.1111704246078919E-2</v>
      </c>
      <c r="M79" s="118">
        <f t="shared" si="104"/>
        <v>1.0728046358526058E-2</v>
      </c>
      <c r="N79" s="118">
        <f t="shared" si="104"/>
        <v>1.0404850013150085E-2</v>
      </c>
      <c r="O79" s="118">
        <f t="shared" si="104"/>
        <v>7.3119887553838078E-3</v>
      </c>
      <c r="P79" s="118">
        <f t="shared" si="104"/>
        <v>9.0992038485795297E-3</v>
      </c>
      <c r="Q79" s="118">
        <f t="shared" si="104"/>
        <v>1.3470876877657812E-2</v>
      </c>
      <c r="R79" s="118">
        <f t="shared" si="104"/>
        <v>7.7403873616061917E-3</v>
      </c>
      <c r="S79" s="118">
        <f t="shared" ref="S79:AE79" si="105">S50/S$52</f>
        <v>1.3026386341675427E-2</v>
      </c>
      <c r="T79" s="118">
        <f t="shared" si="105"/>
        <v>1.1965046467651334E-2</v>
      </c>
      <c r="U79" s="118">
        <f t="shared" si="105"/>
        <v>7.2564913608706098E-3</v>
      </c>
      <c r="V79" s="118">
        <f t="shared" si="105"/>
        <v>9.0337701669491264E-3</v>
      </c>
      <c r="W79" s="118" t="e">
        <f t="shared" si="105"/>
        <v>#DIV/0!</v>
      </c>
      <c r="X79" s="118" t="e">
        <f t="shared" si="105"/>
        <v>#DIV/0!</v>
      </c>
      <c r="Y79" s="118" t="e">
        <f t="shared" si="105"/>
        <v>#DIV/0!</v>
      </c>
      <c r="Z79" s="118" t="e">
        <f t="shared" si="105"/>
        <v>#DIV/0!</v>
      </c>
      <c r="AA79" s="118" t="e">
        <f t="shared" si="105"/>
        <v>#DIV/0!</v>
      </c>
      <c r="AB79" s="118" t="e">
        <f t="shared" si="105"/>
        <v>#DIV/0!</v>
      </c>
      <c r="AC79" s="118" t="e">
        <f t="shared" si="105"/>
        <v>#DIV/0!</v>
      </c>
      <c r="AD79" s="118" t="e">
        <f t="shared" si="105"/>
        <v>#DIV/0!</v>
      </c>
      <c r="AE79" s="118">
        <f t="shared" si="105"/>
        <v>1.0031003078113663E-2</v>
      </c>
    </row>
    <row r="80" spans="2:31" ht="15.5" x14ac:dyDescent="0.35">
      <c r="B80" s="518">
        <f t="shared" si="95"/>
        <v>7</v>
      </c>
      <c r="C80" s="102" t="s">
        <v>97</v>
      </c>
      <c r="D80" s="102" t="s">
        <v>40</v>
      </c>
      <c r="E80" s="119">
        <f t="shared" ref="E80:R80" si="106">E51/E$52</f>
        <v>4.8778453054596415E-3</v>
      </c>
      <c r="F80" s="119">
        <f t="shared" si="106"/>
        <v>3.9187439520818679E-3</v>
      </c>
      <c r="G80" s="119">
        <f t="shared" si="106"/>
        <v>6.7450248968187838E-3</v>
      </c>
      <c r="H80" s="119">
        <f t="shared" si="106"/>
        <v>4.3102696847944133E-3</v>
      </c>
      <c r="I80" s="119">
        <f t="shared" si="106"/>
        <v>8.1821744655524303E-3</v>
      </c>
      <c r="J80" s="119">
        <f t="shared" si="106"/>
        <v>8.2473479970222377E-3</v>
      </c>
      <c r="K80" s="119">
        <f t="shared" si="106"/>
        <v>1.2729656109302869E-2</v>
      </c>
      <c r="L80" s="119">
        <f t="shared" si="106"/>
        <v>2.2662353811364493E-2</v>
      </c>
      <c r="M80" s="119">
        <f t="shared" si="106"/>
        <v>1.2459678845161647E-2</v>
      </c>
      <c r="N80" s="119">
        <f t="shared" si="106"/>
        <v>9.5979102344835691E-3</v>
      </c>
      <c r="O80" s="119">
        <f t="shared" si="106"/>
        <v>6.0870961943641057E-3</v>
      </c>
      <c r="P80" s="119">
        <f t="shared" si="106"/>
        <v>6.5370607260319576E-3</v>
      </c>
      <c r="Q80" s="119">
        <f t="shared" si="106"/>
        <v>9.3681054392860189E-3</v>
      </c>
      <c r="R80" s="119">
        <f t="shared" si="106"/>
        <v>8.8249948542226675E-3</v>
      </c>
      <c r="S80" s="119">
        <f t="shared" ref="S80:AE80" si="107">S51/S$52</f>
        <v>1.52089594170797E-2</v>
      </c>
      <c r="T80" s="119">
        <f t="shared" si="107"/>
        <v>9.6036837458210924E-3</v>
      </c>
      <c r="U80" s="119">
        <f t="shared" si="107"/>
        <v>4.7380743703538631E-3</v>
      </c>
      <c r="V80" s="119">
        <f t="shared" si="107"/>
        <v>7.1455312470130351E-3</v>
      </c>
      <c r="W80" s="119" t="e">
        <f t="shared" si="107"/>
        <v>#DIV/0!</v>
      </c>
      <c r="X80" s="119" t="e">
        <f t="shared" si="107"/>
        <v>#DIV/0!</v>
      </c>
      <c r="Y80" s="119" t="e">
        <f t="shared" si="107"/>
        <v>#DIV/0!</v>
      </c>
      <c r="Z80" s="119" t="e">
        <f t="shared" si="107"/>
        <v>#DIV/0!</v>
      </c>
      <c r="AA80" s="119" t="e">
        <f t="shared" si="107"/>
        <v>#DIV/0!</v>
      </c>
      <c r="AB80" s="119" t="e">
        <f t="shared" si="107"/>
        <v>#DIV/0!</v>
      </c>
      <c r="AC80" s="119" t="e">
        <f t="shared" si="107"/>
        <v>#DIV/0!</v>
      </c>
      <c r="AD80" s="119" t="e">
        <f t="shared" si="107"/>
        <v>#DIV/0!</v>
      </c>
      <c r="AE80" s="119">
        <f t="shared" si="107"/>
        <v>8.6971929686787981E-3</v>
      </c>
    </row>
    <row r="81" spans="2:31" ht="16" x14ac:dyDescent="0.4">
      <c r="B81" s="108" t="s">
        <v>172</v>
      </c>
      <c r="C81" s="109"/>
      <c r="D81" s="108"/>
      <c r="E81" s="115">
        <f t="shared" ref="E81:Q81" si="108">E61+E73</f>
        <v>1</v>
      </c>
      <c r="F81" s="115">
        <f t="shared" si="108"/>
        <v>0.99999999999999989</v>
      </c>
      <c r="G81" s="115">
        <f t="shared" si="108"/>
        <v>0.99999999999999978</v>
      </c>
      <c r="H81" s="115">
        <f t="shared" si="108"/>
        <v>1.0000000000000004</v>
      </c>
      <c r="I81" s="115">
        <f t="shared" si="108"/>
        <v>1</v>
      </c>
      <c r="J81" s="115">
        <f t="shared" si="108"/>
        <v>1.0000000000000002</v>
      </c>
      <c r="K81" s="115">
        <f t="shared" si="108"/>
        <v>1</v>
      </c>
      <c r="L81" s="115">
        <f t="shared" si="108"/>
        <v>1</v>
      </c>
      <c r="M81" s="115">
        <f t="shared" si="108"/>
        <v>0.99999999999999989</v>
      </c>
      <c r="N81" s="115">
        <f t="shared" si="108"/>
        <v>1.0000000000000002</v>
      </c>
      <c r="O81" s="115">
        <f t="shared" si="108"/>
        <v>0.99999999999999978</v>
      </c>
      <c r="P81" s="115">
        <f t="shared" si="108"/>
        <v>1</v>
      </c>
      <c r="Q81" s="115">
        <f t="shared" si="108"/>
        <v>0.99999999999999978</v>
      </c>
      <c r="R81" s="115">
        <f>R61+R73</f>
        <v>0.99999999999999989</v>
      </c>
      <c r="S81" s="115">
        <f t="shared" ref="S81:AE81" si="109">S61+S73</f>
        <v>0.99999999999999989</v>
      </c>
      <c r="T81" s="115">
        <f t="shared" si="109"/>
        <v>0.99999999999999989</v>
      </c>
      <c r="U81" s="115">
        <f t="shared" si="109"/>
        <v>0.99999999999999989</v>
      </c>
      <c r="V81" s="115">
        <f t="shared" si="109"/>
        <v>1.0000000000000002</v>
      </c>
      <c r="W81" s="115" t="e">
        <f t="shared" si="109"/>
        <v>#DIV/0!</v>
      </c>
      <c r="X81" s="115" t="e">
        <f t="shared" si="109"/>
        <v>#DIV/0!</v>
      </c>
      <c r="Y81" s="115" t="e">
        <f t="shared" si="109"/>
        <v>#DIV/0!</v>
      </c>
      <c r="Z81" s="115" t="e">
        <f t="shared" si="109"/>
        <v>#DIV/0!</v>
      </c>
      <c r="AA81" s="115" t="e">
        <f t="shared" si="109"/>
        <v>#DIV/0!</v>
      </c>
      <c r="AB81" s="115" t="e">
        <f t="shared" si="109"/>
        <v>#DIV/0!</v>
      </c>
      <c r="AC81" s="115" t="e">
        <f t="shared" si="109"/>
        <v>#DIV/0!</v>
      </c>
      <c r="AD81" s="115" t="e">
        <f t="shared" si="109"/>
        <v>#DIV/0!</v>
      </c>
      <c r="AE81" s="115">
        <f t="shared" si="109"/>
        <v>0.99999999999999967</v>
      </c>
    </row>
  </sheetData>
  <mergeCells count="2">
    <mergeCell ref="B54:D54"/>
    <mergeCell ref="B55:D5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BD35-6BC9-4B43-A693-D7ACF981C69D}">
  <sheetPr codeName="Sheet2"/>
  <dimension ref="A1:BX80"/>
  <sheetViews>
    <sheetView zoomScale="85" zoomScaleNormal="85" workbookViewId="0">
      <pane xSplit="4" ySplit="4" topLeftCell="Q22" activePane="bottomRight" state="frozen"/>
      <selection activeCell="AG51" sqref="AG51"/>
      <selection pane="topRight" activeCell="AG51" sqref="AG51"/>
      <selection pane="bottomLeft" activeCell="AG51" sqref="AG51"/>
      <selection pane="bottomRight" activeCell="BM33" sqref="BM33"/>
    </sheetView>
  </sheetViews>
  <sheetFormatPr defaultRowHeight="14.5" outlineLevelCol="2" x14ac:dyDescent="0.35"/>
  <cols>
    <col min="1" max="1" width="3.54296875" bestFit="1" customWidth="1"/>
    <col min="2" max="2" width="4.453125" customWidth="1"/>
    <col min="3" max="3" width="10.453125" customWidth="1"/>
    <col min="4" max="4" width="23.54296875" bestFit="1" customWidth="1"/>
    <col min="5" max="5" width="10.453125" hidden="1" customWidth="1" outlineLevel="2" collapsed="1"/>
    <col min="6" max="10" width="10.453125" hidden="1" customWidth="1" outlineLevel="2"/>
    <col min="11" max="16" width="9.453125" hidden="1" customWidth="1" outlineLevel="2"/>
    <col min="17" max="17" width="9.453125" customWidth="1" collapsed="1"/>
    <col min="18" max="18" width="9.7265625" hidden="1" customWidth="1" outlineLevel="1"/>
    <col min="19" max="19" width="8.54296875" hidden="1" customWidth="1" outlineLevel="1"/>
    <col min="20" max="22" width="9.7265625" hidden="1" customWidth="1" outlineLevel="1"/>
    <col min="23" max="26" width="8.54296875" hidden="1" customWidth="1" outlineLevel="1"/>
    <col min="27" max="29" width="9.7265625" hidden="1" customWidth="1" outlineLevel="1"/>
    <col min="30" max="30" width="11.54296875" hidden="1" customWidth="1" outlineLevel="1"/>
    <col min="31" max="31" width="9.7265625" bestFit="1" customWidth="1" collapsed="1"/>
    <col min="32" max="33" width="8.54296875" hidden="1" customWidth="1" outlineLevel="1"/>
    <col min="34" max="34" width="9.453125" hidden="1" customWidth="1" outlineLevel="1"/>
    <col min="35" max="42" width="10.54296875" hidden="1" customWidth="1" outlineLevel="1"/>
    <col min="43" max="43" width="11" hidden="1" customWidth="1" outlineLevel="1"/>
    <col min="44" max="44" width="11" customWidth="1" collapsed="1"/>
    <col min="45" max="46" width="8.54296875" bestFit="1" customWidth="1"/>
    <col min="47" max="47" width="9.453125" customWidth="1"/>
    <col min="48" max="55" width="10.54296875" customWidth="1"/>
    <col min="56" max="57" width="11" customWidth="1"/>
    <col min="58" max="58" width="10.54296875" bestFit="1" customWidth="1"/>
    <col min="59" max="59" width="2.453125" customWidth="1"/>
    <col min="60" max="67" width="10.453125" customWidth="1"/>
    <col min="68" max="71" width="11.453125" customWidth="1"/>
    <col min="72" max="72" width="12.54296875" customWidth="1"/>
    <col min="73" max="73" width="10.7265625" bestFit="1" customWidth="1"/>
    <col min="74" max="74" width="9.453125" bestFit="1" customWidth="1"/>
  </cols>
  <sheetData>
    <row r="1" spans="1:74" x14ac:dyDescent="0.35">
      <c r="AQ1" s="9"/>
      <c r="AR1" s="9"/>
      <c r="BD1" s="9"/>
      <c r="BE1" s="9"/>
      <c r="BU1" s="564"/>
    </row>
    <row r="2" spans="1:74" x14ac:dyDescent="0.35">
      <c r="E2" s="105">
        <v>1</v>
      </c>
      <c r="F2" s="105">
        <v>2</v>
      </c>
      <c r="G2" s="105">
        <v>3</v>
      </c>
      <c r="H2" s="105">
        <v>4</v>
      </c>
      <c r="I2" s="105">
        <v>5</v>
      </c>
      <c r="J2" s="105">
        <v>6</v>
      </c>
      <c r="K2" s="105">
        <v>7</v>
      </c>
      <c r="L2" s="105">
        <v>8</v>
      </c>
      <c r="M2" s="105">
        <v>9</v>
      </c>
      <c r="N2" s="105">
        <v>10</v>
      </c>
      <c r="O2" s="105">
        <v>11</v>
      </c>
      <c r="P2" s="105">
        <v>12</v>
      </c>
      <c r="R2" s="105">
        <v>1</v>
      </c>
      <c r="S2" s="105">
        <v>2</v>
      </c>
      <c r="T2" s="105">
        <v>3</v>
      </c>
      <c r="U2" s="105">
        <v>4</v>
      </c>
      <c r="V2" s="105">
        <v>5</v>
      </c>
      <c r="W2" s="105">
        <v>6</v>
      </c>
      <c r="X2" s="105">
        <v>7</v>
      </c>
      <c r="Y2" s="105">
        <v>8</v>
      </c>
      <c r="Z2" s="105">
        <v>9</v>
      </c>
      <c r="AA2" s="105">
        <v>10</v>
      </c>
      <c r="AB2" s="105">
        <v>11</v>
      </c>
      <c r="AC2" s="105">
        <v>12</v>
      </c>
      <c r="AF2" s="105">
        <v>1</v>
      </c>
      <c r="AG2" s="105">
        <v>2</v>
      </c>
      <c r="AH2" s="105">
        <v>3</v>
      </c>
      <c r="AI2" s="105">
        <v>4</v>
      </c>
      <c r="AJ2" s="105">
        <v>5</v>
      </c>
      <c r="AK2" s="105">
        <v>6</v>
      </c>
      <c r="AL2" s="105">
        <v>7</v>
      </c>
      <c r="AM2" s="105">
        <v>8</v>
      </c>
      <c r="AN2" s="105">
        <v>9</v>
      </c>
      <c r="AO2" s="105">
        <v>10</v>
      </c>
      <c r="AP2" s="105">
        <v>11</v>
      </c>
      <c r="AQ2" s="105">
        <v>12</v>
      </c>
      <c r="AR2" s="105"/>
      <c r="AS2" s="105">
        <v>1</v>
      </c>
      <c r="AT2" s="105">
        <v>2</v>
      </c>
      <c r="AU2" s="105">
        <v>3</v>
      </c>
      <c r="AV2" s="105">
        <v>4</v>
      </c>
      <c r="AW2" s="105">
        <v>5</v>
      </c>
      <c r="AX2" s="105">
        <v>6</v>
      </c>
      <c r="AY2" s="105">
        <v>7</v>
      </c>
      <c r="AZ2" s="105">
        <v>8</v>
      </c>
      <c r="BA2" s="105">
        <v>9</v>
      </c>
      <c r="BB2" s="105">
        <v>10</v>
      </c>
      <c r="BC2" s="105">
        <v>11</v>
      </c>
      <c r="BD2" s="105">
        <v>12</v>
      </c>
      <c r="BE2" s="105"/>
      <c r="BF2" s="560"/>
      <c r="BH2" s="105">
        <v>1</v>
      </c>
      <c r="BI2" s="105">
        <v>2</v>
      </c>
      <c r="BJ2" s="105">
        <v>3</v>
      </c>
      <c r="BK2" s="105">
        <v>4</v>
      </c>
      <c r="BL2" s="105">
        <v>5</v>
      </c>
      <c r="BM2" s="105">
        <v>6</v>
      </c>
      <c r="BN2" s="105">
        <v>7</v>
      </c>
      <c r="BO2" s="105">
        <v>8</v>
      </c>
      <c r="BP2" s="105">
        <v>9</v>
      </c>
      <c r="BQ2" s="105">
        <v>10</v>
      </c>
      <c r="BR2" s="105">
        <v>11</v>
      </c>
      <c r="BS2" s="105">
        <v>12</v>
      </c>
    </row>
    <row r="3" spans="1:74" x14ac:dyDescent="0.35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S3">
        <v>29</v>
      </c>
      <c r="BH3">
        <v>32</v>
      </c>
      <c r="BI3">
        <v>33</v>
      </c>
      <c r="BJ3">
        <v>34</v>
      </c>
      <c r="BK3">
        <v>35</v>
      </c>
      <c r="BL3">
        <v>36</v>
      </c>
      <c r="BM3">
        <v>37</v>
      </c>
      <c r="BN3">
        <v>38</v>
      </c>
      <c r="BO3">
        <v>39</v>
      </c>
      <c r="BP3">
        <v>40</v>
      </c>
      <c r="BQ3">
        <v>41</v>
      </c>
      <c r="BR3">
        <v>42</v>
      </c>
      <c r="BS3">
        <v>43</v>
      </c>
      <c r="BT3">
        <v>44</v>
      </c>
    </row>
    <row r="4" spans="1:74" s="89" customFormat="1" ht="26" x14ac:dyDescent="0.35">
      <c r="A4" s="105">
        <v>1</v>
      </c>
      <c r="B4" s="74" t="s">
        <v>57</v>
      </c>
      <c r="C4" s="74" t="s">
        <v>58</v>
      </c>
      <c r="D4" s="74" t="s">
        <v>59</v>
      </c>
      <c r="E4" s="76" t="s">
        <v>60</v>
      </c>
      <c r="F4" s="76" t="s">
        <v>61</v>
      </c>
      <c r="G4" s="76" t="s">
        <v>62</v>
      </c>
      <c r="H4" s="76" t="s">
        <v>63</v>
      </c>
      <c r="I4" s="76" t="s">
        <v>64</v>
      </c>
      <c r="J4" s="76" t="s">
        <v>65</v>
      </c>
      <c r="K4" s="76" t="s">
        <v>66</v>
      </c>
      <c r="L4" s="76" t="s">
        <v>67</v>
      </c>
      <c r="M4" s="76" t="s">
        <v>68</v>
      </c>
      <c r="N4" s="76" t="s">
        <v>69</v>
      </c>
      <c r="O4" s="76" t="s">
        <v>70</v>
      </c>
      <c r="P4" s="76" t="s">
        <v>71</v>
      </c>
      <c r="Q4" s="76" t="s">
        <v>170</v>
      </c>
      <c r="R4" s="76" t="s">
        <v>72</v>
      </c>
      <c r="S4" s="76" t="s">
        <v>73</v>
      </c>
      <c r="T4" s="76" t="s">
        <v>74</v>
      </c>
      <c r="U4" s="76" t="s">
        <v>75</v>
      </c>
      <c r="V4" s="76" t="s">
        <v>76</v>
      </c>
      <c r="W4" s="76" t="s">
        <v>77</v>
      </c>
      <c r="X4" s="76" t="s">
        <v>78</v>
      </c>
      <c r="Y4" s="76" t="s">
        <v>79</v>
      </c>
      <c r="Z4" s="76" t="s">
        <v>80</v>
      </c>
      <c r="AA4" s="76" t="s">
        <v>81</v>
      </c>
      <c r="AB4" s="76" t="s">
        <v>82</v>
      </c>
      <c r="AC4" s="76" t="s">
        <v>83</v>
      </c>
      <c r="AD4" s="73" t="str">
        <f>'48 KMP -Tháng'!AF2</f>
        <v>Lũy kế TT 2024</v>
      </c>
      <c r="AE4" s="72" t="s">
        <v>184</v>
      </c>
      <c r="AF4" s="70" t="s">
        <v>228</v>
      </c>
      <c r="AG4" s="70" t="s">
        <v>229</v>
      </c>
      <c r="AH4" s="70" t="s">
        <v>230</v>
      </c>
      <c r="AI4" s="70" t="s">
        <v>231</v>
      </c>
      <c r="AJ4" s="70" t="s">
        <v>232</v>
      </c>
      <c r="AK4" s="70" t="s">
        <v>233</v>
      </c>
      <c r="AL4" s="70" t="s">
        <v>234</v>
      </c>
      <c r="AM4" s="70" t="s">
        <v>235</v>
      </c>
      <c r="AN4" s="70" t="s">
        <v>236</v>
      </c>
      <c r="AO4" s="70" t="s">
        <v>237</v>
      </c>
      <c r="AP4" s="70" t="s">
        <v>238</v>
      </c>
      <c r="AQ4" s="70" t="s">
        <v>239</v>
      </c>
      <c r="AR4" s="70" t="s">
        <v>249</v>
      </c>
      <c r="AS4" s="70" t="s">
        <v>262</v>
      </c>
      <c r="AT4" s="70" t="s">
        <v>263</v>
      </c>
      <c r="AU4" s="70" t="s">
        <v>264</v>
      </c>
      <c r="AV4" s="70" t="s">
        <v>265</v>
      </c>
      <c r="AW4" s="70" t="s">
        <v>266</v>
      </c>
      <c r="AX4" s="70" t="s">
        <v>267</v>
      </c>
      <c r="AY4" s="70" t="s">
        <v>268</v>
      </c>
      <c r="AZ4" s="70" t="s">
        <v>269</v>
      </c>
      <c r="BA4" s="70" t="s">
        <v>270</v>
      </c>
      <c r="BB4" s="70" t="s">
        <v>271</v>
      </c>
      <c r="BC4" s="70" t="s">
        <v>272</v>
      </c>
      <c r="BD4" s="70" t="s">
        <v>273</v>
      </c>
      <c r="BE4" s="70" t="s">
        <v>306</v>
      </c>
      <c r="BF4" s="73" t="str">
        <f>'48 KMP -Tháng'!BI2</f>
        <v>KH T6.2026</v>
      </c>
      <c r="BG4" s="146"/>
      <c r="BH4" s="2" t="s">
        <v>293</v>
      </c>
      <c r="BI4" s="2" t="s">
        <v>294</v>
      </c>
      <c r="BJ4" s="2" t="s">
        <v>295</v>
      </c>
      <c r="BK4" s="2" t="s">
        <v>296</v>
      </c>
      <c r="BL4" s="2" t="s">
        <v>297</v>
      </c>
      <c r="BM4" s="2" t="s">
        <v>298</v>
      </c>
      <c r="BN4" s="2" t="s">
        <v>299</v>
      </c>
      <c r="BO4" s="2" t="s">
        <v>300</v>
      </c>
      <c r="BP4" s="2" t="s">
        <v>301</v>
      </c>
      <c r="BQ4" s="2" t="s">
        <v>302</v>
      </c>
      <c r="BR4" s="2" t="s">
        <v>303</v>
      </c>
      <c r="BS4" s="2" t="s">
        <v>304</v>
      </c>
      <c r="BT4" s="2" t="s">
        <v>305</v>
      </c>
    </row>
    <row r="5" spans="1:74" s="12" customFormat="1" x14ac:dyDescent="0.35">
      <c r="A5" s="105">
        <v>2</v>
      </c>
      <c r="B5" s="81" t="s">
        <v>161</v>
      </c>
      <c r="C5" s="77" t="s">
        <v>162</v>
      </c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147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</row>
    <row r="6" spans="1:74" x14ac:dyDescent="0.35">
      <c r="A6" s="105">
        <v>3</v>
      </c>
      <c r="B6" s="3">
        <v>1</v>
      </c>
      <c r="C6" s="3" t="s">
        <v>96</v>
      </c>
      <c r="D6" s="3" t="s">
        <v>260</v>
      </c>
      <c r="E6" s="5">
        <f>SUMIFS('48 KMP -Tháng'!$F$2:$F$53,'48 KMP -Tháng'!$C$2:$C$53,'18 KMP- Tháng'!D6)</f>
        <v>19184.787461375003</v>
      </c>
      <c r="F6" s="5">
        <f>SUMIFS('48 KMP -Tháng'!$G$2:$G$53,'48 KMP -Tháng'!$C$2:$C$53,'18 KMP- Tháng'!D6)</f>
        <v>29413.012996578</v>
      </c>
      <c r="G6" s="6">
        <f>SUMIFS('48 KMP -Tháng'!$H$2:$H$53,'48 KMP -Tháng'!$C$2:$C$53,'18 KMP- Tháng'!D6)</f>
        <v>36905.746250334996</v>
      </c>
      <c r="H6" s="5">
        <f>SUMIFS('48 KMP -Tháng'!$I$2:$I$53,'48 KMP -Tháng'!$C$2:$C$53,'18 KMP- Tháng'!D6)</f>
        <v>31466.940888199999</v>
      </c>
      <c r="I6" s="5">
        <f>SUMIFS('48 KMP -Tháng'!$J$2:$J$53,'48 KMP -Tháng'!$C$2:$C$53,'18 KMP- Tháng'!D6)</f>
        <v>39521.728139389001</v>
      </c>
      <c r="J6" s="5">
        <f>SUMIFS('48 KMP -Tháng'!$K$2:$K$53,'48 KMP -Tháng'!$C$2:$C$53,'18 KMP- Tháng'!D6)</f>
        <v>33022.700401999995</v>
      </c>
      <c r="K6" s="5">
        <f>SUMIFS('48 KMP -Tháng'!$L$2:$L$53,'48 KMP -Tháng'!$C$2:$C$53,'18 KMP- Tháng'!D6)</f>
        <v>40067.114833499996</v>
      </c>
      <c r="L6" s="5">
        <f>SUMIFS('48 KMP -Tháng'!$M$2:$M$53,'48 KMP -Tháng'!$C$2:$C$53,'18 KMP- Tháng'!D6)</f>
        <v>41710.886442499999</v>
      </c>
      <c r="M6" s="5">
        <f>SUMIFS('48 KMP -Tháng'!$N$2:$N$53,'48 KMP -Tháng'!$C$2:$C$53,'18 KMP- Tháng'!D6)</f>
        <v>36846.996591559997</v>
      </c>
      <c r="N6" s="5">
        <f>SUMIFS('48 KMP -Tháng'!$O$2:$O$53,'48 KMP -Tháng'!$C$2:$C$53,'18 KMP- Tháng'!$D6)</f>
        <v>42104.203841000002</v>
      </c>
      <c r="O6" s="5">
        <f>SUMIFS('48 KMP -Tháng'!$P$2:$P$53,'48 KMP -Tháng'!$C$2:$C$53,'18 KMP- Tháng'!$D6)</f>
        <v>31330.078206999995</v>
      </c>
      <c r="P6" s="5">
        <f>SUMIFS('48 KMP -Tháng'!$Q$2:$Q$53,'48 KMP -Tháng'!$C$2:$C$53,'18 KMP- Tháng'!$D6)</f>
        <v>71767.130885999999</v>
      </c>
      <c r="Q6" s="6">
        <f>AVERAGE(E6:P6)</f>
        <v>37778.443911619746</v>
      </c>
      <c r="R6" s="5">
        <f>SUMIFS('48 KMP -Tháng'!$S$2:$S$53,'48 KMP -Tháng'!$C$2:$C$53,'18 KMP- Tháng'!$D6)</f>
        <v>82388.013511614045</v>
      </c>
      <c r="S6" s="5">
        <f>SUMIFS('48 KMP -Tháng'!T$2:T$53,'48 KMP -Tháng'!$C$2:$C$53,'18 KMP- Tháng'!$D6)</f>
        <v>54679.33930764308</v>
      </c>
      <c r="T6" s="5">
        <f>SUMIFS('48 KMP -Tháng'!U$2:U$53,'48 KMP -Tháng'!$C$2:$C$53,'18 KMP- Tháng'!$D6)</f>
        <v>92225.012386978167</v>
      </c>
      <c r="U6" s="5">
        <f>SUMIFS('48 KMP -Tháng'!V$2:V$53,'48 KMP -Tháng'!$C$2:$C$53,'18 KMP- Tháng'!$D6)</f>
        <v>84805.10524012665</v>
      </c>
      <c r="V6" s="5">
        <f>SUMIFS('48 KMP -Tháng'!W$2:W$53,'48 KMP -Tháng'!$C$2:$C$53,'18 KMP- Tháng'!$D6)</f>
        <v>86012.811292874307</v>
      </c>
      <c r="W6" s="5">
        <f>SUMIFS('48 KMP -Tháng'!X$2:X$53,'48 KMP -Tháng'!$C$2:$C$53,'18 KMP- Tháng'!$D6)</f>
        <v>63429.137098188141</v>
      </c>
      <c r="X6" s="5">
        <f>SUMIFS('48 KMP -Tháng'!Y$2:Y$53,'48 KMP -Tháng'!$C$2:$C$53,'18 KMP- Tháng'!$D6)</f>
        <v>34124.938092043485</v>
      </c>
      <c r="Y6" s="5">
        <f>SUMIFS('48 KMP -Tháng'!Z$2:Z$53,'48 KMP -Tháng'!$C$2:$C$53,'18 KMP- Tháng'!$D6)</f>
        <v>39820.045517334758</v>
      </c>
      <c r="Z6" s="5">
        <f>SUMIFS('48 KMP -Tháng'!AA$2:AA$53,'48 KMP -Tháng'!$C$2:$C$53,'18 KMP- Tháng'!$D6)</f>
        <v>53180.748441125281</v>
      </c>
      <c r="AA6" s="5">
        <f>SUMIFS('48 KMP -Tháng'!AB$2:AB$53,'48 KMP -Tháng'!$C$2:$C$53,'18 KMP- Tháng'!$D6)</f>
        <v>80242.8457912585</v>
      </c>
      <c r="AB6" s="5">
        <f>SUMIFS('48 KMP -Tháng'!AC$2:AC$53,'48 KMP -Tháng'!$C$2:$C$53,'18 KMP- Tháng'!$D6)</f>
        <v>87480.523861716094</v>
      </c>
      <c r="AC6" s="5">
        <f>SUMIFS('48 KMP -Tháng'!AD$2:AD$53,'48 KMP -Tháng'!$C$2:$C$53,'18 KMP- Tháng'!$D6)+SUMIFS('48 KMP -Tháng'!$AE$2:$AE$53,'48 KMP -Tháng'!$C$2:$C$53,'18 KMP- Tháng'!D6)</f>
        <v>60679.337507679702</v>
      </c>
      <c r="AD6" s="7">
        <f>SUM(R6:AC6)</f>
        <v>819067.8580485821</v>
      </c>
      <c r="AE6" s="28">
        <f>AVERAGE(R6:AC6)</f>
        <v>68255.654837381837</v>
      </c>
      <c r="AF6" s="5">
        <f>SUMIFS('48 KMP -Tháng'!AH$2:AH$53,'48 KMP -Tháng'!$C$2:$C$53,'18 KMP- Tháng'!$D6)</f>
        <v>33690.153681729942</v>
      </c>
      <c r="AG6" s="5">
        <f>SUMIFS('48 KMP -Tháng'!AI$2:AI$53,'48 KMP -Tháng'!$C$2:$C$53,'18 KMP- Tháng'!$D6)</f>
        <v>54984.762966730275</v>
      </c>
      <c r="AH6" s="5">
        <f>SUMIFS('48 KMP -Tháng'!AJ$2:AJ$53,'48 KMP -Tháng'!$C$2:$C$53,'18 KMP- Tháng'!$D6)</f>
        <v>93493.565616349893</v>
      </c>
      <c r="AI6" s="5">
        <f>SUMIFS('48 KMP -Tháng'!AK$2:AK$53,'48 KMP -Tháng'!$C$2:$C$53,'18 KMP- Tháng'!$D6)</f>
        <v>81794.17166151281</v>
      </c>
      <c r="AJ6" s="5">
        <f>SUMIFS('48 KMP -Tháng'!AL$2:AL$53,'48 KMP -Tháng'!$C$2:$C$53,'18 KMP- Tháng'!$D6)</f>
        <v>97253.819962899841</v>
      </c>
      <c r="AK6" s="5">
        <f>SUMIFS('48 KMP -Tháng'!AM$2:AM$53,'48 KMP -Tháng'!$C$2:$C$53,'18 KMP- Tháng'!$D6)</f>
        <v>84746.443805998701</v>
      </c>
      <c r="AL6" s="5">
        <f>SUMIFS('48 KMP -Tháng'!AN$2:AN$53,'48 KMP -Tháng'!$C$2:$C$53,'18 KMP- Tháng'!$D6)</f>
        <v>93606.744682943565</v>
      </c>
      <c r="AM6" s="5">
        <f>SUMIFS('48 KMP -Tháng'!AO$2:AO$53,'48 KMP -Tháng'!$C$2:$C$53,'18 KMP- Tháng'!$D6)</f>
        <v>93602.194561389799</v>
      </c>
      <c r="AN6" s="5">
        <f>SUMIFS('48 KMP -Tháng'!AP$2:AP$53,'48 KMP -Tháng'!$C$2:$C$53,'18 KMP- Tháng'!$D6)</f>
        <v>92225.640568510207</v>
      </c>
      <c r="AO6" s="5">
        <f>SUMIFS('48 KMP -Tháng'!AQ$2:AQ$53,'48 KMP -Tháng'!$C$2:$C$53,'18 KMP- Tháng'!$D6)</f>
        <v>60589.830985082903</v>
      </c>
      <c r="AP6" s="5">
        <f>SUMIFS('48 KMP -Tháng'!AR$2:AR$53,'48 KMP -Tháng'!$C$2:$C$53,'18 KMP- Tháng'!$D6)</f>
        <v>41785.637411524003</v>
      </c>
      <c r="AQ6" s="5">
        <f>SUMIFS('48 KMP -Tháng'!AS$2:AS$53,'48 KMP -Tháng'!$C$2:$C$53,'18 KMP- Tháng'!$D6)+SUMIFS('48 KMP -Tháng'!AT$2:AT$53,'48 KMP -Tháng'!$C$2:$C$53,'18 KMP- Tháng'!$D6)</f>
        <v>66382.966178182702</v>
      </c>
      <c r="AR6" s="28">
        <f>AVERAGE(AF6:AQ6)</f>
        <v>74512.994340237885</v>
      </c>
      <c r="AS6" s="5">
        <f>SUMIFS('48 KMP -Tháng'!AV$2:AV$53,'48 KMP -Tháng'!$C$2:$C$53,'18 KMP- Tháng'!$D6)</f>
        <v>54282.9558583486</v>
      </c>
      <c r="AT6" s="5">
        <f>SUMIFS('48 KMP -Tháng'!AW$2:AW$53,'48 KMP -Tháng'!$C$2:$C$53,'18 KMP- Tháng'!$D6)</f>
        <v>32788.527139026301</v>
      </c>
      <c r="AU6" s="5">
        <f>SUMIFS('48 KMP -Tháng'!AX$2:AX$53,'48 KMP -Tháng'!$C$2:$C$53,'18 KMP- Tháng'!$D6)</f>
        <v>79002.100402284006</v>
      </c>
      <c r="AV6" s="5">
        <f>SUMIFS('48 KMP -Tháng'!AY$2:AY$53,'48 KMP -Tháng'!$C$2:$C$53,'18 KMP- Tháng'!$D6)</f>
        <v>77706.009766450486</v>
      </c>
      <c r="AW6" s="5">
        <f>SUMIFS('48 KMP -Tháng'!AZ$2:AZ$53,'48 KMP -Tháng'!$C$2:$C$53,'18 KMP- Tháng'!$D6)</f>
        <v>67389.4959113683</v>
      </c>
      <c r="AX6" s="5">
        <f>SUMIFS('48 KMP -Tháng'!BA$2:BA$53,'48 KMP -Tháng'!$C$2:$C$53,'18 KMP- Tháng'!$D6)</f>
        <v>75415.651310678106</v>
      </c>
      <c r="AY6" s="5">
        <f>SUMIFS('48 KMP -Tháng'!BB$2:BB$53,'48 KMP -Tháng'!$C$2:$C$53,'18 KMP- Tháng'!$D6)</f>
        <v>0</v>
      </c>
      <c r="AZ6" s="5">
        <f>SUMIFS('48 KMP -Tháng'!BC$2:BC$53,'48 KMP -Tháng'!$C$2:$C$53,'18 KMP- Tháng'!$D6)</f>
        <v>0</v>
      </c>
      <c r="BA6" s="5">
        <f>SUMIFS('48 KMP -Tháng'!BD$2:BD$53,'48 KMP -Tháng'!$C$2:$C$53,'18 KMP- Tháng'!$D6)</f>
        <v>0</v>
      </c>
      <c r="BB6" s="5">
        <f>SUMIFS('48 KMP -Tháng'!BE$2:BE$53,'48 KMP -Tháng'!$C$2:$C$53,'18 KMP- Tháng'!$D6)</f>
        <v>0</v>
      </c>
      <c r="BC6" s="5">
        <f>SUMIFS('48 KMP -Tháng'!BF$2:BF$53,'48 KMP -Tháng'!$C$2:$C$53,'18 KMP- Tháng'!$D6)</f>
        <v>0</v>
      </c>
      <c r="BD6" s="5">
        <f>SUMIFS('48 KMP -Tháng'!BG$2:BG$53,'48 KMP -Tháng'!$C$2:$C$53,'18 KMP- Tháng'!$D6)</f>
        <v>0</v>
      </c>
      <c r="BE6" s="28">
        <f>AVERAGE(AS6:BD6)</f>
        <v>32215.395032346318</v>
      </c>
      <c r="BF6" s="7">
        <f>SUMIFS('48 KMP -Tháng'!BI$2:BI$53,'48 KMP -Tháng'!$C$2:$C$53,'18 KMP- Tháng'!$D6)</f>
        <v>75365.564327104483</v>
      </c>
      <c r="BG6" s="86"/>
      <c r="BH6" s="8">
        <f>SUMIFS('48 KMP -Tháng'!BL$2:BL$50,'48 KMP -Tháng'!$C$2:$C$50,'18 KMP- Tháng'!$D6)</f>
        <v>70449.79433851775</v>
      </c>
      <c r="BI6" s="8">
        <f>SUMIFS('48 KMP -Tháng'!BM$2:BM$50,'48 KMP -Tháng'!$C$2:$C$50,'18 KMP- Tháng'!$D6)</f>
        <v>57841.876465266527</v>
      </c>
      <c r="BJ6" s="8">
        <f>SUMIFS('48 KMP -Tháng'!BN$2:BN$50,'48 KMP -Tháng'!$C$2:$C$50,'18 KMP- Tháng'!$D6)</f>
        <v>73858.796242105935</v>
      </c>
      <c r="BK6" s="8">
        <f>SUMIFS('48 KMP -Tháng'!BO$2:BO$50,'48 KMP -Tháng'!$C$2:$C$50,'18 KMP- Tháng'!$D6)</f>
        <v>74028.379274825609</v>
      </c>
      <c r="BL6" s="8">
        <f>SUMIFS('48 KMP -Tháng'!BP$2:BP$50,'48 KMP -Tháng'!$C$2:$C$50,'18 KMP- Tháng'!$D6)</f>
        <v>73858.796242105935</v>
      </c>
      <c r="BM6" s="8">
        <f>SUMIFS('48 KMP -Tháng'!BQ$2:BQ$50,'48 KMP -Tháng'!$C$2:$C$50,'18 KMP- Tháng'!$D6)</f>
        <v>75365.564327104483</v>
      </c>
      <c r="BN6" s="8">
        <f>SUMIFS('48 KMP -Tháng'!BR$2:BR$50,'48 KMP -Tháng'!$C$2:$C$50,'18 KMP- Tháng'!$D6)</f>
        <v>77176.424886965047</v>
      </c>
      <c r="BO6" s="8">
        <f>SUMIFS('48 KMP -Tháng'!BS$2:BS$50,'48 KMP -Tháng'!$C$2:$C$50,'18 KMP- Tháng'!$D6)</f>
        <v>77920.06932472506</v>
      </c>
      <c r="BP6" s="8">
        <f>SUMIFS('48 KMP -Tháng'!BT$2:BT$50,'48 KMP -Tháng'!$C$2:$C$50,'18 KMP- Tháng'!$D6)</f>
        <v>77600.382468764248</v>
      </c>
      <c r="BQ6" s="8">
        <f>SUMIFS('48 KMP -Tháng'!BU$2:BU$50,'48 KMP -Tháng'!$C$2:$C$50,'18 KMP- Tháng'!$D6)</f>
        <v>78089.652357444735</v>
      </c>
      <c r="BR6" s="8">
        <f>SUMIFS('48 KMP -Tháng'!BV$2:BV$50,'48 KMP -Tháng'!$C$2:$C$50,'18 KMP- Tháng'!$D6)</f>
        <v>77006.841854245373</v>
      </c>
      <c r="BS6" s="8">
        <f>SUMIFS('48 KMP -Tháng'!BW$2:BW$50,'48 KMP -Tháng'!$C$2:$C$50,'18 KMP- Tháng'!$D6)</f>
        <v>77920.06932472506</v>
      </c>
      <c r="BT6" s="8">
        <f>SUM(BH6:BS6)</f>
        <v>891116.6471067958</v>
      </c>
    </row>
    <row r="7" spans="1:74" x14ac:dyDescent="0.35">
      <c r="A7" s="105">
        <v>4</v>
      </c>
      <c r="B7" s="3">
        <f>B6+1</f>
        <v>2</v>
      </c>
      <c r="C7" s="3" t="s">
        <v>96</v>
      </c>
      <c r="D7" s="3" t="s">
        <v>25</v>
      </c>
      <c r="E7" s="5">
        <f>SUMIFS('48 KMP -Tháng'!$F$2:$F$53,'48 KMP -Tháng'!$C$2:$C$53,'18 KMP- Tháng'!D7)</f>
        <v>1376.9572000000001</v>
      </c>
      <c r="F7" s="5">
        <f>SUMIFS('48 KMP -Tháng'!$G$2:$G$53,'48 KMP -Tháng'!$C$2:$C$53,'18 KMP- Tháng'!D7)</f>
        <v>2218.3915000000002</v>
      </c>
      <c r="G7" s="6">
        <f>SUMIFS('48 KMP -Tháng'!$H$2:$H$53,'48 KMP -Tháng'!$C$2:$C$53,'18 KMP- Tháng'!D7)</f>
        <v>2574.9328999999998</v>
      </c>
      <c r="H7" s="5">
        <f>SUMIFS('48 KMP -Tháng'!$I$2:$I$53,'48 KMP -Tháng'!$C$2:$C$53,'18 KMP- Tháng'!D7)</f>
        <v>2388.6837479999999</v>
      </c>
      <c r="I7" s="5">
        <f>SUMIFS('48 KMP -Tháng'!$J$2:$J$53,'48 KMP -Tháng'!$C$2:$C$53,'18 KMP- Tháng'!D7)</f>
        <v>2787.5241000000001</v>
      </c>
      <c r="J7" s="5">
        <f>SUMIFS('48 KMP -Tháng'!$K$2:$K$53,'48 KMP -Tháng'!$C$2:$C$53,'18 KMP- Tháng'!D7)</f>
        <v>2655.8263000000002</v>
      </c>
      <c r="K7" s="5">
        <f>SUMIFS('48 KMP -Tháng'!$L$2:$L$53,'48 KMP -Tháng'!$C$2:$C$53,'18 KMP- Tháng'!D7)</f>
        <v>3135.2610890000001</v>
      </c>
      <c r="L7" s="5">
        <f>SUMIFS('48 KMP -Tháng'!$M$2:$M$53,'48 KMP -Tháng'!$C$2:$C$53,'18 KMP- Tháng'!D7)</f>
        <v>2978.8600099999999</v>
      </c>
      <c r="M7" s="5">
        <f>SUMIFS('48 KMP -Tháng'!$N$2:$N$53,'48 KMP -Tháng'!$C$2:$C$53,'18 KMP- Tháng'!D7)</f>
        <v>2915.5076250000002</v>
      </c>
      <c r="N7" s="5">
        <f>SUMIFS('48 KMP -Tháng'!$O$2:$O$53,'48 KMP -Tháng'!$C$2:$C$53,'18 KMP- Tháng'!$D7)</f>
        <v>3337.1480000000001</v>
      </c>
      <c r="O7" s="5">
        <f>SUMIFS('48 KMP -Tháng'!$P$2:$P$53,'48 KMP -Tháng'!$C$2:$C$53,'18 KMP- Tháng'!$D7)</f>
        <v>2812.7750129999999</v>
      </c>
      <c r="P7" s="5">
        <f>SUMIFS('48 KMP -Tháng'!$Q$2:$Q$53,'48 KMP -Tháng'!$C$2:$C$53,'18 KMP- Tháng'!$D7)</f>
        <v>5223.2614999999996</v>
      </c>
      <c r="Q7" s="6">
        <f t="shared" ref="Q7:Q26" si="0">AVERAGE(E7:P7)</f>
        <v>2867.0940820833334</v>
      </c>
      <c r="R7" s="5">
        <f>SUMIFS('48 KMP -Tháng'!$S$2:$S$53,'48 KMP -Tháng'!$C$2:$C$53,'18 KMP- Tháng'!$D7)</f>
        <v>5518.9031000000004</v>
      </c>
      <c r="S7" s="5">
        <f>SUMIFS('48 KMP -Tháng'!T$2:T$53,'48 KMP -Tháng'!$C$2:$C$53,'18 KMP- Tháng'!$D7)</f>
        <v>4150.3450000000003</v>
      </c>
      <c r="T7" s="5">
        <f>SUMIFS('48 KMP -Tháng'!U$2:U$53,'48 KMP -Tháng'!$C$2:$C$53,'18 KMP- Tháng'!$D7)</f>
        <v>5118.0938999999998</v>
      </c>
      <c r="U7" s="5">
        <f>SUMIFS('48 KMP -Tháng'!V$2:V$53,'48 KMP -Tháng'!$C$2:$C$53,'18 KMP- Tháng'!$D7)</f>
        <v>5543.6525650000003</v>
      </c>
      <c r="V7" s="5">
        <f>SUMIFS('48 KMP -Tháng'!W$2:W$53,'48 KMP -Tháng'!$C$2:$C$53,'18 KMP- Tháng'!$D7)</f>
        <v>6020.5653000000002</v>
      </c>
      <c r="W7" s="5">
        <f>SUMIFS('48 KMP -Tháng'!X$2:X$53,'48 KMP -Tháng'!$C$2:$C$53,'18 KMP- Tháng'!$D7)</f>
        <v>4842.9948999999997</v>
      </c>
      <c r="X7" s="5">
        <f>SUMIFS('48 KMP -Tháng'!Y$2:Y$53,'48 KMP -Tháng'!$C$2:$C$53,'18 KMP- Tháng'!$D7)</f>
        <v>3062.5014999999999</v>
      </c>
      <c r="Y7" s="5">
        <f>SUMIFS('48 KMP -Tháng'!Z$2:Z$53,'48 KMP -Tháng'!$C$2:$C$53,'18 KMP- Tháng'!$D7)</f>
        <v>3545.0221999999999</v>
      </c>
      <c r="Z7" s="5">
        <f>SUMIFS('48 KMP -Tháng'!AA$2:AA$53,'48 KMP -Tháng'!$C$2:$C$53,'18 KMP- Tháng'!$D7)</f>
        <v>4668.9910060000002</v>
      </c>
      <c r="AA7" s="5">
        <f>SUMIFS('48 KMP -Tháng'!AB$2:AB$53,'48 KMP -Tháng'!$C$2:$C$53,'18 KMP- Tháng'!$D7)</f>
        <v>5571.9984999999997</v>
      </c>
      <c r="AB7" s="5">
        <f>SUMIFS('48 KMP -Tháng'!AC$2:AC$53,'48 KMP -Tháng'!$C$2:$C$53,'18 KMP- Tháng'!$D7)</f>
        <v>6435.3993</v>
      </c>
      <c r="AC7" s="5">
        <f>SUMIFS('48 KMP -Tháng'!AD$2:AD$53,'48 KMP -Tháng'!$C$2:$C$53,'18 KMP- Tháng'!$D7)+SUMIFS('48 KMP -Tháng'!$AE$2:$AE$53,'48 KMP -Tháng'!$C$2:$C$53,'18 KMP- Tháng'!D7)</f>
        <v>4886.9172699999999</v>
      </c>
      <c r="AD7" s="7">
        <f t="shared" ref="AD7:AD26" si="1">SUM(R7:AC7)</f>
        <v>59365.384540999992</v>
      </c>
      <c r="AE7" s="28">
        <f t="shared" ref="AE7:AE26" si="2">AVERAGE(R7:AC7)</f>
        <v>4947.1153784166663</v>
      </c>
      <c r="AF7" s="5">
        <f>SUMIFS('48 KMP -Tháng'!AH$2:AH$53,'48 KMP -Tháng'!$C$2:$C$53,'18 KMP- Tháng'!$D7)</f>
        <v>3220.4870150000002</v>
      </c>
      <c r="AG7" s="5">
        <f>SUMIFS('48 KMP -Tháng'!AI$2:AI$53,'48 KMP -Tháng'!$C$2:$C$53,'18 KMP- Tháng'!$D7)</f>
        <v>4203.9981429999998</v>
      </c>
      <c r="AH7" s="5">
        <f>SUMIFS('48 KMP -Tháng'!AJ$2:AJ$53,'48 KMP -Tháng'!$C$2:$C$53,'18 KMP- Tháng'!$D7)</f>
        <v>6561.5858079999998</v>
      </c>
      <c r="AI7" s="5">
        <f>SUMIFS('48 KMP -Tháng'!AK$2:AK$53,'48 KMP -Tháng'!$C$2:$C$53,'18 KMP- Tháng'!$D7)</f>
        <v>6195.0632750000004</v>
      </c>
      <c r="AJ7" s="5">
        <f>SUMIFS('48 KMP -Tháng'!AL$2:AL$53,'48 KMP -Tháng'!$C$2:$C$53,'18 KMP- Tháng'!$D7)</f>
        <v>6629.4663929999997</v>
      </c>
      <c r="AK7" s="5">
        <f>SUMIFS('48 KMP -Tháng'!AM$2:AM$53,'48 KMP -Tháng'!$C$2:$C$53,'18 KMP- Tháng'!$D7)</f>
        <v>6427.1763199999996</v>
      </c>
      <c r="AL7" s="5">
        <f>SUMIFS('48 KMP -Tháng'!AN$2:AN$53,'48 KMP -Tháng'!$C$2:$C$53,'18 KMP- Tháng'!$D7)</f>
        <v>7133.675279</v>
      </c>
      <c r="AM7" s="5">
        <f>SUMIFS('48 KMP -Tháng'!AO$2:AO$53,'48 KMP -Tháng'!$C$2:$C$53,'18 KMP- Tháng'!$D7)</f>
        <v>7283.683376</v>
      </c>
      <c r="AN7" s="5">
        <f>SUMIFS('48 KMP -Tháng'!AP$2:AP$53,'48 KMP -Tháng'!$C$2:$C$53,'18 KMP- Tháng'!$D7)</f>
        <v>7082.0269870000002</v>
      </c>
      <c r="AO7" s="5">
        <f>SUMIFS('48 KMP -Tháng'!AQ$2:AQ$53,'48 KMP -Tháng'!$C$2:$C$53,'18 KMP- Tháng'!$D7)</f>
        <v>6265.143298</v>
      </c>
      <c r="AP7" s="5">
        <f>SUMIFS('48 KMP -Tháng'!AR$2:AR$53,'48 KMP -Tháng'!$C$2:$C$53,'18 KMP- Tháng'!$D7)</f>
        <v>4353.0271210000001</v>
      </c>
      <c r="AQ7" s="5">
        <f>SUMIFS('48 KMP -Tháng'!AS$2:AS$53,'48 KMP -Tháng'!$C$2:$C$53,'18 KMP- Tháng'!$D7)+SUMIFS('48 KMP -Tháng'!AT$2:AT$53,'48 KMP -Tháng'!$C$2:$C$53,'18 KMP- Tháng'!$D7)</f>
        <v>4935.067223</v>
      </c>
      <c r="AR7" s="28">
        <f t="shared" ref="AR7:AR28" si="3">AVERAGE(AF7:AQ7)</f>
        <v>5857.5333531666665</v>
      </c>
      <c r="AS7" s="5">
        <f>SUMIFS('48 KMP -Tháng'!AV$2:AV$53,'48 KMP -Tháng'!$C$2:$C$53,'18 KMP- Tháng'!$D7)</f>
        <v>4101.185536</v>
      </c>
      <c r="AT7" s="5">
        <f>SUMIFS('48 KMP -Tháng'!AW$2:AW$53,'48 KMP -Tháng'!$C$2:$C$53,'18 KMP- Tháng'!$D7)</f>
        <v>2506.863617</v>
      </c>
      <c r="AU7" s="5">
        <f>SUMIFS('48 KMP -Tháng'!AX$2:AX$53,'48 KMP -Tháng'!$C$2:$C$53,'18 KMP- Tháng'!$D7)</f>
        <v>5724.7182839999996</v>
      </c>
      <c r="AV7" s="5">
        <f>SUMIFS('48 KMP -Tháng'!AY$2:AY$53,'48 KMP -Tháng'!$C$2:$C$53,'18 KMP- Tháng'!$D7)</f>
        <v>5756.5264569999999</v>
      </c>
      <c r="AW7" s="5">
        <f>SUMIFS('48 KMP -Tháng'!AZ$2:AZ$53,'48 KMP -Tháng'!$C$2:$C$53,'18 KMP- Tháng'!$D7)</f>
        <v>5888.0109110000003</v>
      </c>
      <c r="AX7" s="5">
        <f>SUMIFS('48 KMP -Tháng'!BA$2:BA$53,'48 KMP -Tháng'!$C$2:$C$53,'18 KMP- Tháng'!$D7)</f>
        <v>6109.4348950000003</v>
      </c>
      <c r="AY7" s="5">
        <f>SUMIFS('48 KMP -Tháng'!BB$2:BB$53,'48 KMP -Tháng'!$C$2:$C$53,'18 KMP- Tháng'!$D7)</f>
        <v>0</v>
      </c>
      <c r="AZ7" s="5">
        <f>SUMIFS('48 KMP -Tháng'!BC$2:BC$53,'48 KMP -Tháng'!$C$2:$C$53,'18 KMP- Tháng'!$D7)</f>
        <v>0</v>
      </c>
      <c r="BA7" s="5">
        <f>SUMIFS('48 KMP -Tháng'!BD$2:BD$53,'48 KMP -Tháng'!$C$2:$C$53,'18 KMP- Tháng'!$D7)</f>
        <v>0</v>
      </c>
      <c r="BB7" s="5">
        <f>SUMIFS('48 KMP -Tháng'!BE$2:BE$53,'48 KMP -Tháng'!$C$2:$C$53,'18 KMP- Tháng'!$D7)</f>
        <v>0</v>
      </c>
      <c r="BC7" s="5">
        <f>SUMIFS('48 KMP -Tháng'!BF$2:BF$53,'48 KMP -Tháng'!$C$2:$C$53,'18 KMP- Tháng'!$D7)</f>
        <v>0</v>
      </c>
      <c r="BD7" s="5">
        <f>SUMIFS('48 KMP -Tháng'!BG$2:BG$53,'48 KMP -Tháng'!$C$2:$C$53,'18 KMP- Tháng'!$D7)</f>
        <v>0</v>
      </c>
      <c r="BE7" s="28">
        <f t="shared" ref="BE7:BE16" si="4">AVERAGE(AS7:BD7)</f>
        <v>2507.2283083333332</v>
      </c>
      <c r="BF7" s="7">
        <f>SUMIFS('48 KMP -Tháng'!BI$2:BI$53,'48 KMP -Tháng'!$C$2:$C$53,'18 KMP- Tháng'!$D7)</f>
        <v>5015.6919387335292</v>
      </c>
      <c r="BG7" s="86"/>
      <c r="BH7" s="8">
        <f>SUMIFS('48 KMP -Tháng'!BL$2:BL$50,'48 KMP -Tháng'!$C$2:$C$50,'18 KMP- Tháng'!$D7)</f>
        <v>4697.3396017444875</v>
      </c>
      <c r="BI7" s="8">
        <f>SUMIFS('48 KMP -Tháng'!BM$2:BM$50,'48 KMP -Tháng'!$C$2:$C$50,'18 KMP- Tháng'!$D7)</f>
        <v>3893.9971987592303</v>
      </c>
      <c r="BJ7" s="8">
        <f>SUMIFS('48 KMP -Tháng'!BN$2:BN$50,'48 KMP -Tháng'!$C$2:$C$50,'18 KMP- Tháng'!$D7)</f>
        <v>4842.3796267444886</v>
      </c>
      <c r="BK7" s="8">
        <f>SUMIFS('48 KMP -Tháng'!BO$2:BO$50,'48 KMP -Tháng'!$C$2:$C$50,'18 KMP- Tháng'!$D7)</f>
        <v>4886.2606887335287</v>
      </c>
      <c r="BL7" s="8">
        <f>SUMIFS('48 KMP -Tháng'!BP$2:BP$50,'48 KMP -Tháng'!$C$2:$C$50,'18 KMP- Tháng'!$D7)</f>
        <v>4850.5640553159174</v>
      </c>
      <c r="BM7" s="8">
        <f>SUMIFS('48 KMP -Tháng'!BQ$2:BQ$50,'48 KMP -Tháng'!$C$2:$C$50,'18 KMP- Tháng'!$D7)</f>
        <v>5015.6919387335292</v>
      </c>
      <c r="BN7" s="8">
        <f>SUMIFS('48 KMP -Tháng'!BR$2:BR$50,'48 KMP -Tháng'!$C$2:$C$50,'18 KMP- Tháng'!$D7)</f>
        <v>5356.1384432390805</v>
      </c>
      <c r="BO7" s="8">
        <f>SUMIFS('48 KMP -Tháng'!BS$2:BS$50,'48 KMP -Tháng'!$C$2:$C$50,'18 KMP- Tháng'!$D7)</f>
        <v>5423.0816702390803</v>
      </c>
      <c r="BP7" s="8">
        <f>SUMIFS('48 KMP -Tháng'!BT$2:BT$50,'48 KMP -Tháng'!$C$2:$C$50,'18 KMP- Tháng'!$D7)</f>
        <v>5431.5689632035965</v>
      </c>
      <c r="BQ7" s="8">
        <f>SUMIFS('48 KMP -Tháng'!BU$2:BU$50,'48 KMP -Tháng'!$C$2:$C$50,'18 KMP- Tháng'!$D7)</f>
        <v>5581.5463002948245</v>
      </c>
      <c r="BR7" s="8">
        <f>SUMIFS('48 KMP -Tháng'!BV$2:BV$50,'48 KMP -Tháng'!$C$2:$C$50,'18 KMP- Tháng'!$D7)</f>
        <v>5527.4359356879104</v>
      </c>
      <c r="BS7" s="8">
        <f>SUMIFS('48 KMP -Tháng'!BW$2:BW$50,'48 KMP -Tháng'!$C$2:$C$50,'18 KMP- Tháng'!$D7)</f>
        <v>5561.9175222948243</v>
      </c>
      <c r="BT7" s="8">
        <f t="shared" ref="BT7:BT16" si="5">SUM(BH7:BS7)</f>
        <v>61067.921944990492</v>
      </c>
    </row>
    <row r="8" spans="1:74" x14ac:dyDescent="0.35">
      <c r="A8" s="105">
        <v>6</v>
      </c>
      <c r="B8" s="3">
        <f t="shared" ref="B8:B16" si="6">B7+1</f>
        <v>3</v>
      </c>
      <c r="C8" s="3" t="s">
        <v>96</v>
      </c>
      <c r="D8" s="3" t="s">
        <v>165</v>
      </c>
      <c r="E8" s="5">
        <f>SUMIFS('48 KMP -Tháng'!$F$2:$F$53,'48 KMP -Tháng'!$C$2:$C$53,'18 KMP- Tháng'!D8)</f>
        <v>0</v>
      </c>
      <c r="F8" s="5">
        <f>SUMIFS('48 KMP -Tháng'!$G$2:$G$53,'48 KMP -Tháng'!$C$2:$C$53,'18 KMP- Tháng'!D8)</f>
        <v>0</v>
      </c>
      <c r="G8" s="6">
        <f>SUMIFS('48 KMP -Tháng'!$H$2:$H$53,'48 KMP -Tháng'!$C$2:$C$53,'18 KMP- Tháng'!D8)</f>
        <v>505.50536</v>
      </c>
      <c r="H8" s="5">
        <f>SUMIFS('48 KMP -Tháng'!$I$2:$I$53,'48 KMP -Tháng'!$C$2:$C$53,'18 KMP- Tháng'!D8)</f>
        <v>384.26619499999998</v>
      </c>
      <c r="I8" s="5">
        <f>SUMIFS('48 KMP -Tháng'!$J$2:$J$53,'48 KMP -Tháng'!$C$2:$C$53,'18 KMP- Tháng'!D8)</f>
        <v>373.597216</v>
      </c>
      <c r="J8" s="5">
        <f>SUMIFS('48 KMP -Tháng'!$K$2:$K$53,'48 KMP -Tháng'!$C$2:$C$53,'18 KMP- Tháng'!D8)</f>
        <v>646.86600199999998</v>
      </c>
      <c r="K8" s="5">
        <f>SUMIFS('48 KMP -Tháng'!$L$2:$L$53,'48 KMP -Tháng'!$C$2:$C$53,'18 KMP- Tháng'!D8)</f>
        <v>461.83937800000001</v>
      </c>
      <c r="L8" s="5">
        <f>SUMIFS('48 KMP -Tháng'!$M$2:$M$53,'48 KMP -Tháng'!$C$2:$C$53,'18 KMP- Tháng'!D8)</f>
        <v>712.82108499999993</v>
      </c>
      <c r="M8" s="5">
        <f>SUMIFS('48 KMP -Tháng'!$N$2:$N$53,'48 KMP -Tháng'!$C$2:$C$53,'18 KMP- Tháng'!D8)</f>
        <v>372.68747999999999</v>
      </c>
      <c r="N8" s="5">
        <f>SUMIFS('48 KMP -Tháng'!$O$2:$O$53,'48 KMP -Tháng'!$C$2:$C$53,'18 KMP- Tháng'!$D8)</f>
        <v>746.39963999999998</v>
      </c>
      <c r="O8" s="5">
        <f>SUMIFS('48 KMP -Tháng'!$P$2:$P$53,'48 KMP -Tháng'!$C$2:$C$53,'18 KMP- Tháng'!$D8)</f>
        <v>626.33642800000007</v>
      </c>
      <c r="P8" s="5">
        <f>SUMIFS('48 KMP -Tháng'!$Q$2:$Q$53,'48 KMP -Tháng'!$C$2:$C$53,'18 KMP- Tháng'!$D8)</f>
        <v>533.65458000000001</v>
      </c>
      <c r="Q8" s="6">
        <f>AVERAGE(E8:P8)</f>
        <v>446.99778033333331</v>
      </c>
      <c r="R8" s="5">
        <f>SUMIFS('48 KMP -Tháng'!$S$2:$S$53,'48 KMP -Tháng'!$C$2:$C$53,'18 KMP- Tháng'!$D8)</f>
        <v>526.29274399999997</v>
      </c>
      <c r="S8" s="5">
        <f>SUMIFS('48 KMP -Tháng'!T$2:T$53,'48 KMP -Tháng'!$C$2:$C$53,'18 KMP- Tháng'!$D8)</f>
        <v>369.82350000000002</v>
      </c>
      <c r="T8" s="5">
        <f>SUMIFS('48 KMP -Tháng'!U$2:U$53,'48 KMP -Tháng'!$C$2:$C$53,'18 KMP- Tháng'!$D8)</f>
        <v>588.72288000000003</v>
      </c>
      <c r="U8" s="5">
        <f>SUMIFS('48 KMP -Tháng'!V$2:V$53,'48 KMP -Tháng'!$C$2:$C$53,'18 KMP- Tháng'!$D8)</f>
        <v>1053.4593620000001</v>
      </c>
      <c r="V8" s="5">
        <f>SUMIFS('48 KMP -Tháng'!W$2:W$53,'48 KMP -Tháng'!$C$2:$C$53,'18 KMP- Tháng'!$D8)</f>
        <v>832.33068000000014</v>
      </c>
      <c r="W8" s="5">
        <f>SUMIFS('48 KMP -Tháng'!X$2:X$53,'48 KMP -Tháng'!$C$2:$C$53,'18 KMP- Tháng'!$D8)</f>
        <v>1456.5019600000001</v>
      </c>
      <c r="X8" s="5">
        <f>SUMIFS('48 KMP -Tháng'!Y$2:Y$53,'48 KMP -Tháng'!$C$2:$C$53,'18 KMP- Tháng'!$D8)</f>
        <v>799.54674</v>
      </c>
      <c r="Y8" s="5">
        <f>SUMIFS('48 KMP -Tháng'!Z$2:Z$53,'48 KMP -Tháng'!$C$2:$C$53,'18 KMP- Tháng'!$D8)</f>
        <v>1860.7676060000001</v>
      </c>
      <c r="Z8" s="5">
        <f>SUMIFS('48 KMP -Tháng'!AA$2:AA$53,'48 KMP -Tháng'!$C$2:$C$53,'18 KMP- Tháng'!$D8)</f>
        <v>1285.0191810000001</v>
      </c>
      <c r="AA8" s="5">
        <f>SUMIFS('48 KMP -Tháng'!AB$2:AB$53,'48 KMP -Tháng'!$C$2:$C$53,'18 KMP- Tháng'!$D8)</f>
        <v>967.32580800000005</v>
      </c>
      <c r="AB8" s="5">
        <f>SUMIFS('48 KMP -Tháng'!AC$2:AC$53,'48 KMP -Tháng'!$C$2:$C$53,'18 KMP- Tháng'!$D8)</f>
        <v>754.04340200000001</v>
      </c>
      <c r="AC8" s="5">
        <f>SUMIFS('48 KMP -Tháng'!AD$2:AD$53,'48 KMP -Tháng'!$C$2:$C$53,'18 KMP- Tháng'!$D8)+SUMIFS('48 KMP -Tháng'!$AE$2:$AE$53,'48 KMP -Tháng'!$C$2:$C$53,'18 KMP- Tháng'!D8)</f>
        <v>1681.9546049999999</v>
      </c>
      <c r="AD8" s="7">
        <f>SUM(R8:AC8)</f>
        <v>12175.788467999999</v>
      </c>
      <c r="AE8" s="28">
        <f t="shared" si="2"/>
        <v>1014.6490389999999</v>
      </c>
      <c r="AF8" s="5">
        <f>SUMIFS('48 KMP -Tháng'!AH$2:AH$53,'48 KMP -Tháng'!$C$2:$C$53,'18 KMP- Tháng'!$D8)</f>
        <v>1406.3768719999998</v>
      </c>
      <c r="AG8" s="5">
        <f>SUMIFS('48 KMP -Tháng'!AI$2:AI$53,'48 KMP -Tháng'!$C$2:$C$53,'18 KMP- Tháng'!$D8)</f>
        <v>1896.4950260000001</v>
      </c>
      <c r="AH8" s="5">
        <f>SUMIFS('48 KMP -Tháng'!AJ$2:AJ$53,'48 KMP -Tháng'!$C$2:$C$53,'18 KMP- Tháng'!$D8)</f>
        <v>1011.337654</v>
      </c>
      <c r="AI8" s="5">
        <f>SUMIFS('48 KMP -Tháng'!AK$2:AK$53,'48 KMP -Tháng'!$C$2:$C$53,'18 KMP- Tháng'!$D8)</f>
        <v>1192.1012270000001</v>
      </c>
      <c r="AJ8" s="5">
        <f>SUMIFS('48 KMP -Tháng'!AL$2:AL$53,'48 KMP -Tháng'!$C$2:$C$53,'18 KMP- Tháng'!$D8)</f>
        <v>1071.508366</v>
      </c>
      <c r="AK8" s="5">
        <f>SUMIFS('48 KMP -Tháng'!AM$2:AM$53,'48 KMP -Tháng'!$C$2:$C$53,'18 KMP- Tháng'!$D8)</f>
        <v>1011.863016</v>
      </c>
      <c r="AL8" s="5">
        <f>SUMIFS('48 KMP -Tháng'!AN$2:AN$53,'48 KMP -Tháng'!$C$2:$C$53,'18 KMP- Tháng'!$D8)</f>
        <v>1178.8014470000001</v>
      </c>
      <c r="AM8" s="5">
        <f>SUMIFS('48 KMP -Tháng'!AO$2:AO$53,'48 KMP -Tháng'!$C$2:$C$53,'18 KMP- Tháng'!$D8)</f>
        <v>1744.837137</v>
      </c>
      <c r="AN8" s="5">
        <f>SUMIFS('48 KMP -Tháng'!AP$2:AP$53,'48 KMP -Tháng'!$C$2:$C$53,'18 KMP- Tháng'!$D8)</f>
        <v>1262.250933</v>
      </c>
      <c r="AO8" s="5">
        <f>SUMIFS('48 KMP -Tháng'!AQ$2:AQ$53,'48 KMP -Tháng'!$C$2:$C$53,'18 KMP- Tháng'!$D8)</f>
        <v>2172.3496660000001</v>
      </c>
      <c r="AP8" s="5">
        <f>SUMIFS('48 KMP -Tháng'!AR$2:AR$53,'48 KMP -Tháng'!$C$2:$C$53,'18 KMP- Tháng'!$D8)</f>
        <v>1528.6454290000001</v>
      </c>
      <c r="AQ8" s="5">
        <f>SUMIFS('48 KMP -Tháng'!AS$2:AS$53,'48 KMP -Tháng'!$C$2:$C$53,'18 KMP- Tháng'!$D8)+SUMIFS('48 KMP -Tháng'!AT$2:AT$53,'48 KMP -Tháng'!$C$2:$C$53,'18 KMP- Tháng'!$D8)</f>
        <v>1006.5126320000001</v>
      </c>
      <c r="AR8" s="28">
        <f t="shared" si="3"/>
        <v>1373.5899504166666</v>
      </c>
      <c r="AS8" s="5">
        <f>SUMIFS('48 KMP -Tháng'!AV$2:AV$53,'48 KMP -Tháng'!$C$2:$C$53,'18 KMP- Tháng'!$D8)</f>
        <v>1629.3042500000001</v>
      </c>
      <c r="AT8" s="5">
        <f>SUMIFS('48 KMP -Tháng'!AW$2:AW$53,'48 KMP -Tháng'!$C$2:$C$53,'18 KMP- Tháng'!$D8)</f>
        <v>1183.2379470000001</v>
      </c>
      <c r="AU8" s="5">
        <f>SUMIFS('48 KMP -Tháng'!AX$2:AX$53,'48 KMP -Tháng'!$C$2:$C$53,'18 KMP- Tháng'!$D8)</f>
        <v>3159.3412949999997</v>
      </c>
      <c r="AV8" s="5">
        <f>SUMIFS('48 KMP -Tháng'!AY$2:AY$53,'48 KMP -Tháng'!$C$2:$C$53,'18 KMP- Tháng'!$D8)</f>
        <v>3019.3291749999999</v>
      </c>
      <c r="AW8" s="5">
        <f>SUMIFS('48 KMP -Tháng'!AZ$2:AZ$53,'48 KMP -Tháng'!$C$2:$C$53,'18 KMP- Tháng'!$D8)</f>
        <v>2769.8496880000002</v>
      </c>
      <c r="AX8" s="5">
        <f>SUMIFS('48 KMP -Tháng'!BA$2:BA$53,'48 KMP -Tháng'!$C$2:$C$53,'18 KMP- Tháng'!$D8)</f>
        <v>1755.757372</v>
      </c>
      <c r="AY8" s="5">
        <f>SUMIFS('48 KMP -Tháng'!BB$2:BB$53,'48 KMP -Tháng'!$C$2:$C$53,'18 KMP- Tháng'!$D8)</f>
        <v>0</v>
      </c>
      <c r="AZ8" s="5">
        <f>SUMIFS('48 KMP -Tháng'!BC$2:BC$53,'48 KMP -Tháng'!$C$2:$C$53,'18 KMP- Tháng'!$D8)</f>
        <v>0</v>
      </c>
      <c r="BA8" s="5">
        <f>SUMIFS('48 KMP -Tháng'!BD$2:BD$53,'48 KMP -Tháng'!$C$2:$C$53,'18 KMP- Tháng'!$D8)</f>
        <v>0</v>
      </c>
      <c r="BB8" s="5">
        <f>SUMIFS('48 KMP -Tháng'!BE$2:BE$53,'48 KMP -Tháng'!$C$2:$C$53,'18 KMP- Tháng'!$D8)</f>
        <v>0</v>
      </c>
      <c r="BC8" s="5">
        <f>SUMIFS('48 KMP -Tháng'!BF$2:BF$53,'48 KMP -Tháng'!$C$2:$C$53,'18 KMP- Tháng'!$D8)</f>
        <v>0</v>
      </c>
      <c r="BD8" s="5">
        <f>SUMIFS('48 KMP -Tháng'!BG$2:BG$53,'48 KMP -Tháng'!$C$2:$C$53,'18 KMP- Tháng'!$D8)</f>
        <v>0</v>
      </c>
      <c r="BE8" s="28">
        <f t="shared" si="4"/>
        <v>1126.4016439166667</v>
      </c>
      <c r="BF8" s="7">
        <f>SUMIFS('48 KMP -Tháng'!BI$2:BI$53,'48 KMP -Tháng'!$C$2:$C$53,'18 KMP- Tháng'!$D8)</f>
        <v>770.63066909090912</v>
      </c>
      <c r="BG8" s="86"/>
      <c r="BH8" s="8">
        <f>SUMIFS('48 KMP -Tháng'!BL$2:BL$50,'48 KMP -Tháng'!$C$2:$C$50,'18 KMP- Tháng'!$D8)</f>
        <v>725.33604409090913</v>
      </c>
      <c r="BI8" s="8">
        <f>SUMIFS('48 KMP -Tháng'!BM$2:BM$50,'48 KMP -Tháng'!$C$2:$C$50,'18 KMP- Tháng'!$D8)</f>
        <v>691.18604409090904</v>
      </c>
      <c r="BJ8" s="8">
        <f>SUMIFS('48 KMP -Tháng'!BN$2:BN$50,'48 KMP -Tháng'!$C$2:$C$50,'18 KMP- Tháng'!$D8)</f>
        <v>720.33604409090913</v>
      </c>
      <c r="BK8" s="8">
        <f>SUMIFS('48 KMP -Tháng'!BO$2:BO$50,'48 KMP -Tháng'!$C$2:$C$50,'18 KMP- Tháng'!$D8)</f>
        <v>758.53184409090909</v>
      </c>
      <c r="BL8" s="8">
        <f>SUMIFS('48 KMP -Tháng'!BP$2:BP$50,'48 KMP -Tháng'!$C$2:$C$50,'18 KMP- Tháng'!$D8)</f>
        <v>751.38066909090912</v>
      </c>
      <c r="BM8" s="8">
        <f>SUMIFS('48 KMP -Tháng'!BQ$2:BQ$50,'48 KMP -Tháng'!$C$2:$C$50,'18 KMP- Tháng'!$D8)</f>
        <v>770.63066909090912</v>
      </c>
      <c r="BN8" s="8">
        <f>SUMIFS('48 KMP -Tháng'!BR$2:BR$50,'48 KMP -Tháng'!$C$2:$C$50,'18 KMP- Tháng'!$D8)</f>
        <v>756.38066909090912</v>
      </c>
      <c r="BO8" s="8">
        <f>SUMIFS('48 KMP -Tháng'!BS$2:BS$50,'48 KMP -Tháng'!$C$2:$C$50,'18 KMP- Tháng'!$D8)</f>
        <v>770.63066909090912</v>
      </c>
      <c r="BP8" s="8">
        <f>SUMIFS('48 KMP -Tháng'!BT$2:BT$50,'48 KMP -Tháng'!$C$2:$C$50,'18 KMP- Tháng'!$D8)</f>
        <v>751.38066909090912</v>
      </c>
      <c r="BQ8" s="8">
        <f>SUMIFS('48 KMP -Tháng'!BU$2:BU$50,'48 KMP -Tháng'!$C$2:$C$50,'18 KMP- Tháng'!$D8)</f>
        <v>775.63066909090912</v>
      </c>
      <c r="BR8" s="8">
        <f>SUMIFS('48 KMP -Tháng'!BV$2:BV$50,'48 KMP -Tháng'!$C$2:$C$50,'18 KMP- Tháng'!$D8)</f>
        <v>753.34236909090919</v>
      </c>
      <c r="BS8" s="8">
        <f>SUMIFS('48 KMP -Tháng'!BW$2:BW$50,'48 KMP -Tháng'!$C$2:$C$50,'18 KMP- Tháng'!$D8)</f>
        <v>734.20356909090924</v>
      </c>
      <c r="BT8" s="8">
        <f t="shared" si="5"/>
        <v>8958.9699290909102</v>
      </c>
      <c r="BV8">
        <f>(SUM(BT6:BT16)-BT8)/BT26+BT8/BT30</f>
        <v>20.18200154344839</v>
      </c>
    </row>
    <row r="9" spans="1:74" x14ac:dyDescent="0.35">
      <c r="A9" s="105">
        <v>7</v>
      </c>
      <c r="B9" s="3">
        <f t="shared" si="6"/>
        <v>4</v>
      </c>
      <c r="C9" s="3" t="s">
        <v>96</v>
      </c>
      <c r="D9" s="3" t="s">
        <v>54</v>
      </c>
      <c r="E9" s="5">
        <f>SUMIFS('48 KMP -Tháng'!$F$2:$F$53,'48 KMP -Tháng'!$C$2:$C$53,'18 KMP- Tháng'!D9)</f>
        <v>67.509566000000007</v>
      </c>
      <c r="F9" s="5">
        <f>SUMIFS('48 KMP -Tháng'!$G$2:$G$53,'48 KMP -Tháng'!$C$2:$C$53,'18 KMP- Tháng'!D9)</f>
        <v>146.57459200000002</v>
      </c>
      <c r="G9" s="6">
        <f>SUMIFS('48 KMP -Tháng'!$H$2:$H$53,'48 KMP -Tháng'!$C$2:$C$53,'18 KMP- Tháng'!D9)</f>
        <v>512.58851200000004</v>
      </c>
      <c r="H9" s="5">
        <f>SUMIFS('48 KMP -Tháng'!$I$2:$I$53,'48 KMP -Tháng'!$C$2:$C$53,'18 KMP- Tháng'!D9)</f>
        <v>669.23911199999998</v>
      </c>
      <c r="I9" s="5">
        <f>SUMIFS('48 KMP -Tháng'!$J$2:$J$53,'48 KMP -Tháng'!$C$2:$C$53,'18 KMP- Tháng'!D9)</f>
        <v>986.13165299999991</v>
      </c>
      <c r="J9" s="5">
        <f>SUMIFS('48 KMP -Tháng'!$K$2:$K$53,'48 KMP -Tháng'!$C$2:$C$53,'18 KMP- Tháng'!D9)</f>
        <v>456.94687799999997</v>
      </c>
      <c r="K9" s="5">
        <f>SUMIFS('48 KMP -Tháng'!$L$2:$L$53,'48 KMP -Tháng'!$C$2:$C$53,'18 KMP- Tháng'!D9)</f>
        <v>1054.6790510000001</v>
      </c>
      <c r="L9" s="5">
        <f>SUMIFS('48 KMP -Tháng'!$M$2:$M$53,'48 KMP -Tháng'!$C$2:$C$53,'18 KMP- Tháng'!D9)</f>
        <v>1179.6289380000001</v>
      </c>
      <c r="M9" s="5">
        <f>SUMIFS('48 KMP -Tháng'!$N$2:$N$53,'48 KMP -Tháng'!$C$2:$C$53,'18 KMP- Tháng'!D9)</f>
        <v>1152.5309690000001</v>
      </c>
      <c r="N9" s="5">
        <f>SUMIFS('48 KMP -Tháng'!$O$2:$O$53,'48 KMP -Tháng'!$C$2:$C$53,'18 KMP- Tháng'!$D9)</f>
        <v>1779.200458</v>
      </c>
      <c r="O9" s="5">
        <f>SUMIFS('48 KMP -Tháng'!$P$2:$P$53,'48 KMP -Tháng'!$C$2:$C$53,'18 KMP- Tháng'!$D9)</f>
        <v>1553.5872850000001</v>
      </c>
      <c r="P9" s="5">
        <f>SUMIFS('48 KMP -Tháng'!$Q$2:$Q$53,'48 KMP -Tháng'!$C$2:$C$53,'18 KMP- Tháng'!$D9)</f>
        <v>2043.1246169175902</v>
      </c>
      <c r="Q9" s="6">
        <f t="shared" si="0"/>
        <v>966.81180257646599</v>
      </c>
      <c r="R9" s="5">
        <f>SUMIFS('48 KMP -Tháng'!$S$2:$S$53,'48 KMP -Tháng'!$C$2:$C$53,'18 KMP- Tháng'!$D9)</f>
        <v>1729.6174993199998</v>
      </c>
      <c r="S9" s="5">
        <f>SUMIFS('48 KMP -Tháng'!T$2:T$53,'48 KMP -Tháng'!$C$2:$C$53,'18 KMP- Tháng'!$D9)</f>
        <v>1517.450685</v>
      </c>
      <c r="T9" s="5">
        <f>SUMIFS('48 KMP -Tháng'!U$2:U$53,'48 KMP -Tháng'!$C$2:$C$53,'18 KMP- Tháng'!$D9)</f>
        <v>1767.7928019999999</v>
      </c>
      <c r="U9" s="5">
        <f>SUMIFS('48 KMP -Tháng'!V$2:V$53,'48 KMP -Tháng'!$C$2:$C$53,'18 KMP- Tháng'!$D9)</f>
        <v>1045.8530069999999</v>
      </c>
      <c r="V9" s="5">
        <f>SUMIFS('48 KMP -Tháng'!W$2:W$53,'48 KMP -Tháng'!$C$2:$C$53,'18 KMP- Tháng'!$D9)</f>
        <v>972.024225</v>
      </c>
      <c r="W9" s="5">
        <f>SUMIFS('48 KMP -Tháng'!X$2:X$53,'48 KMP -Tháng'!$C$2:$C$53,'18 KMP- Tháng'!$D9)</f>
        <v>591.19552299999998</v>
      </c>
      <c r="X9" s="5">
        <f>SUMIFS('48 KMP -Tháng'!Y$2:Y$53,'48 KMP -Tháng'!$C$2:$C$53,'18 KMP- Tháng'!$D9)</f>
        <v>1077.291879250055</v>
      </c>
      <c r="Y9" s="5">
        <f>SUMIFS('48 KMP -Tháng'!Z$2:Z$53,'48 KMP -Tháng'!$C$2:$C$53,'18 KMP- Tháng'!$D9)</f>
        <v>549.30051674994502</v>
      </c>
      <c r="Z9" s="5">
        <f>SUMIFS('48 KMP -Tháng'!AA$2:AA$53,'48 KMP -Tháng'!$C$2:$C$53,'18 KMP- Tháng'!$D9)</f>
        <v>1071.8952039999999</v>
      </c>
      <c r="AA9" s="5">
        <f>SUMIFS('48 KMP -Tháng'!AB$2:AB$53,'48 KMP -Tháng'!$C$2:$C$53,'18 KMP- Tháng'!$D9)</f>
        <v>1893.504713</v>
      </c>
      <c r="AB9" s="5">
        <f>SUMIFS('48 KMP -Tháng'!AC$2:AC$53,'48 KMP -Tháng'!$C$2:$C$53,'18 KMP- Tháng'!$D9)</f>
        <v>1720.675248</v>
      </c>
      <c r="AC9" s="5">
        <f>SUMIFS('48 KMP -Tháng'!AD$2:AD$53,'48 KMP -Tháng'!$C$2:$C$53,'18 KMP- Tháng'!$D9)+SUMIFS('48 KMP -Tháng'!$AE$2:$AE$53,'48 KMP -Tháng'!$C$2:$C$53,'18 KMP- Tháng'!D9)</f>
        <v>321.65228200000001</v>
      </c>
      <c r="AD9" s="7">
        <f t="shared" si="1"/>
        <v>14258.253584319998</v>
      </c>
      <c r="AE9" s="28">
        <f t="shared" si="2"/>
        <v>1188.1877986933332</v>
      </c>
      <c r="AF9" s="5">
        <f>SUMIFS('48 KMP -Tháng'!AH$2:AH$53,'48 KMP -Tháng'!$C$2:$C$53,'18 KMP- Tháng'!$D9)</f>
        <v>333.00160199999999</v>
      </c>
      <c r="AG9" s="5">
        <f>SUMIFS('48 KMP -Tháng'!AI$2:AI$53,'48 KMP -Tháng'!$C$2:$C$53,'18 KMP- Tháng'!$D9)</f>
        <v>880.94690900000001</v>
      </c>
      <c r="AH9" s="5">
        <f>SUMIFS('48 KMP -Tháng'!AJ$2:AJ$53,'48 KMP -Tháng'!$C$2:$C$53,'18 KMP- Tháng'!$D9)</f>
        <v>1570.44211</v>
      </c>
      <c r="AI9" s="5">
        <f>SUMIFS('48 KMP -Tháng'!AK$2:AK$53,'48 KMP -Tháng'!$C$2:$C$53,'18 KMP- Tháng'!$D9)</f>
        <v>1637.622398</v>
      </c>
      <c r="AJ9" s="5">
        <f>SUMIFS('48 KMP -Tháng'!AL$2:AL$53,'48 KMP -Tháng'!$C$2:$C$53,'18 KMP- Tháng'!$D9)</f>
        <v>1960.972215</v>
      </c>
      <c r="AK9" s="5">
        <f>SUMIFS('48 KMP -Tháng'!AM$2:AM$53,'48 KMP -Tháng'!$C$2:$C$53,'18 KMP- Tháng'!$D9)</f>
        <v>1965.8736960000001</v>
      </c>
      <c r="AL9" s="5">
        <f>SUMIFS('48 KMP -Tháng'!AN$2:AN$53,'48 KMP -Tháng'!$C$2:$C$53,'18 KMP- Tháng'!$D9)</f>
        <v>2547.1120740000001</v>
      </c>
      <c r="AM9" s="5">
        <f>SUMIFS('48 KMP -Tháng'!AO$2:AO$53,'48 KMP -Tháng'!$C$2:$C$53,'18 KMP- Tháng'!$D9)</f>
        <v>2288.513414</v>
      </c>
      <c r="AN9" s="5">
        <f>SUMIFS('48 KMP -Tháng'!AP$2:AP$53,'48 KMP -Tháng'!$C$2:$C$53,'18 KMP- Tháng'!$D9)</f>
        <v>1962.463364</v>
      </c>
      <c r="AO9" s="5">
        <f>SUMIFS('48 KMP -Tháng'!AQ$2:AQ$53,'48 KMP -Tháng'!$C$2:$C$53,'18 KMP- Tháng'!$D9)</f>
        <v>621.36740599999996</v>
      </c>
      <c r="AP9" s="5">
        <f>SUMIFS('48 KMP -Tháng'!AR$2:AR$53,'48 KMP -Tháng'!$C$2:$C$53,'18 KMP- Tháng'!$D9)</f>
        <v>578.64556600000003</v>
      </c>
      <c r="AQ9" s="5">
        <f>SUMIFS('48 KMP -Tháng'!AS$2:AS$53,'48 KMP -Tháng'!$C$2:$C$53,'18 KMP- Tháng'!$D9)+SUMIFS('48 KMP -Tháng'!AT$2:AT$53,'48 KMP -Tháng'!$C$2:$C$53,'18 KMP- Tháng'!$D9)</f>
        <v>1143.2730710000001</v>
      </c>
      <c r="AR9" s="28">
        <f t="shared" si="3"/>
        <v>1457.5194854166666</v>
      </c>
      <c r="AS9" s="5">
        <f>SUMIFS('48 KMP -Tháng'!AV$2:AV$53,'48 KMP -Tháng'!$C$2:$C$53,'18 KMP- Tháng'!$D9)</f>
        <v>891.17733899999996</v>
      </c>
      <c r="AT9" s="5">
        <f>SUMIFS('48 KMP -Tháng'!AW$2:AW$53,'48 KMP -Tháng'!$C$2:$C$53,'18 KMP- Tháng'!$D9)</f>
        <v>288.56129600000003</v>
      </c>
      <c r="AU9" s="5">
        <f>SUMIFS('48 KMP -Tháng'!AX$2:AX$53,'48 KMP -Tháng'!$C$2:$C$53,'18 KMP- Tháng'!$D9)</f>
        <v>1763.335605</v>
      </c>
      <c r="AV9" s="5">
        <f>SUMIFS('48 KMP -Tháng'!AY$2:AY$53,'48 KMP -Tháng'!$C$2:$C$53,'18 KMP- Tháng'!$D9)</f>
        <v>1386.5963529999999</v>
      </c>
      <c r="AW9" s="5">
        <f>SUMIFS('48 KMP -Tháng'!AZ$2:AZ$53,'48 KMP -Tháng'!$C$2:$C$53,'18 KMP- Tháng'!$D9)</f>
        <v>1815.041453</v>
      </c>
      <c r="AX9" s="5">
        <f>SUMIFS('48 KMP -Tháng'!BA$2:BA$53,'48 KMP -Tháng'!$C$2:$C$53,'18 KMP- Tháng'!$D9)</f>
        <v>1711.9735989999999</v>
      </c>
      <c r="AY9" s="5">
        <f>SUMIFS('48 KMP -Tháng'!BB$2:BB$53,'48 KMP -Tháng'!$C$2:$C$53,'18 KMP- Tháng'!$D9)</f>
        <v>0</v>
      </c>
      <c r="AZ9" s="5">
        <f>SUMIFS('48 KMP -Tháng'!BC$2:BC$53,'48 KMP -Tháng'!$C$2:$C$53,'18 KMP- Tháng'!$D9)</f>
        <v>0</v>
      </c>
      <c r="BA9" s="5">
        <f>SUMIFS('48 KMP -Tháng'!BD$2:BD$53,'48 KMP -Tháng'!$C$2:$C$53,'18 KMP- Tháng'!$D9)</f>
        <v>0</v>
      </c>
      <c r="BB9" s="5">
        <f>SUMIFS('48 KMP -Tháng'!BE$2:BE$53,'48 KMP -Tháng'!$C$2:$C$53,'18 KMP- Tháng'!$D9)</f>
        <v>0</v>
      </c>
      <c r="BC9" s="5">
        <f>SUMIFS('48 KMP -Tháng'!BF$2:BF$53,'48 KMP -Tháng'!$C$2:$C$53,'18 KMP- Tháng'!$D9)</f>
        <v>0</v>
      </c>
      <c r="BD9" s="5">
        <f>SUMIFS('48 KMP -Tháng'!BG$2:BG$53,'48 KMP -Tháng'!$C$2:$C$53,'18 KMP- Tháng'!$D9)</f>
        <v>0</v>
      </c>
      <c r="BE9" s="28">
        <f t="shared" si="4"/>
        <v>654.72380375</v>
      </c>
      <c r="BF9" s="7">
        <f>SUMIFS('48 KMP -Tháng'!BI$2:BI$53,'48 KMP -Tháng'!$C$2:$C$53,'18 KMP- Tháng'!$D9)</f>
        <v>1367.5559174597081</v>
      </c>
      <c r="BG9" s="86"/>
      <c r="BH9" s="8">
        <f>SUMIFS('48 KMP -Tháng'!BL$2:BL$50,'48 KMP -Tháng'!$C$2:$C$50,'18 KMP- Tháng'!$D9)</f>
        <v>1261.1159216334902</v>
      </c>
      <c r="BI9" s="8">
        <f>SUMIFS('48 KMP -Tháng'!BM$2:BM$50,'48 KMP -Tháng'!$C$2:$C$50,'18 KMP- Tháng'!$D9)</f>
        <v>1061.7856150241835</v>
      </c>
      <c r="BJ9" s="8">
        <f>SUMIFS('48 KMP -Tháng'!BN$2:BN$50,'48 KMP -Tháng'!$C$2:$C$50,'18 KMP- Tháng'!$D9)</f>
        <v>1335.6927381118819</v>
      </c>
      <c r="BK9" s="8">
        <f>SUMIFS('48 KMP -Tháng'!BO$2:BO$50,'48 KMP -Tháng'!$C$2:$C$50,'18 KMP- Tháng'!$D9)</f>
        <v>1335.6927381118819</v>
      </c>
      <c r="BL9" s="8">
        <f>SUMIFS('48 KMP -Tháng'!BP$2:BP$50,'48 KMP -Tháng'!$C$2:$C$50,'18 KMP- Tháng'!$D9)</f>
        <v>1335.6927381118819</v>
      </c>
      <c r="BM9" s="8">
        <f>SUMIFS('48 KMP -Tháng'!BQ$2:BQ$50,'48 KMP -Tháng'!$C$2:$C$50,'18 KMP- Tháng'!$D9)</f>
        <v>1367.5559174597081</v>
      </c>
      <c r="BN9" s="8">
        <f>SUMIFS('48 KMP -Tháng'!BR$2:BR$50,'48 KMP -Tháng'!$C$2:$C$50,'18 KMP- Tháng'!$D9)</f>
        <v>1380.1000858728389</v>
      </c>
      <c r="BO9" s="8">
        <f>SUMIFS('48 KMP -Tháng'!BS$2:BS$50,'48 KMP -Tháng'!$C$2:$C$50,'18 KMP- Tháng'!$D9)</f>
        <v>1411.9632652206651</v>
      </c>
      <c r="BP9" s="8">
        <f>SUMIFS('48 KMP -Tháng'!BT$2:BT$50,'48 KMP -Tháng'!$C$2:$C$50,'18 KMP- Tháng'!$D9)</f>
        <v>1380.1000858728389</v>
      </c>
      <c r="BQ9" s="8">
        <f>SUMIFS('48 KMP -Tháng'!BU$2:BU$50,'48 KMP -Tháng'!$C$2:$C$50,'18 KMP- Tháng'!$D9)</f>
        <v>1411.9632652206651</v>
      </c>
      <c r="BR9" s="8">
        <f>SUMIFS('48 KMP -Tháng'!BV$2:BV$50,'48 KMP -Tháng'!$C$2:$C$50,'18 KMP- Tháng'!$D9)</f>
        <v>1380.1000858728389</v>
      </c>
      <c r="BS9" s="8">
        <f>SUMIFS('48 KMP -Tháng'!BW$2:BW$50,'48 KMP -Tháng'!$C$2:$C$50,'18 KMP- Tháng'!$D9)</f>
        <v>1411.9632652206651</v>
      </c>
      <c r="BT9" s="8">
        <f t="shared" si="5"/>
        <v>16073.725721733541</v>
      </c>
    </row>
    <row r="10" spans="1:74" x14ac:dyDescent="0.35">
      <c r="A10" s="105">
        <v>8</v>
      </c>
      <c r="B10" s="3">
        <f t="shared" si="6"/>
        <v>5</v>
      </c>
      <c r="C10" s="3" t="s">
        <v>96</v>
      </c>
      <c r="D10" s="3" t="s">
        <v>49</v>
      </c>
      <c r="E10" s="5">
        <f>SUMIFS('48 KMP -Tháng'!$F$2:$F$53,'48 KMP -Tháng'!$C$2:$C$53,'18 KMP- Tháng'!D10)</f>
        <v>506.18997171428572</v>
      </c>
      <c r="F10" s="5">
        <f>SUMIFS('48 KMP -Tháng'!$G$2:$G$53,'48 KMP -Tháng'!$C$2:$C$53,'18 KMP- Tháng'!D10)</f>
        <v>672.82795971428573</v>
      </c>
      <c r="G10" s="6">
        <f>SUMIFS('48 KMP -Tháng'!$H$2:$H$53,'48 KMP -Tháng'!$C$2:$C$53,'18 KMP- Tháng'!D10)</f>
        <v>560.09279471428579</v>
      </c>
      <c r="H10" s="5">
        <f>SUMIFS('48 KMP -Tháng'!$I$2:$I$53,'48 KMP -Tháng'!$C$2:$C$53,'18 KMP- Tháng'!D10)</f>
        <v>560.44612071428571</v>
      </c>
      <c r="I10" s="5">
        <f>SUMIFS('48 KMP -Tháng'!$J$2:$J$53,'48 KMP -Tháng'!$C$2:$C$53,'18 KMP- Tháng'!D10)</f>
        <v>799.14080971428575</v>
      </c>
      <c r="J10" s="5">
        <f>SUMIFS('48 KMP -Tháng'!$K$2:$K$53,'48 KMP -Tháng'!$C$2:$C$53,'18 KMP- Tháng'!D10)</f>
        <v>873.28510571428558</v>
      </c>
      <c r="K10" s="5">
        <f>SUMIFS('48 KMP -Tháng'!$L$2:$L$53,'48 KMP -Tháng'!$C$2:$C$53,'18 KMP- Tháng'!D10)</f>
        <v>761.8325617142857</v>
      </c>
      <c r="L10" s="5">
        <f>SUMIFS('48 KMP -Tháng'!$M$2:$M$53,'48 KMP -Tháng'!$C$2:$C$53,'18 KMP- Tháng'!D10)</f>
        <v>645.47633700000006</v>
      </c>
      <c r="M10" s="5">
        <f>SUMIFS('48 KMP -Tháng'!$N$2:$N$53,'48 KMP -Tháng'!$C$2:$C$53,'18 KMP- Tháng'!D10)</f>
        <v>350.176649</v>
      </c>
      <c r="N10" s="5">
        <f>SUMIFS('48 KMP -Tháng'!$O$2:$O$53,'48 KMP -Tháng'!$C$2:$C$53,'18 KMP- Tháng'!$D10)</f>
        <v>630.18526300000008</v>
      </c>
      <c r="O10" s="5">
        <f>SUMIFS('48 KMP -Tháng'!$P$2:$P$53,'48 KMP -Tháng'!$C$2:$C$53,'18 KMP- Tháng'!$D10)</f>
        <v>343.90646400000003</v>
      </c>
      <c r="P10" s="5">
        <f>SUMIFS('48 KMP -Tháng'!$Q$2:$Q$53,'48 KMP -Tháng'!$C$2:$C$53,'18 KMP- Tháng'!$D10)</f>
        <v>659.73066800000004</v>
      </c>
      <c r="Q10" s="6">
        <f t="shared" si="0"/>
        <v>613.60755875000007</v>
      </c>
      <c r="R10" s="5">
        <f>SUMIFS('48 KMP -Tháng'!$S$2:$S$53,'48 KMP -Tháng'!$C$2:$C$53,'18 KMP- Tháng'!$D10)</f>
        <v>1049.5836839999999</v>
      </c>
      <c r="S10" s="5">
        <f>SUMIFS('48 KMP -Tháng'!T$2:T$53,'48 KMP -Tháng'!$C$2:$C$53,'18 KMP- Tháng'!$D10)</f>
        <v>509.616218</v>
      </c>
      <c r="T10" s="5">
        <f>SUMIFS('48 KMP -Tháng'!U$2:U$53,'48 KMP -Tháng'!$C$2:$C$53,'18 KMP- Tháng'!$D10)</f>
        <v>853.83649100000014</v>
      </c>
      <c r="U10" s="5">
        <f>SUMIFS('48 KMP -Tháng'!V$2:V$53,'48 KMP -Tháng'!$C$2:$C$53,'18 KMP- Tháng'!$D10)</f>
        <v>1335.8144870000001</v>
      </c>
      <c r="V10" s="5">
        <f>SUMIFS('48 KMP -Tháng'!W$2:W$53,'48 KMP -Tháng'!$C$2:$C$53,'18 KMP- Tháng'!$D10)</f>
        <v>966.32636600000001</v>
      </c>
      <c r="W10" s="5">
        <f>SUMIFS('48 KMP -Tháng'!X$2:X$53,'48 KMP -Tháng'!$C$2:$C$53,'18 KMP- Tháng'!$D10)</f>
        <v>912.85520700000006</v>
      </c>
      <c r="X10" s="5">
        <f>SUMIFS('48 KMP -Tháng'!Y$2:Y$53,'48 KMP -Tháng'!$C$2:$C$53,'18 KMP- Tháng'!$D10)</f>
        <v>520.75816499999996</v>
      </c>
      <c r="Y10" s="5">
        <f>SUMIFS('48 KMP -Tháng'!Z$2:Z$53,'48 KMP -Tháng'!$C$2:$C$53,'18 KMP- Tháng'!$D10)</f>
        <v>564.89229</v>
      </c>
      <c r="Z10" s="5">
        <f>SUMIFS('48 KMP -Tháng'!AA$2:AA$53,'48 KMP -Tháng'!$C$2:$C$53,'18 KMP- Tháng'!$D10)</f>
        <v>595.12693999999999</v>
      </c>
      <c r="AA10" s="5">
        <f>SUMIFS('48 KMP -Tháng'!AB$2:AB$53,'48 KMP -Tháng'!$C$2:$C$53,'18 KMP- Tháng'!$D10)</f>
        <v>617.46688100000006</v>
      </c>
      <c r="AB10" s="5">
        <f>SUMIFS('48 KMP -Tháng'!AC$2:AC$53,'48 KMP -Tháng'!$C$2:$C$53,'18 KMP- Tháng'!$D10)</f>
        <v>391.55066700000009</v>
      </c>
      <c r="AC10" s="5">
        <f>SUMIFS('48 KMP -Tháng'!AD$2:AD$53,'48 KMP -Tháng'!$C$2:$C$53,'18 KMP- Tháng'!$D10)+SUMIFS('48 KMP -Tháng'!$AE$2:$AE$53,'48 KMP -Tháng'!$C$2:$C$53,'18 KMP- Tháng'!D10)</f>
        <v>712.96486799999991</v>
      </c>
      <c r="AD10" s="7">
        <f t="shared" si="1"/>
        <v>9030.7922639999997</v>
      </c>
      <c r="AE10" s="28">
        <f t="shared" si="2"/>
        <v>752.56602199999998</v>
      </c>
      <c r="AF10" s="5">
        <f>SUMIFS('48 KMP -Tháng'!AH$2:AH$53,'48 KMP -Tháng'!$C$2:$C$53,'18 KMP- Tháng'!$D10)</f>
        <v>651.92658599999993</v>
      </c>
      <c r="AG10" s="5">
        <f>SUMIFS('48 KMP -Tháng'!AI$2:AI$53,'48 KMP -Tháng'!$C$2:$C$53,'18 KMP- Tháng'!$D10)</f>
        <v>650.03934099999992</v>
      </c>
      <c r="AH10" s="5">
        <f>SUMIFS('48 KMP -Tháng'!AJ$2:AJ$53,'48 KMP -Tháng'!$C$2:$C$53,'18 KMP- Tháng'!$D10)</f>
        <v>690.69229599999994</v>
      </c>
      <c r="AI10" s="5">
        <f>SUMIFS('48 KMP -Tháng'!AK$2:AK$53,'48 KMP -Tháng'!$C$2:$C$53,'18 KMP- Tháng'!$D10)</f>
        <v>1001.1216220000001</v>
      </c>
      <c r="AJ10" s="5">
        <f>SUMIFS('48 KMP -Tháng'!AL$2:AL$53,'48 KMP -Tháng'!$C$2:$C$53,'18 KMP- Tháng'!$D10)</f>
        <v>741.13178800000003</v>
      </c>
      <c r="AK10" s="5">
        <f>SUMIFS('48 KMP -Tháng'!AM$2:AM$53,'48 KMP -Tháng'!$C$2:$C$53,'18 KMP- Tháng'!$D10)</f>
        <v>729.99674899999991</v>
      </c>
      <c r="AL10" s="5">
        <f>SUMIFS('48 KMP -Tháng'!AN$2:AN$53,'48 KMP -Tháng'!$C$2:$C$53,'18 KMP- Tháng'!$D10)</f>
        <v>740.56924600000002</v>
      </c>
      <c r="AM10" s="5">
        <f>SUMIFS('48 KMP -Tháng'!AO$2:AO$53,'48 KMP -Tháng'!$C$2:$C$53,'18 KMP- Tháng'!$D10)</f>
        <v>843.21874899999989</v>
      </c>
      <c r="AN10" s="5">
        <f>SUMIFS('48 KMP -Tháng'!AP$2:AP$53,'48 KMP -Tháng'!$C$2:$C$53,'18 KMP- Tháng'!$D10)</f>
        <v>835.662372</v>
      </c>
      <c r="AO10" s="5">
        <f>SUMIFS('48 KMP -Tháng'!AQ$2:AQ$53,'48 KMP -Tháng'!$C$2:$C$53,'18 KMP- Tháng'!$D10)</f>
        <v>583.21540899999991</v>
      </c>
      <c r="AP10" s="5">
        <f>SUMIFS('48 KMP -Tháng'!AR$2:AR$53,'48 KMP -Tháng'!$C$2:$C$53,'18 KMP- Tháng'!$D10)</f>
        <v>697.80455400000005</v>
      </c>
      <c r="AQ10" s="5">
        <f>SUMIFS('48 KMP -Tháng'!AS$2:AS$53,'48 KMP -Tháng'!$C$2:$C$53,'18 KMP- Tháng'!$D10)+SUMIFS('48 KMP -Tháng'!AT$2:AT$53,'48 KMP -Tháng'!$C$2:$C$53,'18 KMP- Tháng'!$D10)</f>
        <v>701.65235099999995</v>
      </c>
      <c r="AR10" s="28">
        <f t="shared" si="3"/>
        <v>738.91925524999999</v>
      </c>
      <c r="AS10" s="5">
        <f>SUMIFS('48 KMP -Tháng'!AV$2:AV$53,'48 KMP -Tháng'!$C$2:$C$53,'18 KMP- Tháng'!$D10)</f>
        <v>723.64311799999996</v>
      </c>
      <c r="AT10" s="5">
        <f>SUMIFS('48 KMP -Tháng'!AW$2:AW$53,'48 KMP -Tháng'!$C$2:$C$53,'18 KMP- Tháng'!$D10)</f>
        <v>385.26513599999998</v>
      </c>
      <c r="AU10" s="5">
        <f>SUMIFS('48 KMP -Tháng'!AX$2:AX$53,'48 KMP -Tháng'!$C$2:$C$53,'18 KMP- Tháng'!$D10)</f>
        <v>813.85053300000015</v>
      </c>
      <c r="AV10" s="5">
        <f>SUMIFS('48 KMP -Tháng'!AY$2:AY$53,'48 KMP -Tháng'!$C$2:$C$53,'18 KMP- Tháng'!$D10)</f>
        <v>873.70922099999984</v>
      </c>
      <c r="AW10" s="5">
        <f>SUMIFS('48 KMP -Tháng'!AZ$2:AZ$53,'48 KMP -Tháng'!$C$2:$C$53,'18 KMP- Tháng'!$D10)</f>
        <v>685.02571699999999</v>
      </c>
      <c r="AX10" s="5">
        <f>SUMIFS('48 KMP -Tháng'!BA$2:BA$53,'48 KMP -Tháng'!$C$2:$C$53,'18 KMP- Tháng'!$D10)</f>
        <v>814.67121800000007</v>
      </c>
      <c r="AY10" s="5">
        <f>SUMIFS('48 KMP -Tháng'!BB$2:BB$53,'48 KMP -Tháng'!$C$2:$C$53,'18 KMP- Tháng'!$D10)</f>
        <v>0</v>
      </c>
      <c r="AZ10" s="5">
        <f>SUMIFS('48 KMP -Tháng'!BC$2:BC$53,'48 KMP -Tháng'!$C$2:$C$53,'18 KMP- Tháng'!$D10)</f>
        <v>0</v>
      </c>
      <c r="BA10" s="5">
        <f>SUMIFS('48 KMP -Tháng'!BD$2:BD$53,'48 KMP -Tháng'!$C$2:$C$53,'18 KMP- Tháng'!$D10)</f>
        <v>0</v>
      </c>
      <c r="BB10" s="5">
        <f>SUMIFS('48 KMP -Tháng'!BE$2:BE$53,'48 KMP -Tháng'!$C$2:$C$53,'18 KMP- Tháng'!$D10)</f>
        <v>0</v>
      </c>
      <c r="BC10" s="5">
        <f>SUMIFS('48 KMP -Tháng'!BF$2:BF$53,'48 KMP -Tháng'!$C$2:$C$53,'18 KMP- Tháng'!$D10)</f>
        <v>0</v>
      </c>
      <c r="BD10" s="5">
        <f>SUMIFS('48 KMP -Tháng'!BG$2:BG$53,'48 KMP -Tháng'!$C$2:$C$53,'18 KMP- Tháng'!$D10)</f>
        <v>0</v>
      </c>
      <c r="BE10" s="28">
        <f t="shared" si="4"/>
        <v>358.01374525</v>
      </c>
      <c r="BF10" s="7">
        <f>SUMIFS('48 KMP -Tháng'!BI$2:BI$53,'48 KMP -Tháng'!$C$2:$C$53,'18 KMP- Tháng'!$D10)</f>
        <v>920.52322520138603</v>
      </c>
      <c r="BG10" s="86"/>
      <c r="BH10" s="8">
        <f>SUMIFS('48 KMP -Tháng'!BL$2:BL$50,'48 KMP -Tháng'!$C$2:$C$50,'18 KMP- Tháng'!$D10)</f>
        <v>853.34915904919683</v>
      </c>
      <c r="BI10" s="8">
        <f>SUMIFS('48 KMP -Tháng'!BM$2:BM$50,'48 KMP -Tháng'!$C$2:$C$50,'18 KMP- Tháng'!$D10)</f>
        <v>844.22219137886339</v>
      </c>
      <c r="BJ10" s="8">
        <f>SUMIFS('48 KMP -Tháng'!BN$2:BN$50,'48 KMP -Tháng'!$C$2:$C$50,'18 KMP- Tháng'!$D10)</f>
        <v>912.84713600910391</v>
      </c>
      <c r="BK10" s="8">
        <f>SUMIFS('48 KMP -Tháng'!BO$2:BO$50,'48 KMP -Tháng'!$C$2:$C$50,'18 KMP- Tháng'!$D10)</f>
        <v>908.12146033958811</v>
      </c>
      <c r="BL10" s="8">
        <f>SUMIFS('48 KMP -Tháng'!BP$2:BP$50,'48 KMP -Tháng'!$C$2:$C$50,'18 KMP- Tháng'!$D10)</f>
        <v>892.47321115844761</v>
      </c>
      <c r="BM10" s="8">
        <f>SUMIFS('48 KMP -Tháng'!BQ$2:BQ$50,'48 KMP -Tháng'!$C$2:$C$50,'18 KMP- Tháng'!$D10)</f>
        <v>920.52322520138603</v>
      </c>
      <c r="BN10" s="8">
        <f>SUMIFS('48 KMP -Tháng'!BR$2:BR$50,'48 KMP -Tháng'!$C$2:$C$50,'18 KMP- Tháng'!$D10)</f>
        <v>907.35152134407076</v>
      </c>
      <c r="BO10" s="8">
        <f>SUMIFS('48 KMP -Tháng'!BS$2:BS$50,'48 KMP -Tháng'!$C$2:$C$50,'18 KMP- Tháng'!$D10)</f>
        <v>886.29096087982316</v>
      </c>
      <c r="BP10" s="8">
        <f>SUMIFS('48 KMP -Tháng'!BT$2:BT$50,'48 KMP -Tháng'!$C$2:$C$50,'18 KMP- Tháng'!$D10)</f>
        <v>909.78949122726772</v>
      </c>
      <c r="BQ10" s="8">
        <f>SUMIFS('48 KMP -Tháng'!BU$2:BU$50,'48 KMP -Tháng'!$C$2:$C$50,'18 KMP- Tháng'!$D10)</f>
        <v>932.98912161133831</v>
      </c>
      <c r="BR10" s="8">
        <f>SUMIFS('48 KMP -Tháng'!BV$2:BV$50,'48 KMP -Tháng'!$C$2:$C$50,'18 KMP- Tháng'!$D10)</f>
        <v>902.5899625090899</v>
      </c>
      <c r="BS10" s="8">
        <f>SUMIFS('48 KMP -Tháng'!BW$2:BW$50,'48 KMP -Tháng'!$C$2:$C$50,'18 KMP- Tháng'!$D10)</f>
        <v>884.72621214597655</v>
      </c>
      <c r="BT10" s="8">
        <f t="shared" si="5"/>
        <v>10755.273652854152</v>
      </c>
    </row>
    <row r="11" spans="1:74" x14ac:dyDescent="0.35">
      <c r="A11" s="105">
        <v>9</v>
      </c>
      <c r="B11" s="3">
        <f t="shared" si="6"/>
        <v>6</v>
      </c>
      <c r="C11" s="3" t="s">
        <v>96</v>
      </c>
      <c r="D11" s="3" t="s">
        <v>56</v>
      </c>
      <c r="E11" s="5">
        <f>SUMIFS('48 KMP -Tháng'!$F$2:$F$53,'48 KMP -Tháng'!$C$2:$C$53,'18 KMP- Tháng'!D11)</f>
        <v>152.05214899999999</v>
      </c>
      <c r="F11" s="5">
        <f>SUMIFS('48 KMP -Tháng'!$G$2:$G$53,'48 KMP -Tháng'!$C$2:$C$53,'18 KMP- Tháng'!D11)</f>
        <v>295.56509199999999</v>
      </c>
      <c r="G11" s="6">
        <f>SUMIFS('48 KMP -Tháng'!$H$2:$H$53,'48 KMP -Tháng'!$C$2:$C$53,'18 KMP- Tháng'!D11)</f>
        <v>305.73982000000001</v>
      </c>
      <c r="H11" s="5">
        <f>SUMIFS('48 KMP -Tháng'!$I$2:$I$53,'48 KMP -Tháng'!$C$2:$C$53,'18 KMP- Tháng'!D11)</f>
        <v>277.99661799999996</v>
      </c>
      <c r="I11" s="5">
        <f>SUMIFS('48 KMP -Tháng'!$J$2:$J$53,'48 KMP -Tháng'!$C$2:$C$53,'18 KMP- Tháng'!D11)</f>
        <v>375.61647699999997</v>
      </c>
      <c r="J11" s="5">
        <f>SUMIFS('48 KMP -Tháng'!$K$2:$K$53,'48 KMP -Tháng'!$C$2:$C$53,'18 KMP- Tháng'!D11)</f>
        <v>369.88611800000001</v>
      </c>
      <c r="K11" s="5">
        <f>SUMIFS('48 KMP -Tháng'!$L$2:$L$53,'48 KMP -Tháng'!$C$2:$C$53,'18 KMP- Tháng'!D11)</f>
        <v>387.17141699999996</v>
      </c>
      <c r="L11" s="5">
        <f>SUMIFS('48 KMP -Tháng'!$M$2:$M$53,'48 KMP -Tháng'!$C$2:$C$53,'18 KMP- Tháng'!D11)</f>
        <v>391.41397599999993</v>
      </c>
      <c r="M11" s="5">
        <f>SUMIFS('48 KMP -Tháng'!$N$2:$N$53,'48 KMP -Tháng'!$C$2:$C$53,'18 KMP- Tháng'!D11)</f>
        <v>380.972599</v>
      </c>
      <c r="N11" s="5">
        <f>SUMIFS('48 KMP -Tháng'!$O$2:$O$53,'48 KMP -Tháng'!$C$2:$C$53,'18 KMP- Tháng'!$D11)</f>
        <v>419.34907600000003</v>
      </c>
      <c r="O11" s="5">
        <f>SUMIFS('48 KMP -Tháng'!$P$2:$P$53,'48 KMP -Tháng'!$C$2:$C$53,'18 KMP- Tháng'!$D11)</f>
        <v>320.70876299999998</v>
      </c>
      <c r="P11" s="5">
        <f>SUMIFS('48 KMP -Tháng'!$Q$2:$Q$53,'48 KMP -Tháng'!$C$2:$C$53,'18 KMP- Tháng'!$D11)</f>
        <v>684.97181799999998</v>
      </c>
      <c r="Q11" s="6">
        <f t="shared" si="0"/>
        <v>363.45366024999998</v>
      </c>
      <c r="R11" s="5">
        <f>SUMIFS('48 KMP -Tháng'!$S$2:$S$53,'48 KMP -Tháng'!$C$2:$C$53,'18 KMP- Tháng'!$D11)</f>
        <v>914.03018499999996</v>
      </c>
      <c r="S11" s="5">
        <f>SUMIFS('48 KMP -Tháng'!T$2:T$53,'48 KMP -Tháng'!$C$2:$C$53,'18 KMP- Tháng'!$D11)</f>
        <v>427.32569400000011</v>
      </c>
      <c r="T11" s="5">
        <f>SUMIFS('48 KMP -Tháng'!U$2:U$53,'48 KMP -Tháng'!$C$2:$C$53,'18 KMP- Tháng'!$D11)</f>
        <v>761.12916300000006</v>
      </c>
      <c r="U11" s="5">
        <f>SUMIFS('48 KMP -Tháng'!V$2:V$53,'48 KMP -Tháng'!$C$2:$C$53,'18 KMP- Tháng'!$D11)</f>
        <v>676.13008899999988</v>
      </c>
      <c r="V11" s="5">
        <f>SUMIFS('48 KMP -Tháng'!W$2:W$53,'48 KMP -Tháng'!$C$2:$C$53,'18 KMP- Tháng'!$D11)</f>
        <v>693.03544600000009</v>
      </c>
      <c r="W11" s="5">
        <f>SUMIFS('48 KMP -Tháng'!X$2:X$53,'48 KMP -Tháng'!$C$2:$C$53,'18 KMP- Tháng'!$D11)</f>
        <v>782.97129899999982</v>
      </c>
      <c r="X11" s="5">
        <f>SUMIFS('48 KMP -Tháng'!Y$2:Y$53,'48 KMP -Tháng'!$C$2:$C$53,'18 KMP- Tháng'!$D11)</f>
        <v>321.45073600000001</v>
      </c>
      <c r="Y11" s="5">
        <f>SUMIFS('48 KMP -Tháng'!Z$2:Z$53,'48 KMP -Tháng'!$C$2:$C$53,'18 KMP- Tháng'!$D11)</f>
        <v>361.48229300000003</v>
      </c>
      <c r="Z11" s="5">
        <f>SUMIFS('48 KMP -Tháng'!AA$2:AA$53,'48 KMP -Tháng'!$C$2:$C$53,'18 KMP- Tháng'!$D11)</f>
        <v>516.38720899999998</v>
      </c>
      <c r="AA11" s="5">
        <f>SUMIFS('48 KMP -Tháng'!AB$2:AB$53,'48 KMP -Tháng'!$C$2:$C$53,'18 KMP- Tháng'!$D11)</f>
        <v>707.21815000000004</v>
      </c>
      <c r="AB11" s="5">
        <f>SUMIFS('48 KMP -Tháng'!AC$2:AC$53,'48 KMP -Tháng'!$C$2:$C$53,'18 KMP- Tháng'!$D11)</f>
        <v>824.52075600000001</v>
      </c>
      <c r="AC11" s="5">
        <f>SUMIFS('48 KMP -Tháng'!AD$2:AD$53,'48 KMP -Tháng'!$C$2:$C$53,'18 KMP- Tháng'!$D11)+SUMIFS('48 KMP -Tháng'!$AE$2:$AE$53,'48 KMP -Tháng'!$C$2:$C$53,'18 KMP- Tháng'!D11)</f>
        <v>612.23483699999997</v>
      </c>
      <c r="AD11" s="7">
        <f t="shared" si="1"/>
        <v>7597.9158569999991</v>
      </c>
      <c r="AE11" s="28">
        <f t="shared" si="2"/>
        <v>633.15965474999996</v>
      </c>
      <c r="AF11" s="5">
        <f>SUMIFS('48 KMP -Tháng'!AH$2:AH$53,'48 KMP -Tháng'!$C$2:$C$53,'18 KMP- Tháng'!$D11)</f>
        <v>300.54102</v>
      </c>
      <c r="AG11" s="5">
        <f>SUMIFS('48 KMP -Tháng'!AI$2:AI$53,'48 KMP -Tháng'!$C$2:$C$53,'18 KMP- Tháng'!$D11)</f>
        <v>507.62118800000002</v>
      </c>
      <c r="AH11" s="5">
        <f>SUMIFS('48 KMP -Tháng'!AJ$2:AJ$53,'48 KMP -Tháng'!$C$2:$C$53,'18 KMP- Tháng'!$D11)</f>
        <v>790.04556200000002</v>
      </c>
      <c r="AI11" s="5">
        <f>SUMIFS('48 KMP -Tháng'!AK$2:AK$53,'48 KMP -Tháng'!$C$2:$C$53,'18 KMP- Tháng'!$D11)</f>
        <v>662.42186100000004</v>
      </c>
      <c r="AJ11" s="5">
        <f>SUMIFS('48 KMP -Tháng'!AL$2:AL$53,'48 KMP -Tháng'!$C$2:$C$53,'18 KMP- Tháng'!$D11)</f>
        <v>955.79570799999999</v>
      </c>
      <c r="AK11" s="5">
        <f>SUMIFS('48 KMP -Tháng'!AM$2:AM$53,'48 KMP -Tháng'!$C$2:$C$53,'18 KMP- Tháng'!$D11)</f>
        <v>756.01673500000004</v>
      </c>
      <c r="AL11" s="5">
        <f>SUMIFS('48 KMP -Tháng'!AN$2:AN$53,'48 KMP -Tháng'!$C$2:$C$53,'18 KMP- Tháng'!$D11)</f>
        <v>856.03756999999996</v>
      </c>
      <c r="AM11" s="5">
        <f>SUMIFS('48 KMP -Tháng'!AO$2:AO$53,'48 KMP -Tháng'!$C$2:$C$53,'18 KMP- Tháng'!$D11)</f>
        <v>870.71485299999995</v>
      </c>
      <c r="AN11" s="5">
        <f>SUMIFS('48 KMP -Tháng'!AP$2:AP$53,'48 KMP -Tháng'!$C$2:$C$53,'18 KMP- Tháng'!$D11)</f>
        <v>886.40273999999999</v>
      </c>
      <c r="AO11" s="5">
        <f>SUMIFS('48 KMP -Tháng'!AQ$2:AQ$53,'48 KMP -Tháng'!$C$2:$C$53,'18 KMP- Tháng'!$D11)</f>
        <v>635.75522799999999</v>
      </c>
      <c r="AP11" s="5">
        <f>SUMIFS('48 KMP -Tháng'!AR$2:AR$53,'48 KMP -Tháng'!$C$2:$C$53,'18 KMP- Tháng'!$D11)</f>
        <v>533.96862999999996</v>
      </c>
      <c r="AQ11" s="5">
        <f>SUMIFS('48 KMP -Tháng'!AS$2:AS$53,'48 KMP -Tháng'!$C$2:$C$53,'18 KMP- Tháng'!$D11)+SUMIFS('48 KMP -Tháng'!AT$2:AT$53,'48 KMP -Tháng'!$C$2:$C$53,'18 KMP- Tháng'!$D11)</f>
        <v>735.36080700000002</v>
      </c>
      <c r="AR11" s="28">
        <f t="shared" si="3"/>
        <v>707.55682516666673</v>
      </c>
      <c r="AS11" s="5">
        <f>SUMIFS('48 KMP -Tháng'!AV$2:AV$53,'48 KMP -Tháng'!$C$2:$C$53,'18 KMP- Tháng'!$D11)</f>
        <v>606.64757799999995</v>
      </c>
      <c r="AT11" s="5">
        <f>SUMIFS('48 KMP -Tháng'!AW$2:AW$53,'48 KMP -Tháng'!$C$2:$C$53,'18 KMP- Tháng'!$D11)</f>
        <v>347.65498300000002</v>
      </c>
      <c r="AU11" s="5">
        <f>SUMIFS('48 KMP -Tháng'!AX$2:AX$53,'48 KMP -Tháng'!$C$2:$C$53,'18 KMP- Tháng'!$D11)</f>
        <v>813.90419799999995</v>
      </c>
      <c r="AV11" s="5">
        <f>SUMIFS('48 KMP -Tháng'!AY$2:AY$53,'48 KMP -Tháng'!$C$2:$C$53,'18 KMP- Tháng'!$D11)</f>
        <v>1024.397252</v>
      </c>
      <c r="AW11" s="5">
        <f>SUMIFS('48 KMP -Tháng'!AZ$2:AZ$53,'48 KMP -Tháng'!$C$2:$C$53,'18 KMP- Tháng'!$D11)</f>
        <v>785.37370599999997</v>
      </c>
      <c r="AX11" s="5">
        <f>SUMIFS('48 KMP -Tháng'!BA$2:BA$53,'48 KMP -Tháng'!$C$2:$C$53,'18 KMP- Tháng'!$D11)</f>
        <v>869.92020300000001</v>
      </c>
      <c r="AY11" s="5">
        <f>SUMIFS('48 KMP -Tháng'!BB$2:BB$53,'48 KMP -Tháng'!$C$2:$C$53,'18 KMP- Tháng'!$D11)</f>
        <v>0</v>
      </c>
      <c r="AZ11" s="5">
        <f>SUMIFS('48 KMP -Tháng'!BC$2:BC$53,'48 KMP -Tháng'!$C$2:$C$53,'18 KMP- Tháng'!$D11)</f>
        <v>0</v>
      </c>
      <c r="BA11" s="5">
        <f>SUMIFS('48 KMP -Tháng'!BD$2:BD$53,'48 KMP -Tháng'!$C$2:$C$53,'18 KMP- Tháng'!$D11)</f>
        <v>0</v>
      </c>
      <c r="BB11" s="5">
        <f>SUMIFS('48 KMP -Tháng'!BE$2:BE$53,'48 KMP -Tháng'!$C$2:$C$53,'18 KMP- Tháng'!$D11)</f>
        <v>0</v>
      </c>
      <c r="BC11" s="5">
        <f>SUMIFS('48 KMP -Tháng'!BF$2:BF$53,'48 KMP -Tháng'!$C$2:$C$53,'18 KMP- Tháng'!$D11)</f>
        <v>0</v>
      </c>
      <c r="BD11" s="5">
        <f>SUMIFS('48 KMP -Tháng'!BG$2:BG$53,'48 KMP -Tháng'!$C$2:$C$53,'18 KMP- Tháng'!$D11)</f>
        <v>0</v>
      </c>
      <c r="BE11" s="28">
        <f t="shared" si="4"/>
        <v>370.65815999999995</v>
      </c>
      <c r="BF11" s="7">
        <f>SUMIFS('48 KMP -Tháng'!BI$2:BI$53,'48 KMP -Tháng'!$C$2:$C$53,'18 KMP- Tháng'!$D11)</f>
        <v>735.360959548555</v>
      </c>
      <c r="BG11" s="86"/>
      <c r="BH11" s="8">
        <f>SUMIFS('48 KMP -Tháng'!BL$2:BL$50,'48 KMP -Tháng'!$C$2:$C$50,'18 KMP- Tháng'!$D11)</f>
        <v>679.00817341923403</v>
      </c>
      <c r="BI11" s="8">
        <f>SUMIFS('48 KMP -Tháng'!BM$2:BM$50,'48 KMP -Tháng'!$C$2:$C$50,'18 KMP- Tháng'!$D11)</f>
        <v>562.30502743922989</v>
      </c>
      <c r="BJ11" s="8">
        <f>SUMIFS('48 KMP -Tháng'!BN$2:BN$50,'48 KMP -Tháng'!$C$2:$C$50,'18 KMP- Tháng'!$D11)</f>
        <v>711.9129784782557</v>
      </c>
      <c r="BK11" s="8">
        <f>SUMIFS('48 KMP -Tháng'!BO$2:BO$50,'48 KMP -Tháng'!$C$2:$C$50,'18 KMP- Tháng'!$D11)</f>
        <v>715.21167396458748</v>
      </c>
      <c r="BL11" s="8">
        <f>SUMIFS('48 KMP -Tháng'!BP$2:BP$50,'48 KMP -Tháng'!$C$2:$C$50,'18 KMP- Tháng'!$D11)</f>
        <v>711.9129784782557</v>
      </c>
      <c r="BM11" s="8">
        <f>SUMIFS('48 KMP -Tháng'!BQ$2:BQ$50,'48 KMP -Tháng'!$C$2:$C$50,'18 KMP- Tháng'!$D11)</f>
        <v>735.360959548555</v>
      </c>
      <c r="BN11" s="8">
        <f>SUMIFS('48 KMP -Tháng'!BR$2:BR$50,'48 KMP -Tháng'!$C$2:$C$50,'18 KMP- Tháng'!$D11)</f>
        <v>745.36358318346674</v>
      </c>
      <c r="BO11" s="8">
        <f>SUMIFS('48 KMP -Tháng'!BS$2:BS$50,'48 KMP -Tháng'!$C$2:$C$50,'18 KMP- Tháng'!$D11)</f>
        <v>753.96743456527292</v>
      </c>
      <c r="BP11" s="8">
        <f>SUMIFS('48 KMP -Tháng'!BT$2:BT$50,'48 KMP -Tháng'!$C$2:$C$50,'18 KMP- Tháng'!$D11)</f>
        <v>753.61032189929642</v>
      </c>
      <c r="BQ11" s="8">
        <f>SUMIFS('48 KMP -Tháng'!BU$2:BU$50,'48 KMP -Tháng'!$C$2:$C$50,'18 KMP- Tháng'!$D11)</f>
        <v>757.2661300516047</v>
      </c>
      <c r="BR11" s="8">
        <f>SUMIFS('48 KMP -Tháng'!BV$2:BV$50,'48 KMP -Tháng'!$C$2:$C$50,'18 KMP- Tháng'!$D11)</f>
        <v>742.06488769713496</v>
      </c>
      <c r="BS11" s="8">
        <f>SUMIFS('48 KMP -Tháng'!BW$2:BW$50,'48 KMP -Tháng'!$C$2:$C$50,'18 KMP- Tháng'!$D11)</f>
        <v>753.96743456527292</v>
      </c>
      <c r="BT11" s="8">
        <f t="shared" si="5"/>
        <v>8621.951583290167</v>
      </c>
    </row>
    <row r="12" spans="1:74" x14ac:dyDescent="0.35">
      <c r="A12" s="105">
        <v>10</v>
      </c>
      <c r="B12" s="3">
        <f t="shared" si="6"/>
        <v>7</v>
      </c>
      <c r="C12" s="3" t="s">
        <v>96</v>
      </c>
      <c r="D12" s="3" t="s">
        <v>28</v>
      </c>
      <c r="E12" s="5">
        <f>SUMIFS('48 KMP -Tháng'!$F$2:$F$53,'48 KMP -Tháng'!$C$2:$C$53,'18 KMP- Tháng'!D12)</f>
        <v>182.590125</v>
      </c>
      <c r="F12" s="5">
        <f>SUMIFS('48 KMP -Tháng'!$G$2:$G$53,'48 KMP -Tháng'!$C$2:$C$53,'18 KMP- Tháng'!D12)</f>
        <v>256.21135399999997</v>
      </c>
      <c r="G12" s="6">
        <f>SUMIFS('48 KMP -Tháng'!$H$2:$H$53,'48 KMP -Tháng'!$C$2:$C$53,'18 KMP- Tháng'!D12)</f>
        <v>301.69390099999998</v>
      </c>
      <c r="H12" s="5">
        <f>SUMIFS('48 KMP -Tháng'!$I$2:$I$53,'48 KMP -Tháng'!$C$2:$C$53,'18 KMP- Tháng'!D12)</f>
        <v>299.17255299999999</v>
      </c>
      <c r="I12" s="5">
        <f>SUMIFS('48 KMP -Tháng'!$J$2:$J$53,'48 KMP -Tháng'!$C$2:$C$53,'18 KMP- Tháng'!D12)</f>
        <v>189.954498</v>
      </c>
      <c r="J12" s="5">
        <f>SUMIFS('48 KMP -Tháng'!$K$2:$K$53,'48 KMP -Tháng'!$C$2:$C$53,'18 KMP- Tháng'!D12)</f>
        <v>375.78277400000002</v>
      </c>
      <c r="K12" s="5">
        <f>SUMIFS('48 KMP -Tháng'!$L$2:$L$53,'48 KMP -Tháng'!$C$2:$C$53,'18 KMP- Tháng'!D12)</f>
        <v>320.30577699999998</v>
      </c>
      <c r="L12" s="5">
        <f>SUMIFS('48 KMP -Tháng'!$M$2:$M$53,'48 KMP -Tháng'!$C$2:$C$53,'18 KMP- Tháng'!D12)</f>
        <v>367.61022300000002</v>
      </c>
      <c r="M12" s="5">
        <f>SUMIFS('48 KMP -Tháng'!$N$2:$N$53,'48 KMP -Tháng'!$C$2:$C$53,'18 KMP- Tháng'!D12)</f>
        <v>353.52910800000001</v>
      </c>
      <c r="N12" s="5">
        <f>SUMIFS('48 KMP -Tháng'!$O$2:$O$53,'48 KMP -Tháng'!$C$2:$C$53,'18 KMP- Tháng'!$D12)</f>
        <v>388.27704899999998</v>
      </c>
      <c r="O12" s="5">
        <f>SUMIFS('48 KMP -Tháng'!$P$2:$P$53,'48 KMP -Tháng'!$C$2:$C$53,'18 KMP- Tháng'!$D12)</f>
        <v>446.71388200000001</v>
      </c>
      <c r="P12" s="5">
        <f>SUMIFS('48 KMP -Tháng'!$Q$2:$Q$53,'48 KMP -Tháng'!$C$2:$C$53,'18 KMP- Tháng'!$D12)</f>
        <v>393.87627199999997</v>
      </c>
      <c r="Q12" s="6">
        <f t="shared" si="0"/>
        <v>322.9764596666667</v>
      </c>
      <c r="R12" s="5">
        <f>SUMIFS('48 KMP -Tháng'!$S$2:$S$53,'48 KMP -Tháng'!$C$2:$C$53,'18 KMP- Tháng'!$D12)</f>
        <v>384.35845499999999</v>
      </c>
      <c r="S12" s="5">
        <f>SUMIFS('48 KMP -Tháng'!T$2:T$53,'48 KMP -Tháng'!$C$2:$C$53,'18 KMP- Tháng'!$D12)</f>
        <v>269.68292200000002</v>
      </c>
      <c r="T12" s="5">
        <f>SUMIFS('48 KMP -Tháng'!U$2:U$53,'48 KMP -Tháng'!$C$2:$C$53,'18 KMP- Tháng'!$D12)</f>
        <v>412.65767</v>
      </c>
      <c r="U12" s="5">
        <f>SUMIFS('48 KMP -Tháng'!V$2:V$53,'48 KMP -Tháng'!$C$2:$C$53,'18 KMP- Tháng'!$D12)</f>
        <v>390.64389699999998</v>
      </c>
      <c r="V12" s="5">
        <f>SUMIFS('48 KMP -Tháng'!W$2:W$53,'48 KMP -Tháng'!$C$2:$C$53,'18 KMP- Tháng'!$D12)</f>
        <v>392.92402099999998</v>
      </c>
      <c r="W12" s="5">
        <f>SUMIFS('48 KMP -Tháng'!X$2:X$53,'48 KMP -Tháng'!$C$2:$C$53,'18 KMP- Tháng'!$D12)</f>
        <v>355.37142</v>
      </c>
      <c r="X12" s="5">
        <f>SUMIFS('48 KMP -Tháng'!Y$2:Y$53,'48 KMP -Tháng'!$C$2:$C$53,'18 KMP- Tháng'!$D12)</f>
        <v>315.85756800000001</v>
      </c>
      <c r="Y12" s="5">
        <f>SUMIFS('48 KMP -Tháng'!Z$2:Z$53,'48 KMP -Tháng'!$C$2:$C$53,'18 KMP- Tháng'!$D12)</f>
        <v>267.82147500000002</v>
      </c>
      <c r="Z12" s="5">
        <f>SUMIFS('48 KMP -Tháng'!AA$2:AA$53,'48 KMP -Tháng'!$C$2:$C$53,'18 KMP- Tháng'!$D12)</f>
        <v>264.09719999999999</v>
      </c>
      <c r="AA12" s="5">
        <f>SUMIFS('48 KMP -Tháng'!AB$2:AB$53,'48 KMP -Tháng'!$C$2:$C$53,'18 KMP- Tháng'!$D12)</f>
        <v>311.196507</v>
      </c>
      <c r="AB12" s="5">
        <f>SUMIFS('48 KMP -Tháng'!AC$2:AC$53,'48 KMP -Tháng'!$C$2:$C$53,'18 KMP- Tháng'!$D12)</f>
        <v>316.83887600000003</v>
      </c>
      <c r="AC12" s="5">
        <f>SUMIFS('48 KMP -Tháng'!AD$2:AD$53,'48 KMP -Tháng'!$C$2:$C$53,'18 KMP- Tháng'!$D12)+SUMIFS('48 KMP -Tháng'!$AE$2:$AE$53,'48 KMP -Tháng'!$C$2:$C$53,'18 KMP- Tháng'!D12)</f>
        <v>291.09129999999999</v>
      </c>
      <c r="AD12" s="7">
        <f t="shared" si="1"/>
        <v>3972.5413110000009</v>
      </c>
      <c r="AE12" s="28">
        <f t="shared" si="2"/>
        <v>331.04510925000005</v>
      </c>
      <c r="AF12" s="5">
        <f>SUMIFS('48 KMP -Tháng'!AH$2:AH$53,'48 KMP -Tháng'!$C$2:$C$53,'18 KMP- Tháng'!$D12)</f>
        <v>173.80477400000001</v>
      </c>
      <c r="AG12" s="5">
        <f>SUMIFS('48 KMP -Tháng'!AI$2:AI$53,'48 KMP -Tháng'!$C$2:$C$53,'18 KMP- Tháng'!$D12)</f>
        <v>221.54872700000001</v>
      </c>
      <c r="AH12" s="5">
        <f>SUMIFS('48 KMP -Tháng'!AJ$2:AJ$53,'48 KMP -Tháng'!$C$2:$C$53,'18 KMP- Tháng'!$D12)</f>
        <v>282.94844999999998</v>
      </c>
      <c r="AI12" s="5">
        <f>SUMIFS('48 KMP -Tháng'!AK$2:AK$53,'48 KMP -Tháng'!$C$2:$C$53,'18 KMP- Tháng'!$D12)</f>
        <v>237.639893</v>
      </c>
      <c r="AJ12" s="5">
        <f>SUMIFS('48 KMP -Tháng'!AL$2:AL$53,'48 KMP -Tháng'!$C$2:$C$53,'18 KMP- Tháng'!$D12)</f>
        <v>248.403773</v>
      </c>
      <c r="AK12" s="5">
        <f>SUMIFS('48 KMP -Tháng'!AM$2:AM$53,'48 KMP -Tháng'!$C$2:$C$53,'18 KMP- Tháng'!$D12)</f>
        <v>230.558333</v>
      </c>
      <c r="AL12" s="5">
        <f>SUMIFS('48 KMP -Tháng'!AN$2:AN$53,'48 KMP -Tháng'!$C$2:$C$53,'18 KMP- Tháng'!$D12)</f>
        <v>259.28506900000002</v>
      </c>
      <c r="AM12" s="5">
        <f>SUMIFS('48 KMP -Tháng'!AO$2:AO$53,'48 KMP -Tháng'!$C$2:$C$53,'18 KMP- Tháng'!$D12)</f>
        <v>187.38511500000001</v>
      </c>
      <c r="AN12" s="5">
        <f>SUMIFS('48 KMP -Tháng'!AP$2:AP$53,'48 KMP -Tháng'!$C$2:$C$53,'18 KMP- Tháng'!$D12)</f>
        <v>275.35231099999999</v>
      </c>
      <c r="AO12" s="5">
        <f>SUMIFS('48 KMP -Tháng'!AQ$2:AQ$53,'48 KMP -Tháng'!$C$2:$C$53,'18 KMP- Tháng'!$D12)</f>
        <v>215.80422200000001</v>
      </c>
      <c r="AP12" s="5">
        <f>SUMIFS('48 KMP -Tháng'!AR$2:AR$53,'48 KMP -Tháng'!$C$2:$C$53,'18 KMP- Tháng'!$D12)</f>
        <v>191.98058</v>
      </c>
      <c r="AQ12" s="5">
        <f>SUMIFS('48 KMP -Tháng'!AS$2:AS$53,'48 KMP -Tháng'!$C$2:$C$53,'18 KMP- Tháng'!$D12)+SUMIFS('48 KMP -Tháng'!AT$2:AT$53,'48 KMP -Tháng'!$C$2:$C$53,'18 KMP- Tháng'!$D12)</f>
        <v>190.675433</v>
      </c>
      <c r="AR12" s="28">
        <f t="shared" si="3"/>
        <v>226.28222333333335</v>
      </c>
      <c r="AS12" s="5">
        <f>SUMIFS('48 KMP -Tháng'!AV$2:AV$53,'48 KMP -Tháng'!$C$2:$C$53,'18 KMP- Tháng'!$D12)</f>
        <v>161.39285799999999</v>
      </c>
      <c r="AT12" s="5">
        <f>SUMIFS('48 KMP -Tháng'!AW$2:AW$53,'48 KMP -Tháng'!$C$2:$C$53,'18 KMP- Tháng'!$D12)</f>
        <v>107.566253</v>
      </c>
      <c r="AU12" s="5">
        <f>SUMIFS('48 KMP -Tháng'!AX$2:AX$53,'48 KMP -Tháng'!$C$2:$C$53,'18 KMP- Tháng'!$D12)</f>
        <v>342.43532299999998</v>
      </c>
      <c r="AV12" s="5">
        <f>SUMIFS('48 KMP -Tháng'!AY$2:AY$53,'48 KMP -Tháng'!$C$2:$C$53,'18 KMP- Tháng'!$D12)</f>
        <v>395.56823600000001</v>
      </c>
      <c r="AW12" s="5">
        <f>SUMIFS('48 KMP -Tháng'!AZ$2:AZ$53,'48 KMP -Tháng'!$C$2:$C$53,'18 KMP- Tháng'!$D12)</f>
        <v>356.91601600000001</v>
      </c>
      <c r="AX12" s="5">
        <f>SUMIFS('48 KMP -Tháng'!BA$2:BA$53,'48 KMP -Tháng'!$C$2:$C$53,'18 KMP- Tháng'!$D12)</f>
        <v>336.94108699999998</v>
      </c>
      <c r="AY12" s="5">
        <f>SUMIFS('48 KMP -Tháng'!BB$2:BB$53,'48 KMP -Tháng'!$C$2:$C$53,'18 KMP- Tháng'!$D12)</f>
        <v>0</v>
      </c>
      <c r="AZ12" s="5">
        <f>SUMIFS('48 KMP -Tháng'!BC$2:BC$53,'48 KMP -Tháng'!$C$2:$C$53,'18 KMP- Tháng'!$D12)</f>
        <v>0</v>
      </c>
      <c r="BA12" s="5">
        <f>SUMIFS('48 KMP -Tháng'!BD$2:BD$53,'48 KMP -Tháng'!$C$2:$C$53,'18 KMP- Tháng'!$D12)</f>
        <v>0</v>
      </c>
      <c r="BB12" s="5">
        <f>SUMIFS('48 KMP -Tháng'!BE$2:BE$53,'48 KMP -Tháng'!$C$2:$C$53,'18 KMP- Tháng'!$D12)</f>
        <v>0</v>
      </c>
      <c r="BC12" s="5">
        <f>SUMIFS('48 KMP -Tháng'!BF$2:BF$53,'48 KMP -Tháng'!$C$2:$C$53,'18 KMP- Tháng'!$D12)</f>
        <v>0</v>
      </c>
      <c r="BD12" s="5">
        <f>SUMIFS('48 KMP -Tháng'!BG$2:BG$53,'48 KMP -Tháng'!$C$2:$C$53,'18 KMP- Tháng'!$D12)</f>
        <v>0</v>
      </c>
      <c r="BE12" s="28">
        <f t="shared" si="4"/>
        <v>141.73498108333334</v>
      </c>
      <c r="BF12" s="7">
        <f>SUMIFS('48 KMP -Tháng'!BI$2:BI$53,'48 KMP -Tháng'!$C$2:$C$53,'18 KMP- Tháng'!$D12)</f>
        <v>231.92</v>
      </c>
      <c r="BG12" s="86"/>
      <c r="BH12" s="8">
        <f>SUMIFS('48 KMP -Tháng'!BL$2:BL$50,'48 KMP -Tháng'!$C$2:$C$50,'18 KMP- Tháng'!$D12)</f>
        <v>231.92</v>
      </c>
      <c r="BI12" s="8">
        <f>SUMIFS('48 KMP -Tháng'!BM$2:BM$50,'48 KMP -Tháng'!$C$2:$C$50,'18 KMP- Tháng'!$D12)</f>
        <v>231.92</v>
      </c>
      <c r="BJ12" s="8">
        <f>SUMIFS('48 KMP -Tháng'!BN$2:BN$50,'48 KMP -Tháng'!$C$2:$C$50,'18 KMP- Tháng'!$D12)</f>
        <v>231.92</v>
      </c>
      <c r="BK12" s="8">
        <f>SUMIFS('48 KMP -Tháng'!BO$2:BO$50,'48 KMP -Tháng'!$C$2:$C$50,'18 KMP- Tháng'!$D12)</f>
        <v>231.92</v>
      </c>
      <c r="BL12" s="8">
        <f>SUMIFS('48 KMP -Tháng'!BP$2:BP$50,'48 KMP -Tháng'!$C$2:$C$50,'18 KMP- Tháng'!$D12)</f>
        <v>231.92</v>
      </c>
      <c r="BM12" s="8">
        <f>SUMIFS('48 KMP -Tháng'!BQ$2:BQ$50,'48 KMP -Tháng'!$C$2:$C$50,'18 KMP- Tháng'!$D12)</f>
        <v>231.92</v>
      </c>
      <c r="BN12" s="8">
        <f>SUMIFS('48 KMP -Tháng'!BR$2:BR$50,'48 KMP -Tháng'!$C$2:$C$50,'18 KMP- Tháng'!$D12)</f>
        <v>231.92</v>
      </c>
      <c r="BO12" s="8">
        <f>SUMIFS('48 KMP -Tháng'!BS$2:BS$50,'48 KMP -Tháng'!$C$2:$C$50,'18 KMP- Tháng'!$D12)</f>
        <v>231.92</v>
      </c>
      <c r="BP12" s="8">
        <f>SUMIFS('48 KMP -Tháng'!BT$2:BT$50,'48 KMP -Tháng'!$C$2:$C$50,'18 KMP- Tháng'!$D12)</f>
        <v>231.92</v>
      </c>
      <c r="BQ12" s="8">
        <f>SUMIFS('48 KMP -Tháng'!BU$2:BU$50,'48 KMP -Tháng'!$C$2:$C$50,'18 KMP- Tháng'!$D12)</f>
        <v>231.92</v>
      </c>
      <c r="BR12" s="8">
        <f>SUMIFS('48 KMP -Tháng'!BV$2:BV$50,'48 KMP -Tháng'!$C$2:$C$50,'18 KMP- Tháng'!$D12)</f>
        <v>231.92</v>
      </c>
      <c r="BS12" s="8">
        <f>SUMIFS('48 KMP -Tháng'!BW$2:BW$50,'48 KMP -Tháng'!$C$2:$C$50,'18 KMP- Tháng'!$D12)</f>
        <v>231.92</v>
      </c>
      <c r="BT12" s="8">
        <f t="shared" si="5"/>
        <v>2783.0400000000004</v>
      </c>
    </row>
    <row r="13" spans="1:74" x14ac:dyDescent="0.35">
      <c r="A13" s="105">
        <v>11</v>
      </c>
      <c r="B13" s="3">
        <f t="shared" si="6"/>
        <v>8</v>
      </c>
      <c r="C13" s="3" t="s">
        <v>96</v>
      </c>
      <c r="D13" s="3" t="s">
        <v>53</v>
      </c>
      <c r="E13" s="5">
        <f>SUMIFS('48 KMP -Tháng'!$F$2:$F$53,'48 KMP -Tháng'!$C$2:$C$53,'18 KMP- Tháng'!D13)</f>
        <v>188.62547899999998</v>
      </c>
      <c r="F13" s="5">
        <f>SUMIFS('48 KMP -Tháng'!$G$2:$G$53,'48 KMP -Tháng'!$C$2:$C$53,'18 KMP- Tháng'!D13)</f>
        <v>196.28916999999998</v>
      </c>
      <c r="G13" s="6">
        <f>SUMIFS('48 KMP -Tháng'!$H$2:$H$53,'48 KMP -Tháng'!$C$2:$C$53,'18 KMP- Tháng'!D13)</f>
        <v>460.43097999999998</v>
      </c>
      <c r="H13" s="5">
        <f>SUMIFS('48 KMP -Tháng'!$I$2:$I$53,'48 KMP -Tháng'!$C$2:$C$53,'18 KMP- Tháng'!D13)</f>
        <v>381.88881900000001</v>
      </c>
      <c r="I13" s="5">
        <f>SUMIFS('48 KMP -Tháng'!$J$2:$J$53,'48 KMP -Tháng'!$C$2:$C$53,'18 KMP- Tháng'!D13)</f>
        <v>279.47783400000003</v>
      </c>
      <c r="J13" s="5">
        <f>SUMIFS('48 KMP -Tháng'!$K$2:$K$53,'48 KMP -Tháng'!$C$2:$C$53,'18 KMP- Tháng'!D13)</f>
        <v>269.28564700000004</v>
      </c>
      <c r="K13" s="5">
        <f>SUMIFS('48 KMP -Tháng'!$L$2:$L$53,'48 KMP -Tháng'!$C$2:$C$53,'18 KMP- Tháng'!D13)</f>
        <v>204.96910300000002</v>
      </c>
      <c r="L13" s="5">
        <f>SUMIFS('48 KMP -Tháng'!$M$2:$M$53,'48 KMP -Tháng'!$C$2:$C$53,'18 KMP- Tháng'!D13)</f>
        <v>144.59650099999999</v>
      </c>
      <c r="M13" s="5">
        <f>SUMIFS('48 KMP -Tháng'!$N$2:$N$53,'48 KMP -Tháng'!$C$2:$C$53,'18 KMP- Tháng'!D13)</f>
        <v>209.92933399999998</v>
      </c>
      <c r="N13" s="5">
        <f>SUMIFS('48 KMP -Tháng'!$O$2:$O$53,'48 KMP -Tháng'!$C$2:$C$53,'18 KMP- Tháng'!$D13)</f>
        <v>179.10958100000002</v>
      </c>
      <c r="O13" s="5">
        <f>SUMIFS('48 KMP -Tháng'!$P$2:$P$53,'48 KMP -Tháng'!$C$2:$C$53,'18 KMP- Tháng'!$D13)</f>
        <v>139.36256900000001</v>
      </c>
      <c r="P13" s="5">
        <f>SUMIFS('48 KMP -Tháng'!$Q$2:$Q$53,'48 KMP -Tháng'!$C$2:$C$53,'18 KMP- Tháng'!$D13)</f>
        <v>234.21601099999998</v>
      </c>
      <c r="Q13" s="6">
        <f t="shared" si="0"/>
        <v>240.68175233333332</v>
      </c>
      <c r="R13" s="5">
        <f>SUMIFS('48 KMP -Tháng'!$S$2:$S$53,'48 KMP -Tháng'!$C$2:$C$53,'18 KMP- Tháng'!$D13)</f>
        <v>168.93012999999999</v>
      </c>
      <c r="S13" s="5">
        <f>SUMIFS('48 KMP -Tháng'!T$2:T$53,'48 KMP -Tháng'!$C$2:$C$53,'18 KMP- Tháng'!$D13)</f>
        <v>139.05925400000001</v>
      </c>
      <c r="T13" s="5">
        <f>SUMIFS('48 KMP -Tháng'!U$2:U$53,'48 KMP -Tháng'!$C$2:$C$53,'18 KMP- Tháng'!$D13)</f>
        <v>130.98270099999999</v>
      </c>
      <c r="U13" s="5">
        <f>SUMIFS('48 KMP -Tháng'!V$2:V$53,'48 KMP -Tháng'!$C$2:$C$53,'18 KMP- Tháng'!$D13)</f>
        <v>216.14341000000002</v>
      </c>
      <c r="V13" s="5">
        <f>SUMIFS('48 KMP -Tháng'!W$2:W$53,'48 KMP -Tháng'!$C$2:$C$53,'18 KMP- Tháng'!$D13)</f>
        <v>304.87664899999999</v>
      </c>
      <c r="W13" s="5">
        <f>SUMIFS('48 KMP -Tháng'!X$2:X$53,'48 KMP -Tháng'!$C$2:$C$53,'18 KMP- Tháng'!$D13)</f>
        <v>295.18419499999999</v>
      </c>
      <c r="X13" s="5">
        <f>SUMIFS('48 KMP -Tháng'!Y$2:Y$53,'48 KMP -Tháng'!$C$2:$C$53,'18 KMP- Tháng'!$D13)</f>
        <v>186.81335799999999</v>
      </c>
      <c r="Y13" s="5">
        <f>SUMIFS('48 KMP -Tháng'!Z$2:Z$53,'48 KMP -Tháng'!$C$2:$C$53,'18 KMP- Tháng'!$D13)</f>
        <v>232.26438400000001</v>
      </c>
      <c r="Z13" s="5">
        <f>SUMIFS('48 KMP -Tháng'!AA$2:AA$53,'48 KMP -Tháng'!$C$2:$C$53,'18 KMP- Tháng'!$D13)</f>
        <v>145.066621</v>
      </c>
      <c r="AA13" s="5">
        <f>SUMIFS('48 KMP -Tháng'!AB$2:AB$53,'48 KMP -Tháng'!$C$2:$C$53,'18 KMP- Tháng'!$D13)</f>
        <v>272.26879300000002</v>
      </c>
      <c r="AB13" s="5">
        <f>SUMIFS('48 KMP -Tháng'!AC$2:AC$53,'48 KMP -Tháng'!$C$2:$C$53,'18 KMP- Tháng'!$D13)</f>
        <v>272.19795499999998</v>
      </c>
      <c r="AC13" s="5">
        <f>SUMIFS('48 KMP -Tháng'!AD$2:AD$53,'48 KMP -Tháng'!$C$2:$C$53,'18 KMP- Tháng'!$D13)+SUMIFS('48 KMP -Tháng'!$AE$2:$AE$53,'48 KMP -Tháng'!$C$2:$C$53,'18 KMP- Tháng'!D13)</f>
        <v>306.84791300000001</v>
      </c>
      <c r="AD13" s="7">
        <f t="shared" si="1"/>
        <v>2670.6353630000003</v>
      </c>
      <c r="AE13" s="28">
        <f t="shared" si="2"/>
        <v>222.55294691666668</v>
      </c>
      <c r="AF13" s="5">
        <f>SUMIFS('48 KMP -Tháng'!AH$2:AH$53,'48 KMP -Tháng'!$C$2:$C$53,'18 KMP- Tháng'!$D13)</f>
        <v>210.76331500000001</v>
      </c>
      <c r="AG13" s="5">
        <f>SUMIFS('48 KMP -Tháng'!AI$2:AI$53,'48 KMP -Tháng'!$C$2:$C$53,'18 KMP- Tháng'!$D13)</f>
        <v>188.40178499999999</v>
      </c>
      <c r="AH13" s="5">
        <f>SUMIFS('48 KMP -Tháng'!AJ$2:AJ$53,'48 KMP -Tháng'!$C$2:$C$53,'18 KMP- Tháng'!$D13)</f>
        <v>282.89573000000001</v>
      </c>
      <c r="AI13" s="5">
        <f>SUMIFS('48 KMP -Tháng'!AK$2:AK$53,'48 KMP -Tháng'!$C$2:$C$53,'18 KMP- Tháng'!$D13)</f>
        <v>195.67146099999999</v>
      </c>
      <c r="AJ13" s="5">
        <f>SUMIFS('48 KMP -Tháng'!AL$2:AL$53,'48 KMP -Tháng'!$C$2:$C$53,'18 KMP- Tháng'!$D13)</f>
        <v>294.51892900000001</v>
      </c>
      <c r="AK13" s="5">
        <f>SUMIFS('48 KMP -Tháng'!AM$2:AM$53,'48 KMP -Tháng'!$C$2:$C$53,'18 KMP- Tháng'!$D13)</f>
        <v>310.99886800000002</v>
      </c>
      <c r="AL13" s="5">
        <f>SUMIFS('48 KMP -Tháng'!AN$2:AN$53,'48 KMP -Tháng'!$C$2:$C$53,'18 KMP- Tháng'!$D13)</f>
        <v>473.82858199999998</v>
      </c>
      <c r="AM13" s="5">
        <f>SUMIFS('48 KMP -Tháng'!AO$2:AO$53,'48 KMP -Tháng'!$C$2:$C$53,'18 KMP- Tháng'!$D13)</f>
        <v>440.19381600000003</v>
      </c>
      <c r="AN13" s="5">
        <f>SUMIFS('48 KMP -Tháng'!AP$2:AP$53,'48 KMP -Tháng'!$C$2:$C$53,'18 KMP- Tháng'!$D13)</f>
        <v>448.54735499999998</v>
      </c>
      <c r="AO13" s="5">
        <f>SUMIFS('48 KMP -Tháng'!AQ$2:AQ$53,'48 KMP -Tháng'!$C$2:$C$53,'18 KMP- Tháng'!$D13)</f>
        <v>466.49071500000002</v>
      </c>
      <c r="AP13" s="5">
        <f>SUMIFS('48 KMP -Tháng'!AR$2:AR$53,'48 KMP -Tháng'!$C$2:$C$53,'18 KMP- Tháng'!$D13)</f>
        <v>176.16390100000001</v>
      </c>
      <c r="AQ13" s="5">
        <f>SUMIFS('48 KMP -Tháng'!AS$2:AS$53,'48 KMP -Tháng'!$C$2:$C$53,'18 KMP- Tháng'!$D13)+SUMIFS('48 KMP -Tháng'!AT$2:AT$53,'48 KMP -Tháng'!$C$2:$C$53,'18 KMP- Tháng'!$D13)</f>
        <v>280.28190499999999</v>
      </c>
      <c r="AR13" s="28">
        <f t="shared" si="3"/>
        <v>314.06303016666669</v>
      </c>
      <c r="AS13" s="5">
        <f>SUMIFS('48 KMP -Tháng'!AV$2:AV$53,'48 KMP -Tháng'!$C$2:$C$53,'18 KMP- Tháng'!$D13)</f>
        <v>252.349603</v>
      </c>
      <c r="AT13" s="5">
        <f>SUMIFS('48 KMP -Tháng'!AW$2:AW$53,'48 KMP -Tháng'!$C$2:$C$53,'18 KMP- Tháng'!$D13)</f>
        <v>80.021953999999994</v>
      </c>
      <c r="AU13" s="5">
        <f>SUMIFS('48 KMP -Tháng'!AX$2:AX$53,'48 KMP -Tháng'!$C$2:$C$53,'18 KMP- Tháng'!$D13)</f>
        <v>348.78599300000002</v>
      </c>
      <c r="AV13" s="5">
        <f>SUMIFS('48 KMP -Tháng'!AY$2:AY$53,'48 KMP -Tháng'!$C$2:$C$53,'18 KMP- Tháng'!$D13)</f>
        <v>458.30997000000002</v>
      </c>
      <c r="AW13" s="5">
        <f>SUMIFS('48 KMP -Tháng'!AZ$2:AZ$53,'48 KMP -Tháng'!$C$2:$C$53,'18 KMP- Tháng'!$D13)</f>
        <v>385.67558700000001</v>
      </c>
      <c r="AX13" s="5">
        <f>SUMIFS('48 KMP -Tháng'!BA$2:BA$53,'48 KMP -Tháng'!$C$2:$C$53,'18 KMP- Tháng'!$D13)</f>
        <v>410.53511700000001</v>
      </c>
      <c r="AY13" s="5">
        <f>SUMIFS('48 KMP -Tháng'!BB$2:BB$53,'48 KMP -Tháng'!$C$2:$C$53,'18 KMP- Tháng'!$D13)</f>
        <v>0</v>
      </c>
      <c r="AZ13" s="5">
        <f>SUMIFS('48 KMP -Tháng'!BC$2:BC$53,'48 KMP -Tháng'!$C$2:$C$53,'18 KMP- Tháng'!$D13)</f>
        <v>0</v>
      </c>
      <c r="BA13" s="5">
        <f>SUMIFS('48 KMP -Tháng'!BD$2:BD$53,'48 KMP -Tháng'!$C$2:$C$53,'18 KMP- Tháng'!$D13)</f>
        <v>0</v>
      </c>
      <c r="BB13" s="5">
        <f>SUMIFS('48 KMP -Tháng'!BE$2:BE$53,'48 KMP -Tháng'!$C$2:$C$53,'18 KMP- Tháng'!$D13)</f>
        <v>0</v>
      </c>
      <c r="BC13" s="5">
        <f>SUMIFS('48 KMP -Tháng'!BF$2:BF$53,'48 KMP -Tháng'!$C$2:$C$53,'18 KMP- Tháng'!$D13)</f>
        <v>0</v>
      </c>
      <c r="BD13" s="5">
        <f>SUMIFS('48 KMP -Tháng'!BG$2:BG$53,'48 KMP -Tháng'!$C$2:$C$53,'18 KMP- Tháng'!$D13)</f>
        <v>0</v>
      </c>
      <c r="BE13" s="28">
        <f t="shared" si="4"/>
        <v>161.30651866666668</v>
      </c>
      <c r="BF13" s="7">
        <f>SUMIFS('48 KMP -Tháng'!BI$2:BI$53,'48 KMP -Tháng'!$C$2:$C$53,'18 KMP- Tháng'!$D13)</f>
        <v>471.88270318415442</v>
      </c>
      <c r="BG13" s="86"/>
      <c r="BH13" s="8">
        <f>SUMIFS('48 KMP -Tháng'!BL$2:BL$50,'48 KMP -Tháng'!$C$2:$C$50,'18 KMP- Tháng'!$D13)</f>
        <v>452.49026332727141</v>
      </c>
      <c r="BI13" s="8">
        <f>SUMIFS('48 KMP -Tháng'!BM$2:BM$50,'48 KMP -Tháng'!$C$2:$C$50,'18 KMP- Tháng'!$D13)</f>
        <v>361.99221066181713</v>
      </c>
      <c r="BJ13" s="8">
        <f>SUMIFS('48 KMP -Tháng'!BN$2:BN$50,'48 KMP -Tháng'!$C$2:$C$50,'18 KMP- Tháng'!$D13)</f>
        <v>471.88270318415442</v>
      </c>
      <c r="BK13" s="8">
        <f>SUMIFS('48 KMP -Tháng'!BO$2:BO$50,'48 KMP -Tháng'!$C$2:$C$50,'18 KMP- Tháng'!$D13)</f>
        <v>471.88270318415442</v>
      </c>
      <c r="BL13" s="8">
        <f>SUMIFS('48 KMP -Tháng'!BP$2:BP$50,'48 KMP -Tháng'!$C$2:$C$50,'18 KMP- Tháng'!$D13)</f>
        <v>471.88270318415442</v>
      </c>
      <c r="BM13" s="8">
        <f>SUMIFS('48 KMP -Tháng'!BQ$2:BQ$50,'48 KMP -Tháng'!$C$2:$C$50,'18 KMP- Tháng'!$D13)</f>
        <v>471.88270318415442</v>
      </c>
      <c r="BN13" s="8">
        <f>SUMIFS('48 KMP -Tháng'!BR$2:BR$50,'48 KMP -Tháng'!$C$2:$C$50,'18 KMP- Tháng'!$D13)</f>
        <v>496.89225642207646</v>
      </c>
      <c r="BO13" s="8">
        <f>SUMIFS('48 KMP -Tháng'!BS$2:BS$50,'48 KMP -Tháng'!$C$2:$C$50,'18 KMP- Tháng'!$D13)</f>
        <v>496.89225642207646</v>
      </c>
      <c r="BP13" s="8">
        <f>SUMIFS('48 KMP -Tháng'!BT$2:BT$50,'48 KMP -Tháng'!$C$2:$C$50,'18 KMP- Tháng'!$D13)</f>
        <v>496.89225642207646</v>
      </c>
      <c r="BQ13" s="8">
        <f>SUMIFS('48 KMP -Tháng'!BU$2:BU$50,'48 KMP -Tháng'!$C$2:$C$50,'18 KMP- Tháng'!$D13)</f>
        <v>496.89225642207646</v>
      </c>
      <c r="BR13" s="8">
        <f>SUMIFS('48 KMP -Tháng'!BV$2:BV$50,'48 KMP -Tháng'!$C$2:$C$50,'18 KMP- Tháng'!$D13)</f>
        <v>496.89225642207646</v>
      </c>
      <c r="BS13" s="8">
        <f>SUMIFS('48 KMP -Tháng'!BW$2:BW$50,'48 KMP -Tháng'!$C$2:$C$50,'18 KMP- Tháng'!$D13)</f>
        <v>496.89225642207646</v>
      </c>
      <c r="BT13" s="8">
        <f t="shared" si="5"/>
        <v>5683.3668252581656</v>
      </c>
    </row>
    <row r="14" spans="1:74" x14ac:dyDescent="0.35">
      <c r="A14" s="105">
        <v>12</v>
      </c>
      <c r="B14" s="3">
        <f t="shared" si="6"/>
        <v>9</v>
      </c>
      <c r="C14" s="3" t="s">
        <v>96</v>
      </c>
      <c r="D14" s="3" t="s">
        <v>42</v>
      </c>
      <c r="E14" s="5">
        <f>SUMIFS('48 KMP -Tháng'!$F$2:$F$53,'48 KMP -Tháng'!$C$2:$C$53,'18 KMP- Tháng'!D14)</f>
        <v>92.851895999999996</v>
      </c>
      <c r="F14" s="5">
        <f>SUMIFS('48 KMP -Tháng'!$G$2:$G$53,'48 KMP -Tháng'!$C$2:$C$53,'18 KMP- Tháng'!D14)</f>
        <v>113.22258100000001</v>
      </c>
      <c r="G14" s="6">
        <f>SUMIFS('48 KMP -Tháng'!$H$2:$H$53,'48 KMP -Tháng'!$C$2:$C$53,'18 KMP- Tháng'!D14)</f>
        <v>159.68341899999999</v>
      </c>
      <c r="H14" s="5">
        <f>SUMIFS('48 KMP -Tháng'!$I$2:$I$53,'48 KMP -Tháng'!$C$2:$C$53,'18 KMP- Tháng'!D14)</f>
        <v>108.30909699999999</v>
      </c>
      <c r="I14" s="5">
        <f>SUMIFS('48 KMP -Tháng'!$J$2:$J$53,'48 KMP -Tháng'!$C$2:$C$53,'18 KMP- Tháng'!D14)</f>
        <v>162.76302200000001</v>
      </c>
      <c r="J14" s="5">
        <f>SUMIFS('48 KMP -Tháng'!$K$2:$K$53,'48 KMP -Tháng'!$C$2:$C$53,'18 KMP- Tháng'!D14)</f>
        <v>193.360625</v>
      </c>
      <c r="K14" s="5">
        <f>SUMIFS('48 KMP -Tháng'!$L$2:$L$53,'48 KMP -Tháng'!$C$2:$C$53,'18 KMP- Tháng'!D14)</f>
        <v>135.11064500000001</v>
      </c>
      <c r="L14" s="5">
        <f>SUMIFS('48 KMP -Tháng'!$M$2:$M$53,'48 KMP -Tháng'!$C$2:$C$53,'18 KMP- Tháng'!D14)</f>
        <v>93.960159000000004</v>
      </c>
      <c r="M14" s="5">
        <f>SUMIFS('48 KMP -Tháng'!$N$2:$N$53,'48 KMP -Tháng'!$C$2:$C$53,'18 KMP- Tháng'!D14)</f>
        <v>59.163989999999998</v>
      </c>
      <c r="N14" s="5">
        <f>SUMIFS('48 KMP -Tháng'!$O$2:$O$53,'48 KMP -Tháng'!$C$2:$C$53,'18 KMP- Tháng'!$D14)</f>
        <v>55.902678999999999</v>
      </c>
      <c r="O14" s="5">
        <f>SUMIFS('48 KMP -Tháng'!$P$2:$P$53,'48 KMP -Tháng'!$C$2:$C$53,'18 KMP- Tháng'!$D14)</f>
        <v>50.242654999999999</v>
      </c>
      <c r="P14" s="5">
        <f>SUMIFS('48 KMP -Tháng'!$Q$2:$Q$53,'48 KMP -Tháng'!$C$2:$C$53,'18 KMP- Tháng'!$D14)</f>
        <v>118.635864</v>
      </c>
      <c r="Q14" s="6">
        <f t="shared" si="0"/>
        <v>111.93388600000002</v>
      </c>
      <c r="R14" s="5">
        <f>SUMIFS('48 KMP -Tháng'!$S$2:$S$53,'48 KMP -Tháng'!$C$2:$C$53,'18 KMP- Tháng'!$D14)</f>
        <v>69.344239000000002</v>
      </c>
      <c r="S14" s="5">
        <f>SUMIFS('48 KMP -Tháng'!$T$2:$T$53,'48 KMP -Tháng'!$C$2:$C$53,'18 KMP- Tháng'!$D14)</f>
        <v>65.696956</v>
      </c>
      <c r="T14" s="5">
        <f>SUMIFS('48 KMP -Tháng'!U$2:U$53,'48 KMP -Tháng'!$C$2:$C$53,'18 KMP- Tháng'!$D14)</f>
        <v>71.977480999999997</v>
      </c>
      <c r="U14" s="5">
        <f>SUMIFS('48 KMP -Tháng'!V$2:V$53,'48 KMP -Tháng'!$C$2:$C$53,'18 KMP- Tháng'!$D14)</f>
        <v>87.504536000000002</v>
      </c>
      <c r="V14" s="5">
        <f>SUMIFS('48 KMP -Tháng'!W$2:W$53,'48 KMP -Tháng'!$C$2:$C$53,'18 KMP- Tháng'!$D14)</f>
        <v>181.65412699999999</v>
      </c>
      <c r="W14" s="5">
        <f>SUMIFS('48 KMP -Tháng'!X$2:X$53,'48 KMP -Tháng'!$C$2:$C$53,'18 KMP- Tháng'!$D14)</f>
        <v>81.847181000000006</v>
      </c>
      <c r="X14" s="5">
        <f>SUMIFS('48 KMP -Tháng'!Y$2:Y$53,'48 KMP -Tháng'!$C$2:$C$53,'18 KMP- Tháng'!$D14)</f>
        <v>73.038004000000001</v>
      </c>
      <c r="Y14" s="5">
        <f>SUMIFS('48 KMP -Tháng'!Z$2:Z$53,'48 KMP -Tháng'!$C$2:$C$53,'18 KMP- Tháng'!$D14)</f>
        <v>79.525662999999994</v>
      </c>
      <c r="Z14" s="5">
        <f>SUMIFS('48 KMP -Tháng'!AA$2:AA$53,'48 KMP -Tháng'!$C$2:$C$53,'18 KMP- Tháng'!$D14)</f>
        <v>60.357999999999997</v>
      </c>
      <c r="AA14" s="5">
        <f>SUMIFS('48 KMP -Tháng'!AB$2:AB$53,'48 KMP -Tháng'!$C$2:$C$53,'18 KMP- Tháng'!$D14)</f>
        <v>87.399765000000002</v>
      </c>
      <c r="AB14" s="5">
        <f>SUMIFS('48 KMP -Tháng'!AC$2:AC$53,'48 KMP -Tháng'!$C$2:$C$53,'18 KMP- Tháng'!$D14)</f>
        <v>74.767274</v>
      </c>
      <c r="AC14" s="5">
        <f>SUMIFS('48 KMP -Tháng'!AD$2:AD$53,'48 KMP -Tháng'!$C$2:$C$53,'18 KMP- Tháng'!$D14)+SUMIFS('48 KMP -Tháng'!$AE$2:$AE$53,'48 KMP -Tháng'!$C$2:$C$53,'18 KMP- Tháng'!D14)</f>
        <v>71.777555000000007</v>
      </c>
      <c r="AD14" s="7">
        <f t="shared" si="1"/>
        <v>1004.8907810000001</v>
      </c>
      <c r="AE14" s="28">
        <f t="shared" si="2"/>
        <v>83.740898416666667</v>
      </c>
      <c r="AF14" s="5">
        <f>SUMIFS('48 KMP -Tháng'!AH$2:AH$53,'48 KMP -Tháng'!$C$2:$C$53,'18 KMP- Tháng'!$D14)</f>
        <v>45.727381999999999</v>
      </c>
      <c r="AG14" s="5">
        <f>SUMIFS('48 KMP -Tháng'!AI$2:AI$53,'48 KMP -Tháng'!$C$2:$C$53,'18 KMP- Tháng'!$D14)</f>
        <v>53.042850000000001</v>
      </c>
      <c r="AH14" s="5">
        <f>SUMIFS('48 KMP -Tháng'!AJ$2:AJ$53,'48 KMP -Tháng'!$C$2:$C$53,'18 KMP- Tháng'!$D14)</f>
        <v>68.456312999999994</v>
      </c>
      <c r="AI14" s="5">
        <f>SUMIFS('48 KMP -Tháng'!AK$2:AK$53,'48 KMP -Tháng'!$C$2:$C$53,'18 KMP- Tháng'!$D14)</f>
        <v>99.335018000000005</v>
      </c>
      <c r="AJ14" s="5">
        <f>SUMIFS('48 KMP -Tháng'!AL$2:AL$53,'48 KMP -Tháng'!$C$2:$C$53,'18 KMP- Tháng'!$D14)</f>
        <v>84.974800999999999</v>
      </c>
      <c r="AK14" s="5">
        <f>SUMIFS('48 KMP -Tháng'!AM$2:AM$53,'48 KMP -Tháng'!$C$2:$C$53,'18 KMP- Tháng'!$D14)</f>
        <v>72.702527000000003</v>
      </c>
      <c r="AL14" s="5">
        <f>SUMIFS('48 KMP -Tháng'!AN$2:AN$53,'48 KMP -Tháng'!$C$2:$C$53,'18 KMP- Tháng'!$D14)</f>
        <v>138.852576</v>
      </c>
      <c r="AM14" s="5">
        <f>SUMIFS('48 KMP -Tháng'!AO$2:AO$53,'48 KMP -Tháng'!$C$2:$C$53,'18 KMP- Tháng'!$D14)</f>
        <v>95.803742</v>
      </c>
      <c r="AN14" s="5">
        <f>SUMIFS('48 KMP -Tháng'!AP$2:AP$53,'48 KMP -Tháng'!$C$2:$C$53,'18 KMP- Tháng'!$D14)</f>
        <v>141.52082899999999</v>
      </c>
      <c r="AO14" s="5">
        <f>SUMIFS('48 KMP -Tháng'!AQ$2:AQ$53,'48 KMP -Tháng'!$C$2:$C$53,'18 KMP- Tháng'!$D14)</f>
        <v>136.74355199999999</v>
      </c>
      <c r="AP14" s="5">
        <f>SUMIFS('48 KMP -Tháng'!AR$2:AR$53,'48 KMP -Tháng'!$C$2:$C$53,'18 KMP- Tháng'!$D14)</f>
        <v>54.052813</v>
      </c>
      <c r="AQ14" s="5">
        <f>SUMIFS('48 KMP -Tháng'!AS$2:AS$53,'48 KMP -Tháng'!$C$2:$C$53,'18 KMP- Tháng'!$D14)+SUMIFS('48 KMP -Tháng'!AT$2:AT$53,'48 KMP -Tháng'!$C$2:$C$53,'18 KMP- Tháng'!$D14)</f>
        <v>79.987669999999994</v>
      </c>
      <c r="AR14" s="28">
        <f t="shared" si="3"/>
        <v>89.266672750000012</v>
      </c>
      <c r="AS14" s="5">
        <f>SUMIFS('48 KMP -Tháng'!AV$2:AV$53,'48 KMP -Tháng'!$C$2:$C$53,'18 KMP- Tháng'!$D14)</f>
        <v>70.029363000000004</v>
      </c>
      <c r="AT14" s="5">
        <f>SUMIFS('48 KMP -Tháng'!AW$2:AW$53,'48 KMP -Tháng'!$C$2:$C$53,'18 KMP- Tháng'!$D14)</f>
        <v>41.454301999999998</v>
      </c>
      <c r="AU14" s="5">
        <f>SUMIFS('48 KMP -Tháng'!AX$2:AX$53,'48 KMP -Tháng'!$C$2:$C$53,'18 KMP- Tháng'!$D14)</f>
        <v>99.310658000000004</v>
      </c>
      <c r="AV14" s="5">
        <f>SUMIFS('48 KMP -Tháng'!AY$2:AY$53,'48 KMP -Tháng'!$C$2:$C$53,'18 KMP- Tháng'!$D14)</f>
        <v>109.596222</v>
      </c>
      <c r="AW14" s="5">
        <f>SUMIFS('48 KMP -Tháng'!AZ$2:AZ$53,'48 KMP -Tháng'!$C$2:$C$53,'18 KMP- Tháng'!$D14)</f>
        <v>84.135278</v>
      </c>
      <c r="AX14" s="5">
        <f>SUMIFS('48 KMP -Tháng'!BA$2:BA$53,'48 KMP -Tháng'!$C$2:$C$53,'18 KMP- Tháng'!$D14)</f>
        <v>109.34716400000001</v>
      </c>
      <c r="AY14" s="5">
        <f>SUMIFS('48 KMP -Tháng'!BB$2:BB$53,'48 KMP -Tháng'!$C$2:$C$53,'18 KMP- Tháng'!$D14)</f>
        <v>0</v>
      </c>
      <c r="AZ14" s="5">
        <f>SUMIFS('48 KMP -Tháng'!BC$2:BC$53,'48 KMP -Tháng'!$C$2:$C$53,'18 KMP- Tháng'!$D14)</f>
        <v>0</v>
      </c>
      <c r="BA14" s="5">
        <f>SUMIFS('48 KMP -Tháng'!BD$2:BD$53,'48 KMP -Tháng'!$C$2:$C$53,'18 KMP- Tháng'!$D14)</f>
        <v>0</v>
      </c>
      <c r="BB14" s="5">
        <f>SUMIFS('48 KMP -Tháng'!BE$2:BE$53,'48 KMP -Tháng'!$C$2:$C$53,'18 KMP- Tháng'!$D14)</f>
        <v>0</v>
      </c>
      <c r="BC14" s="5">
        <f>SUMIFS('48 KMP -Tháng'!BF$2:BF$53,'48 KMP -Tháng'!$C$2:$C$53,'18 KMP- Tháng'!$D14)</f>
        <v>0</v>
      </c>
      <c r="BD14" s="5">
        <f>SUMIFS('48 KMP -Tháng'!BG$2:BG$53,'48 KMP -Tháng'!$C$2:$C$53,'18 KMP- Tháng'!$D14)</f>
        <v>0</v>
      </c>
      <c r="BE14" s="28">
        <f t="shared" si="4"/>
        <v>42.822748916666676</v>
      </c>
      <c r="BF14" s="7">
        <f>SUMIFS('48 KMP -Tháng'!BI$2:BI$53,'48 KMP -Tháng'!$C$2:$C$53,'18 KMP- Tháng'!$D14)</f>
        <v>133.31656526666669</v>
      </c>
      <c r="BG14" s="86"/>
      <c r="BH14" s="8">
        <f>SUMIFS('48 KMP -Tháng'!BL$2:BL$50,'48 KMP -Tháng'!$C$2:$C$50,'18 KMP- Tháng'!$D14)</f>
        <v>117.85857906666668</v>
      </c>
      <c r="BI14" s="8">
        <f>SUMIFS('48 KMP -Tháng'!BM$2:BM$50,'48 KMP -Tháng'!$C$2:$C$50,'18 KMP- Tháng'!$D14)</f>
        <v>130.10857906666666</v>
      </c>
      <c r="BJ14" s="8">
        <f>SUMIFS('48 KMP -Tháng'!BN$2:BN$50,'48 KMP -Tháng'!$C$2:$C$50,'18 KMP- Tháng'!$D14)</f>
        <v>125.92056526666669</v>
      </c>
      <c r="BK14" s="8">
        <f>SUMIFS('48 KMP -Tháng'!BO$2:BO$50,'48 KMP -Tháng'!$C$2:$C$50,'18 KMP- Tháng'!$D14)</f>
        <v>121.27056526666668</v>
      </c>
      <c r="BL14" s="8">
        <f>SUMIFS('48 KMP -Tháng'!BP$2:BP$50,'48 KMP -Tháng'!$C$2:$C$50,'18 KMP- Tháng'!$D14)</f>
        <v>122.35857906666668</v>
      </c>
      <c r="BM14" s="8">
        <f>SUMIFS('48 KMP -Tháng'!BQ$2:BQ$50,'48 KMP -Tháng'!$C$2:$C$50,'18 KMP- Tháng'!$D14)</f>
        <v>133.31656526666669</v>
      </c>
      <c r="BN14" s="8">
        <f>SUMIFS('48 KMP -Tháng'!BR$2:BR$50,'48 KMP -Tháng'!$C$2:$C$50,'18 KMP- Tháng'!$D14)</f>
        <v>125.77056526666668</v>
      </c>
      <c r="BO14" s="8">
        <f>SUMIFS('48 KMP -Tháng'!BS$2:BS$50,'48 KMP -Tháng'!$C$2:$C$50,'18 KMP- Tháng'!$D14)</f>
        <v>133.52056526666669</v>
      </c>
      <c r="BP14" s="8">
        <f>SUMIFS('48 KMP -Tháng'!BT$2:BT$50,'48 KMP -Tháng'!$C$2:$C$50,'18 KMP- Tháng'!$D14)</f>
        <v>122.50857906666668</v>
      </c>
      <c r="BQ14" s="8">
        <f>SUMIFS('48 KMP -Tháng'!BU$2:BU$50,'48 KMP -Tháng'!$C$2:$C$50,'18 KMP- Tháng'!$D14)</f>
        <v>133.52056526666669</v>
      </c>
      <c r="BR14" s="8">
        <f>SUMIFS('48 KMP -Tháng'!BV$2:BV$50,'48 KMP -Tháng'!$C$2:$C$50,'18 KMP- Tháng'!$D14)</f>
        <v>121.27056526666668</v>
      </c>
      <c r="BS14" s="8">
        <f>SUMIFS('48 KMP -Tháng'!BW$2:BW$50,'48 KMP -Tháng'!$C$2:$C$50,'18 KMP- Tháng'!$D14)</f>
        <v>117.85857906666668</v>
      </c>
      <c r="BT14" s="8">
        <f t="shared" si="5"/>
        <v>1505.2828522</v>
      </c>
    </row>
    <row r="15" spans="1:74" x14ac:dyDescent="0.35">
      <c r="A15" s="105">
        <v>13</v>
      </c>
      <c r="B15" s="3">
        <f t="shared" si="6"/>
        <v>10</v>
      </c>
      <c r="C15" s="3" t="s">
        <v>96</v>
      </c>
      <c r="D15" s="3" t="s">
        <v>52</v>
      </c>
      <c r="E15" s="5">
        <f>SUMIFS('48 KMP -Tháng'!$F$2:$F$53,'48 KMP -Tháng'!$C$2:$C$53,'18 KMP- Tháng'!D15)</f>
        <v>148.21799999999999</v>
      </c>
      <c r="F15" s="5">
        <f>SUMIFS('48 KMP -Tháng'!$G$2:$G$53,'48 KMP -Tháng'!$C$2:$C$53,'18 KMP- Tháng'!D15)</f>
        <v>141.316</v>
      </c>
      <c r="G15" s="6">
        <f>SUMIFS('48 KMP -Tháng'!$H$2:$H$53,'48 KMP -Tháng'!$C$2:$C$53,'18 KMP- Tháng'!D15)</f>
        <v>135.04400000000001</v>
      </c>
      <c r="H15" s="5">
        <f>SUMIFS('48 KMP -Tháng'!$I$2:$I$53,'48 KMP -Tháng'!$C$2:$C$53,'18 KMP- Tháng'!D15)</f>
        <v>119.938</v>
      </c>
      <c r="I15" s="5">
        <f>SUMIFS('48 KMP -Tháng'!$J$2:$J$53,'48 KMP -Tháng'!$C$2:$C$53,'18 KMP- Tháng'!D15)</f>
        <v>155.708</v>
      </c>
      <c r="J15" s="5">
        <f>SUMIFS('48 KMP -Tháng'!$K$2:$K$53,'48 KMP -Tháng'!$C$2:$C$53,'18 KMP- Tháng'!D15)</f>
        <v>100.15600000000001</v>
      </c>
      <c r="K15" s="5">
        <f>SUMIFS('48 KMP -Tháng'!$L$2:$L$53,'48 KMP -Tháng'!$C$2:$C$53,'18 KMP- Tháng'!D15)</f>
        <v>110.04</v>
      </c>
      <c r="L15" s="5">
        <f>SUMIFS('48 KMP -Tháng'!$M$2:$M$53,'48 KMP -Tháng'!$C$2:$C$53,'18 KMP- Tháng'!D15)</f>
        <v>130.928</v>
      </c>
      <c r="M15" s="5">
        <f>SUMIFS('48 KMP -Tháng'!$N$2:$N$53,'48 KMP -Tháng'!$C$2:$C$53,'18 KMP- Tháng'!D15)</f>
        <v>129.892</v>
      </c>
      <c r="N15" s="5">
        <f>SUMIFS('48 KMP -Tháng'!$O$2:$O$53,'48 KMP -Tháng'!$C$2:$C$53,'18 KMP- Tháng'!$D15)</f>
        <v>122.262</v>
      </c>
      <c r="O15" s="5">
        <f>SUMIFS('48 KMP -Tháng'!$P$2:$P$53,'48 KMP -Tháng'!$C$2:$C$53,'18 KMP- Tháng'!$D15)</f>
        <v>113.988</v>
      </c>
      <c r="P15" s="5">
        <f>SUMIFS('48 KMP -Tháng'!$Q$2:$Q$53,'48 KMP -Tháng'!$C$2:$C$53,'18 KMP- Tháng'!$D15)</f>
        <v>133.602</v>
      </c>
      <c r="Q15" s="6">
        <f t="shared" si="0"/>
        <v>128.42433333333335</v>
      </c>
      <c r="R15" s="5">
        <f>SUMIFS('48 KMP -Tháng'!$S$2:$S$53,'48 KMP -Tháng'!$C$2:$C$53,'18 KMP- Tháng'!$D15)</f>
        <v>128.69919999999999</v>
      </c>
      <c r="S15" s="5">
        <f>SUMIFS('48 KMP -Tháng'!T$2:T$53,'48 KMP -Tháng'!$C$2:$C$53,'18 KMP- Tháng'!$D15)</f>
        <v>113.8494</v>
      </c>
      <c r="T15" s="5">
        <f>SUMIFS('48 KMP -Tháng'!U$2:U$53,'48 KMP -Tháng'!$C$2:$C$53,'18 KMP- Tháng'!$D15)</f>
        <v>139.7774</v>
      </c>
      <c r="U15" s="5">
        <f>SUMIFS('48 KMP -Tháng'!V$2:V$53,'48 KMP -Tháng'!$C$2:$C$53,'18 KMP- Tháng'!$D15)</f>
        <v>145.8912</v>
      </c>
      <c r="V15" s="5">
        <f>SUMIFS('48 KMP -Tháng'!W$2:W$53,'48 KMP -Tháng'!$C$2:$C$53,'18 KMP- Tháng'!$D15)</f>
        <v>130.57939999999999</v>
      </c>
      <c r="W15" s="5">
        <f>SUMIFS('48 KMP -Tháng'!X$2:X$53,'48 KMP -Tháng'!$C$2:$C$53,'18 KMP- Tháng'!$D15)</f>
        <v>132.87960000000001</v>
      </c>
      <c r="X15" s="5">
        <f>SUMIFS('48 KMP -Tháng'!Y$2:Y$53,'48 KMP -Tháng'!$C$2:$C$53,'18 KMP- Tháng'!$D15)</f>
        <v>102.1832</v>
      </c>
      <c r="Y15" s="5">
        <f>SUMIFS('48 KMP -Tháng'!Z$2:Z$53,'48 KMP -Tháng'!$C$2:$C$53,'18 KMP- Tháng'!$D15)</f>
        <v>108.79819999999999</v>
      </c>
      <c r="Z15" s="5">
        <f>SUMIFS('48 KMP -Tháng'!AA$2:AA$53,'48 KMP -Tháng'!$C$2:$C$53,'18 KMP- Tháng'!$D15)</f>
        <v>99.789199999999994</v>
      </c>
      <c r="AA15" s="5">
        <f>SUMIFS('48 KMP -Tháng'!AB$2:AB$53,'48 KMP -Tháng'!$C$2:$C$53,'18 KMP- Tháng'!$D15)</f>
        <v>126.86799999999999</v>
      </c>
      <c r="AB15" s="5">
        <f>SUMIFS('48 KMP -Tháng'!AC$2:AC$53,'48 KMP -Tháng'!$C$2:$C$53,'18 KMP- Tháng'!$D15)</f>
        <v>141.09059999999999</v>
      </c>
      <c r="AC15" s="5">
        <f>SUMIFS('48 KMP -Tháng'!AD$2:AD$53,'48 KMP -Tháng'!$C$2:$C$53,'18 KMP- Tháng'!$D15)+SUMIFS('48 KMP -Tháng'!$AE$2:$AE$53,'48 KMP -Tháng'!$C$2:$C$53,'18 KMP- Tháng'!D15)</f>
        <v>125.4876</v>
      </c>
      <c r="AD15" s="7">
        <f t="shared" si="1"/>
        <v>1495.8929999999998</v>
      </c>
      <c r="AE15" s="28">
        <f t="shared" si="2"/>
        <v>124.65774999999998</v>
      </c>
      <c r="AF15" s="5">
        <f>SUMIFS('48 KMP -Tháng'!AH$2:AH$53,'48 KMP -Tháng'!$C$2:$C$53,'18 KMP- Tháng'!$D15)</f>
        <v>91.748999999999995</v>
      </c>
      <c r="AG15" s="5">
        <f>SUMIFS('48 KMP -Tháng'!AI$2:AI$53,'48 KMP -Tháng'!$C$2:$C$53,'18 KMP- Tháng'!$D15)</f>
        <v>140.29400000000001</v>
      </c>
      <c r="AH15" s="5">
        <f>SUMIFS('48 KMP -Tháng'!AJ$2:AJ$53,'48 KMP -Tháng'!$C$2:$C$53,'18 KMP- Tháng'!$D15)</f>
        <v>121.0202</v>
      </c>
      <c r="AI15" s="5">
        <f>SUMIFS('48 KMP -Tháng'!AK$2:AK$53,'48 KMP -Tháng'!$C$2:$C$53,'18 KMP- Tháng'!$D15)</f>
        <v>123.6284</v>
      </c>
      <c r="AJ15" s="5">
        <f>SUMIFS('48 KMP -Tháng'!AL$2:AL$53,'48 KMP -Tháng'!$C$2:$C$53,'18 KMP- Tháng'!$D15)</f>
        <v>165.9742</v>
      </c>
      <c r="AK15" s="5">
        <f>SUMIFS('48 KMP -Tháng'!AM$2:AM$53,'48 KMP -Tháng'!$C$2:$C$53,'18 KMP- Tháng'!$D15)</f>
        <v>159.23320000000001</v>
      </c>
      <c r="AL15" s="5">
        <f>SUMIFS('48 KMP -Tháng'!AN$2:AN$53,'48 KMP -Tháng'!$C$2:$C$53,'18 KMP- Tháng'!$D15)</f>
        <v>167.01859999999999</v>
      </c>
      <c r="AM15" s="5">
        <f>SUMIFS('48 KMP -Tháng'!AO$2:AO$53,'48 KMP -Tháng'!$C$2:$C$53,'18 KMP- Tháng'!$D15)</f>
        <v>211.38460000000001</v>
      </c>
      <c r="AN15" s="5">
        <f>SUMIFS('48 KMP -Tháng'!AP$2:AP$53,'48 KMP -Tháng'!$C$2:$C$53,'18 KMP- Tháng'!$D15)</f>
        <v>180.1884</v>
      </c>
      <c r="AO15" s="5">
        <f>SUMIFS('48 KMP -Tháng'!AQ$2:AQ$53,'48 KMP -Tháng'!$C$2:$C$53,'18 KMP- Tháng'!$D15)</f>
        <v>189.19880000000001</v>
      </c>
      <c r="AP15" s="5">
        <f>SUMIFS('48 KMP -Tháng'!AR$2:AR$53,'48 KMP -Tháng'!$C$2:$C$53,'18 KMP- Tháng'!$D15)</f>
        <v>140.45779999999999</v>
      </c>
      <c r="AQ15" s="5">
        <f>SUMIFS('48 KMP -Tháng'!AS$2:AS$53,'48 KMP -Tháng'!$C$2:$C$53,'18 KMP- Tháng'!$D15)+SUMIFS('48 KMP -Tháng'!AT$2:AT$53,'48 KMP -Tháng'!$C$2:$C$53,'18 KMP- Tháng'!$D15)</f>
        <v>136.7604</v>
      </c>
      <c r="AR15" s="28">
        <f t="shared" si="3"/>
        <v>152.2423</v>
      </c>
      <c r="AS15" s="5">
        <f>SUMIFS('48 KMP -Tháng'!AV$2:AV$53,'48 KMP -Tháng'!$C$2:$C$53,'18 KMP- Tháng'!$D15)</f>
        <v>111.7718</v>
      </c>
      <c r="AT15" s="5">
        <f>SUMIFS('48 KMP -Tháng'!AW$2:AW$53,'48 KMP -Tháng'!$C$2:$C$53,'18 KMP- Tháng'!$D15)</f>
        <v>79.503200000000007</v>
      </c>
      <c r="AU15" s="5">
        <f>SUMIFS('48 KMP -Tháng'!AX$2:AX$53,'48 KMP -Tháng'!$C$2:$C$53,'18 KMP- Tháng'!$D15)</f>
        <v>105.9534</v>
      </c>
      <c r="AV15" s="5">
        <f>SUMIFS('48 KMP -Tháng'!AY$2:AY$53,'48 KMP -Tháng'!$C$2:$C$53,'18 KMP- Tháng'!$D15)</f>
        <v>124.4894</v>
      </c>
      <c r="AW15" s="5">
        <f>SUMIFS('48 KMP -Tháng'!AZ$2:AZ$53,'48 KMP -Tháng'!$C$2:$C$53,'18 KMP- Tháng'!$D15)</f>
        <v>125.0844</v>
      </c>
      <c r="AX15" s="5">
        <f>SUMIFS('48 KMP -Tháng'!BA$2:BA$53,'48 KMP -Tháng'!$C$2:$C$53,'18 KMP- Tháng'!$D15)</f>
        <v>154.5292</v>
      </c>
      <c r="AY15" s="5">
        <f>SUMIFS('48 KMP -Tháng'!BB$2:BB$53,'48 KMP -Tháng'!$C$2:$C$53,'18 KMP- Tháng'!$D15)</f>
        <v>0</v>
      </c>
      <c r="AZ15" s="5">
        <f>SUMIFS('48 KMP -Tháng'!BC$2:BC$53,'48 KMP -Tháng'!$C$2:$C$53,'18 KMP- Tháng'!$D15)</f>
        <v>0</v>
      </c>
      <c r="BA15" s="5">
        <f>SUMIFS('48 KMP -Tháng'!BD$2:BD$53,'48 KMP -Tháng'!$C$2:$C$53,'18 KMP- Tháng'!$D15)</f>
        <v>0</v>
      </c>
      <c r="BB15" s="5">
        <f>SUMIFS('48 KMP -Tháng'!BE$2:BE$53,'48 KMP -Tháng'!$C$2:$C$53,'18 KMP- Tháng'!$D15)</f>
        <v>0</v>
      </c>
      <c r="BC15" s="5">
        <f>SUMIFS('48 KMP -Tháng'!BF$2:BF$53,'48 KMP -Tháng'!$C$2:$C$53,'18 KMP- Tháng'!$D15)</f>
        <v>0</v>
      </c>
      <c r="BD15" s="5">
        <f>SUMIFS('48 KMP -Tháng'!BG$2:BG$53,'48 KMP -Tháng'!$C$2:$C$53,'18 KMP- Tháng'!$D15)</f>
        <v>0</v>
      </c>
      <c r="BE15" s="28">
        <f t="shared" si="4"/>
        <v>58.444283333333338</v>
      </c>
      <c r="BF15" s="7">
        <f>SUMIFS('48 KMP -Tháng'!BI$2:BI$53,'48 KMP -Tháng'!$C$2:$C$53,'18 KMP- Tháng'!$D15)</f>
        <v>221.2636200572</v>
      </c>
      <c r="BG15" s="86"/>
      <c r="BH15" s="8">
        <f>SUMIFS('48 KMP -Tháng'!BL$2:BL$50,'48 KMP -Tháng'!$C$2:$C$50,'18 KMP- Tháng'!$D15)</f>
        <v>220.10199959720003</v>
      </c>
      <c r="BI15" s="8">
        <f>SUMIFS('48 KMP -Tháng'!BM$2:BM$50,'48 KMP -Tháng'!$C$2:$C$50,'18 KMP- Tháng'!$D15)</f>
        <v>170.77461960160005</v>
      </c>
      <c r="BJ15" s="8">
        <f>SUMIFS('48 KMP -Tháng'!BN$2:BN$50,'48 KMP -Tháng'!$C$2:$C$50,'18 KMP- Tháng'!$D15)</f>
        <v>220.10199959720003</v>
      </c>
      <c r="BK15" s="8">
        <f>SUMIFS('48 KMP -Tháng'!BO$2:BO$50,'48 KMP -Tháng'!$C$2:$C$50,'18 KMP- Tháng'!$D15)</f>
        <v>220.42946855720001</v>
      </c>
      <c r="BL15" s="8">
        <f>SUMIFS('48 KMP -Tháng'!BP$2:BP$50,'48 KMP -Tháng'!$C$2:$C$50,'18 KMP- Tháng'!$D15)</f>
        <v>221.48736581720004</v>
      </c>
      <c r="BM15" s="8">
        <f>SUMIFS('48 KMP -Tháng'!BQ$2:BQ$50,'48 KMP -Tháng'!$C$2:$C$50,'18 KMP- Tháng'!$D15)</f>
        <v>221.2636200572</v>
      </c>
      <c r="BN15" s="8">
        <f>SUMIFS('48 KMP -Tháng'!BR$2:BR$50,'48 KMP -Tháng'!$C$2:$C$50,'18 KMP- Tháng'!$D15)</f>
        <v>225.44506739720009</v>
      </c>
      <c r="BO15" s="8">
        <f>SUMIFS('48 KMP -Tháng'!BS$2:BS$50,'48 KMP -Tháng'!$C$2:$C$50,'18 KMP- Tháng'!$D15)</f>
        <v>225.44506739720009</v>
      </c>
      <c r="BP15" s="8">
        <f>SUMIFS('48 KMP -Tháng'!BT$2:BT$50,'48 KMP -Tháng'!$C$2:$C$50,'18 KMP- Tháng'!$D15)</f>
        <v>225.83180675720004</v>
      </c>
      <c r="BQ15" s="8">
        <f>SUMIFS('48 KMP -Tháng'!BU$2:BU$50,'48 KMP -Tháng'!$C$2:$C$50,'18 KMP- Tháng'!$D15)</f>
        <v>225.36052769720007</v>
      </c>
      <c r="BR15" s="8">
        <f>SUMIFS('48 KMP -Tháng'!BV$2:BV$50,'48 KMP -Tháng'!$C$2:$C$50,'18 KMP- Tháng'!$D15)</f>
        <v>227.02158065720002</v>
      </c>
      <c r="BS15" s="8">
        <f>SUMIFS('48 KMP -Tháng'!BW$2:BW$50,'48 KMP -Tháng'!$C$2:$C$50,'18 KMP- Tháng'!$D15)</f>
        <v>225.36052769720007</v>
      </c>
      <c r="BT15" s="8">
        <f t="shared" si="5"/>
        <v>2628.6236508308011</v>
      </c>
    </row>
    <row r="16" spans="1:74" x14ac:dyDescent="0.35">
      <c r="A16" s="105">
        <v>14</v>
      </c>
      <c r="B16" s="3">
        <f t="shared" si="6"/>
        <v>11</v>
      </c>
      <c r="C16" s="3" t="s">
        <v>96</v>
      </c>
      <c r="D16" s="3" t="s">
        <v>55</v>
      </c>
      <c r="E16" s="5">
        <f>SUMIFS('48 KMP -Tháng'!$F$2:$F$53,'48 KMP -Tháng'!$C$2:$C$53,'18 KMP- Tháng'!D16)</f>
        <v>0</v>
      </c>
      <c r="F16" s="5">
        <f>SUMIFS('48 KMP -Tháng'!$G$2:$G$53,'48 KMP -Tháng'!$C$2:$C$53,'18 KMP- Tháng'!D16)</f>
        <v>0</v>
      </c>
      <c r="G16" s="6">
        <f>SUMIFS('48 KMP -Tháng'!$H$2:$H$53,'48 KMP -Tháng'!$C$2:$C$53,'18 KMP- Tháng'!D16)</f>
        <v>0</v>
      </c>
      <c r="H16" s="5">
        <f>SUMIFS('48 KMP -Tháng'!$I$2:$I$53,'48 KMP -Tháng'!$C$2:$C$53,'18 KMP- Tháng'!D16)</f>
        <v>81.42</v>
      </c>
      <c r="I16" s="5">
        <f>SUMIFS('48 KMP -Tháng'!$J$2:$J$53,'48 KMP -Tháng'!$C$2:$C$53,'18 KMP- Tháng'!D16)</f>
        <v>54.022096999999995</v>
      </c>
      <c r="J16" s="5">
        <f>SUMIFS('48 KMP -Tháng'!$K$2:$K$53,'48 KMP -Tháng'!$C$2:$C$53,'18 KMP- Tháng'!D16)</f>
        <v>61.597110999999998</v>
      </c>
      <c r="K16" s="5">
        <f>SUMIFS('48 KMP -Tháng'!$L$2:$L$53,'48 KMP -Tháng'!$C$2:$C$53,'18 KMP- Tháng'!D16)</f>
        <v>33.630000000000003</v>
      </c>
      <c r="L16" s="5">
        <f>SUMIFS('48 KMP -Tháng'!$M$2:$M$53,'48 KMP -Tháng'!$C$2:$C$53,'18 KMP- Tháng'!D16)</f>
        <v>68.504600000000011</v>
      </c>
      <c r="M16" s="5">
        <f>SUMIFS('48 KMP -Tháng'!$N$2:$N$53,'48 KMP -Tháng'!$C$2:$C$53,'18 KMP- Tháng'!D16)</f>
        <v>44.922600000000003</v>
      </c>
      <c r="N16" s="5">
        <f>SUMIFS('48 KMP -Tháng'!$O$2:$O$53,'48 KMP -Tháng'!$C$2:$C$53,'18 KMP- Tháng'!$D16)</f>
        <v>0</v>
      </c>
      <c r="O16" s="5">
        <f>SUMIFS('48 KMP -Tháng'!$P$2:$P$53,'48 KMP -Tháng'!$C$2:$C$53,'18 KMP- Tháng'!$D16)</f>
        <v>22.420062999999999</v>
      </c>
      <c r="P16" s="5">
        <f>SUMIFS('48 KMP -Tháng'!$Q$2:$Q$53,'48 KMP -Tháng'!$C$2:$C$53,'18 KMP- Tháng'!$D16)</f>
        <v>0.13513700000000001</v>
      </c>
      <c r="Q16" s="6">
        <f t="shared" si="0"/>
        <v>30.554300666666666</v>
      </c>
      <c r="R16" s="5">
        <f>SUMIFS('48 KMP -Tháng'!$S$2:$S$53,'48 KMP -Tháng'!$C$2:$C$53,'18 KMP- Tháng'!$D16)</f>
        <v>22.973268999999998</v>
      </c>
      <c r="S16" s="5">
        <f>SUMIFS('48 KMP -Tháng'!T$2:T$53,'48 KMP -Tháng'!$C$2:$C$53,'18 KMP- Tháng'!$D16)</f>
        <v>0</v>
      </c>
      <c r="T16" s="5">
        <f>SUMIFS('48 KMP -Tháng'!U$2:U$53,'48 KMP -Tháng'!$C$2:$C$53,'18 KMP- Tháng'!$D16)</f>
        <v>23.045940000000002</v>
      </c>
      <c r="U16" s="5">
        <f>SUMIFS('48 KMP -Tháng'!V$2:V$53,'48 KMP -Tháng'!$C$2:$C$53,'18 KMP- Tháng'!$D16)</f>
        <v>0</v>
      </c>
      <c r="V16" s="5">
        <f>SUMIFS('48 KMP -Tháng'!W$2:W$53,'48 KMP -Tháng'!$C$2:$C$53,'18 KMP- Tháng'!$D16)</f>
        <v>0</v>
      </c>
      <c r="W16" s="5">
        <f>SUMIFS('48 KMP -Tháng'!X$2:X$53,'48 KMP -Tháng'!$C$2:$C$53,'18 KMP- Tháng'!$D16)</f>
        <v>10.511874000000001</v>
      </c>
      <c r="X16" s="5">
        <f>SUMIFS('48 KMP -Tháng'!Y$2:Y$53,'48 KMP -Tháng'!$C$2:$C$53,'18 KMP- Tháng'!$D16)</f>
        <v>20.243397999999999</v>
      </c>
      <c r="Y16" s="5">
        <f>SUMIFS('48 KMP -Tháng'!Z$2:Z$53,'48 KMP -Tháng'!$C$2:$C$53,'18 KMP- Tháng'!$D16)</f>
        <v>29.591062000000001</v>
      </c>
      <c r="Z16" s="5">
        <f>SUMIFS('48 KMP -Tháng'!AA$2:AA$53,'48 KMP -Tháng'!$C$2:$C$53,'18 KMP- Tháng'!$D16)</f>
        <v>0.11293499999999999</v>
      </c>
      <c r="AA16" s="5">
        <f>SUMIFS('48 KMP -Tháng'!AB$2:AB$53,'48 KMP -Tháng'!$C$2:$C$53,'18 KMP- Tháng'!$D16)</f>
        <v>40.229782999999998</v>
      </c>
      <c r="AB16" s="5">
        <f>SUMIFS('48 KMP -Tháng'!AC$2:AC$53,'48 KMP -Tháng'!$C$2:$C$53,'18 KMP- Tháng'!$D16)</f>
        <v>11.25</v>
      </c>
      <c r="AC16" s="5">
        <f>SUMIFS('48 KMP -Tháng'!AD$2:AD$53,'48 KMP -Tháng'!$C$2:$C$53,'18 KMP- Tháng'!$D16)+SUMIFS('48 KMP -Tháng'!$AE$2:$AE$53,'48 KMP -Tháng'!$C$2:$C$53,'18 KMP- Tháng'!D16)</f>
        <v>7.5</v>
      </c>
      <c r="AD16" s="7">
        <f t="shared" si="1"/>
        <v>165.45826099999999</v>
      </c>
      <c r="AE16" s="28">
        <f t="shared" si="2"/>
        <v>13.788188416666666</v>
      </c>
      <c r="AF16" s="5">
        <f>SUMIFS('48 KMP -Tháng'!AH$2:AH$53,'48 KMP -Tháng'!$C$2:$C$53,'18 KMP- Tháng'!$D16)</f>
        <v>69.350499999999997</v>
      </c>
      <c r="AG16" s="5">
        <f>SUMIFS('48 KMP -Tháng'!AI$2:AI$53,'48 KMP -Tháng'!$C$2:$C$53,'18 KMP- Tháng'!$D16)</f>
        <v>24.741620000000001</v>
      </c>
      <c r="AH16" s="5">
        <f>SUMIFS('48 KMP -Tháng'!AJ$2:AJ$53,'48 KMP -Tháng'!$C$2:$C$53,'18 KMP- Tháng'!$D16)</f>
        <v>27.060865</v>
      </c>
      <c r="AI16" s="5">
        <f>SUMIFS('48 KMP -Tháng'!AK$2:AK$53,'48 KMP -Tháng'!$C$2:$C$53,'18 KMP- Tháng'!$D16)</f>
        <v>59.404617999999999</v>
      </c>
      <c r="AJ16" s="5">
        <f>SUMIFS('48 KMP -Tháng'!AL$2:AL$53,'48 KMP -Tháng'!$C$2:$C$53,'18 KMP- Tháng'!$D16)</f>
        <v>64.824844999999996</v>
      </c>
      <c r="AK16" s="5">
        <f>SUMIFS('48 KMP -Tháng'!AM$2:AM$53,'48 KMP -Tháng'!$C$2:$C$53,'18 KMP- Tháng'!$D16)</f>
        <v>51.009450999999999</v>
      </c>
      <c r="AL16" s="5">
        <f>SUMIFS('48 KMP -Tháng'!AN$2:AN$53,'48 KMP -Tháng'!$C$2:$C$53,'18 KMP- Tháng'!$D16)</f>
        <v>0.13318199999999999</v>
      </c>
      <c r="AM16" s="5">
        <f>SUMIFS('48 KMP -Tháng'!AO$2:AO$53,'48 KMP -Tháng'!$C$2:$C$53,'18 KMP- Tháng'!$D16)</f>
        <v>22.427802</v>
      </c>
      <c r="AN16" s="5">
        <f>SUMIFS('48 KMP -Tháng'!AP$2:AP$53,'48 KMP -Tháng'!$C$2:$C$53,'18 KMP- Tháng'!$D16)</f>
        <v>103.48003300000001</v>
      </c>
      <c r="AO16" s="5">
        <f>SUMIFS('48 KMP -Tháng'!AQ$2:AQ$53,'48 KMP -Tháng'!$C$2:$C$53,'18 KMP- Tháng'!$D16)</f>
        <v>147.881586</v>
      </c>
      <c r="AP16" s="5">
        <f>SUMIFS('48 KMP -Tháng'!AR$2:AR$53,'48 KMP -Tháng'!$C$2:$C$53,'18 KMP- Tháng'!$D16)</f>
        <v>106.00182599999999</v>
      </c>
      <c r="AQ16" s="5">
        <f>SUMIFS('48 KMP -Tháng'!AS$2:AS$53,'48 KMP -Tháng'!$C$2:$C$53,'18 KMP- Tháng'!$D16)+SUMIFS('48 KMP -Tháng'!AT$2:AT$53,'48 KMP -Tháng'!$C$2:$C$53,'18 KMP- Tháng'!$D16)</f>
        <v>124.927651</v>
      </c>
      <c r="AR16" s="28">
        <f t="shared" si="3"/>
        <v>66.770331583333316</v>
      </c>
      <c r="AS16" s="5">
        <f>SUMIFS('48 KMP -Tháng'!AV$2:AV$53,'48 KMP -Tháng'!$C$2:$C$53,'18 KMP- Tháng'!$D16)</f>
        <v>120.08</v>
      </c>
      <c r="AT16" s="5">
        <f>SUMIFS('48 KMP -Tháng'!AW$2:AW$53,'48 KMP -Tháng'!$C$2:$C$53,'18 KMP- Tháng'!$D16)</f>
        <v>39.67</v>
      </c>
      <c r="AU16" s="5">
        <f>SUMIFS('48 KMP -Tháng'!AX$2:AX$53,'48 KMP -Tháng'!$C$2:$C$53,'18 KMP- Tháng'!$D16)</f>
        <v>199.763631</v>
      </c>
      <c r="AV16" s="5">
        <f>SUMIFS('48 KMP -Tháng'!AY$2:AY$53,'48 KMP -Tháng'!$C$2:$C$53,'18 KMP- Tháng'!$D16)</f>
        <v>40.458143</v>
      </c>
      <c r="AW16" s="5">
        <f>SUMIFS('48 KMP -Tháng'!AZ$2:AZ$53,'48 KMP -Tháng'!$C$2:$C$53,'18 KMP- Tháng'!$D16)</f>
        <v>2.6549999999999998</v>
      </c>
      <c r="AX16" s="5">
        <f>SUMIFS('48 KMP -Tháng'!BA$2:BA$53,'48 KMP -Tháng'!$C$2:$C$53,'18 KMP- Tháng'!$D16)</f>
        <v>82.878684000000007</v>
      </c>
      <c r="AY16" s="5">
        <f>SUMIFS('48 KMP -Tháng'!BB$2:BB$53,'48 KMP -Tháng'!$C$2:$C$53,'18 KMP- Tháng'!$D16)</f>
        <v>0</v>
      </c>
      <c r="AZ16" s="5">
        <f>SUMIFS('48 KMP -Tháng'!BC$2:BC$53,'48 KMP -Tháng'!$C$2:$C$53,'18 KMP- Tháng'!$D16)</f>
        <v>0</v>
      </c>
      <c r="BA16" s="5">
        <f>SUMIFS('48 KMP -Tháng'!BD$2:BD$53,'48 KMP -Tháng'!$C$2:$C$53,'18 KMP- Tháng'!$D16)</f>
        <v>0</v>
      </c>
      <c r="BB16" s="5">
        <f>SUMIFS('48 KMP -Tháng'!BE$2:BE$53,'48 KMP -Tháng'!$C$2:$C$53,'18 KMP- Tháng'!$D16)</f>
        <v>0</v>
      </c>
      <c r="BC16" s="5">
        <f>SUMIFS('48 KMP -Tháng'!BF$2:BF$53,'48 KMP -Tháng'!$C$2:$C$53,'18 KMP- Tháng'!$D16)</f>
        <v>0</v>
      </c>
      <c r="BD16" s="5">
        <f>SUMIFS('48 KMP -Tháng'!BG$2:BG$53,'48 KMP -Tháng'!$C$2:$C$53,'18 KMP- Tháng'!$D16)</f>
        <v>0</v>
      </c>
      <c r="BE16" s="28">
        <f t="shared" si="4"/>
        <v>40.458788166666672</v>
      </c>
      <c r="BF16" s="7">
        <f>SUMIFS('48 KMP -Tháng'!BI$2:BI$53,'48 KMP -Tháng'!$C$2:$C$53,'18 KMP- Tháng'!$D16)</f>
        <v>80.620526828063248</v>
      </c>
      <c r="BG16" s="86"/>
      <c r="BH16" s="8">
        <f>SUMIFS('48 KMP -Tháng'!BL$2:BL$50,'48 KMP -Tháng'!$C$2:$C$50,'18 KMP- Tháng'!$D16)</f>
        <v>55.069493307236243</v>
      </c>
      <c r="BI16" s="8">
        <f>SUMIFS('48 KMP -Tháng'!BM$2:BM$50,'48 KMP -Tháng'!$C$2:$C$50,'18 KMP- Tháng'!$D16)</f>
        <v>47.074623377166319</v>
      </c>
      <c r="BJ16" s="8">
        <f>SUMIFS('48 KMP -Tháng'!BN$2:BN$50,'48 KMP -Tháng'!$C$2:$C$50,'18 KMP- Tháng'!$D16)</f>
        <v>49.856552724992397</v>
      </c>
      <c r="BK16" s="8">
        <f>SUMIFS('48 KMP -Tháng'!BO$2:BO$50,'48 KMP -Tháng'!$C$2:$C$50,'18 KMP- Tháng'!$D16)</f>
        <v>57.851422655062336</v>
      </c>
      <c r="BL16" s="8">
        <f>SUMIFS('48 KMP -Tháng'!BP$2:BP$50,'48 KMP -Tháng'!$C$2:$C$50,'18 KMP- Tháng'!$D16)</f>
        <v>49.856552724992397</v>
      </c>
      <c r="BM16" s="8">
        <f>SUMIFS('48 KMP -Tháng'!BQ$2:BQ$50,'48 KMP -Tháng'!$C$2:$C$50,'18 KMP- Tháng'!$D16)</f>
        <v>80.620526828063248</v>
      </c>
      <c r="BN16" s="8">
        <f>SUMIFS('48 KMP -Tháng'!BR$2:BR$50,'48 KMP -Tháng'!$C$2:$C$50,'18 KMP- Tháng'!$D16)</f>
        <v>59.242387328975376</v>
      </c>
      <c r="BO16" s="8">
        <f>SUMIFS('48 KMP -Tháng'!BS$2:BS$50,'48 KMP -Tháng'!$C$2:$C$50,'18 KMP- Tháng'!$D16)</f>
        <v>54.02944674673153</v>
      </c>
      <c r="BP16" s="8">
        <f>SUMIFS('48 KMP -Tháng'!BT$2:BT$50,'48 KMP -Tháng'!$C$2:$C$50,'18 KMP- Tháng'!$D16)</f>
        <v>79.229562154150202</v>
      </c>
      <c r="BQ16" s="8">
        <f>SUMIFS('48 KMP -Tháng'!BU$2:BU$50,'48 KMP -Tháng'!$C$2:$C$50,'18 KMP- Tháng'!$D16)</f>
        <v>62.024316676801462</v>
      </c>
      <c r="BR16" s="8">
        <f>SUMIFS('48 KMP -Tháng'!BV$2:BV$50,'48 KMP -Tháng'!$C$2:$C$50,'18 KMP- Tháng'!$D16)</f>
        <v>51.247517398905444</v>
      </c>
      <c r="BS16" s="8">
        <f>SUMIFS('48 KMP -Tháng'!BW$2:BW$50,'48 KMP -Tháng'!$C$2:$C$50,'18 KMP- Tháng'!$D16)</f>
        <v>54.02944674673153</v>
      </c>
      <c r="BT16" s="8">
        <f t="shared" si="5"/>
        <v>700.13184866980851</v>
      </c>
    </row>
    <row r="17" spans="1:76" s="12" customFormat="1" x14ac:dyDescent="0.35">
      <c r="A17" s="105">
        <v>15</v>
      </c>
      <c r="B17" s="81" t="s">
        <v>163</v>
      </c>
      <c r="C17" s="77" t="s">
        <v>164</v>
      </c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147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</row>
    <row r="18" spans="1:76" x14ac:dyDescent="0.35">
      <c r="A18" s="105">
        <v>16</v>
      </c>
      <c r="B18" s="3">
        <v>1</v>
      </c>
      <c r="C18" s="3" t="s">
        <v>97</v>
      </c>
      <c r="D18" s="3" t="s">
        <v>168</v>
      </c>
      <c r="E18" s="5">
        <f>SUMIFS('48 KMP -Tháng'!$F$2:$F$53,'48 KMP -Tháng'!$C$2:$C$53,'18 KMP- Tháng'!D18)</f>
        <v>3029.1393939999998</v>
      </c>
      <c r="F18" s="5">
        <f>SUMIFS('48 KMP -Tháng'!$G$2:$G$53,'48 KMP -Tháng'!$C$2:$C$53,'18 KMP- Tháng'!D18)</f>
        <v>3029.1393939999998</v>
      </c>
      <c r="G18" s="6">
        <f>SUMIFS('48 KMP -Tháng'!$H$2:$H$53,'48 KMP -Tháng'!$C$2:$C$53,'18 KMP- Tháng'!D18)</f>
        <v>3029.1393939999998</v>
      </c>
      <c r="H18" s="5">
        <f>SUMIFS('48 KMP -Tháng'!$I$2:$I$53,'48 KMP -Tháng'!$C$2:$C$53,'18 KMP- Tháng'!D18)</f>
        <v>1200</v>
      </c>
      <c r="I18" s="5">
        <f>SUMIFS('48 KMP -Tháng'!$J$2:$J$53,'48 KMP -Tháng'!$C$2:$C$53,'18 KMP- Tháng'!D18)</f>
        <v>1381.636364</v>
      </c>
      <c r="J18" s="5">
        <f>SUMIFS('48 KMP -Tháng'!$K$2:$K$53,'48 KMP -Tháng'!$C$2:$C$53,'18 KMP- Tháng'!D18)</f>
        <v>1317.818182</v>
      </c>
      <c r="K18" s="5">
        <f>SUMIFS('48 KMP -Tháng'!$L$2:$L$53,'48 KMP -Tháng'!$C$2:$C$53,'18 KMP- Tháng'!D18)</f>
        <v>1317.818182</v>
      </c>
      <c r="L18" s="5">
        <f>SUMIFS('48 KMP -Tháng'!$M$2:$M$53,'48 KMP -Tháng'!$C$2:$C$53,'18 KMP- Tháng'!D18)</f>
        <v>1179.4181819999999</v>
      </c>
      <c r="M18" s="5">
        <f>SUMIFS('48 KMP -Tháng'!$N$2:$N$53,'48 KMP -Tháng'!$C$2:$C$53,'18 KMP- Tháng'!D18)</f>
        <v>0</v>
      </c>
      <c r="N18" s="5">
        <f>SUMIFS('48 KMP -Tháng'!$O$2:$O$53,'48 KMP -Tháng'!$C$2:$C$53,'18 KMP- Tháng'!$D18)</f>
        <v>79.418182000000002</v>
      </c>
      <c r="O18" s="5">
        <f>SUMIFS('48 KMP -Tháng'!$P$2:$P$53,'48 KMP -Tháng'!$C$2:$C$53,'18 KMP- Tháng'!$D18)</f>
        <v>79.418182000000002</v>
      </c>
      <c r="P18" s="5">
        <f>SUMIFS('48 KMP -Tháng'!$Q$2:$Q$53,'48 KMP -Tháng'!$C$2:$C$53,'18 KMP- Tháng'!$D18)</f>
        <v>79.418182000000002</v>
      </c>
      <c r="Q18" s="6">
        <f>AVERAGE(E18:P18)</f>
        <v>1310.196969833333</v>
      </c>
      <c r="R18" s="5">
        <f>SUMIFS('48 KMP -Tháng'!$S$2:$S$53,'48 KMP -Tháng'!$C$2:$C$53,'18 KMP- Tháng'!$D18)+154+R29</f>
        <v>5953.6515149999996</v>
      </c>
      <c r="S18" s="5">
        <f>SUMIFS('48 KMP -Tháng'!$T$2:$T$53,'48 KMP -Tháng'!$C$2:$C$53,'18 KMP- Tháng'!$D18)-154+S29</f>
        <v>7553.6515149999996</v>
      </c>
      <c r="T18" s="5">
        <f>SUMIFS('48 KMP -Tháng'!U$2:U$53,'48 KMP -Tháng'!$C$2:$C$53,'18 KMP- Tháng'!$D18)+T29</f>
        <v>7603.6514150000003</v>
      </c>
      <c r="U18" s="5">
        <f>SUMIFS('48 KMP -Tháng'!V$2:V$53,'48 KMP -Tháng'!$C$2:$C$53,'18 KMP- Tháng'!$D18)+U29</f>
        <v>7489.8333329999996</v>
      </c>
      <c r="V18" s="5">
        <f>SUMIFS('48 KMP -Tháng'!W$2:W$53,'48 KMP -Tháng'!$C$2:$C$53,'18 KMP- Tháng'!$D18)+V29</f>
        <v>7715.8333329999996</v>
      </c>
      <c r="W18" s="5">
        <f>SUMIFS('48 KMP -Tháng'!X$2:X$53,'48 KMP -Tháng'!$C$2:$C$53,'18 KMP- Tháng'!$D18)+W29</f>
        <v>7565.8333329999996</v>
      </c>
      <c r="X18" s="5">
        <f>SUMIFS('48 KMP -Tháng'!Y$2:Y$53,'48 KMP -Tháng'!$C$2:$C$53,'18 KMP- Tháng'!$D18)+X29</f>
        <v>7565.8333329999996</v>
      </c>
      <c r="Y18" s="5">
        <f>SUMIFS('48 KMP -Tháng'!Z$2:Z$53,'48 KMP -Tháng'!$C$2:$C$53,'18 KMP- Tháng'!$D18)+Y29</f>
        <v>7565.8333329999996</v>
      </c>
      <c r="Z18" s="5">
        <f>SUMIFS('48 KMP -Tháng'!AA$2:AA$53,'48 KMP -Tháng'!$C$2:$C$53,'18 KMP- Tháng'!$D18)+Z29</f>
        <v>7565.8333329999996</v>
      </c>
      <c r="AA18" s="5">
        <f>SUMIFS('48 KMP -Tháng'!AB$2:AB$53,'48 KMP -Tháng'!$C$2:$C$53,'18 KMP- Tháng'!$D18)+AA29</f>
        <v>6965.8333329999996</v>
      </c>
      <c r="AB18" s="5">
        <f>SUMIFS('48 KMP -Tháng'!AC$2:AC$53,'48 KMP -Tháng'!$C$2:$C$53,'18 KMP- Tháng'!$D18)+AB29</f>
        <v>6815.8333329999996</v>
      </c>
      <c r="AC18" s="308">
        <f>SUMIFS('48 KMP -Tháng'!AD$2:AD$53,'48 KMP -Tháng'!$C$2:$C$53,'18 KMP- Tháng'!$D18)+AC29</f>
        <v>7115.8333380000004</v>
      </c>
      <c r="AD18" s="568">
        <f>SUM(R18:AC18)</f>
        <v>87477.454447000011</v>
      </c>
      <c r="AE18" s="28">
        <f t="shared" si="2"/>
        <v>7289.7878705833346</v>
      </c>
      <c r="AF18" s="558">
        <f>SUMIFS('48 KMP -Tháng'!AH$2:AH$53,'48 KMP -Tháng'!$C$2:$C$53,'18 KMP- Tháng'!$D18)+AF29</f>
        <v>7607.0608030000003</v>
      </c>
      <c r="AG18" s="558">
        <f>SUMIFS('48 KMP -Tháng'!AI$2:AI$53,'48 KMP -Tháng'!$C$2:$C$53,'18 KMP- Tháng'!$D18)+AG29</f>
        <v>7607.0608030000003</v>
      </c>
      <c r="AH18" s="558">
        <f>SUMIFS('48 KMP -Tháng'!AJ$2:AJ$53,'48 KMP -Tháng'!$C$2:$C$53,'18 KMP- Tháng'!$D18)+AH29</f>
        <v>7661.0608030000003</v>
      </c>
      <c r="AI18" s="558">
        <f>SUMIFS('48 KMP -Tháng'!AK$2:AK$53,'48 KMP -Tháng'!$C$2:$C$53,'18 KMP- Tháng'!$D18)+AI29</f>
        <v>7511.0608030000003</v>
      </c>
      <c r="AJ18" s="558">
        <f>SUMIFS('48 KMP -Tháng'!AL$2:AL$53,'48 KMP -Tháng'!$C$2:$C$53,'18 KMP- Tháng'!$D18)+AJ29</f>
        <v>7537.0608030000003</v>
      </c>
      <c r="AK18" s="558">
        <f>SUMIFS('48 KMP -Tháng'!AM$2:AM$53,'48 KMP -Tháng'!$C$2:$C$53,'18 KMP- Tháng'!$D18)+AK29</f>
        <v>8266.7444390000001</v>
      </c>
      <c r="AL18" s="558">
        <f>SUMIFS('48 KMP -Tháng'!AN$2:AN$53,'48 KMP -Tháng'!$C$2:$C$53,'18 KMP- Tháng'!$D18)+AL29</f>
        <v>8544.6585909999994</v>
      </c>
      <c r="AM18" s="558">
        <f>SUMIFS('48 KMP -Tháng'!AO$2:AO$53,'48 KMP -Tháng'!$C$2:$C$53,'18 KMP- Tháng'!$D18)+AM29</f>
        <v>8994.6585909999994</v>
      </c>
      <c r="AN18" s="558">
        <f>SUMIFS('48 KMP -Tháng'!AP$2:AP$53,'48 KMP -Tháng'!$C$2:$C$53,'18 KMP- Tháng'!$D18)+AN29</f>
        <v>9001.4585910000005</v>
      </c>
      <c r="AO18" s="558">
        <f>SUMIFS('48 KMP -Tháng'!AQ$2:AQ$53,'48 KMP -Tháng'!$C$2:$C$53,'18 KMP- Tháng'!$D18)+AO29</f>
        <v>9011.6585909999994</v>
      </c>
      <c r="AP18" s="558">
        <f>SUMIFS('48 KMP -Tháng'!AR$2:AR$53,'48 KMP -Tháng'!$C$2:$C$53,'18 KMP- Tháng'!$D18)+AP29</f>
        <v>9011.6585909999994</v>
      </c>
      <c r="AQ18" s="558">
        <f>SUMIFS('48 KMP -Tháng'!AS$2:AS$53,'48 KMP -Tháng'!$C$2:$C$53,'18 KMP- Tháng'!$D18)+AQ29</f>
        <v>8116.6585910000003</v>
      </c>
      <c r="AR18" s="28">
        <f t="shared" si="3"/>
        <v>8239.2333333333336</v>
      </c>
      <c r="AS18" s="558">
        <f>SUMIFS('48 KMP -Tháng'!AV$2:AV$53,'48 KMP -Tháng'!$C$2:$C$53,'18 KMP- Tháng'!$D18)+AS29</f>
        <v>9336.6666700000005</v>
      </c>
      <c r="AT18" s="558">
        <f>SUMIFS('48 KMP -Tháng'!AW$2:AW$53,'48 KMP -Tháng'!$C$2:$C$53,'18 KMP- Tháng'!$D18)+AT29</f>
        <v>9336.6666700000005</v>
      </c>
      <c r="AU18" s="558">
        <f>SUMIFS('48 KMP -Tháng'!AX$2:AX$53,'48 KMP -Tháng'!$C$2:$C$53,'18 KMP- Tháng'!$D18)+AU29</f>
        <v>9336.6666700000005</v>
      </c>
      <c r="AV18" s="558">
        <f>SUMIFS('48 KMP -Tháng'!AY$2:AY$53,'48 KMP -Tháng'!$C$2:$C$53,'18 KMP- Tháng'!$D18)+AV29</f>
        <v>9336.6666700000005</v>
      </c>
      <c r="AW18" s="558">
        <f>SUMIFS('48 KMP -Tháng'!AZ$2:AZ$53,'48 KMP -Tháng'!$C$2:$C$53,'18 KMP- Tháng'!$D18)+AW29</f>
        <v>9336.666663</v>
      </c>
      <c r="AX18" s="558">
        <f>SUMIFS('48 KMP -Tháng'!BA$2:BA$53,'48 KMP -Tháng'!$C$2:$C$53,'18 KMP- Tháng'!$D18)+AX29</f>
        <v>9174.1666669999995</v>
      </c>
      <c r="AY18" s="558">
        <f>SUMIFS('48 KMP -Tháng'!BB$2:BB$53,'48 KMP -Tháng'!$C$2:$C$53,'18 KMP- Tháng'!$D18)+AY29</f>
        <v>0</v>
      </c>
      <c r="AZ18" s="558">
        <f>SUMIFS('48 KMP -Tháng'!BC$2:BC$53,'48 KMP -Tháng'!$C$2:$C$53,'18 KMP- Tháng'!$D18)+AZ29</f>
        <v>0</v>
      </c>
      <c r="BA18" s="558">
        <f>SUMIFS('48 KMP -Tháng'!BD$2:BD$53,'48 KMP -Tháng'!$C$2:$C$53,'18 KMP- Tháng'!$D18)+BA29</f>
        <v>0</v>
      </c>
      <c r="BB18" s="558">
        <f>SUMIFS('48 KMP -Tháng'!BE$2:BE$53,'48 KMP -Tháng'!$C$2:$C$53,'18 KMP- Tháng'!$D18)+BB29</f>
        <v>0</v>
      </c>
      <c r="BC18" s="558">
        <f>SUMIFS('48 KMP -Tháng'!BF$2:BF$53,'48 KMP -Tháng'!$C$2:$C$53,'18 KMP- Tháng'!$D18)+BC29</f>
        <v>0</v>
      </c>
      <c r="BD18" s="558">
        <f>SUMIFS('48 KMP -Tháng'!BG$2:BG$53,'48 KMP -Tháng'!$C$2:$C$53,'18 KMP- Tháng'!$D18)+BD29</f>
        <v>0</v>
      </c>
      <c r="BE18" s="28">
        <f t="shared" ref="BE18:BE25" si="7">AVERAGE(AS18:BD18)</f>
        <v>4654.7916675000006</v>
      </c>
      <c r="BF18" s="7">
        <f>SUMIFS('48 KMP -Tháng'!BI$2:BI$53,'48 KMP -Tháng'!$C$2:$C$53,'18 KMP- Tháng'!$D18)</f>
        <v>5820</v>
      </c>
      <c r="BG18" s="86"/>
      <c r="BH18" s="8">
        <f>SUMIFS('48 KMP -Tháng'!BL$2:BL$50,'48 KMP -Tháng'!$C$2:$C$50,'18 KMP- Tháng'!$D18)</f>
        <v>5820</v>
      </c>
      <c r="BI18" s="8">
        <f>SUMIFS('48 KMP -Tháng'!BM$2:BM$50,'48 KMP -Tháng'!$C$2:$C$50,'18 KMP- Tháng'!$D18)</f>
        <v>5820</v>
      </c>
      <c r="BJ18" s="8">
        <f>SUMIFS('48 KMP -Tháng'!BN$2:BN$50,'48 KMP -Tháng'!$C$2:$C$50,'18 KMP- Tháng'!$D18)</f>
        <v>5820</v>
      </c>
      <c r="BK18" s="8">
        <f>SUMIFS('48 KMP -Tháng'!BO$2:BO$50,'48 KMP -Tháng'!$C$2:$C$50,'18 KMP- Tháng'!$D18)</f>
        <v>5820</v>
      </c>
      <c r="BL18" s="8">
        <f>SUMIFS('48 KMP -Tháng'!BP$2:BP$50,'48 KMP -Tháng'!$C$2:$C$50,'18 KMP- Tháng'!$D18)</f>
        <v>5820</v>
      </c>
      <c r="BM18" s="8">
        <f>SUMIFS('48 KMP -Tháng'!BQ$2:BQ$50,'48 KMP -Tháng'!$C$2:$C$50,'18 KMP- Tháng'!$D18)</f>
        <v>5820</v>
      </c>
      <c r="BN18" s="8">
        <f>SUMIFS('48 KMP -Tháng'!BR$2:BR$50,'48 KMP -Tháng'!$C$2:$C$50,'18 KMP- Tháng'!$D18)</f>
        <v>5820</v>
      </c>
      <c r="BO18" s="8">
        <f>SUMIFS('48 KMP -Tháng'!BS$2:BS$50,'48 KMP -Tháng'!$C$2:$C$50,'18 KMP- Tháng'!$D18)</f>
        <v>5820</v>
      </c>
      <c r="BP18" s="8">
        <f>SUMIFS('48 KMP -Tháng'!BT$2:BT$50,'48 KMP -Tháng'!$C$2:$C$50,'18 KMP- Tháng'!$D18)</f>
        <v>5820</v>
      </c>
      <c r="BQ18" s="8">
        <f>SUMIFS('48 KMP -Tháng'!BU$2:BU$50,'48 KMP -Tháng'!$C$2:$C$50,'18 KMP- Tháng'!$D18)</f>
        <v>5820</v>
      </c>
      <c r="BR18" s="8">
        <f>SUMIFS('48 KMP -Tháng'!BV$2:BV$50,'48 KMP -Tháng'!$C$2:$C$50,'18 KMP- Tháng'!$D18)</f>
        <v>5820</v>
      </c>
      <c r="BS18" s="8">
        <f>SUMIFS('48 KMP -Tháng'!BW$2:BW$50,'48 KMP -Tháng'!$C$2:$C$50,'18 KMP- Tháng'!$D18)</f>
        <v>5820</v>
      </c>
      <c r="BT18" s="8">
        <f t="shared" ref="BT18:BT24" si="8">SUM(BH18:BS18)</f>
        <v>69840</v>
      </c>
      <c r="BV18" s="9"/>
      <c r="BW18" s="9"/>
      <c r="BX18" s="9"/>
    </row>
    <row r="19" spans="1:76" x14ac:dyDescent="0.35">
      <c r="A19" s="105">
        <v>17</v>
      </c>
      <c r="B19" s="3">
        <f t="shared" ref="B19:B24" si="9">B18+1</f>
        <v>2</v>
      </c>
      <c r="C19" s="3" t="s">
        <v>97</v>
      </c>
      <c r="D19" s="3" t="s">
        <v>48</v>
      </c>
      <c r="E19" s="5">
        <f>SUMIFS('48 KMP -Tháng'!$F$2:$F$53,'48 KMP -Tháng'!$C$2:$C$53,'18 KMP- Tháng'!D19)</f>
        <v>6125.5390770000004</v>
      </c>
      <c r="F19" s="5">
        <f>SUMIFS('48 KMP -Tháng'!$G$2:$G$53,'48 KMP -Tháng'!$C$2:$C$53,'18 KMP- Tháng'!D19)</f>
        <v>6126.0910359999998</v>
      </c>
      <c r="G19" s="6">
        <f>SUMIFS('48 KMP -Tháng'!$H$2:$H$53,'48 KMP -Tháng'!$C$2:$C$53,'18 KMP- Tháng'!D19)</f>
        <v>6407.0904010000004</v>
      </c>
      <c r="H19" s="5">
        <f>SUMIFS('48 KMP -Tháng'!$I$2:$I$53,'48 KMP -Tháng'!$C$2:$C$53,'18 KMP- Tháng'!D19)</f>
        <v>7043.8874960000003</v>
      </c>
      <c r="I19" s="5">
        <f>SUMIFS('48 KMP -Tháng'!$J$2:$J$53,'48 KMP -Tháng'!$C$2:$C$53,'18 KMP- Tháng'!D19)</f>
        <v>7372.1250959999998</v>
      </c>
      <c r="J19" s="5">
        <f>SUMIFS('48 KMP -Tháng'!$K$2:$K$53,'48 KMP -Tháng'!$C$2:$C$53,'18 KMP- Tháng'!D19)</f>
        <v>7571.593116</v>
      </c>
      <c r="K19" s="5">
        <f>SUMIFS('48 KMP -Tháng'!$L$2:$L$53,'48 KMP -Tháng'!$C$2:$C$53,'18 KMP- Tháng'!D19)</f>
        <v>7495.9041289999996</v>
      </c>
      <c r="L19" s="5">
        <f>SUMIFS('48 KMP -Tháng'!$M$2:$M$53,'48 KMP -Tháng'!$C$2:$C$53,'18 KMP- Tháng'!D19)</f>
        <v>8307.0938870000009</v>
      </c>
      <c r="M19" s="5">
        <f>SUMIFS('48 KMP -Tháng'!$N$2:$N$53,'48 KMP -Tháng'!$C$2:$C$53,'18 KMP- Tháng'!D19)</f>
        <v>8042.3777319999999</v>
      </c>
      <c r="N19" s="5">
        <f>SUMIFS('48 KMP -Tháng'!$O$2:$O$53,'48 KMP -Tháng'!$C$2:$C$53,'18 KMP- Tháng'!$D19)</f>
        <v>7933.8950500000001</v>
      </c>
      <c r="O19" s="5">
        <f>SUMIFS('48 KMP -Tháng'!$P$2:$P$53,'48 KMP -Tháng'!$C$2:$C$53,'18 KMP- Tháng'!$D19)</f>
        <v>8291.7686730000005</v>
      </c>
      <c r="P19" s="5">
        <f>SUMIFS('48 KMP -Tháng'!$Q$2:$Q$53,'48 KMP -Tháng'!$C$2:$C$53,'18 KMP- Tháng'!$D19)</f>
        <v>8517.5400150000005</v>
      </c>
      <c r="Q19" s="6">
        <f t="shared" si="0"/>
        <v>7436.2421423333353</v>
      </c>
      <c r="R19" s="5">
        <f>SUMIFS('48 KMP -Tháng'!$S$2:$S$53,'48 KMP -Tháng'!$C$2:$C$53,'18 KMP- Tháng'!$D19)</f>
        <v>9830.8313450000005</v>
      </c>
      <c r="S19" s="5">
        <f>SUMIFS('48 KMP -Tháng'!$T$2:$T$53,'48 KMP -Tháng'!$C$2:$C$53,'18 KMP- Tháng'!$D19)</f>
        <v>8773.2714360000009</v>
      </c>
      <c r="T19" s="5">
        <f>SUMIFS('48 KMP -Tháng'!U$2:U$53,'48 KMP -Tháng'!$C$2:$C$53,'18 KMP- Tháng'!$D19)</f>
        <v>9519.9123970000001</v>
      </c>
      <c r="U19" s="5">
        <f>SUMIFS('48 KMP -Tháng'!V$2:V$53,'48 KMP -Tháng'!$C$2:$C$53,'18 KMP- Tháng'!$D19)</f>
        <v>10326.124313</v>
      </c>
      <c r="V19" s="5">
        <f>SUMIFS('48 KMP -Tháng'!W$2:W$53,'48 KMP -Tháng'!$C$2:$C$53,'18 KMP- Tháng'!$D19)</f>
        <v>10542.358342</v>
      </c>
      <c r="W19" s="5">
        <f>SUMIFS('48 KMP -Tháng'!X$2:X$53,'48 KMP -Tháng'!$C$2:$C$53,'18 KMP- Tháng'!$D19)</f>
        <v>10420.118291000001</v>
      </c>
      <c r="X19" s="5">
        <f>SUMIFS('48 KMP -Tháng'!Y$2:Y$53,'48 KMP -Tháng'!$C$2:$C$53,'18 KMP- Tháng'!$D19)</f>
        <v>10367.214110999999</v>
      </c>
      <c r="Y19" s="5">
        <f>SUMIFS('48 KMP -Tháng'!Z$2:Z$53,'48 KMP -Tháng'!$C$2:$C$53,'18 KMP- Tháng'!$D19)</f>
        <v>10248.121787</v>
      </c>
      <c r="Z19" s="5">
        <f>SUMIFS('48 KMP -Tháng'!AA$2:AA$53,'48 KMP -Tháng'!$C$2:$C$53,'18 KMP- Tháng'!$D19)</f>
        <v>10990.529123</v>
      </c>
      <c r="AA19" s="5">
        <f>SUMIFS('48 KMP -Tháng'!AB$2:AB$53,'48 KMP -Tháng'!$C$2:$C$53,'18 KMP- Tháng'!$D19)</f>
        <v>11059.132774</v>
      </c>
      <c r="AB19" s="5">
        <f>SUMIFS('48 KMP -Tháng'!AC$2:AC$53,'48 KMP -Tháng'!$C$2:$C$53,'18 KMP- Tháng'!$D19)</f>
        <v>11344.443729000001</v>
      </c>
      <c r="AC19" s="5">
        <f>SUMIFS('48 KMP -Tháng'!AD$2:AD$53,'48 KMP -Tháng'!$C$2:$C$53,'18 KMP- Tháng'!$D19)+SUMIFS('48 KMP -Tháng'!$AE$2:$AE$53,'48 KMP -Tháng'!$C$2:$C$53,'18 KMP- Tháng'!D19)</f>
        <v>13046.731478</v>
      </c>
      <c r="AD19" s="7">
        <f t="shared" si="1"/>
        <v>126468.789126</v>
      </c>
      <c r="AE19" s="28">
        <f t="shared" si="2"/>
        <v>10539.0657605</v>
      </c>
      <c r="AF19" s="5">
        <f>SUMIFS('48 KMP -Tháng'!AH$2:AH$53,'48 KMP -Tháng'!$C$2:$C$53,'18 KMP- Tháng'!$D19)</f>
        <v>12484.720971999999</v>
      </c>
      <c r="AG19" s="5">
        <f>SUMIFS('48 KMP -Tháng'!AI$2:AI$53,'48 KMP -Tháng'!$C$2:$C$53,'18 KMP- Tháng'!$D19)</f>
        <v>12440.263203</v>
      </c>
      <c r="AH19" s="5">
        <f>SUMIFS('48 KMP -Tháng'!AJ$2:AJ$53,'48 KMP -Tháng'!$C$2:$C$53,'18 KMP- Tháng'!$D19)</f>
        <v>12471.463223000001</v>
      </c>
      <c r="AI19" s="5">
        <f>SUMIFS('48 KMP -Tháng'!AK$2:AK$53,'48 KMP -Tháng'!$C$2:$C$53,'18 KMP- Tháng'!$D19)</f>
        <v>13751.320948</v>
      </c>
      <c r="AJ19" s="5">
        <f>SUMIFS('48 KMP -Tháng'!AL$2:AL$53,'48 KMP -Tháng'!$C$2:$C$53,'18 KMP- Tháng'!$D19)</f>
        <v>13836.715722999999</v>
      </c>
      <c r="AK19" s="5">
        <f>SUMIFS('48 KMP -Tháng'!AM$2:AM$53,'48 KMP -Tháng'!$C$2:$C$53,'18 KMP- Tháng'!$D19)</f>
        <v>14183.474963000001</v>
      </c>
      <c r="AL19" s="5">
        <f>SUMIFS('48 KMP -Tháng'!AN$2:AN$53,'48 KMP -Tháng'!$C$2:$C$53,'18 KMP- Tháng'!$D19)</f>
        <v>14703.546302000001</v>
      </c>
      <c r="AM19" s="5">
        <f>SUMIFS('48 KMP -Tháng'!AO$2:AO$53,'48 KMP -Tháng'!$C$2:$C$53,'18 KMP- Tháng'!$D19)</f>
        <v>14974.12703</v>
      </c>
      <c r="AN19" s="5">
        <f>SUMIFS('48 KMP -Tháng'!AP$2:AP$53,'48 KMP -Tháng'!$C$2:$C$53,'18 KMP- Tháng'!$D19)</f>
        <v>15329.392134</v>
      </c>
      <c r="AO19" s="5">
        <f>SUMIFS('48 KMP -Tháng'!AQ$2:AQ$53,'48 KMP -Tháng'!$C$2:$C$53,'18 KMP- Tháng'!$D19)</f>
        <v>14505.21227</v>
      </c>
      <c r="AP19" s="5">
        <f>SUMIFS('48 KMP -Tháng'!AR$2:AR$53,'48 KMP -Tháng'!$C$2:$C$53,'18 KMP- Tháng'!$D19)</f>
        <v>14089.326478000001</v>
      </c>
      <c r="AQ19" s="5">
        <f>SUMIFS('48 KMP -Tháng'!AS$2:AS$53,'48 KMP -Tháng'!$C$2:$C$53,'18 KMP- Tháng'!$D19)+SUMIFS('48 KMP -Tháng'!AT$2:AT$53,'48 KMP -Tháng'!$C$2:$C$53,'18 KMP- Tháng'!$D19)</f>
        <v>20951.962551000001</v>
      </c>
      <c r="AR19" s="28">
        <f t="shared" si="3"/>
        <v>14476.793816416668</v>
      </c>
      <c r="AS19" s="5">
        <f>SUMIFS('48 KMP -Tháng'!AV$2:AV$53,'48 KMP -Tháng'!$C$2:$C$53,'18 KMP- Tháng'!$D19)</f>
        <v>14411.695471000001</v>
      </c>
      <c r="AT19" s="5">
        <f>SUMIFS('48 KMP -Tháng'!AW$2:AW$53,'48 KMP -Tháng'!$C$2:$C$53,'18 KMP- Tháng'!$D19)</f>
        <v>12889.941534</v>
      </c>
      <c r="AU19" s="5">
        <f>SUMIFS('48 KMP -Tháng'!AX$2:AX$53,'48 KMP -Tháng'!$C$2:$C$53,'18 KMP- Tháng'!$D19)</f>
        <v>13887.70347</v>
      </c>
      <c r="AV19" s="5">
        <f>SUMIFS('48 KMP -Tháng'!AY$2:AY$53,'48 KMP -Tháng'!$C$2:$C$53,'18 KMP- Tháng'!$D19)</f>
        <v>15549.865876</v>
      </c>
      <c r="AW19" s="5">
        <f>SUMIFS('48 KMP -Tháng'!AZ$2:AZ$53,'48 KMP -Tháng'!$C$2:$C$53,'18 KMP- Tháng'!$D19)</f>
        <v>14649.384491000001</v>
      </c>
      <c r="AX19" s="5">
        <f>SUMIFS('48 KMP -Tháng'!BA$2:BA$53,'48 KMP -Tháng'!$C$2:$C$53,'18 KMP- Tháng'!$D19)</f>
        <v>15482.976709</v>
      </c>
      <c r="AY19" s="5">
        <f>SUMIFS('48 KMP -Tháng'!BB$2:BB$53,'48 KMP -Tháng'!$C$2:$C$53,'18 KMP- Tháng'!$D19)</f>
        <v>0</v>
      </c>
      <c r="AZ19" s="5">
        <f>SUMIFS('48 KMP -Tháng'!BC$2:BC$53,'48 KMP -Tháng'!$C$2:$C$53,'18 KMP- Tháng'!$D19)</f>
        <v>0</v>
      </c>
      <c r="BA19" s="5">
        <f>SUMIFS('48 KMP -Tháng'!BD$2:BD$53,'48 KMP -Tháng'!$C$2:$C$53,'18 KMP- Tháng'!$D19)</f>
        <v>0</v>
      </c>
      <c r="BB19" s="5">
        <f>SUMIFS('48 KMP -Tháng'!BE$2:BE$53,'48 KMP -Tháng'!$C$2:$C$53,'18 KMP- Tháng'!$D19)</f>
        <v>0</v>
      </c>
      <c r="BC19" s="5">
        <f>SUMIFS('48 KMP -Tháng'!BF$2:BF$53,'48 KMP -Tháng'!$C$2:$C$53,'18 KMP- Tháng'!$D19)</f>
        <v>0</v>
      </c>
      <c r="BD19" s="5">
        <f>SUMIFS('48 KMP -Tháng'!BG$2:BG$53,'48 KMP -Tháng'!$C$2:$C$53,'18 KMP- Tháng'!$D19)</f>
        <v>0</v>
      </c>
      <c r="BE19" s="28">
        <f t="shared" si="7"/>
        <v>7239.2972959166664</v>
      </c>
      <c r="BF19" s="7">
        <f>SUMIFS('48 KMP -Tháng'!BI$2:BI$53,'48 KMP -Tháng'!$C$2:$C$53,'18 KMP- Tháng'!$D19)</f>
        <v>16608.384155269232</v>
      </c>
      <c r="BG19" s="86"/>
      <c r="BH19" s="8">
        <f>SUMIFS('48 KMP -Tháng'!BL$2:BL$50,'48 KMP -Tháng'!$C$2:$C$50,'18 KMP- Tháng'!$D19)</f>
        <v>15931.069797384615</v>
      </c>
      <c r="BI19" s="8">
        <f>SUMIFS('48 KMP -Tháng'!BM$2:BM$50,'48 KMP -Tháng'!$C$2:$C$50,'18 KMP- Tháng'!$D19)</f>
        <v>15790.248279384619</v>
      </c>
      <c r="BJ19" s="8">
        <f>SUMIFS('48 KMP -Tháng'!BN$2:BN$50,'48 KMP -Tháng'!$C$2:$C$50,'18 KMP- Tháng'!$D19)</f>
        <v>15196.810000538462</v>
      </c>
      <c r="BK19" s="8">
        <f>SUMIFS('48 KMP -Tháng'!BO$2:BO$50,'48 KMP -Tháng'!$C$2:$C$50,'18 KMP- Tháng'!$D19)</f>
        <v>16297.499056557692</v>
      </c>
      <c r="BL19" s="8">
        <f>SUMIFS('48 KMP -Tháng'!BP$2:BP$50,'48 KMP -Tháng'!$C$2:$C$50,'18 KMP- Tháng'!$D19)</f>
        <v>15842.84843769231</v>
      </c>
      <c r="BM19" s="8">
        <f>SUMIFS('48 KMP -Tháng'!BQ$2:BQ$50,'48 KMP -Tháng'!$C$2:$C$50,'18 KMP- Tháng'!$D19)</f>
        <v>16608.384155269232</v>
      </c>
      <c r="BN19" s="8">
        <f>SUMIFS('48 KMP -Tháng'!BR$2:BR$50,'48 KMP -Tháng'!$C$2:$C$50,'18 KMP- Tháng'!$D19)</f>
        <v>16228.669642442308</v>
      </c>
      <c r="BO19" s="8">
        <f>SUMIFS('48 KMP -Tháng'!BS$2:BS$50,'48 KMP -Tháng'!$C$2:$C$50,'18 KMP- Tháng'!$D19)</f>
        <v>16424.568209153847</v>
      </c>
      <c r="BP19" s="8">
        <f>SUMIFS('48 KMP -Tháng'!BT$2:BT$50,'48 KMP -Tháng'!$C$2:$C$50,'18 KMP- Tháng'!$D19)</f>
        <v>16603.793978038459</v>
      </c>
      <c r="BQ19" s="8">
        <f>SUMIFS('48 KMP -Tháng'!BU$2:BU$50,'48 KMP -Tháng'!$C$2:$C$50,'18 KMP- Tháng'!$D19)</f>
        <v>15861.049816326924</v>
      </c>
      <c r="BR19" s="8">
        <f>SUMIFS('48 KMP -Tháng'!BV$2:BV$50,'48 KMP -Tháng'!$C$2:$C$50,'18 KMP- Tháng'!$D19)</f>
        <v>16586.944001269232</v>
      </c>
      <c r="BS19" s="8">
        <f>SUMIFS('48 KMP -Tháng'!BW$2:BW$50,'48 KMP -Tháng'!$C$2:$C$50,'18 KMP- Tháng'!$D19)</f>
        <v>18480.446209153848</v>
      </c>
      <c r="BT19" s="8">
        <f t="shared" si="8"/>
        <v>195852.33158321158</v>
      </c>
    </row>
    <row r="20" spans="1:76" x14ac:dyDescent="0.35">
      <c r="A20" s="105">
        <v>5</v>
      </c>
      <c r="B20" s="3">
        <f t="shared" si="9"/>
        <v>3</v>
      </c>
      <c r="C20" s="3" t="s">
        <v>97</v>
      </c>
      <c r="D20" s="3" t="s">
        <v>16</v>
      </c>
      <c r="E20" s="5">
        <f>SUMIFS('48 KMP -Tháng'!$F$2:$F$53,'48 KMP -Tháng'!$C$2:$C$53,'18 KMP- Tháng'!D20)</f>
        <v>1999.745032</v>
      </c>
      <c r="F20" s="5">
        <f>SUMIFS('48 KMP -Tháng'!$G$2:$G$53,'48 KMP -Tháng'!$C$2:$C$53,'18 KMP- Tháng'!D20)</f>
        <v>2159.0866270000001</v>
      </c>
      <c r="G20" s="6">
        <f>SUMIFS('48 KMP -Tháng'!$H$2:$H$53,'48 KMP -Tháng'!$C$2:$C$53,'18 KMP- Tháng'!D20)</f>
        <v>2355.4122550000002</v>
      </c>
      <c r="H20" s="5">
        <f>SUMIFS('48 KMP -Tháng'!$I$2:$I$53,'48 KMP -Tháng'!$C$2:$C$53,'18 KMP- Tháng'!D20)</f>
        <v>2503.34139</v>
      </c>
      <c r="I20" s="5">
        <f>SUMIFS('48 KMP -Tháng'!$J$2:$J$53,'48 KMP -Tháng'!$C$2:$C$53,'18 KMP- Tháng'!D20)</f>
        <v>2453.5862940000002</v>
      </c>
      <c r="J20" s="5">
        <f>SUMIFS('48 KMP -Tháng'!$K$2:$K$53,'48 KMP -Tháng'!$C$2:$C$53,'18 KMP- Tháng'!D20)</f>
        <v>2496.0810230000002</v>
      </c>
      <c r="K20" s="5">
        <f>SUMIFS('48 KMP -Tháng'!$L$2:$L$53,'48 KMP -Tháng'!$C$2:$C$53,'18 KMP- Tháng'!D20)</f>
        <v>2605.8116279999999</v>
      </c>
      <c r="L20" s="5">
        <f>SUMIFS('48 KMP -Tháng'!$M$2:$M$53,'48 KMP -Tháng'!$C$2:$C$53,'18 KMP- Tháng'!D20)</f>
        <v>2747.3790829999998</v>
      </c>
      <c r="M20" s="5">
        <f>SUMIFS('48 KMP -Tháng'!$N$2:$N$53,'48 KMP -Tháng'!$C$2:$C$53,'18 KMP- Tháng'!D20)</f>
        <v>2849.3270080000002</v>
      </c>
      <c r="N20" s="5">
        <f>SUMIFS('48 KMP -Tháng'!$O$2:$O$53,'48 KMP -Tháng'!$C$2:$C$53,'18 KMP- Tháng'!$D20)</f>
        <v>2883.5538980000001</v>
      </c>
      <c r="O20" s="5">
        <f>SUMIFS('48 KMP -Tháng'!$P$2:$P$53,'48 KMP -Tháng'!$C$2:$C$53,'18 KMP- Tháng'!$D20)</f>
        <v>2888.0607730000002</v>
      </c>
      <c r="P20" s="5">
        <f>SUMIFS('48 KMP -Tháng'!$Q$2:$Q$53,'48 KMP -Tháng'!$C$2:$C$53,'18 KMP- Tháng'!$D20)</f>
        <v>3035.1713089999998</v>
      </c>
      <c r="Q20" s="6">
        <f>AVERAGE(E20:P20)</f>
        <v>2581.3796933333338</v>
      </c>
      <c r="R20" s="5">
        <f>SUMIFS('48 KMP -Tháng'!$S$2:$S$53,'48 KMP -Tháng'!$C$2:$C$53,'18 KMP- Tháng'!$D20)</f>
        <v>2998.4795089999998</v>
      </c>
      <c r="S20" s="5">
        <f>SUMIFS('48 KMP -Tháng'!T$2:T$53,'48 KMP -Tháng'!$C$2:$C$53,'18 KMP- Tháng'!$D20)</f>
        <v>3003.3587619999998</v>
      </c>
      <c r="T20" s="5">
        <f>SUMIFS('48 KMP -Tháng'!U$2:U$53,'48 KMP -Tháng'!$C$2:$C$53,'18 KMP- Tháng'!$D20)</f>
        <v>2998.9789329999999</v>
      </c>
      <c r="U20" s="5">
        <f>SUMIFS('48 KMP -Tháng'!V$2:V$53,'48 KMP -Tháng'!$C$2:$C$53,'18 KMP- Tháng'!$D20)</f>
        <v>3181.0243989999999</v>
      </c>
      <c r="V20" s="5">
        <f>SUMIFS('48 KMP -Tháng'!W$2:W$53,'48 KMP -Tháng'!$C$2:$C$53,'18 KMP- Tháng'!$D20)</f>
        <v>3238.7242780000001</v>
      </c>
      <c r="W20" s="5">
        <f>SUMIFS('48 KMP -Tháng'!X$2:X$53,'48 KMP -Tháng'!$C$2:$C$53,'18 KMP- Tháng'!$D20)</f>
        <v>3240.4400230000001</v>
      </c>
      <c r="X20" s="5">
        <f>SUMIFS('48 KMP -Tháng'!Y$2:Y$53,'48 KMP -Tháng'!$C$2:$C$53,'18 KMP- Tháng'!$D20)</f>
        <v>3274.4964810000001</v>
      </c>
      <c r="Y20" s="5">
        <f>SUMIFS('48 KMP -Tháng'!Z$2:Z$53,'48 KMP -Tháng'!$C$2:$C$53,'18 KMP- Tháng'!$D20)</f>
        <v>3295.429795</v>
      </c>
      <c r="Z20" s="5">
        <f>SUMIFS('48 KMP -Tháng'!AA$2:AA$53,'48 KMP -Tháng'!$C$2:$C$53,'18 KMP- Tháng'!$D20)</f>
        <v>3434.7116219999998</v>
      </c>
      <c r="AA20" s="5">
        <f>SUMIFS('48 KMP -Tháng'!AB$2:AB$53,'48 KMP -Tháng'!$C$2:$C$53,'18 KMP- Tháng'!$D20)</f>
        <v>3434.7924050000001</v>
      </c>
      <c r="AB20" s="5">
        <f>SUMIFS('48 KMP -Tháng'!AC$2:AC$53,'48 KMP -Tháng'!$C$2:$C$53,'18 KMP- Tháng'!$D20)</f>
        <v>3448.9865410000002</v>
      </c>
      <c r="AC20" s="5">
        <f>SUMIFS('48 KMP -Tháng'!AD$2:AD$53,'48 KMP -Tháng'!$C$2:$C$53,'18 KMP- Tháng'!$D20)+SUMIFS('48 KMP -Tháng'!$AE$2:$AE$53,'48 KMP -Tháng'!$C$2:$C$53,'18 KMP- Tháng'!D20)</f>
        <v>3762.4606610000001</v>
      </c>
      <c r="AD20" s="568">
        <f>SUM(R20:AC20)</f>
        <v>39311.883408999995</v>
      </c>
      <c r="AE20" s="28">
        <f t="shared" si="2"/>
        <v>3275.9902840833329</v>
      </c>
      <c r="AF20" s="5">
        <f>SUMIFS('48 KMP -Tháng'!AH$2:AH$53,'48 KMP -Tháng'!$C$2:$C$53,'18 KMP- Tháng'!$D20)</f>
        <v>3803.154168</v>
      </c>
      <c r="AG20" s="5">
        <f>SUMIFS('48 KMP -Tháng'!AI$2:AI$53,'48 KMP -Tháng'!$C$2:$C$53,'18 KMP- Tháng'!$D20)</f>
        <v>3804.6986139999999</v>
      </c>
      <c r="AH20" s="5">
        <f>SUMIFS('48 KMP -Tháng'!AJ$2:AJ$53,'48 KMP -Tháng'!$C$2:$C$53,'18 KMP- Tháng'!$D20)</f>
        <v>4002.6339750000002</v>
      </c>
      <c r="AI20" s="5">
        <f>SUMIFS('48 KMP -Tháng'!AK$2:AK$53,'48 KMP -Tháng'!$C$2:$C$53,'18 KMP- Tháng'!$D20)</f>
        <v>3905.1959280000001</v>
      </c>
      <c r="AJ20" s="5">
        <f>SUMIFS('48 KMP -Tháng'!AL$2:AL$53,'48 KMP -Tháng'!$C$2:$C$53,'18 KMP- Tháng'!$D20)</f>
        <v>4091.8549859999998</v>
      </c>
      <c r="AK20" s="5">
        <f>SUMIFS('48 KMP -Tháng'!AM$2:AM$53,'48 KMP -Tháng'!$C$2:$C$53,'18 KMP- Tháng'!$D20)</f>
        <v>4087.4683380000001</v>
      </c>
      <c r="AL20" s="5">
        <f>SUMIFS('48 KMP -Tháng'!AN$2:AN$53,'48 KMP -Tháng'!$C$2:$C$53,'18 KMP- Tháng'!$D20)</f>
        <v>4085.457551</v>
      </c>
      <c r="AM20" s="5">
        <f>SUMIFS('48 KMP -Tháng'!AO$2:AO$53,'48 KMP -Tháng'!$C$2:$C$53,'18 KMP- Tháng'!$D20)</f>
        <v>4092.9951599999999</v>
      </c>
      <c r="AN20" s="5">
        <f>SUMIFS('48 KMP -Tháng'!AP$2:AP$53,'48 KMP -Tháng'!$C$2:$C$53,'18 KMP- Tháng'!$D20)</f>
        <v>4407.5000479999999</v>
      </c>
      <c r="AO20" s="5">
        <f>SUMIFS('48 KMP -Tháng'!AQ$2:AQ$53,'48 KMP -Tháng'!$C$2:$C$53,'18 KMP- Tháng'!$D20)</f>
        <v>4260.8566920000003</v>
      </c>
      <c r="AP20" s="5">
        <f>SUMIFS('48 KMP -Tháng'!AR$2:AR$53,'48 KMP -Tháng'!$C$2:$C$53,'18 KMP- Tháng'!$D20)</f>
        <v>4421.9505609999997</v>
      </c>
      <c r="AQ20" s="5">
        <f>SUMIFS('48 KMP -Tháng'!AS$2:AS$53,'48 KMP -Tháng'!$C$2:$C$53,'18 KMP- Tháng'!$D20)+SUMIFS('48 KMP -Tháng'!AT$2:AT$53,'48 KMP -Tháng'!$C$2:$C$53,'18 KMP- Tháng'!$D20)</f>
        <v>4442.3183429999999</v>
      </c>
      <c r="AR20" s="28">
        <f t="shared" si="3"/>
        <v>4117.1736969999993</v>
      </c>
      <c r="AS20" s="5">
        <f>SUMIFS('48 KMP -Tháng'!AV$2:AV$53,'48 KMP -Tháng'!$C$2:$C$53,'18 KMP- Tháng'!$D20)</f>
        <v>2133.9688449999999</v>
      </c>
      <c r="AT20" s="5">
        <f>SUMIFS('48 KMP -Tháng'!AW$2:AW$53,'48 KMP -Tháng'!$C$2:$C$53,'18 KMP- Tháng'!$D20)</f>
        <v>2103.0084879999999</v>
      </c>
      <c r="AU20" s="5">
        <f>SUMIFS('48 KMP -Tháng'!AX$2:AX$53,'48 KMP -Tháng'!$C$2:$C$53,'18 KMP- Tháng'!$D20)</f>
        <v>2118.1115580000001</v>
      </c>
      <c r="AV20" s="5">
        <f>SUMIFS('48 KMP -Tháng'!AY$2:AY$53,'48 KMP -Tháng'!$C$2:$C$53,'18 KMP- Tháng'!$D20)</f>
        <v>2277.961573</v>
      </c>
      <c r="AW20" s="5">
        <f>SUMIFS('48 KMP -Tháng'!AZ$2:AZ$53,'48 KMP -Tháng'!$C$2:$C$53,'18 KMP- Tháng'!$D20)</f>
        <v>2330.9775570000002</v>
      </c>
      <c r="AX20" s="5">
        <f>SUMIFS('48 KMP -Tháng'!BA$2:BA$53,'48 KMP -Tháng'!$C$2:$C$53,'18 KMP- Tháng'!$D20)</f>
        <v>2329.7622799999999</v>
      </c>
      <c r="AY20" s="5">
        <f>SUMIFS('48 KMP -Tháng'!BB$2:BB$53,'48 KMP -Tháng'!$C$2:$C$53,'18 KMP- Tháng'!$D20)</f>
        <v>0</v>
      </c>
      <c r="AZ20" s="5">
        <f>SUMIFS('48 KMP -Tháng'!BC$2:BC$53,'48 KMP -Tháng'!$C$2:$C$53,'18 KMP- Tháng'!$D20)</f>
        <v>0</v>
      </c>
      <c r="BA20" s="5">
        <f>SUMIFS('48 KMP -Tháng'!BD$2:BD$53,'48 KMP -Tháng'!$C$2:$C$53,'18 KMP- Tháng'!$D20)</f>
        <v>0</v>
      </c>
      <c r="BB20" s="5">
        <f>SUMIFS('48 KMP -Tháng'!BE$2:BE$53,'48 KMP -Tháng'!$C$2:$C$53,'18 KMP- Tháng'!$D20)</f>
        <v>0</v>
      </c>
      <c r="BC20" s="5">
        <f>SUMIFS('48 KMP -Tháng'!BF$2:BF$53,'48 KMP -Tháng'!$C$2:$C$53,'18 KMP- Tháng'!$D20)</f>
        <v>0</v>
      </c>
      <c r="BD20" s="5">
        <f>SUMIFS('48 KMP -Tháng'!BG$2:BG$53,'48 KMP -Tháng'!$C$2:$C$53,'18 KMP- Tháng'!$D20)</f>
        <v>0</v>
      </c>
      <c r="BE20" s="28">
        <f t="shared" si="7"/>
        <v>1107.8158584166667</v>
      </c>
      <c r="BF20" s="7">
        <f>SUMIFS('48 KMP -Tháng'!BI$2:BI$53,'48 KMP -Tháng'!$C$2:$C$53,'18 KMP- Tháng'!$D20)</f>
        <v>5968.0697049208147</v>
      </c>
      <c r="BG20" s="86"/>
      <c r="BH20" s="8">
        <f>SUMIFS('48 KMP -Tháng'!BL$2:BL$50,'48 KMP -Tháng'!$C$2:$C$50,'18 KMP- Tháng'!$D20)</f>
        <v>5303.4900609208144</v>
      </c>
      <c r="BI20" s="8">
        <f>SUMIFS('48 KMP -Tháng'!BM$2:BM$50,'48 KMP -Tháng'!$C$2:$C$50,'18 KMP- Tháng'!$D20)</f>
        <v>5687.8820129208143</v>
      </c>
      <c r="BJ20" s="8">
        <f>SUMIFS('48 KMP -Tháng'!BN$2:BN$50,'48 KMP -Tháng'!$C$2:$C$50,'18 KMP- Tháng'!$D20)</f>
        <v>5775.9012329208144</v>
      </c>
      <c r="BK20" s="8">
        <f>SUMIFS('48 KMP -Tháng'!BO$2:BO$50,'48 KMP -Tháng'!$C$2:$C$50,'18 KMP- Tháng'!$D20)</f>
        <v>5810.1415109208147</v>
      </c>
      <c r="BL20" s="8">
        <f>SUMIFS('48 KMP -Tháng'!BP$2:BP$50,'48 KMP -Tháng'!$C$2:$C$50,'18 KMP- Tháng'!$D20)</f>
        <v>5826.0945669208149</v>
      </c>
      <c r="BM20" s="8">
        <f>SUMIFS('48 KMP -Tháng'!BQ$2:BQ$50,'48 KMP -Tháng'!$C$2:$C$50,'18 KMP- Tháng'!$D20)</f>
        <v>5968.0697049208147</v>
      </c>
      <c r="BN20" s="8">
        <f>SUMIFS('48 KMP -Tháng'!BR$2:BR$50,'48 KMP -Tháng'!$C$2:$C$50,'18 KMP- Tháng'!$D20)</f>
        <v>5968.0697049208147</v>
      </c>
      <c r="BO20" s="8">
        <f>SUMIFS('48 KMP -Tháng'!BS$2:BS$50,'48 KMP -Tháng'!$C$2:$C$50,'18 KMP- Tháng'!$D20)</f>
        <v>5968.0697049208147</v>
      </c>
      <c r="BP20" s="8">
        <f>SUMIFS('48 KMP -Tháng'!BT$2:BT$50,'48 KMP -Tháng'!$C$2:$C$50,'18 KMP- Tháng'!$D20)</f>
        <v>5968.0697049208147</v>
      </c>
      <c r="BQ20" s="8">
        <f>SUMIFS('48 KMP -Tháng'!BU$2:BU$50,'48 KMP -Tháng'!$C$2:$C$50,'18 KMP- Tháng'!$D20)</f>
        <v>5980.8891379208144</v>
      </c>
      <c r="BR20" s="8">
        <f>SUMIFS('48 KMP -Tháng'!BV$2:BV$50,'48 KMP -Tháng'!$C$2:$C$50,'18 KMP- Tháng'!$D20)</f>
        <v>5980.8891379208144</v>
      </c>
      <c r="BS20" s="8">
        <f>SUMIFS('48 KMP -Tháng'!BW$2:BW$50,'48 KMP -Tháng'!$C$2:$C$50,'18 KMP- Tháng'!$D20)</f>
        <v>5993.1641379208149</v>
      </c>
      <c r="BT20" s="8">
        <f t="shared" si="8"/>
        <v>70230.730618049784</v>
      </c>
    </row>
    <row r="21" spans="1:76" x14ac:dyDescent="0.35">
      <c r="A21" s="105">
        <v>18</v>
      </c>
      <c r="B21" s="3">
        <f t="shared" si="9"/>
        <v>4</v>
      </c>
      <c r="C21" s="3" t="s">
        <v>97</v>
      </c>
      <c r="D21" s="3" t="s">
        <v>36</v>
      </c>
      <c r="E21" s="5">
        <f>SUMIFS('48 KMP -Tháng'!$F$2:$F$53,'48 KMP -Tháng'!$C$2:$C$53,'18 KMP- Tháng'!D21)</f>
        <v>630.61573399999986</v>
      </c>
      <c r="F21" s="5">
        <f>SUMIFS('48 KMP -Tháng'!$G$2:$G$53,'48 KMP -Tháng'!$C$2:$C$53,'18 KMP- Tháng'!D21)</f>
        <v>854.1576580000002</v>
      </c>
      <c r="G21" s="6">
        <f>SUMIFS('48 KMP -Tháng'!$H$2:$H$53,'48 KMP -Tháng'!$C$2:$C$53,'18 KMP- Tháng'!D21)</f>
        <v>966.39520199999981</v>
      </c>
      <c r="H21" s="5">
        <f>SUMIFS('48 KMP -Tháng'!$I$2:$I$53,'48 KMP -Tháng'!$C$2:$C$53,'18 KMP- Tháng'!D21)</f>
        <v>754.47364200000004</v>
      </c>
      <c r="I21" s="5">
        <f>SUMIFS('48 KMP -Tháng'!$J$2:$J$53,'48 KMP -Tháng'!$C$2:$C$53,'18 KMP- Tháng'!D21)</f>
        <v>658.77374900000007</v>
      </c>
      <c r="J21" s="5">
        <f>SUMIFS('48 KMP -Tháng'!$K$2:$K$53,'48 KMP -Tháng'!$C$2:$C$53,'18 KMP- Tháng'!D21)</f>
        <v>768.27695300000005</v>
      </c>
      <c r="K21" s="5">
        <f>SUMIFS('48 KMP -Tháng'!$L$2:$L$53,'48 KMP -Tháng'!$C$2:$C$53,'18 KMP- Tháng'!D21)</f>
        <v>802.81471999999985</v>
      </c>
      <c r="L21" s="5">
        <f>SUMIFS('48 KMP -Tháng'!$M$2:$M$53,'48 KMP -Tháng'!$C$2:$C$53,'18 KMP- Tháng'!D21)</f>
        <v>656.1743909999999</v>
      </c>
      <c r="M21" s="5">
        <f>SUMIFS('48 KMP -Tháng'!$N$2:$N$53,'48 KMP -Tháng'!$C$2:$C$53,'18 KMP- Tháng'!D21)</f>
        <v>591.34523200000001</v>
      </c>
      <c r="N21" s="5">
        <f>SUMIFS('48 KMP -Tháng'!$O$2:$O$53,'48 KMP -Tháng'!$C$2:$C$53,'18 KMP- Tháng'!$D21)</f>
        <v>628.2454120000001</v>
      </c>
      <c r="O21" s="5">
        <f>SUMIFS('48 KMP -Tháng'!$P$2:$P$53,'48 KMP -Tháng'!$C$2:$C$53,'18 KMP- Tháng'!$D21)</f>
        <v>639.27243399999986</v>
      </c>
      <c r="P21" s="5">
        <f>SUMIFS('48 KMP -Tháng'!$Q$2:$Q$53,'48 KMP -Tháng'!$C$2:$C$53,'18 KMP- Tháng'!$D21)</f>
        <v>1090.457459</v>
      </c>
      <c r="Q21" s="6">
        <f t="shared" si="0"/>
        <v>753.4168821666666</v>
      </c>
      <c r="R21" s="5">
        <f>SUMIFS('48 KMP -Tháng'!$S$2:$S$53,'48 KMP -Tháng'!$C$2:$C$53,'18 KMP- Tháng'!$D21)</f>
        <v>1658.4109130000002</v>
      </c>
      <c r="S21" s="5">
        <f>SUMIFS('48 KMP -Tháng'!$T$2:$T$53,'48 KMP -Tháng'!$C$2:$C$53,'18 KMP- Tháng'!$D21)</f>
        <v>1378.8071309999998</v>
      </c>
      <c r="T21" s="5">
        <f>SUMIFS('48 KMP -Tháng'!U$2:U$53,'48 KMP -Tháng'!$C$2:$C$53,'18 KMP- Tháng'!$D21)</f>
        <v>1151.334644</v>
      </c>
      <c r="U21" s="5">
        <f>SUMIFS('48 KMP -Tháng'!V$2:V$53,'48 KMP -Tháng'!$C$2:$C$53,'18 KMP- Tháng'!$D21)</f>
        <v>1337.384814</v>
      </c>
      <c r="V21" s="5">
        <f>SUMIFS('48 KMP -Tháng'!W$2:W$53,'48 KMP -Tháng'!$C$2:$C$53,'18 KMP- Tháng'!$D21)</f>
        <v>1902.7088930000002</v>
      </c>
      <c r="W21" s="5">
        <f>SUMIFS('48 KMP -Tháng'!X$2:X$53,'48 KMP -Tháng'!$C$2:$C$53,'18 KMP- Tháng'!$D21)</f>
        <v>1863.0131699999999</v>
      </c>
      <c r="X21" s="5">
        <f>SUMIFS('48 KMP -Tháng'!Y$2:Y$53,'48 KMP -Tháng'!$C$2:$C$53,'18 KMP- Tháng'!$D21)</f>
        <v>1570.2129000000007</v>
      </c>
      <c r="Y21" s="5">
        <f>SUMIFS('48 KMP -Tháng'!Z$2:Z$53,'48 KMP -Tháng'!$C$2:$C$53,'18 KMP- Tháng'!$D21)</f>
        <v>2908.310896</v>
      </c>
      <c r="Z21" s="5">
        <f>SUMIFS('48 KMP -Tháng'!AA$2:AA$53,'48 KMP -Tháng'!$C$2:$C$53,'18 KMP- Tháng'!$D21)</f>
        <v>3601.9095000000002</v>
      </c>
      <c r="AA21" s="5">
        <f>SUMIFS('48 KMP -Tháng'!AB$2:AB$53,'48 KMP -Tháng'!$C$2:$C$53,'18 KMP- Tháng'!$D21)</f>
        <v>3859.1731200000004</v>
      </c>
      <c r="AB21" s="5">
        <f>SUMIFS('48 KMP -Tháng'!AC$2:AC$53,'48 KMP -Tháng'!$C$2:$C$53,'18 KMP- Tháng'!$D21)</f>
        <v>3573.6560359999999</v>
      </c>
      <c r="AC21" s="5">
        <f>SUMIFS('48 KMP -Tháng'!AD$2:AD$53,'48 KMP -Tháng'!$C$2:$C$53,'18 KMP- Tháng'!$D21)+SUMIFS('48 KMP -Tháng'!$AE$2:$AE$53,'48 KMP -Tháng'!$C$2:$C$53,'18 KMP- Tháng'!D21)</f>
        <v>11179.558634000005</v>
      </c>
      <c r="AD21" s="7">
        <f t="shared" si="1"/>
        <v>35984.480651000005</v>
      </c>
      <c r="AE21" s="28">
        <f t="shared" si="2"/>
        <v>2998.7067209166671</v>
      </c>
      <c r="AF21" s="5">
        <f>SUMIFS('48 KMP -Tháng'!AH$2:AH$53,'48 KMP -Tháng'!$C$2:$C$53,'18 KMP- Tháng'!$D21)</f>
        <v>3756.3001390000004</v>
      </c>
      <c r="AG21" s="5">
        <f>SUMIFS('48 KMP -Tháng'!AI$2:AI$53,'48 KMP -Tháng'!$C$2:$C$53,'18 KMP- Tháng'!$D21)</f>
        <v>2649.8565070000004</v>
      </c>
      <c r="AH21" s="5">
        <f>SUMIFS('48 KMP -Tháng'!AJ$2:AJ$53,'48 KMP -Tháng'!$C$2:$C$53,'18 KMP- Tháng'!$D21)</f>
        <v>4055.7808199999999</v>
      </c>
      <c r="AI21" s="5">
        <f>SUMIFS('48 KMP -Tháng'!AK$2:AK$53,'48 KMP -Tháng'!$C$2:$C$53,'18 KMP- Tháng'!$D21)</f>
        <v>2478.233021</v>
      </c>
      <c r="AJ21" s="5">
        <f>SUMIFS('48 KMP -Tháng'!AL$2:AL$53,'48 KMP -Tháng'!$C$2:$C$53,'18 KMP- Tháng'!$D21)</f>
        <v>3092.6388239999997</v>
      </c>
      <c r="AK21" s="5">
        <f>SUMIFS('48 KMP -Tháng'!AM$2:AM$53,'48 KMP -Tháng'!$C$2:$C$53,'18 KMP- Tháng'!$D21)</f>
        <v>2790.8938039999998</v>
      </c>
      <c r="AL21" s="5">
        <f>SUMIFS('48 KMP -Tháng'!AN$2:AN$53,'48 KMP -Tháng'!$C$2:$C$53,'18 KMP- Tháng'!$D21)</f>
        <v>3004.5350559999997</v>
      </c>
      <c r="AM21" s="5">
        <f>SUMIFS('48 KMP -Tháng'!AO$2:AO$53,'48 KMP -Tháng'!$C$2:$C$53,'18 KMP- Tháng'!$D21)</f>
        <v>3024.5032630000001</v>
      </c>
      <c r="AN21" s="5">
        <f>SUMIFS('48 KMP -Tháng'!AP$2:AP$53,'48 KMP -Tháng'!$C$2:$C$53,'18 KMP- Tháng'!$D21)</f>
        <v>4612.0710640000007</v>
      </c>
      <c r="AO21" s="5">
        <f>SUMIFS('48 KMP -Tháng'!AQ$2:AQ$53,'48 KMP -Tháng'!$C$2:$C$53,'18 KMP- Tháng'!$D21)</f>
        <v>4798.4915730000012</v>
      </c>
      <c r="AP21" s="5">
        <f>SUMIFS('48 KMP -Tháng'!AR$2:AR$53,'48 KMP -Tháng'!$C$2:$C$53,'18 KMP- Tháng'!$D21)</f>
        <v>5053.5685229999999</v>
      </c>
      <c r="AQ21" s="5">
        <f>SUMIFS('48 KMP -Tháng'!AS$2:AS$53,'48 KMP -Tháng'!$C$2:$C$53,'18 KMP- Tháng'!$D21)+SUMIFS('48 KMP -Tháng'!AT$2:AT$53,'48 KMP -Tháng'!$C$2:$C$53,'18 KMP- Tháng'!$D21)</f>
        <v>6387.3636730000007</v>
      </c>
      <c r="AR21" s="28">
        <f t="shared" si="3"/>
        <v>3808.6863555833334</v>
      </c>
      <c r="AS21" s="5">
        <f>SUMIFS('48 KMP -Tháng'!AV$2:AV$53,'48 KMP -Tháng'!$C$2:$C$53,'18 KMP- Tháng'!$D21)</f>
        <v>3513.173522</v>
      </c>
      <c r="AT21" s="5">
        <f>SUMIFS('48 KMP -Tháng'!AW$2:AW$53,'48 KMP -Tháng'!$C$2:$C$53,'18 KMP- Tháng'!$D21)</f>
        <v>3218.4780719999999</v>
      </c>
      <c r="AU21" s="5">
        <f>SUMIFS('48 KMP -Tháng'!AX$2:AX$53,'48 KMP -Tháng'!$C$2:$C$53,'18 KMP- Tháng'!$D21)</f>
        <v>2488.6643530000001</v>
      </c>
      <c r="AV21" s="5">
        <f>SUMIFS('48 KMP -Tháng'!AY$2:AY$53,'48 KMP -Tháng'!$C$2:$C$53,'18 KMP- Tháng'!$D21)</f>
        <v>2842.2283769999999</v>
      </c>
      <c r="AW21" s="5">
        <f>SUMIFS('48 KMP -Tháng'!AZ$2:AZ$53,'48 KMP -Tháng'!$C$2:$C$53,'18 KMP- Tháng'!$D21)</f>
        <v>3355.4641259999994</v>
      </c>
      <c r="AX21" s="5">
        <f>SUMIFS('48 KMP -Tháng'!BA$2:BA$53,'48 KMP -Tháng'!$C$2:$C$53,'18 KMP- Tháng'!$D21)</f>
        <v>2965.4732479999998</v>
      </c>
      <c r="AY21" s="5">
        <f>SUMIFS('48 KMP -Tháng'!BB$2:BB$53,'48 KMP -Tháng'!$C$2:$C$53,'18 KMP- Tháng'!$D21)</f>
        <v>0</v>
      </c>
      <c r="AZ21" s="5">
        <f>SUMIFS('48 KMP -Tháng'!BC$2:BC$53,'48 KMP -Tháng'!$C$2:$C$53,'18 KMP- Tháng'!$D21)</f>
        <v>0</v>
      </c>
      <c r="BA21" s="5">
        <f>SUMIFS('48 KMP -Tháng'!BD$2:BD$53,'48 KMP -Tháng'!$C$2:$C$53,'18 KMP- Tháng'!$D21)</f>
        <v>0</v>
      </c>
      <c r="BB21" s="5">
        <f>SUMIFS('48 KMP -Tháng'!BE$2:BE$53,'48 KMP -Tháng'!$C$2:$C$53,'18 KMP- Tháng'!$D21)</f>
        <v>0</v>
      </c>
      <c r="BC21" s="5">
        <f>SUMIFS('48 KMP -Tháng'!BF$2:BF$53,'48 KMP -Tháng'!$C$2:$C$53,'18 KMP- Tháng'!$D21)</f>
        <v>0</v>
      </c>
      <c r="BD21" s="5">
        <f>SUMIFS('48 KMP -Tháng'!BG$2:BG$53,'48 KMP -Tháng'!$C$2:$C$53,'18 KMP- Tháng'!$D21)</f>
        <v>0</v>
      </c>
      <c r="BE21" s="28">
        <f t="shared" si="7"/>
        <v>1531.9568081666664</v>
      </c>
      <c r="BF21" s="7">
        <f>SUMIFS('48 KMP -Tháng'!BI$2:BI$53,'48 KMP -Tháng'!$C$2:$C$53,'18 KMP- Tháng'!$D21)</f>
        <v>3247.7263303423015</v>
      </c>
      <c r="BG21" s="86"/>
      <c r="BH21" s="8">
        <f>SUMIFS('48 KMP -Tháng'!BL$2:BL$50,'48 KMP -Tháng'!$C$2:$C$50,'18 KMP- Tháng'!$D21)</f>
        <v>5586.5078673894895</v>
      </c>
      <c r="BI21" s="8">
        <f>SUMIFS('48 KMP -Tháng'!BM$2:BM$50,'48 KMP -Tháng'!$C$2:$C$50,'18 KMP- Tháng'!$D21)</f>
        <v>2556.1730431913147</v>
      </c>
      <c r="BJ21" s="8">
        <f>SUMIFS('48 KMP -Tháng'!BN$2:BN$50,'48 KMP -Tháng'!$C$2:$C$50,'18 KMP- Tháng'!$D21)</f>
        <v>3257.808809294716</v>
      </c>
      <c r="BK21" s="8">
        <f>SUMIFS('48 KMP -Tháng'!BO$2:BO$50,'48 KMP -Tháng'!$C$2:$C$50,'18 KMP- Tháng'!$D21)</f>
        <v>3146.5397182601464</v>
      </c>
      <c r="BL21" s="8">
        <f>SUMIFS('48 KMP -Tháng'!BP$2:BP$50,'48 KMP -Tháng'!$C$2:$C$50,'18 KMP- Tháng'!$D21)</f>
        <v>4436.1529066383737</v>
      </c>
      <c r="BM21" s="8">
        <f>SUMIFS('48 KMP -Tháng'!BQ$2:BQ$50,'48 KMP -Tháng'!$C$2:$C$50,'18 KMP- Tháng'!$D21)</f>
        <v>3247.7263303423015</v>
      </c>
      <c r="BN21" s="8">
        <f>SUMIFS('48 KMP -Tháng'!BR$2:BR$50,'48 KMP -Tháng'!$C$2:$C$50,'18 KMP- Tháng'!$D21)</f>
        <v>3745.6867013041019</v>
      </c>
      <c r="BO21" s="8">
        <f>SUMIFS('48 KMP -Tháng'!BS$2:BS$50,'48 KMP -Tháng'!$C$2:$C$50,'18 KMP- Tháng'!$D21)</f>
        <v>3765.1154900052802</v>
      </c>
      <c r="BP21" s="8">
        <f>SUMIFS('48 KMP -Tháng'!BT$2:BT$50,'48 KMP -Tháng'!$C$2:$C$50,'18 KMP- Tháng'!$D21)</f>
        <v>4354.1627094281703</v>
      </c>
      <c r="BQ21" s="8">
        <f>SUMIFS('48 KMP -Tháng'!BU$2:BU$50,'48 KMP -Tháng'!$C$2:$C$50,'18 KMP- Tháng'!$D21)</f>
        <v>3239.6357159012318</v>
      </c>
      <c r="BR21" s="8">
        <f>SUMIFS('48 KMP -Tháng'!BV$2:BV$50,'48 KMP -Tháng'!$C$2:$C$50,'18 KMP- Tháng'!$D21)</f>
        <v>3024.6289198740224</v>
      </c>
      <c r="BS21" s="8">
        <f>SUMIFS('48 KMP -Tháng'!BW$2:BW$50,'48 KMP -Tháng'!$C$2:$C$50,'18 KMP- Tháng'!$D21)</f>
        <v>3089.8531112165324</v>
      </c>
      <c r="BT21" s="8">
        <f t="shared" si="8"/>
        <v>43449.991322845672</v>
      </c>
    </row>
    <row r="22" spans="1:76" x14ac:dyDescent="0.35">
      <c r="A22" s="105">
        <v>19</v>
      </c>
      <c r="B22" s="3">
        <f t="shared" si="9"/>
        <v>5</v>
      </c>
      <c r="C22" s="3" t="s">
        <v>97</v>
      </c>
      <c r="D22" s="3" t="s">
        <v>12</v>
      </c>
      <c r="E22" s="5">
        <f>SUMIFS('48 KMP -Tháng'!$F$2:$F$53,'48 KMP -Tháng'!$C$2:$C$53,'18 KMP- Tháng'!D22)</f>
        <v>465.27927</v>
      </c>
      <c r="F22" s="5">
        <f>SUMIFS('48 KMP -Tháng'!$G$2:$G$53,'48 KMP -Tháng'!$C$2:$C$53,'18 KMP- Tháng'!D22)</f>
        <v>498.88963100000001</v>
      </c>
      <c r="G22" s="6">
        <f>SUMIFS('48 KMP -Tháng'!$H$2:$H$53,'48 KMP -Tháng'!$C$2:$C$53,'18 KMP- Tháng'!D22)</f>
        <v>485.24326100000002</v>
      </c>
      <c r="H22" s="5">
        <f>SUMIFS('48 KMP -Tháng'!$I$2:$I$53,'48 KMP -Tháng'!$C$2:$C$53,'18 KMP- Tháng'!D22)</f>
        <v>431.96916599999997</v>
      </c>
      <c r="I22" s="5">
        <f>SUMIFS('48 KMP -Tháng'!$J$2:$J$53,'48 KMP -Tháng'!$C$2:$C$53,'18 KMP- Tháng'!D22)</f>
        <v>578.64694599999996</v>
      </c>
      <c r="J22" s="5">
        <f>SUMIFS('48 KMP -Tháng'!$K$2:$K$53,'48 KMP -Tháng'!$C$2:$C$53,'18 KMP- Tháng'!D22)</f>
        <v>481.06259</v>
      </c>
      <c r="K22" s="5">
        <f>SUMIFS('48 KMP -Tháng'!$L$2:$L$53,'48 KMP -Tháng'!$C$2:$C$53,'18 KMP- Tháng'!D22)</f>
        <v>502.90178500000002</v>
      </c>
      <c r="L22" s="5">
        <f>SUMIFS('48 KMP -Tháng'!$M$2:$M$53,'48 KMP -Tháng'!$C$2:$C$53,'18 KMP- Tháng'!D22)</f>
        <v>554.27070400000002</v>
      </c>
      <c r="M22" s="5">
        <f>SUMIFS('48 KMP -Tháng'!$N$2:$N$53,'48 KMP -Tháng'!$C$2:$C$53,'18 KMP- Tháng'!D22)</f>
        <v>469.50239099999999</v>
      </c>
      <c r="N22" s="5">
        <f>SUMIFS('48 KMP -Tháng'!$O$2:$O$53,'48 KMP -Tháng'!$C$2:$C$53,'18 KMP- Tháng'!$D22)</f>
        <v>547.69279300000005</v>
      </c>
      <c r="O22" s="5">
        <f>SUMIFS('48 KMP -Tháng'!$P$2:$P$53,'48 KMP -Tháng'!$C$2:$C$53,'18 KMP- Tháng'!$D22)</f>
        <v>615.94742800000006</v>
      </c>
      <c r="P22" s="5">
        <f>SUMIFS('48 KMP -Tháng'!$Q$2:$Q$53,'48 KMP -Tháng'!$C$2:$C$53,'18 KMP- Tháng'!$D22)</f>
        <v>681.05225900000005</v>
      </c>
      <c r="Q22" s="6">
        <f t="shared" si="0"/>
        <v>526.03818533333344</v>
      </c>
      <c r="R22" s="5">
        <f>SUMIFS('48 KMP -Tháng'!$S$2:$S$53,'48 KMP -Tháng'!$C$2:$C$53,'18 KMP- Tháng'!$D22)</f>
        <v>716.08840799999996</v>
      </c>
      <c r="S22" s="5">
        <f>SUMIFS('48 KMP -Tháng'!$T$2:$T$53,'48 KMP -Tháng'!$C$2:$C$53,'18 KMP- Tháng'!$D22)</f>
        <v>691.59377400000005</v>
      </c>
      <c r="T22" s="5">
        <f>SUMIFS('48 KMP -Tháng'!U$2:U$53,'48 KMP -Tháng'!$C$2:$C$53,'18 KMP- Tháng'!$D22)</f>
        <v>833.34065199999998</v>
      </c>
      <c r="U22" s="5">
        <f>SUMIFS('48 KMP -Tháng'!V$2:V$53,'48 KMP -Tháng'!$C$2:$C$53,'18 KMP- Tháng'!$D22)</f>
        <v>880.05645200000004</v>
      </c>
      <c r="V22" s="5">
        <f>SUMIFS('48 KMP -Tháng'!W$2:W$53,'48 KMP -Tháng'!$C$2:$C$53,'18 KMP- Tháng'!$D22)</f>
        <v>962.45493699999997</v>
      </c>
      <c r="W22" s="5">
        <f>SUMIFS('48 KMP -Tháng'!X$2:X$53,'48 KMP -Tháng'!$C$2:$C$53,'18 KMP- Tháng'!$D22)</f>
        <v>779.98906199999999</v>
      </c>
      <c r="X22" s="5">
        <f>SUMIFS('48 KMP -Tháng'!Y$2:Y$53,'48 KMP -Tháng'!$C$2:$C$53,'18 KMP- Tháng'!$D22)</f>
        <v>678.94090300000005</v>
      </c>
      <c r="Y22" s="5">
        <f>SUMIFS('48 KMP -Tháng'!Z$2:Z$53,'48 KMP -Tháng'!$C$2:$C$53,'18 KMP- Tháng'!$D22)</f>
        <v>825.70615199999997</v>
      </c>
      <c r="Z22" s="5">
        <f>SUMIFS('48 KMP -Tháng'!AA$2:AA$53,'48 KMP -Tháng'!$C$2:$C$53,'18 KMP- Tháng'!$D22)</f>
        <v>1011.891319</v>
      </c>
      <c r="AA22" s="5">
        <f>SUMIFS('48 KMP -Tháng'!AB$2:AB$53,'48 KMP -Tháng'!$C$2:$C$53,'18 KMP- Tháng'!$D22)</f>
        <v>830.77095499999996</v>
      </c>
      <c r="AB22" s="5">
        <f>SUMIFS('48 KMP -Tháng'!AC$2:AC$53,'48 KMP -Tháng'!$C$2:$C$53,'18 KMP- Tháng'!$D22)</f>
        <v>1000.806672</v>
      </c>
      <c r="AC22" s="5">
        <f>SUMIFS('48 KMP -Tháng'!AD$2:AD$53,'48 KMP -Tháng'!$C$2:$C$53,'18 KMP- Tháng'!$D22)+SUMIFS('48 KMP -Tháng'!$AE$2:$AE$53,'48 KMP -Tháng'!$C$2:$C$53,'18 KMP- Tháng'!D22)</f>
        <v>1080.1792390000001</v>
      </c>
      <c r="AD22" s="7">
        <f t="shared" si="1"/>
        <v>10291.818524999999</v>
      </c>
      <c r="AE22" s="28">
        <f t="shared" si="2"/>
        <v>857.65154374999986</v>
      </c>
      <c r="AF22" s="5">
        <f>SUMIFS('48 KMP -Tháng'!AH$2:AH$53,'48 KMP -Tháng'!$C$2:$C$53,'18 KMP- Tháng'!$D22)</f>
        <v>846.79768000000001</v>
      </c>
      <c r="AG22" s="5">
        <f>SUMIFS('48 KMP -Tháng'!AI$2:AI$53,'48 KMP -Tháng'!$C$2:$C$53,'18 KMP- Tháng'!$D22)</f>
        <v>1000.829428</v>
      </c>
      <c r="AH22" s="5">
        <f>SUMIFS('48 KMP -Tháng'!AJ$2:AJ$53,'48 KMP -Tháng'!$C$2:$C$53,'18 KMP- Tháng'!$D22)</f>
        <v>946.99695599999995</v>
      </c>
      <c r="AI22" s="5">
        <f>SUMIFS('48 KMP -Tháng'!AK$2:AK$53,'48 KMP -Tháng'!$C$2:$C$53,'18 KMP- Tháng'!$D22)</f>
        <v>1097.7775140000001</v>
      </c>
      <c r="AJ22" s="5">
        <f>SUMIFS('48 KMP -Tháng'!AL$2:AL$53,'48 KMP -Tháng'!$C$2:$C$53,'18 KMP- Tháng'!$D22)</f>
        <v>1084.371903</v>
      </c>
      <c r="AK22" s="5">
        <f>SUMIFS('48 KMP -Tháng'!AM$2:AM$53,'48 KMP -Tháng'!$C$2:$C$53,'18 KMP- Tháng'!$D22)</f>
        <v>891.13647100000003</v>
      </c>
      <c r="AL22" s="5">
        <f>SUMIFS('48 KMP -Tháng'!AN$2:AN$53,'48 KMP -Tháng'!$C$2:$C$53,'18 KMP- Tháng'!$D22)</f>
        <v>968.12022300000001</v>
      </c>
      <c r="AM22" s="5">
        <f>SUMIFS('48 KMP -Tháng'!AO$2:AO$53,'48 KMP -Tháng'!$C$2:$C$53,'18 KMP- Tháng'!$D22)</f>
        <v>921.39117799999997</v>
      </c>
      <c r="AN22" s="5">
        <f>SUMIFS('48 KMP -Tháng'!AP$2:AP$53,'48 KMP -Tháng'!$C$2:$C$53,'18 KMP- Tháng'!$D22)</f>
        <v>942.63703399999997</v>
      </c>
      <c r="AO22" s="5">
        <f>SUMIFS('48 KMP -Tháng'!AQ$2:AQ$53,'48 KMP -Tháng'!$C$2:$C$53,'18 KMP- Tháng'!$D22)</f>
        <v>955.97821499999998</v>
      </c>
      <c r="AP22" s="5">
        <f>SUMIFS('48 KMP -Tháng'!AR$2:AR$53,'48 KMP -Tháng'!$C$2:$C$53,'18 KMP- Tháng'!$D22)</f>
        <v>1002.406715</v>
      </c>
      <c r="AQ22" s="5">
        <f>SUMIFS('48 KMP -Tháng'!AS$2:AS$53,'48 KMP -Tháng'!$C$2:$C$53,'18 KMP- Tháng'!$D22)+SUMIFS('48 KMP -Tháng'!AT$2:AT$53,'48 KMP -Tháng'!$C$2:$C$53,'18 KMP- Tháng'!$D22)</f>
        <v>881.78607799999997</v>
      </c>
      <c r="AR22" s="28">
        <f t="shared" si="3"/>
        <v>961.68578291666643</v>
      </c>
      <c r="AS22" s="5">
        <f>SUMIFS('48 KMP -Tháng'!AV$2:AV$53,'48 KMP -Tháng'!$C$2:$C$53,'18 KMP- Tháng'!$D22)</f>
        <v>600.67994299999998</v>
      </c>
      <c r="AT22" s="5">
        <f>SUMIFS('48 KMP -Tháng'!AW$2:AW$53,'48 KMP -Tháng'!$C$2:$C$53,'18 KMP- Tháng'!$D22)</f>
        <v>520.80578700000001</v>
      </c>
      <c r="AU22" s="5">
        <f>SUMIFS('48 KMP -Tháng'!AX$2:AX$53,'48 KMP -Tháng'!$C$2:$C$53,'18 KMP- Tháng'!$D22)</f>
        <v>606.28655600000002</v>
      </c>
      <c r="AV22" s="5">
        <f>SUMIFS('48 KMP -Tháng'!AY$2:AY$53,'48 KMP -Tháng'!$C$2:$C$53,'18 KMP- Tháng'!$D22)</f>
        <v>576.96160699999996</v>
      </c>
      <c r="AW22" s="5">
        <f>SUMIFS('48 KMP -Tháng'!AZ$2:AZ$53,'48 KMP -Tháng'!$C$2:$C$53,'18 KMP- Tháng'!$D22)</f>
        <v>610.26077499999997</v>
      </c>
      <c r="AX22" s="5">
        <f>SUMIFS('48 KMP -Tháng'!BA$2:BA$53,'48 KMP -Tháng'!$C$2:$C$53,'18 KMP- Tháng'!$D22)</f>
        <v>626.32665699999995</v>
      </c>
      <c r="AY22" s="5">
        <f>SUMIFS('48 KMP -Tháng'!BB$2:BB$53,'48 KMP -Tháng'!$C$2:$C$53,'18 KMP- Tháng'!$D22)</f>
        <v>0</v>
      </c>
      <c r="AZ22" s="5">
        <f>SUMIFS('48 KMP -Tháng'!BC$2:BC$53,'48 KMP -Tháng'!$C$2:$C$53,'18 KMP- Tháng'!$D22)</f>
        <v>0</v>
      </c>
      <c r="BA22" s="5">
        <f>SUMIFS('48 KMP -Tháng'!BD$2:BD$53,'48 KMP -Tháng'!$C$2:$C$53,'18 KMP- Tháng'!$D22)</f>
        <v>0</v>
      </c>
      <c r="BB22" s="5">
        <f>SUMIFS('48 KMP -Tháng'!BE$2:BE$53,'48 KMP -Tháng'!$C$2:$C$53,'18 KMP- Tháng'!$D22)</f>
        <v>0</v>
      </c>
      <c r="BC22" s="5">
        <f>SUMIFS('48 KMP -Tháng'!BF$2:BF$53,'48 KMP -Tháng'!$C$2:$C$53,'18 KMP- Tháng'!$D22)</f>
        <v>0</v>
      </c>
      <c r="BD22" s="5">
        <f>SUMIFS('48 KMP -Tháng'!BG$2:BG$53,'48 KMP -Tháng'!$C$2:$C$53,'18 KMP- Tháng'!$D22)</f>
        <v>0</v>
      </c>
      <c r="BE22" s="28">
        <f t="shared" si="7"/>
        <v>295.1101104166666</v>
      </c>
      <c r="BF22" s="7">
        <f>SUMIFS('48 KMP -Tháng'!BI$2:BI$53,'48 KMP -Tháng'!$C$2:$C$53,'18 KMP- Tháng'!$D22)</f>
        <v>842.19632634117897</v>
      </c>
      <c r="BG22" s="86"/>
      <c r="BH22" s="8">
        <f>SUMIFS('48 KMP -Tháng'!BL$2:BL$50,'48 KMP -Tháng'!$C$2:$C$50,'18 KMP- Tháng'!$D22)</f>
        <v>1097.4625267947374</v>
      </c>
      <c r="BI22" s="8">
        <f>SUMIFS('48 KMP -Tháng'!BM$2:BM$50,'48 KMP -Tháng'!$C$2:$C$50,'18 KMP- Tháng'!$D22)</f>
        <v>684.3883389500387</v>
      </c>
      <c r="BJ22" s="8">
        <f>SUMIFS('48 KMP -Tháng'!BN$2:BN$50,'48 KMP -Tháng'!$C$2:$C$50,'18 KMP- Tháng'!$D22)</f>
        <v>909.00912691545204</v>
      </c>
      <c r="BK22" s="8">
        <f>SUMIFS('48 KMP -Tháng'!BO$2:BO$50,'48 KMP -Tháng'!$C$2:$C$50,'18 KMP- Tháng'!$D22)</f>
        <v>950.68150148275629</v>
      </c>
      <c r="BL22" s="8">
        <f>SUMIFS('48 KMP -Tháng'!BP$2:BP$50,'48 KMP -Tháng'!$C$2:$C$50,'18 KMP- Tháng'!$D22)</f>
        <v>787.24237985516299</v>
      </c>
      <c r="BM22" s="8">
        <f>SUMIFS('48 KMP -Tháng'!BQ$2:BQ$50,'48 KMP -Tháng'!$C$2:$C$50,'18 KMP- Tháng'!$D22)</f>
        <v>842.19632634117897</v>
      </c>
      <c r="BN22" s="8">
        <f>SUMIFS('48 KMP -Tháng'!BR$2:BR$50,'48 KMP -Tháng'!$C$2:$C$50,'18 KMP- Tháng'!$D22)</f>
        <v>822.75043507037333</v>
      </c>
      <c r="BO22" s="8">
        <f>SUMIFS('48 KMP -Tháng'!BS$2:BS$50,'48 KMP -Tháng'!$C$2:$C$50,'18 KMP- Tháng'!$D22)</f>
        <v>778.17658718628445</v>
      </c>
      <c r="BP22" s="8">
        <f>SUMIFS('48 KMP -Tháng'!BT$2:BT$50,'48 KMP -Tháng'!$C$2:$C$50,'18 KMP- Tháng'!$D22)</f>
        <v>805.80359646110617</v>
      </c>
      <c r="BQ22" s="8">
        <f>SUMIFS('48 KMP -Tháng'!BU$2:BU$50,'48 KMP -Tháng'!$C$2:$C$50,'18 KMP- Tháng'!$D22)</f>
        <v>789.03098314356475</v>
      </c>
      <c r="BR22" s="8">
        <f>SUMIFS('48 KMP -Tháng'!BV$2:BV$50,'48 KMP -Tháng'!$C$2:$C$50,'18 KMP- Tháng'!$D22)</f>
        <v>680.53850176721824</v>
      </c>
      <c r="BS22" s="8">
        <f>SUMIFS('48 KMP -Tháng'!BW$2:BW$50,'48 KMP -Tháng'!$C$2:$C$50,'18 KMP- Tháng'!$D22)</f>
        <v>784.4652000531986</v>
      </c>
      <c r="BT22" s="8">
        <f t="shared" si="8"/>
        <v>9931.7455040210716</v>
      </c>
    </row>
    <row r="23" spans="1:76" x14ac:dyDescent="0.35">
      <c r="A23" s="105">
        <v>20</v>
      </c>
      <c r="B23" s="3">
        <f t="shared" si="9"/>
        <v>6</v>
      </c>
      <c r="C23" s="3" t="s">
        <v>97</v>
      </c>
      <c r="D23" s="3" t="s">
        <v>51</v>
      </c>
      <c r="E23" s="5">
        <f>SUMIFS('48 KMP -Tháng'!$F$2:$F$53,'48 KMP -Tháng'!$C$2:$C$53,'18 KMP- Tháng'!D23)</f>
        <v>246.48996799999998</v>
      </c>
      <c r="F23" s="5">
        <f>SUMIFS('48 KMP -Tháng'!$G$2:$G$53,'48 KMP -Tháng'!$C$2:$C$53,'18 KMP- Tháng'!D23)</f>
        <v>196.31483499999999</v>
      </c>
      <c r="G23" s="6">
        <f>SUMIFS('48 KMP -Tháng'!$H$2:$H$53,'48 KMP -Tháng'!$C$2:$C$53,'18 KMP- Tháng'!D23)</f>
        <v>283.67628499999995</v>
      </c>
      <c r="H23" s="5">
        <f>SUMIFS('48 KMP -Tháng'!$I$2:$I$53,'48 KMP -Tháng'!$C$2:$C$53,'18 KMP- Tháng'!D23)</f>
        <v>199.32285299999998</v>
      </c>
      <c r="I23" s="5">
        <f>SUMIFS('48 KMP -Tháng'!$J$2:$J$53,'48 KMP -Tháng'!$C$2:$C$53,'18 KMP- Tháng'!D23)</f>
        <v>400.21661099999994</v>
      </c>
      <c r="J23" s="5">
        <f>SUMIFS('48 KMP -Tháng'!$K$2:$K$53,'48 KMP -Tháng'!$C$2:$C$53,'18 KMP- Tháng'!D23)</f>
        <v>382.31868700000001</v>
      </c>
      <c r="K23" s="5">
        <f>SUMIFS('48 KMP -Tháng'!$L$2:$L$53,'48 KMP -Tháng'!$C$2:$C$53,'18 KMP- Tháng'!D23)</f>
        <v>546.65978099999995</v>
      </c>
      <c r="L23" s="5">
        <f>SUMIFS('48 KMP -Tháng'!$M$2:$M$53,'48 KMP -Tháng'!$C$2:$C$53,'18 KMP- Tháng'!D23)</f>
        <v>459.12409699999995</v>
      </c>
      <c r="M23" s="5">
        <f>SUMIFS('48 KMP -Tháng'!$N$2:$N$53,'48 KMP -Tháng'!$C$2:$C$53,'18 KMP- Tháng'!D23)</f>
        <v>351.15703000000002</v>
      </c>
      <c r="N23" s="5">
        <f>SUMIFS('48 KMP -Tháng'!$O$2:$O$53,'48 KMP -Tháng'!$C$2:$C$53,'18 KMP- Tháng'!$D23)</f>
        <v>507.62330700000001</v>
      </c>
      <c r="O23" s="5">
        <f>SUMIFS('48 KMP -Tháng'!$P$2:$P$53,'48 KMP -Tháng'!$C$2:$C$53,'18 KMP- Tháng'!$D23)</f>
        <v>624.38641399999995</v>
      </c>
      <c r="P23" s="5">
        <f>SUMIFS('48 KMP -Tháng'!$Q$2:$Q$53,'48 KMP -Tháng'!$C$2:$C$53,'18 KMP- Tháng'!$D23)</f>
        <v>848.89990699999998</v>
      </c>
      <c r="Q23" s="6">
        <f t="shared" si="0"/>
        <v>420.51581458333322</v>
      </c>
      <c r="R23" s="5">
        <f>SUMIFS('48 KMP -Tháng'!$S$2:$S$53,'48 KMP -Tháng'!$C$2:$C$53,'18 KMP- Tháng'!$D23)</f>
        <v>538.72162100000003</v>
      </c>
      <c r="S23" s="5">
        <f>SUMIFS('48 KMP -Tháng'!$T$2:$T$53,'48 KMP -Tháng'!$C$2:$C$53,'18 KMP- Tháng'!$D23)</f>
        <v>645.51002000000005</v>
      </c>
      <c r="T23" s="5">
        <f>SUMIFS('48 KMP -Tháng'!U$2:U$53,'48 KMP -Tháng'!$C$2:$C$53,'18 KMP- Tháng'!$D23)</f>
        <v>698.78772200000003</v>
      </c>
      <c r="U23" s="5">
        <f>SUMIFS('48 KMP -Tháng'!V$2:V$53,'48 KMP -Tháng'!$C$2:$C$53,'18 KMP- Tháng'!$D23)</f>
        <v>640.0876760000001</v>
      </c>
      <c r="V23" s="5">
        <f>SUMIFS('48 KMP -Tháng'!W$2:W$53,'48 KMP -Tháng'!$C$2:$C$53,'18 KMP- Tháng'!$D23)</f>
        <v>763.75839600000006</v>
      </c>
      <c r="W23" s="5">
        <f>SUMIFS('48 KMP -Tháng'!X$2:X$53,'48 KMP -Tháng'!$C$2:$C$53,'18 KMP- Tháng'!$D23)</f>
        <v>839.77968399999997</v>
      </c>
      <c r="X23" s="5">
        <f>SUMIFS('48 KMP -Tháng'!Y$2:Y$53,'48 KMP -Tháng'!$C$2:$C$53,'18 KMP- Tháng'!$D23)</f>
        <v>569.16955900000005</v>
      </c>
      <c r="Y23" s="5">
        <f>SUMIFS('48 KMP -Tháng'!Z$2:Z$53,'48 KMP -Tháng'!$C$2:$C$53,'18 KMP- Tháng'!$D23)</f>
        <v>809.00254699999994</v>
      </c>
      <c r="Z23" s="5">
        <f>SUMIFS('48 KMP -Tháng'!AA$2:AA$53,'48 KMP -Tháng'!$C$2:$C$53,'18 KMP- Tháng'!$D23)</f>
        <v>931.70146299999999</v>
      </c>
      <c r="AA23" s="5">
        <f>SUMIFS('48 KMP -Tháng'!AB$2:AB$53,'48 KMP -Tháng'!$C$2:$C$53,'18 KMP- Tháng'!$D23)</f>
        <v>1009.2301160000001</v>
      </c>
      <c r="AB23" s="5">
        <f>SUMIFS('48 KMP -Tháng'!AC$2:AC$53,'48 KMP -Tháng'!$C$2:$C$53,'18 KMP- Tháng'!$D23)</f>
        <v>1237.657117</v>
      </c>
      <c r="AC23" s="5">
        <f>SUMIFS('48 KMP -Tháng'!AD$2:AD$53,'48 KMP -Tháng'!$C$2:$C$53,'18 KMP- Tháng'!$D23)+SUMIFS('48 KMP -Tháng'!$AE$2:$AE$53,'48 KMP -Tháng'!$C$2:$C$53,'18 KMP- Tháng'!D23)</f>
        <v>1484.7749200000003</v>
      </c>
      <c r="AD23" s="7">
        <f t="shared" si="1"/>
        <v>10168.180841000001</v>
      </c>
      <c r="AE23" s="28">
        <f t="shared" si="2"/>
        <v>847.34840341666677</v>
      </c>
      <c r="AF23" s="5">
        <f>SUMIFS('48 KMP -Tháng'!AH$2:AH$53,'48 KMP -Tháng'!$C$2:$C$53,'18 KMP- Tháng'!$D23)</f>
        <v>954.84058600000003</v>
      </c>
      <c r="AG23" s="5">
        <f>SUMIFS('48 KMP -Tháng'!AI$2:AI$53,'48 KMP -Tháng'!$C$2:$C$53,'18 KMP- Tháng'!$D23)</f>
        <v>1156.6500449999999</v>
      </c>
      <c r="AH23" s="5">
        <f>SUMIFS('48 KMP -Tháng'!AJ$2:AJ$53,'48 KMP -Tháng'!$C$2:$C$53,'18 KMP- Tháng'!$D23)</f>
        <v>1032.198695</v>
      </c>
      <c r="AI23" s="5">
        <f>SUMIFS('48 KMP -Tháng'!AK$2:AK$53,'48 KMP -Tháng'!$C$2:$C$53,'18 KMP- Tháng'!$D23)</f>
        <v>1123.1554360000002</v>
      </c>
      <c r="AJ23" s="5">
        <f>SUMIFS('48 KMP -Tháng'!AL$2:AL$53,'48 KMP -Tháng'!$C$2:$C$53,'18 KMP- Tháng'!$D23)</f>
        <v>1070.7569490000001</v>
      </c>
      <c r="AK23" s="5">
        <f>SUMIFS('48 KMP -Tháng'!AM$2:AM$53,'48 KMP -Tháng'!$C$2:$C$53,'18 KMP- Tháng'!$D23)</f>
        <v>1292.3613570000002</v>
      </c>
      <c r="AL23" s="5">
        <f>SUMIFS('48 KMP -Tháng'!AN$2:AN$53,'48 KMP -Tháng'!$C$2:$C$53,'18 KMP- Tháng'!$D23)</f>
        <v>1336.968877</v>
      </c>
      <c r="AM23" s="5">
        <f>SUMIFS('48 KMP -Tháng'!AO$2:AO$53,'48 KMP -Tháng'!$C$2:$C$53,'18 KMP- Tháng'!$D23)</f>
        <v>1300.5327359999999</v>
      </c>
      <c r="AN23" s="5">
        <f>SUMIFS('48 KMP -Tháng'!AP$2:AP$53,'48 KMP -Tháng'!$C$2:$C$53,'18 KMP- Tháng'!$D23)</f>
        <v>1135.2528440000001</v>
      </c>
      <c r="AO23" s="5">
        <f>SUMIFS('48 KMP -Tháng'!AQ$2:AQ$53,'48 KMP -Tháng'!$C$2:$C$53,'18 KMP- Tháng'!$D23)</f>
        <v>1276.4911440000001</v>
      </c>
      <c r="AP23" s="5">
        <f>SUMIFS('48 KMP -Tháng'!AR$2:AR$53,'48 KMP -Tháng'!$C$2:$C$53,'18 KMP- Tháng'!$D23)</f>
        <v>1152.781774</v>
      </c>
      <c r="AQ23" s="5">
        <f>SUMIFS('48 KMP -Tháng'!AS$2:AS$53,'48 KMP -Tháng'!$C$2:$C$53,'18 KMP- Tháng'!$D23)+SUMIFS('48 KMP -Tháng'!AT$2:AT$53,'48 KMP -Tháng'!$C$2:$C$53,'18 KMP- Tháng'!$D23)</f>
        <v>1098.2780640000001</v>
      </c>
      <c r="AR23" s="28">
        <f t="shared" si="3"/>
        <v>1160.8557089166666</v>
      </c>
      <c r="AS23" s="5">
        <f>SUMIFS('48 KMP -Tháng'!AV$2:AV$53,'48 KMP -Tháng'!$C$2:$C$53,'18 KMP- Tháng'!$D23)</f>
        <v>953.05825100000004</v>
      </c>
      <c r="AT23" s="5">
        <f>SUMIFS('48 KMP -Tháng'!AW$2:AW$53,'48 KMP -Tháng'!$C$2:$C$53,'18 KMP- Tháng'!$D23)</f>
        <v>699.73584800000003</v>
      </c>
      <c r="AU23" s="5">
        <f>SUMIFS('48 KMP -Tháng'!AX$2:AX$53,'48 KMP -Tháng'!$C$2:$C$53,'18 KMP- Tháng'!$D23)</f>
        <v>863.95969500000012</v>
      </c>
      <c r="AV23" s="5">
        <f>SUMIFS('48 KMP -Tháng'!AY$2:AY$53,'48 KMP -Tháng'!$C$2:$C$53,'18 KMP- Tháng'!$D23)</f>
        <v>1018.525967</v>
      </c>
      <c r="AW23" s="5">
        <f>SUMIFS('48 KMP -Tháng'!AZ$2:AZ$53,'48 KMP -Tháng'!$C$2:$C$53,'18 KMP- Tháng'!$D23)</f>
        <v>1261.7044699999999</v>
      </c>
      <c r="AX23" s="5">
        <f>SUMIFS('48 KMP -Tháng'!BA$2:BA$53,'48 KMP -Tháng'!$C$2:$C$53,'18 KMP- Tháng'!$D23)</f>
        <v>1075.1173409999999</v>
      </c>
      <c r="AY23" s="5">
        <f>SUMIFS('48 KMP -Tháng'!BB$2:BB$53,'48 KMP -Tháng'!$C$2:$C$53,'18 KMP- Tháng'!$D23)</f>
        <v>0</v>
      </c>
      <c r="AZ23" s="5">
        <f>SUMIFS('48 KMP -Tháng'!BC$2:BC$53,'48 KMP -Tháng'!$C$2:$C$53,'18 KMP- Tháng'!$D23)</f>
        <v>0</v>
      </c>
      <c r="BA23" s="5">
        <f>SUMIFS('48 KMP -Tháng'!BD$2:BD$53,'48 KMP -Tháng'!$C$2:$C$53,'18 KMP- Tháng'!$D23)</f>
        <v>0</v>
      </c>
      <c r="BB23" s="5">
        <f>SUMIFS('48 KMP -Tháng'!BE$2:BE$53,'48 KMP -Tháng'!$C$2:$C$53,'18 KMP- Tháng'!$D23)</f>
        <v>0</v>
      </c>
      <c r="BC23" s="5">
        <f>SUMIFS('48 KMP -Tháng'!BF$2:BF$53,'48 KMP -Tháng'!$C$2:$C$53,'18 KMP- Tháng'!$D23)</f>
        <v>0</v>
      </c>
      <c r="BD23" s="5">
        <f>SUMIFS('48 KMP -Tháng'!BG$2:BG$53,'48 KMP -Tháng'!$C$2:$C$53,'18 KMP- Tháng'!$D23)</f>
        <v>0</v>
      </c>
      <c r="BE23" s="28">
        <f t="shared" si="7"/>
        <v>489.34179766666671</v>
      </c>
      <c r="BF23" s="7">
        <f>SUMIFS('48 KMP -Tháng'!BI$2:BI$53,'48 KMP -Tháng'!$C$2:$C$53,'18 KMP- Tháng'!$D23)</f>
        <v>1498.3283359620987</v>
      </c>
      <c r="BG23" s="86"/>
      <c r="BH23" s="8">
        <f>SUMIFS('48 KMP -Tháng'!BL$2:BL$50,'48 KMP -Tháng'!$C$2:$C$50,'18 KMP- Tháng'!$D23)</f>
        <v>1006.3909672479249</v>
      </c>
      <c r="BI23" s="8">
        <f>SUMIFS('48 KMP -Tháng'!BM$2:BM$50,'48 KMP -Tháng'!$C$2:$C$50,'18 KMP- Tháng'!$D23)</f>
        <v>790.98151514487347</v>
      </c>
      <c r="BJ23" s="8">
        <f>SUMIFS('48 KMP -Tháng'!BN$2:BN$50,'48 KMP -Tháng'!$C$2:$C$50,'18 KMP- Tháng'!$D23)</f>
        <v>1265.3543462268537</v>
      </c>
      <c r="BK23" s="8">
        <f>SUMIFS('48 KMP -Tháng'!BO$2:BO$50,'48 KMP -Tháng'!$C$2:$C$50,'18 KMP- Tháng'!$D23)</f>
        <v>1161.7049307954319</v>
      </c>
      <c r="BL23" s="8">
        <f>SUMIFS('48 KMP -Tháng'!BP$2:BP$50,'48 KMP -Tháng'!$C$2:$C$50,'18 KMP- Tháng'!$D23)</f>
        <v>1171.3660458101872</v>
      </c>
      <c r="BM23" s="8">
        <f>SUMIFS('48 KMP -Tháng'!BQ$2:BQ$50,'48 KMP -Tháng'!$C$2:$C$50,'18 KMP- Tháng'!$D23)</f>
        <v>1498.3283359620987</v>
      </c>
      <c r="BN23" s="8">
        <f>SUMIFS('48 KMP -Tháng'!BR$2:BR$50,'48 KMP -Tháng'!$C$2:$C$50,'18 KMP- Tháng'!$D23)</f>
        <v>1319.012510734022</v>
      </c>
      <c r="BO23" s="8">
        <f>SUMIFS('48 KMP -Tháng'!BS$2:BS$50,'48 KMP -Tháng'!$C$2:$C$50,'18 KMP- Tháng'!$D23)</f>
        <v>1202.2024329840224</v>
      </c>
      <c r="BP23" s="8">
        <f>SUMIFS('48 KMP -Tháng'!BT$2:BT$50,'48 KMP -Tháng'!$C$2:$C$50,'18 KMP- Tháng'!$D23)</f>
        <v>1366.8730393972839</v>
      </c>
      <c r="BQ23" s="8">
        <f>SUMIFS('48 KMP -Tháng'!BU$2:BU$50,'48 KMP -Tháng'!$C$2:$C$50,'18 KMP- Tháng'!$D23)</f>
        <v>1222.2986830673553</v>
      </c>
      <c r="BR23" s="8">
        <f>SUMIFS('48 KMP -Tháng'!BV$2:BV$50,'48 KMP -Tháng'!$C$2:$C$50,'18 KMP- Tháng'!$D23)</f>
        <v>1221.7830999389505</v>
      </c>
      <c r="BS23" s="8">
        <f>SUMIFS('48 KMP -Tháng'!BW$2:BW$50,'48 KMP -Tháng'!$C$2:$C$50,'18 KMP- Tháng'!$D23)</f>
        <v>1250.6741891923555</v>
      </c>
      <c r="BT23" s="8">
        <f t="shared" si="8"/>
        <v>14476.97009650136</v>
      </c>
    </row>
    <row r="24" spans="1:76" x14ac:dyDescent="0.35">
      <c r="A24" s="105">
        <v>21</v>
      </c>
      <c r="B24" s="3">
        <f t="shared" si="9"/>
        <v>7</v>
      </c>
      <c r="C24" s="3" t="s">
        <v>97</v>
      </c>
      <c r="D24" s="3" t="s">
        <v>40</v>
      </c>
      <c r="E24" s="5">
        <f>SUMIFS('48 KMP -Tháng'!$F$2:$F$53,'48 KMP -Tháng'!$C$2:$C$53,'18 KMP- Tháng'!D24)</f>
        <v>44.321387999999999</v>
      </c>
      <c r="F24" s="5">
        <f>SUMIFS('48 KMP -Tháng'!$G$2:$G$53,'48 KMP -Tháng'!$C$2:$C$53,'18 KMP- Tháng'!D24)</f>
        <v>0</v>
      </c>
      <c r="G24" s="6">
        <f>SUMIFS('48 KMP -Tháng'!$H$2:$H$53,'48 KMP -Tháng'!$C$2:$C$53,'18 KMP- Tháng'!D24)</f>
        <v>48.722388000000002</v>
      </c>
      <c r="H24" s="5">
        <f>SUMIFS('48 KMP -Tháng'!$I$2:$I$53,'48 KMP -Tháng'!$C$2:$C$53,'18 KMP- Tháng'!D24)</f>
        <v>76.187495999999996</v>
      </c>
      <c r="I24" s="5">
        <f>SUMIFS('48 KMP -Tháng'!$J$2:$J$53,'48 KMP -Tháng'!$C$2:$C$53,'18 KMP- Tháng'!D24)</f>
        <v>68.801481999999993</v>
      </c>
      <c r="J24" s="5">
        <f>SUMIFS('48 KMP -Tháng'!$K$2:$K$53,'48 KMP -Tháng'!$C$2:$C$53,'18 KMP- Tháng'!D24)</f>
        <v>28.249625999999999</v>
      </c>
      <c r="K24" s="5">
        <f>SUMIFS('48 KMP -Tháng'!$L$2:$L$53,'48 KMP -Tháng'!$C$2:$C$53,'18 KMP- Tháng'!D24)</f>
        <v>91.396439000000001</v>
      </c>
      <c r="L24" s="5">
        <f>SUMIFS('48 KMP -Tháng'!$M$2:$M$53,'48 KMP -Tháng'!$C$2:$C$53,'18 KMP- Tháng'!D24)</f>
        <v>93.845376000000002</v>
      </c>
      <c r="M24" s="5">
        <f>SUMIFS('48 KMP -Tháng'!$N$2:$N$53,'48 KMP -Tháng'!$C$2:$C$53,'18 KMP- Tháng'!D24)</f>
        <v>109.400024</v>
      </c>
      <c r="N24" s="5">
        <f>SUMIFS('48 KMP -Tháng'!$O$2:$O$53,'48 KMP -Tháng'!$C$2:$C$53,'18 KMP- Tháng'!$D24)</f>
        <v>129.99653499999999</v>
      </c>
      <c r="O24" s="5">
        <f>SUMIFS('48 KMP -Tháng'!$P$2:$P$53,'48 KMP -Tháng'!$C$2:$C$53,'18 KMP- Tháng'!$D24)</f>
        <v>157.60198</v>
      </c>
      <c r="P24" s="5">
        <f>SUMIFS('48 KMP -Tháng'!$Q$2:$Q$53,'48 KMP -Tháng'!$C$2:$C$53,'18 KMP- Tháng'!$D24)</f>
        <v>316.88398999999998</v>
      </c>
      <c r="Q24" s="6">
        <f t="shared" si="0"/>
        <v>97.117227</v>
      </c>
      <c r="R24" s="5">
        <f>SUMIFS('48 KMP -Tháng'!$S$2:$S$53,'48 KMP -Tháng'!$C$2:$C$53,'18 KMP- Tháng'!$D24)</f>
        <v>460.46177499999999</v>
      </c>
      <c r="S24" s="5">
        <f>SUMIFS('48 KMP -Tháng'!$T$2:$T$53,'48 KMP -Tháng'!$C$2:$C$53,'18 KMP- Tháng'!$D24)</f>
        <v>563.90951600000005</v>
      </c>
      <c r="T24" s="5">
        <f>SUMIFS('48 KMP -Tháng'!U$2:U$53,'48 KMP -Tháng'!$C$2:$C$53,'18 KMP- Tháng'!$D24)</f>
        <v>587.31592000000001</v>
      </c>
      <c r="U24" s="5">
        <f>SUMIFS('48 KMP -Tháng'!V$2:V$53,'48 KMP -Tháng'!$C$2:$C$53,'18 KMP- Tháng'!$D24)</f>
        <v>905.70814199999995</v>
      </c>
      <c r="V24" s="5">
        <f>SUMIFS('48 KMP -Tháng'!W$2:W$53,'48 KMP -Tháng'!$C$2:$C$53,'18 KMP- Tháng'!$D24)</f>
        <v>974.31002899999999</v>
      </c>
      <c r="W24" s="5">
        <f>SUMIFS('48 KMP -Tháng'!X$2:X$53,'48 KMP -Tháng'!$C$2:$C$53,'18 KMP- Tháng'!$D24)</f>
        <v>1115.0560800000001</v>
      </c>
      <c r="X24" s="5">
        <f>SUMIFS('48 KMP -Tháng'!Y$2:Y$53,'48 KMP -Tháng'!$C$2:$C$53,'18 KMP- Tháng'!$D24)</f>
        <v>1160.8230060000001</v>
      </c>
      <c r="Y24" s="5">
        <f>SUMIFS('48 KMP -Tháng'!Z$2:Z$53,'48 KMP -Tháng'!$C$2:$C$53,'18 KMP- Tháng'!$D24)</f>
        <v>939.58504500000004</v>
      </c>
      <c r="Z24" s="5">
        <f>SUMIFS('48 KMP -Tháng'!AA$2:AA$53,'48 KMP -Tháng'!$C$2:$C$53,'18 KMP- Tháng'!$D24)</f>
        <v>859.44410500000004</v>
      </c>
      <c r="AA24" s="5">
        <f>SUMIFS('48 KMP -Tháng'!AB$2:AB$53,'48 KMP -Tháng'!$C$2:$C$53,'18 KMP- Tháng'!$D24)</f>
        <v>840.16551500000003</v>
      </c>
      <c r="AB24" s="5">
        <f>SUMIFS('48 KMP -Tháng'!AC$2:AC$53,'48 KMP -Tháng'!$C$2:$C$53,'18 KMP- Tháng'!$D24)</f>
        <v>889.15908100000001</v>
      </c>
      <c r="AC24" s="5">
        <f>SUMIFS('48 KMP -Tháng'!AD$2:AD$53,'48 KMP -Tháng'!$C$2:$C$53,'18 KMP- Tháng'!$D24)+SUMIFS('48 KMP -Tháng'!$AE$2:$AE$53,'48 KMP -Tháng'!$C$2:$C$53,'18 KMP- Tháng'!D24)</f>
        <v>1032.562923</v>
      </c>
      <c r="AD24" s="7">
        <f t="shared" si="1"/>
        <v>10328.501137000001</v>
      </c>
      <c r="AE24" s="28">
        <f t="shared" si="2"/>
        <v>860.70842808333339</v>
      </c>
      <c r="AF24" s="5">
        <f>SUMIFS('48 KMP -Tháng'!AH$2:AH$53,'48 KMP -Tháng'!$C$2:$C$53,'18 KMP- Tháng'!$D24)</f>
        <v>1114.8242760000001</v>
      </c>
      <c r="AG24" s="5">
        <f>SUMIFS('48 KMP -Tháng'!AI$2:AI$53,'48 KMP -Tháng'!$C$2:$C$53,'18 KMP- Tháng'!$D24)</f>
        <v>928.37928099999999</v>
      </c>
      <c r="AH24" s="5">
        <f>SUMIFS('48 KMP -Tháng'!AJ$2:AJ$53,'48 KMP -Tháng'!$C$2:$C$53,'18 KMP- Tháng'!$D24)</f>
        <v>673.96678899999995</v>
      </c>
      <c r="AI24" s="5">
        <f>SUMIFS('48 KMP -Tháng'!AK$2:AK$53,'48 KMP -Tháng'!$C$2:$C$53,'18 KMP- Tháng'!$D24)</f>
        <v>888.39345200000002</v>
      </c>
      <c r="AJ24" s="5">
        <f>SUMIFS('48 KMP -Tháng'!AL$2:AL$53,'48 KMP -Tháng'!$C$2:$C$53,'18 KMP- Tháng'!$D24)</f>
        <v>1189.130459</v>
      </c>
      <c r="AK24" s="5">
        <f>SUMIFS('48 KMP -Tháng'!AM$2:AM$53,'48 KMP -Tháng'!$C$2:$C$53,'18 KMP- Tháng'!$D24)</f>
        <v>1448.8998220000001</v>
      </c>
      <c r="AL24" s="5">
        <f>SUMIFS('48 KMP -Tháng'!AN$2:AN$53,'48 KMP -Tháng'!$C$2:$C$53,'18 KMP- Tháng'!$D24)</f>
        <v>1242.023326</v>
      </c>
      <c r="AM24" s="5">
        <f>SUMIFS('48 KMP -Tháng'!AO$2:AO$53,'48 KMP -Tháng'!$C$2:$C$53,'18 KMP- Tháng'!$D24)</f>
        <v>1303.5609099999999</v>
      </c>
      <c r="AN24" s="5">
        <f>SUMIFS('48 KMP -Tháng'!AP$2:AP$53,'48 KMP -Tháng'!$C$2:$C$53,'18 KMP- Tháng'!$D24)</f>
        <v>1595.764355</v>
      </c>
      <c r="AO24" s="5">
        <f>SUMIFS('48 KMP -Tháng'!AQ$2:AQ$53,'48 KMP -Tháng'!$C$2:$C$53,'18 KMP- Tháng'!$D24)</f>
        <v>1368.802426</v>
      </c>
      <c r="AP24" s="5">
        <f>SUMIFS('48 KMP -Tháng'!AR$2:AR$53,'48 KMP -Tháng'!$C$2:$C$53,'18 KMP- Tháng'!$D24)</f>
        <v>1256.132292</v>
      </c>
      <c r="AQ24" s="5">
        <f>SUMIFS('48 KMP -Tháng'!AS$2:AS$53,'48 KMP -Tháng'!$C$2:$C$53,'18 KMP- Tháng'!$D24)+SUMIFS('48 KMP -Tháng'!AT$2:AT$53,'48 KMP -Tháng'!$C$2:$C$53,'18 KMP- Tháng'!$D24)</f>
        <v>1256.103396</v>
      </c>
      <c r="AR24" s="28">
        <f t="shared" si="3"/>
        <v>1188.8317320000001</v>
      </c>
      <c r="AS24" s="5">
        <f>SUMIFS('48 KMP -Tháng'!AV$2:AV$53,'48 KMP -Tháng'!$C$2:$C$53,'18 KMP- Tháng'!$D24)</f>
        <v>1240.115065</v>
      </c>
      <c r="AT24" s="5">
        <f>SUMIFS('48 KMP -Tháng'!AW$2:AW$53,'48 KMP -Tháng'!$C$2:$C$53,'18 KMP- Tháng'!$D24)</f>
        <v>1156.2794180000001</v>
      </c>
      <c r="AU24" s="5">
        <f>SUMIFS('48 KMP -Tháng'!AX$2:AX$53,'48 KMP -Tháng'!$C$2:$C$53,'18 KMP- Tháng'!$D24)</f>
        <v>959.71856400000001</v>
      </c>
      <c r="AV24" s="5">
        <f>SUMIFS('48 KMP -Tháng'!AY$2:AY$53,'48 KMP -Tháng'!$C$2:$C$53,'18 KMP- Tháng'!$D24)</f>
        <v>1062.0844750000001</v>
      </c>
      <c r="AW24" s="5">
        <f>SUMIFS('48 KMP -Tháng'!AZ$2:AZ$53,'48 KMP -Tháng'!$C$2:$C$53,'18 KMP- Tháng'!$D24)</f>
        <v>838.83679099999995</v>
      </c>
      <c r="AX24" s="5">
        <f>SUMIFS('48 KMP -Tháng'!BA$2:BA$53,'48 KMP -Tháng'!$C$2:$C$53,'18 KMP- Tháng'!$D24)</f>
        <v>856.84165599999994</v>
      </c>
      <c r="AY24" s="5">
        <f>SUMIFS('48 KMP -Tháng'!BB$2:BB$53,'48 KMP -Tháng'!$C$2:$C$53,'18 KMP- Tháng'!$D24)</f>
        <v>0</v>
      </c>
      <c r="AZ24" s="5">
        <f>SUMIFS('48 KMP -Tháng'!BC$2:BC$53,'48 KMP -Tháng'!$C$2:$C$53,'18 KMP- Tháng'!$D24)</f>
        <v>0</v>
      </c>
      <c r="BA24" s="5">
        <f>SUMIFS('48 KMP -Tháng'!BD$2:BD$53,'48 KMP -Tháng'!$C$2:$C$53,'18 KMP- Tháng'!$D24)</f>
        <v>0</v>
      </c>
      <c r="BB24" s="5">
        <f>SUMIFS('48 KMP -Tháng'!BE$2:BE$53,'48 KMP -Tháng'!$C$2:$C$53,'18 KMP- Tháng'!$D24)</f>
        <v>0</v>
      </c>
      <c r="BC24" s="5">
        <f>SUMIFS('48 KMP -Tháng'!BF$2:BF$53,'48 KMP -Tháng'!$C$2:$C$53,'18 KMP- Tháng'!$D24)</f>
        <v>0</v>
      </c>
      <c r="BD24" s="5">
        <f>SUMIFS('48 KMP -Tháng'!BG$2:BG$53,'48 KMP -Tháng'!$C$2:$C$53,'18 KMP- Tháng'!$D24)</f>
        <v>0</v>
      </c>
      <c r="BE24" s="28">
        <f t="shared" si="7"/>
        <v>509.48966408333331</v>
      </c>
      <c r="BF24" s="7">
        <f>SUMIFS('48 KMP -Tháng'!BI$2:BI$53,'48 KMP -Tháng'!$C$2:$C$53,'18 KMP- Tháng'!$D24)</f>
        <v>3083.7658926644508</v>
      </c>
      <c r="BG24" s="86"/>
      <c r="BH24" s="8">
        <f>SUMIFS('48 KMP -Tháng'!BL$2:BL$50,'48 KMP -Tháng'!$C$2:$C$50,'18 KMP- Tháng'!$D24)</f>
        <v>1440.7291910893346</v>
      </c>
      <c r="BI24" s="8">
        <f>SUMIFS('48 KMP -Tháng'!BM$2:BM$50,'48 KMP -Tháng'!$C$2:$C$50,'18 KMP- Tháng'!$D24)</f>
        <v>2314.4014916227866</v>
      </c>
      <c r="BJ24" s="8">
        <f>SUMIFS('48 KMP -Tháng'!BN$2:BN$50,'48 KMP -Tháng'!$C$2:$C$50,'18 KMP- Tháng'!$D24)</f>
        <v>2754.8451088531456</v>
      </c>
      <c r="BK24" s="8">
        <f>SUMIFS('48 KMP -Tháng'!BO$2:BO$50,'48 KMP -Tháng'!$C$2:$C$50,'18 KMP- Tháng'!$D24)</f>
        <v>2658.9739779450151</v>
      </c>
      <c r="BL24" s="8">
        <f>SUMIFS('48 KMP -Tháng'!BP$2:BP$50,'48 KMP -Tháng'!$C$2:$C$50,'18 KMP- Tháng'!$D24)</f>
        <v>2984.5638576971396</v>
      </c>
      <c r="BM24" s="8">
        <f>SUMIFS('48 KMP -Tháng'!BQ$2:BQ$50,'48 KMP -Tháng'!$C$2:$C$50,'18 KMP- Tháng'!$D24)</f>
        <v>3083.7658926644508</v>
      </c>
      <c r="BN24" s="8">
        <f>SUMIFS('48 KMP -Tháng'!BR$2:BR$50,'48 KMP -Tháng'!$C$2:$C$50,'18 KMP- Tháng'!$D24)</f>
        <v>3139.6191586549103</v>
      </c>
      <c r="BO24" s="8">
        <f>SUMIFS('48 KMP -Tháng'!BS$2:BS$50,'48 KMP -Tháng'!$C$2:$C$50,'18 KMP- Tháng'!$D24)</f>
        <v>3321.5810537279758</v>
      </c>
      <c r="BP24" s="8">
        <f>SUMIFS('48 KMP -Tháng'!BT$2:BT$50,'48 KMP -Tháng'!$C$2:$C$50,'18 KMP- Tháng'!$D24)</f>
        <v>3248.3418835147654</v>
      </c>
      <c r="BQ24" s="8">
        <f>SUMIFS('48 KMP -Tháng'!BU$2:BU$50,'48 KMP -Tháng'!$C$2:$C$50,'18 KMP- Tháng'!$D24)</f>
        <v>3254.7331846761322</v>
      </c>
      <c r="BR24" s="8">
        <f>SUMIFS('48 KMP -Tháng'!BV$2:BV$50,'48 KMP -Tháng'!$C$2:$C$50,'18 KMP- Tháng'!$D24)</f>
        <v>3261.9944609206568</v>
      </c>
      <c r="BS24" s="8">
        <f>SUMIFS('48 KMP -Tháng'!BW$2:BW$50,'48 KMP -Tháng'!$C$2:$C$50,'18 KMP- Tháng'!$D24)</f>
        <v>3102.3550620342407</v>
      </c>
      <c r="BT24" s="8">
        <f t="shared" si="8"/>
        <v>34565.904323400558</v>
      </c>
      <c r="BV24" s="605"/>
    </row>
    <row r="25" spans="1:76" s="10" customFormat="1" x14ac:dyDescent="0.35">
      <c r="A25" s="105">
        <v>22</v>
      </c>
      <c r="D25" s="11" t="s">
        <v>98</v>
      </c>
      <c r="E25" s="7">
        <f t="shared" ref="E25:P25" si="10">SUM(E6:E24)</f>
        <v>34440.911711089284</v>
      </c>
      <c r="F25" s="7">
        <f t="shared" si="10"/>
        <v>46317.090426292278</v>
      </c>
      <c r="G25" s="7">
        <f t="shared" si="10"/>
        <v>55997.137123049295</v>
      </c>
      <c r="H25" s="7">
        <f t="shared" si="10"/>
        <v>48947.483193914282</v>
      </c>
      <c r="I25" s="7">
        <f t="shared" si="10"/>
        <v>58599.450388103287</v>
      </c>
      <c r="J25" s="7">
        <f t="shared" si="10"/>
        <v>52071.093139714285</v>
      </c>
      <c r="K25" s="7">
        <f t="shared" si="10"/>
        <v>60035.260519214287</v>
      </c>
      <c r="L25" s="7">
        <f t="shared" si="10"/>
        <v>62421.991991500014</v>
      </c>
      <c r="M25" s="7">
        <f t="shared" si="10"/>
        <v>55229.418362560005</v>
      </c>
      <c r="N25" s="7">
        <f t="shared" si="10"/>
        <v>62472.462763999996</v>
      </c>
      <c r="O25" s="7">
        <f t="shared" si="10"/>
        <v>51056.575212999989</v>
      </c>
      <c r="P25" s="7">
        <f t="shared" si="10"/>
        <v>96361.762473917581</v>
      </c>
      <c r="Q25" s="6">
        <f t="shared" si="0"/>
        <v>56995.886442196206</v>
      </c>
      <c r="R25" s="7">
        <f t="shared" ref="R25:BS25" si="11">SUM(R6:R24)</f>
        <v>115057.39110293402</v>
      </c>
      <c r="S25" s="7">
        <f t="shared" si="11"/>
        <v>84852.291090643077</v>
      </c>
      <c r="T25" s="7">
        <f t="shared" si="11"/>
        <v>125486.35049797817</v>
      </c>
      <c r="U25" s="7">
        <f t="shared" si="11"/>
        <v>120060.41692212663</v>
      </c>
      <c r="V25" s="7">
        <f t="shared" si="11"/>
        <v>122607.27571487431</v>
      </c>
      <c r="W25" s="7">
        <f t="shared" si="11"/>
        <v>98715.67990018813</v>
      </c>
      <c r="X25" s="7">
        <f t="shared" si="11"/>
        <v>65791.31293329355</v>
      </c>
      <c r="Y25" s="7">
        <f t="shared" si="11"/>
        <v>74011.500762084703</v>
      </c>
      <c r="Z25" s="7">
        <f t="shared" si="11"/>
        <v>90283.612402125276</v>
      </c>
      <c r="AA25" s="7">
        <f t="shared" si="11"/>
        <v>118837.42090925851</v>
      </c>
      <c r="AB25" s="7">
        <f t="shared" si="11"/>
        <v>126733.4004487161</v>
      </c>
      <c r="AC25" s="7">
        <f t="shared" si="11"/>
        <v>108399.86693067969</v>
      </c>
      <c r="AD25" s="7">
        <f>SUM(AD6:AD24)</f>
        <v>1250836.5196149023</v>
      </c>
      <c r="AE25" s="7">
        <f>SUM(AE6:AE24)</f>
        <v>104236.37663457518</v>
      </c>
      <c r="AF25" s="7">
        <f>SUM(AF6:AF24)</f>
        <v>70761.580371729942</v>
      </c>
      <c r="AG25" s="7">
        <f>SUM(AG6:AG24)</f>
        <v>93339.630436730266</v>
      </c>
      <c r="AH25" s="7">
        <f t="shared" ref="AH25:AQ25" si="12">SUM(AH6:AH24)</f>
        <v>135744.15186534991</v>
      </c>
      <c r="AI25" s="7">
        <f t="shared" si="12"/>
        <v>123953.31853651282</v>
      </c>
      <c r="AJ25" s="7">
        <f t="shared" si="12"/>
        <v>141373.92062789982</v>
      </c>
      <c r="AK25" s="7">
        <f t="shared" si="12"/>
        <v>129422.85189499872</v>
      </c>
      <c r="AL25" s="7">
        <f t="shared" si="12"/>
        <v>140987.36823394359</v>
      </c>
      <c r="AM25" s="7">
        <f t="shared" si="12"/>
        <v>142202.12603338977</v>
      </c>
      <c r="AN25" s="7">
        <f t="shared" si="12"/>
        <v>142427.61196251021</v>
      </c>
      <c r="AO25" s="7">
        <f t="shared" si="12"/>
        <v>108201.27177808291</v>
      </c>
      <c r="AP25" s="7">
        <f t="shared" si="12"/>
        <v>86134.210565524016</v>
      </c>
      <c r="AQ25" s="7">
        <f t="shared" si="12"/>
        <v>118851.93601718273</v>
      </c>
      <c r="AR25" s="7">
        <f t="shared" si="3"/>
        <v>119449.99819365454</v>
      </c>
      <c r="AS25" s="7">
        <f>SUM(AS6:AS24)</f>
        <v>95139.89507034859</v>
      </c>
      <c r="AT25" s="7">
        <f>SUM(AT6:AT24)</f>
        <v>67773.241644026304</v>
      </c>
      <c r="AU25" s="7">
        <f t="shared" ref="AU25:BD25" si="13">SUM(AU6:AU24)</f>
        <v>122634.61018828403</v>
      </c>
      <c r="AV25" s="7">
        <f t="shared" si="13"/>
        <v>123559.28474045049</v>
      </c>
      <c r="AW25" s="7">
        <f t="shared" si="13"/>
        <v>112670.55854036832</v>
      </c>
      <c r="AX25" s="7">
        <f t="shared" si="13"/>
        <v>120282.30440767812</v>
      </c>
      <c r="AY25" s="7">
        <f t="shared" si="13"/>
        <v>0</v>
      </c>
      <c r="AZ25" s="7">
        <f t="shared" si="13"/>
        <v>0</v>
      </c>
      <c r="BA25" s="7">
        <f t="shared" si="13"/>
        <v>0</v>
      </c>
      <c r="BB25" s="7">
        <f t="shared" si="13"/>
        <v>0</v>
      </c>
      <c r="BC25" s="7">
        <f t="shared" si="13"/>
        <v>0</v>
      </c>
      <c r="BD25" s="7">
        <f t="shared" si="13"/>
        <v>0</v>
      </c>
      <c r="BE25" s="7">
        <f t="shared" si="7"/>
        <v>53504.991215929651</v>
      </c>
      <c r="BF25" s="7">
        <f>SUM(BF6:BF24)</f>
        <v>122382.80119797472</v>
      </c>
      <c r="BG25" s="7"/>
      <c r="BH25" s="7">
        <f>SUM(BH6:BH24)</f>
        <v>115929.03398458035</v>
      </c>
      <c r="BI25" s="7">
        <f t="shared" si="11"/>
        <v>99481.317255880625</v>
      </c>
      <c r="BJ25" s="7">
        <f t="shared" si="11"/>
        <v>118461.37521106303</v>
      </c>
      <c r="BK25" s="7">
        <f t="shared" si="11"/>
        <v>119581.09253569103</v>
      </c>
      <c r="BL25" s="7">
        <f t="shared" si="11"/>
        <v>120366.59328966835</v>
      </c>
      <c r="BM25" s="7">
        <f t="shared" si="11"/>
        <v>122382.80119797472</v>
      </c>
      <c r="BN25" s="7">
        <f t="shared" si="11"/>
        <v>124504.83761923686</v>
      </c>
      <c r="BO25" s="7">
        <f t="shared" si="11"/>
        <v>125587.52413853171</v>
      </c>
      <c r="BP25" s="7">
        <f t="shared" si="11"/>
        <v>126150.25911621882</v>
      </c>
      <c r="BQ25" s="7">
        <f t="shared" si="11"/>
        <v>124866.40303081283</v>
      </c>
      <c r="BR25" s="7">
        <f t="shared" si="11"/>
        <v>124017.50513653902</v>
      </c>
      <c r="BS25" s="7">
        <f t="shared" si="11"/>
        <v>126913.86604754637</v>
      </c>
      <c r="BT25" s="7">
        <f>SUM(BT6:BT24)</f>
        <v>1448242.608563744</v>
      </c>
      <c r="BU25" s="604"/>
    </row>
    <row r="26" spans="1:76" s="10" customFormat="1" x14ac:dyDescent="0.35">
      <c r="A26" s="105">
        <v>23</v>
      </c>
      <c r="D26" s="11" t="s">
        <v>99</v>
      </c>
      <c r="E26" s="7">
        <v>841.88200000000006</v>
      </c>
      <c r="F26" s="7">
        <v>1307.212</v>
      </c>
      <c r="G26" s="7">
        <v>1683.5150000000001</v>
      </c>
      <c r="H26" s="7">
        <v>1492.932</v>
      </c>
      <c r="I26" s="7">
        <v>1899.635</v>
      </c>
      <c r="J26" s="7">
        <v>1515.6790000000001</v>
      </c>
      <c r="K26" s="7">
        <v>2178.2570000000001</v>
      </c>
      <c r="L26" s="7">
        <v>2374.6089999999999</v>
      </c>
      <c r="M26" s="7">
        <v>2017.2435</v>
      </c>
      <c r="N26" s="7">
        <v>2500.7439999999997</v>
      </c>
      <c r="O26" s="7">
        <v>1739.5754999999999</v>
      </c>
      <c r="P26" s="7">
        <v>3906.0309999999995</v>
      </c>
      <c r="Q26" s="6">
        <f t="shared" si="0"/>
        <v>1954.7762499999999</v>
      </c>
      <c r="R26" s="7">
        <v>4748.3130000000001</v>
      </c>
      <c r="S26" s="7">
        <v>2926.5019999999995</v>
      </c>
      <c r="T26" s="7">
        <v>4896.4380000000001</v>
      </c>
      <c r="U26" s="7">
        <v>4526.3689999999997</v>
      </c>
      <c r="V26" s="7">
        <v>4417.8749999999991</v>
      </c>
      <c r="W26" s="7">
        <v>3495.0745000000011</v>
      </c>
      <c r="X26" s="7">
        <v>1866.424</v>
      </c>
      <c r="Y26" s="7">
        <v>2192.5824999999995</v>
      </c>
      <c r="Z26" s="7">
        <v>2799.3996999999999</v>
      </c>
      <c r="AA26" s="7">
        <v>4293.2714999999989</v>
      </c>
      <c r="AB26" s="7">
        <v>4775.3970000000008</v>
      </c>
      <c r="AC26" s="7">
        <v>3318.6420999999996</v>
      </c>
      <c r="AD26" s="7">
        <f t="shared" si="1"/>
        <v>44256.2883</v>
      </c>
      <c r="AE26" s="7">
        <f t="shared" si="2"/>
        <v>3688.0240250000002</v>
      </c>
      <c r="AF26" s="7">
        <v>1839.7309999999998</v>
      </c>
      <c r="AG26" s="7">
        <v>2957.2660000000001</v>
      </c>
      <c r="AH26" s="7">
        <v>4821.92</v>
      </c>
      <c r="AI26" s="7">
        <v>4088.2489999999993</v>
      </c>
      <c r="AJ26" s="7">
        <v>4828.9710000000005</v>
      </c>
      <c r="AK26" s="7">
        <v>4232.4530000000004</v>
      </c>
      <c r="AL26" s="7">
        <v>4561.6410000000005</v>
      </c>
      <c r="AM26" s="7">
        <v>4570.5645000000004</v>
      </c>
      <c r="AN26" s="7">
        <v>4555.5080000000007</v>
      </c>
      <c r="AO26" s="7">
        <v>3173.9179999999997</v>
      </c>
      <c r="AP26" s="7">
        <v>2323.2630000000004</v>
      </c>
      <c r="AQ26" s="7">
        <v>3552.8617999999997</v>
      </c>
      <c r="AR26" s="7">
        <f t="shared" si="3"/>
        <v>3792.1955249999996</v>
      </c>
      <c r="AS26" s="7">
        <v>2868.56925</v>
      </c>
      <c r="AT26" s="7">
        <v>1811.1000000000001</v>
      </c>
      <c r="AU26" s="7">
        <v>4279.4889999999996</v>
      </c>
      <c r="AV26" s="7">
        <v>4370.2853999999998</v>
      </c>
      <c r="AW26" s="7">
        <v>3592.6819999999998</v>
      </c>
      <c r="AX26" s="7">
        <v>3923.3257999999996</v>
      </c>
      <c r="AY26" s="7"/>
      <c r="AZ26" s="7"/>
      <c r="BA26" s="7"/>
      <c r="BB26" s="7"/>
      <c r="BC26" s="7"/>
      <c r="BD26" s="7"/>
      <c r="BE26" s="7"/>
      <c r="BF26" s="7" t="e">
        <f ca="1">SUM(OFFSET(BH26,0,0,1,$BH$1))</f>
        <v>#REF!</v>
      </c>
      <c r="BG26" s="86"/>
      <c r="BH26" s="156">
        <v>3955</v>
      </c>
      <c r="BI26" s="156">
        <v>3245</v>
      </c>
      <c r="BJ26" s="156">
        <v>4145</v>
      </c>
      <c r="BK26" s="156">
        <v>4155</v>
      </c>
      <c r="BL26" s="156">
        <v>4145</v>
      </c>
      <c r="BM26" s="156">
        <v>4230</v>
      </c>
      <c r="BN26" s="156">
        <v>4330</v>
      </c>
      <c r="BO26" s="156">
        <v>4370</v>
      </c>
      <c r="BP26" s="156">
        <v>4355</v>
      </c>
      <c r="BQ26" s="156">
        <v>4380</v>
      </c>
      <c r="BR26" s="156">
        <v>4320</v>
      </c>
      <c r="BS26" s="156">
        <v>4370</v>
      </c>
      <c r="BT26" s="7">
        <f>SUM(BH26:BS26)</f>
        <v>50000</v>
      </c>
      <c r="BU26" s="10" t="s">
        <v>307</v>
      </c>
    </row>
    <row r="27" spans="1:76" s="10" customFormat="1" ht="28.5" x14ac:dyDescent="0.35">
      <c r="A27" s="105">
        <v>24</v>
      </c>
      <c r="D27" s="88" t="s">
        <v>167</v>
      </c>
      <c r="E27" s="7">
        <f t="shared" ref="E27:AF27" si="14">E25/E26</f>
        <v>40.909428769220959</v>
      </c>
      <c r="F27" s="7">
        <f t="shared" si="14"/>
        <v>35.431965454947076</v>
      </c>
      <c r="G27" s="7">
        <f t="shared" si="14"/>
        <v>33.262036348383766</v>
      </c>
      <c r="H27" s="7">
        <f t="shared" si="14"/>
        <v>32.786143772063483</v>
      </c>
      <c r="I27" s="7">
        <f t="shared" si="14"/>
        <v>30.84774200733472</v>
      </c>
      <c r="J27" s="7">
        <f t="shared" si="14"/>
        <v>34.354961136041524</v>
      </c>
      <c r="K27" s="7">
        <f t="shared" si="14"/>
        <v>27.561146604470586</v>
      </c>
      <c r="L27" s="7">
        <f t="shared" si="14"/>
        <v>26.287271711469138</v>
      </c>
      <c r="M27" s="7">
        <f t="shared" si="14"/>
        <v>27.378657243193498</v>
      </c>
      <c r="N27" s="7">
        <f t="shared" si="14"/>
        <v>24.98155059614259</v>
      </c>
      <c r="O27" s="7">
        <f t="shared" si="14"/>
        <v>29.350019710555816</v>
      </c>
      <c r="P27" s="7">
        <f t="shared" si="14"/>
        <v>24.669994291882883</v>
      </c>
      <c r="Q27" s="7">
        <f t="shared" si="14"/>
        <v>29.157243158748326</v>
      </c>
      <c r="R27" s="7">
        <f t="shared" si="14"/>
        <v>24.231214560399454</v>
      </c>
      <c r="S27" s="7">
        <f t="shared" si="14"/>
        <v>28.994441517772103</v>
      </c>
      <c r="T27" s="7">
        <f t="shared" si="14"/>
        <v>25.628089337183106</v>
      </c>
      <c r="U27" s="7">
        <f t="shared" si="14"/>
        <v>26.524664012617318</v>
      </c>
      <c r="V27" s="7">
        <f t="shared" si="14"/>
        <v>27.752545220241483</v>
      </c>
      <c r="W27" s="7">
        <f t="shared" si="14"/>
        <v>28.244227669592764</v>
      </c>
      <c r="X27" s="7">
        <f t="shared" si="14"/>
        <v>35.249928704996051</v>
      </c>
      <c r="Y27" s="7">
        <f t="shared" si="14"/>
        <v>33.755400657482546</v>
      </c>
      <c r="Z27" s="7">
        <f t="shared" si="14"/>
        <v>32.251061683733582</v>
      </c>
      <c r="AA27" s="7">
        <f t="shared" si="14"/>
        <v>27.67992215476206</v>
      </c>
      <c r="AB27" s="7">
        <f t="shared" si="14"/>
        <v>26.538819798378245</v>
      </c>
      <c r="AC27" s="155">
        <f t="shared" si="14"/>
        <v>32.663922069414987</v>
      </c>
      <c r="AD27" s="155">
        <f t="shared" si="14"/>
        <v>28.263475489310348</v>
      </c>
      <c r="AE27" s="155">
        <f t="shared" si="14"/>
        <v>28.263475489310341</v>
      </c>
      <c r="AF27" s="155">
        <f t="shared" si="14"/>
        <v>38.463003760729123</v>
      </c>
      <c r="AG27" s="155">
        <f t="shared" ref="AG27:AH27" si="15">AG25/AG26</f>
        <v>31.562811879868182</v>
      </c>
      <c r="AH27" s="155">
        <f t="shared" si="15"/>
        <v>28.151473244133022</v>
      </c>
      <c r="AI27" s="155">
        <f t="shared" ref="AI27:AK27" si="16">AI25/AI26</f>
        <v>30.319415117942384</v>
      </c>
      <c r="AJ27" s="155">
        <f t="shared" si="16"/>
        <v>29.276199966390315</v>
      </c>
      <c r="AK27" s="155">
        <f t="shared" si="16"/>
        <v>30.578686141346097</v>
      </c>
      <c r="AL27" s="155">
        <f t="shared" ref="AL27:AN27" si="17">AL25/AL26</f>
        <v>30.907159996576578</v>
      </c>
      <c r="AM27" s="155">
        <f t="shared" si="17"/>
        <v>31.112595836551428</v>
      </c>
      <c r="AN27" s="155">
        <f t="shared" si="17"/>
        <v>31.264924123173572</v>
      </c>
      <c r="AO27" s="155">
        <f t="shared" ref="AO27:AQ27" si="18">AO25/AO26</f>
        <v>34.090758418485585</v>
      </c>
      <c r="AP27" s="155">
        <f t="shared" si="18"/>
        <v>37.074670653096099</v>
      </c>
      <c r="AQ27" s="155">
        <f t="shared" si="18"/>
        <v>33.452451209102122</v>
      </c>
      <c r="AR27" s="155">
        <f>AVERAGE(AF27:AQ27)</f>
        <v>32.187845862282877</v>
      </c>
      <c r="AS27" s="155">
        <f t="shared" ref="AS27:BD27" si="19">AS25/AS26</f>
        <v>33.166323270860062</v>
      </c>
      <c r="AT27" s="155">
        <f t="shared" si="19"/>
        <v>37.42103784662708</v>
      </c>
      <c r="AU27" s="155">
        <f t="shared" si="19"/>
        <v>28.656367661719436</v>
      </c>
      <c r="AV27" s="155">
        <f t="shared" si="19"/>
        <v>28.272589414972874</v>
      </c>
      <c r="AW27" s="155">
        <f t="shared" si="19"/>
        <v>31.36112757554616</v>
      </c>
      <c r="AX27" s="155">
        <f t="shared" si="19"/>
        <v>30.658250305819141</v>
      </c>
      <c r="AY27" s="155" t="e">
        <f t="shared" si="19"/>
        <v>#DIV/0!</v>
      </c>
      <c r="AZ27" s="155" t="e">
        <f t="shared" si="19"/>
        <v>#DIV/0!</v>
      </c>
      <c r="BA27" s="155" t="e">
        <f t="shared" si="19"/>
        <v>#DIV/0!</v>
      </c>
      <c r="BB27" s="155" t="e">
        <f t="shared" si="19"/>
        <v>#DIV/0!</v>
      </c>
      <c r="BC27" s="155" t="e">
        <f t="shared" si="19"/>
        <v>#DIV/0!</v>
      </c>
      <c r="BD27" s="155" t="e">
        <f t="shared" si="19"/>
        <v>#DIV/0!</v>
      </c>
      <c r="BE27" s="155" t="e">
        <f>AVERAGE(AS27:BD27)</f>
        <v>#DIV/0!</v>
      </c>
      <c r="BF27" s="578" t="e">
        <f ca="1">BF25/BF26</f>
        <v>#REF!</v>
      </c>
      <c r="BG27" s="7"/>
      <c r="BH27" s="578">
        <f>(BH25-BH8)/BH26+(BH8/BH30)</f>
        <v>29.297021407602521</v>
      </c>
      <c r="BI27" s="578">
        <f t="shared" ref="BI27:BT27" si="20">(BI25-BI8)/BI26+(BI8/BI30)</f>
        <v>30.606726701903284</v>
      </c>
      <c r="BJ27" s="578">
        <f t="shared" si="20"/>
        <v>28.559886570012289</v>
      </c>
      <c r="BK27" s="578">
        <f t="shared" si="20"/>
        <v>28.770540640599659</v>
      </c>
      <c r="BL27" s="578">
        <f t="shared" si="20"/>
        <v>29.019213745675824</v>
      </c>
      <c r="BM27" s="578">
        <f>(BM25-BM8)/BM26+(BM8/BM30)</f>
        <v>28.91455328824247</v>
      </c>
      <c r="BN27" s="578">
        <f t="shared" si="20"/>
        <v>28.740994608296926</v>
      </c>
      <c r="BO27" s="578">
        <f t="shared" si="20"/>
        <v>28.731518745202546</v>
      </c>
      <c r="BP27" s="578">
        <f t="shared" si="20"/>
        <v>28.95196458309184</v>
      </c>
      <c r="BQ27" s="578">
        <f t="shared" si="20"/>
        <v>28.50522739514691</v>
      </c>
      <c r="BR27" s="578">
        <f t="shared" si="20"/>
        <v>28.693342018892231</v>
      </c>
      <c r="BS27" s="578">
        <f t="shared" si="20"/>
        <v>29.027872208947024</v>
      </c>
      <c r="BT27" s="578">
        <f t="shared" si="20"/>
        <v>28.948955012408994</v>
      </c>
    </row>
    <row r="28" spans="1:76" s="10" customFormat="1" ht="28.5" x14ac:dyDescent="0.35">
      <c r="A28" s="105">
        <v>25</v>
      </c>
      <c r="D28" s="88" t="s">
        <v>166</v>
      </c>
      <c r="E28" s="7">
        <f t="shared" ref="E28:Q28" si="21">E25/E26</f>
        <v>40.909428769220959</v>
      </c>
      <c r="F28" s="7">
        <f t="shared" si="21"/>
        <v>35.431965454947076</v>
      </c>
      <c r="G28" s="7">
        <f t="shared" si="21"/>
        <v>33.262036348383766</v>
      </c>
      <c r="H28" s="7">
        <f t="shared" si="21"/>
        <v>32.786143772063483</v>
      </c>
      <c r="I28" s="7">
        <f t="shared" si="21"/>
        <v>30.84774200733472</v>
      </c>
      <c r="J28" s="7">
        <f t="shared" si="21"/>
        <v>34.354961136041524</v>
      </c>
      <c r="K28" s="7">
        <f t="shared" si="21"/>
        <v>27.561146604470586</v>
      </c>
      <c r="L28" s="7">
        <f t="shared" si="21"/>
        <v>26.287271711469138</v>
      </c>
      <c r="M28" s="7">
        <f t="shared" si="21"/>
        <v>27.378657243193498</v>
      </c>
      <c r="N28" s="7">
        <f t="shared" si="21"/>
        <v>24.98155059614259</v>
      </c>
      <c r="O28" s="7">
        <f t="shared" si="21"/>
        <v>29.350019710555816</v>
      </c>
      <c r="P28" s="7">
        <f t="shared" si="21"/>
        <v>24.669994291882883</v>
      </c>
      <c r="Q28" s="7">
        <f t="shared" si="21"/>
        <v>29.157243158748326</v>
      </c>
      <c r="R28" s="7">
        <f t="shared" ref="R28:AE28" si="22">(R25-R29)/R26</f>
        <v>23.906971852866626</v>
      </c>
      <c r="S28" s="7">
        <f t="shared" si="22"/>
        <v>27.921622888796851</v>
      </c>
      <c r="T28" s="7">
        <f t="shared" si="22"/>
        <v>25.640423653816271</v>
      </c>
      <c r="U28" s="7">
        <f t="shared" si="22"/>
        <v>26.184522529823202</v>
      </c>
      <c r="V28" s="7">
        <f t="shared" si="22"/>
        <v>27.40405055632878</v>
      </c>
      <c r="W28" s="7">
        <f t="shared" si="22"/>
        <v>27.803720360425729</v>
      </c>
      <c r="X28" s="7">
        <f t="shared" si="22"/>
        <v>34.425032613146968</v>
      </c>
      <c r="Y28" s="7">
        <f t="shared" si="22"/>
        <v>33.053212318693319</v>
      </c>
      <c r="Z28" s="7">
        <f t="shared" si="22"/>
        <v>31.70108453565668</v>
      </c>
      <c r="AA28" s="7">
        <f t="shared" si="22"/>
        <v>27.321313139857381</v>
      </c>
      <c r="AB28" s="7">
        <f t="shared" si="22"/>
        <v>26.216416056169308</v>
      </c>
      <c r="AC28" s="155">
        <f t="shared" si="22"/>
        <v>30.956396370475257</v>
      </c>
      <c r="AD28" s="155">
        <f t="shared" si="22"/>
        <v>27.752760922946681</v>
      </c>
      <c r="AE28" s="155">
        <f t="shared" si="22"/>
        <v>27.752760922946674</v>
      </c>
      <c r="AF28" s="155">
        <f>(AF25-AF29)/AF26</f>
        <v>37.272612339374589</v>
      </c>
      <c r="AG28" s="155">
        <f t="shared" ref="AG28:AH28" si="23">(AG25-AG29)/AG26</f>
        <v>30.78168498766437</v>
      </c>
      <c r="AH28" s="155">
        <f t="shared" si="23"/>
        <v>27.684854138050799</v>
      </c>
      <c r="AI28" s="155">
        <f t="shared" ref="AI28" si="24">(AI25-AI29)/AI26</f>
        <v>29.805747775273186</v>
      </c>
      <c r="AJ28" s="155">
        <f t="shared" ref="AJ28:AO28" si="25">(AJ25-AJ29)/AJ26</f>
        <v>28.841324710357508</v>
      </c>
      <c r="AK28" s="155">
        <f t="shared" si="25"/>
        <v>29.924693781832595</v>
      </c>
      <c r="AL28" s="155">
        <f t="shared" si="25"/>
        <v>30.239438429710614</v>
      </c>
      <c r="AM28" s="155">
        <f t="shared" si="25"/>
        <v>30.347721809284113</v>
      </c>
      <c r="AN28" s="155">
        <f t="shared" si="25"/>
        <v>30.497522095562157</v>
      </c>
      <c r="AO28" s="155">
        <f t="shared" si="25"/>
        <v>32.989310278993635</v>
      </c>
      <c r="AP28" s="155">
        <f>(AP25-AP29)/AP26</f>
        <v>35.569930950359044</v>
      </c>
      <c r="AQ28" s="155">
        <f>(AQ25-AQ29)/AQ26</f>
        <v>32.704911274956636</v>
      </c>
      <c r="AR28" s="155">
        <f t="shared" si="3"/>
        <v>31.388312714284936</v>
      </c>
      <c r="AS28" s="155">
        <f>(AS25-AS29)/AS26</f>
        <v>33.166323270860062</v>
      </c>
      <c r="AT28" s="155">
        <f t="shared" ref="AT28:BB28" si="26">(AT25-AT29)/AT26</f>
        <v>37.42103784662708</v>
      </c>
      <c r="AU28" s="155">
        <f t="shared" si="26"/>
        <v>28.656367661719436</v>
      </c>
      <c r="AV28" s="155">
        <f t="shared" si="26"/>
        <v>28.272589414972874</v>
      </c>
      <c r="AW28" s="155">
        <f t="shared" si="26"/>
        <v>31.36112757554616</v>
      </c>
      <c r="AX28" s="155">
        <f t="shared" si="26"/>
        <v>30.658250305819141</v>
      </c>
      <c r="AY28" s="155" t="e">
        <f t="shared" si="26"/>
        <v>#DIV/0!</v>
      </c>
      <c r="AZ28" s="155" t="e">
        <f t="shared" si="26"/>
        <v>#DIV/0!</v>
      </c>
      <c r="BA28" s="155" t="e">
        <f t="shared" si="26"/>
        <v>#DIV/0!</v>
      </c>
      <c r="BB28" s="155" t="e">
        <f t="shared" si="26"/>
        <v>#DIV/0!</v>
      </c>
      <c r="BC28" s="155" t="e">
        <f>(BC25-BC29)/BC26</f>
        <v>#DIV/0!</v>
      </c>
      <c r="BD28" s="155" t="e">
        <f>(BD25-BD29)/BD26</f>
        <v>#DIV/0!</v>
      </c>
      <c r="BE28" s="155" t="e">
        <f t="shared" ref="BE28" si="27">AVERAGE(AS28:BD28)</f>
        <v>#DIV/0!</v>
      </c>
      <c r="BF28" s="578" t="e">
        <f ca="1">(BF25-BF18+BF29)/BF26</f>
        <v>#REF!</v>
      </c>
      <c r="BG28" s="86"/>
      <c r="BH28" s="578">
        <f>(BH25-BH8-BH29)/BH26+(BH8/BH30)</f>
        <v>29.297021407602521</v>
      </c>
      <c r="BI28" s="578">
        <f t="shared" ref="BI28:BT28" si="28">(BI25-BI8-BI29)/BI26+(BI8/BI30)</f>
        <v>30.606726701903284</v>
      </c>
      <c r="BJ28" s="578">
        <f t="shared" si="28"/>
        <v>28.559886570012289</v>
      </c>
      <c r="BK28" s="578">
        <f t="shared" si="28"/>
        <v>28.770540640599659</v>
      </c>
      <c r="BL28" s="578">
        <f t="shared" si="28"/>
        <v>29.019213745675824</v>
      </c>
      <c r="BM28" s="578">
        <f t="shared" si="28"/>
        <v>28.91455328824247</v>
      </c>
      <c r="BN28" s="578">
        <f t="shared" si="28"/>
        <v>28.740994608296926</v>
      </c>
      <c r="BO28" s="578">
        <f t="shared" si="28"/>
        <v>28.731518745202546</v>
      </c>
      <c r="BP28" s="578">
        <f t="shared" si="28"/>
        <v>28.95196458309184</v>
      </c>
      <c r="BQ28" s="578">
        <f t="shared" si="28"/>
        <v>28.50522739514691</v>
      </c>
      <c r="BR28" s="578">
        <f t="shared" si="28"/>
        <v>28.693342018892231</v>
      </c>
      <c r="BS28" s="578">
        <f t="shared" si="28"/>
        <v>29.027872208947024</v>
      </c>
      <c r="BT28" s="578">
        <f t="shared" si="28"/>
        <v>28.948955012408994</v>
      </c>
    </row>
    <row r="29" spans="1:76" s="90" customFormat="1" x14ac:dyDescent="0.35">
      <c r="A29" s="105">
        <v>26</v>
      </c>
      <c r="D29" s="90" t="s">
        <v>210</v>
      </c>
      <c r="M29" s="91"/>
      <c r="R29" s="92">
        <v>1539.6058633333323</v>
      </c>
      <c r="S29" s="92">
        <v>3139.6058633333323</v>
      </c>
      <c r="T29" s="92">
        <v>-60.394216666667489</v>
      </c>
      <c r="U29" s="92">
        <v>1539.6058633333323</v>
      </c>
      <c r="V29" s="92">
        <v>1539.6058633333323</v>
      </c>
      <c r="W29" s="92">
        <v>1539.6058633333323</v>
      </c>
      <c r="X29" s="92">
        <v>1539.6058633333323</v>
      </c>
      <c r="Y29" s="92">
        <v>1539.6058633333323</v>
      </c>
      <c r="Z29" s="92">
        <v>1539.6058633333323</v>
      </c>
      <c r="AA29" s="92">
        <v>1539.6058633333323</v>
      </c>
      <c r="AB29" s="92">
        <v>1539.6058633333323</v>
      </c>
      <c r="AC29" s="932">
        <f>1539.60586333333+4127.060808</f>
        <v>5666.6666713333307</v>
      </c>
      <c r="AD29" s="40">
        <f>SUM(R29:AC29)</f>
        <v>22602.331087999984</v>
      </c>
      <c r="AE29" s="40">
        <f>AVERAGE(R29:AC29)</f>
        <v>1883.5275906666654</v>
      </c>
      <c r="AF29" s="40">
        <v>2190</v>
      </c>
      <c r="AG29" s="40">
        <v>2310</v>
      </c>
      <c r="AH29" s="40">
        <v>2250</v>
      </c>
      <c r="AI29" s="40">
        <v>2100</v>
      </c>
      <c r="AJ29" s="40">
        <v>2100</v>
      </c>
      <c r="AK29" s="40">
        <v>2767.9919239999999</v>
      </c>
      <c r="AL29" s="40">
        <v>3045.9060760000002</v>
      </c>
      <c r="AM29" s="40">
        <v>3495.9060760000002</v>
      </c>
      <c r="AN29" s="40">
        <v>3495.9060760000002</v>
      </c>
      <c r="AO29" s="40">
        <v>3495.9060760000002</v>
      </c>
      <c r="AP29" s="40">
        <v>3495.9060760000002</v>
      </c>
      <c r="AQ29" s="600">
        <f>(2100000000+727914152+667991924)/10^6-840+N("kết chuyển 627 về 642 phần diện tích quản lý thông qua tk632")</f>
        <v>2655.9060760000002</v>
      </c>
      <c r="AR29" s="600">
        <f>AVERAGE(AF29:AQ29)</f>
        <v>2783.6190316666666</v>
      </c>
      <c r="AS29" s="40">
        <v>0</v>
      </c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600"/>
      <c r="BE29" s="600">
        <f>AVERAGE(AS29:BD29)</f>
        <v>0</v>
      </c>
      <c r="BF29" s="40"/>
      <c r="BG29" s="148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>
        <f>SUM(BH29:BS29)</f>
        <v>0</v>
      </c>
    </row>
    <row r="30" spans="1:76" s="90" customFormat="1" x14ac:dyDescent="0.35">
      <c r="A30" s="105"/>
      <c r="M30" s="91"/>
      <c r="R30" s="92">
        <f t="shared" ref="R30:AB30" si="29">R32+R31</f>
        <v>1539.6058633333305</v>
      </c>
      <c r="S30" s="92">
        <f t="shared" si="29"/>
        <v>3139.6058633333305</v>
      </c>
      <c r="T30" s="92">
        <f t="shared" si="29"/>
        <v>-60.394216666669308</v>
      </c>
      <c r="U30" s="92">
        <f t="shared" si="29"/>
        <v>1539.6058633333305</v>
      </c>
      <c r="V30" s="92">
        <f t="shared" si="29"/>
        <v>1539.6058633333305</v>
      </c>
      <c r="W30" s="92">
        <f t="shared" si="29"/>
        <v>1539.6058633333305</v>
      </c>
      <c r="X30" s="92">
        <f t="shared" si="29"/>
        <v>1539.6058633333305</v>
      </c>
      <c r="Y30" s="92">
        <f t="shared" si="29"/>
        <v>1539.6058633333305</v>
      </c>
      <c r="Z30" s="92">
        <f t="shared" si="29"/>
        <v>1539.6058633333305</v>
      </c>
      <c r="AA30" s="92">
        <f t="shared" si="29"/>
        <v>1539.6058633333305</v>
      </c>
      <c r="AB30" s="92">
        <f t="shared" si="29"/>
        <v>1539.6058633333305</v>
      </c>
      <c r="AC30" s="92">
        <f>AC32+AC31</f>
        <v>1539.6058633333305</v>
      </c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92">
        <v>4307.222932676138</v>
      </c>
      <c r="BI30" s="92">
        <v>4242.3145678240326</v>
      </c>
      <c r="BJ30" s="92">
        <v>4667.5574034757401</v>
      </c>
      <c r="BK30" s="92">
        <v>4383.231518676721</v>
      </c>
      <c r="BL30" s="92">
        <v>4652.4364391825347</v>
      </c>
      <c r="BM30" s="92">
        <v>4680.9521822275929</v>
      </c>
      <c r="BN30" s="92">
        <v>4678.4225169732681</v>
      </c>
      <c r="BO30" s="92">
        <v>4551.8494989087394</v>
      </c>
      <c r="BP30" s="92">
        <v>4763.6231018888839</v>
      </c>
      <c r="BQ30" s="92">
        <v>4457.6262974285746</v>
      </c>
      <c r="BR30" s="92">
        <v>4709.2431243544625</v>
      </c>
      <c r="BS30" s="92">
        <v>4773.5204185700304</v>
      </c>
      <c r="BT30" s="7">
        <f>SUM(BH30:BS30)</f>
        <v>54868.000002186724</v>
      </c>
      <c r="BU30" s="90" t="s">
        <v>246</v>
      </c>
    </row>
    <row r="31" spans="1:76" s="90" customFormat="1" x14ac:dyDescent="0.35">
      <c r="A31" s="105"/>
      <c r="D31" s="90" t="s">
        <v>212</v>
      </c>
      <c r="M31" s="91"/>
      <c r="R31" s="92">
        <v>-9416.6666666666697</v>
      </c>
      <c r="S31" s="92">
        <v>-9416.6666666666697</v>
      </c>
      <c r="T31" s="92">
        <v>-9416.6666666666697</v>
      </c>
      <c r="U31" s="92">
        <v>-9416.6666666666697</v>
      </c>
      <c r="V31" s="92">
        <v>-9416.6666666666697</v>
      </c>
      <c r="W31" s="92">
        <v>-9416.6666666666697</v>
      </c>
      <c r="X31" s="92">
        <v>-9416.6666666666697</v>
      </c>
      <c r="Y31" s="92">
        <v>-9416.6666666666697</v>
      </c>
      <c r="Z31" s="92">
        <v>-9416.6666666666697</v>
      </c>
      <c r="AA31" s="92">
        <v>-9416.6666666666697</v>
      </c>
      <c r="AB31" s="92">
        <v>-9416.6666666666697</v>
      </c>
      <c r="AC31" s="92">
        <v>-9416.6666666666697</v>
      </c>
      <c r="AD31" s="40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>
        <f>2662876497+5737123503+955616384+2058859742</f>
        <v>11414476126</v>
      </c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>
        <f>2662876497+5737123503+955616384+2058859742</f>
        <v>11414476126</v>
      </c>
      <c r="BE31" s="148"/>
      <c r="BF31" s="148"/>
      <c r="BG31" s="148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76" s="90" customFormat="1" x14ac:dyDescent="0.35">
      <c r="A32" s="105"/>
      <c r="D32" s="90" t="s">
        <v>211</v>
      </c>
      <c r="M32" s="91"/>
      <c r="R32" s="92">
        <v>10956.27253</v>
      </c>
      <c r="S32" s="92">
        <v>12556.27253</v>
      </c>
      <c r="T32" s="92">
        <v>9356.2724500000004</v>
      </c>
      <c r="U32" s="92">
        <v>10956.27253</v>
      </c>
      <c r="V32" s="92">
        <v>10956.27253</v>
      </c>
      <c r="W32" s="92">
        <v>10956.27253</v>
      </c>
      <c r="X32" s="92">
        <v>10956.27253</v>
      </c>
      <c r="Y32" s="92">
        <v>10956.27253</v>
      </c>
      <c r="Z32" s="92">
        <v>10956.27253</v>
      </c>
      <c r="AA32" s="92">
        <v>10956.27253</v>
      </c>
      <c r="AB32" s="92">
        <v>10956.27253</v>
      </c>
      <c r="AC32" s="92">
        <v>10956.27253</v>
      </c>
      <c r="AD32" s="40">
        <f>SUM(R32:AC32)</f>
        <v>131475.27028</v>
      </c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>
        <f>AQ31/10^6</f>
        <v>11414.476126</v>
      </c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>
        <f>BD31/10^6</f>
        <v>11414.476126</v>
      </c>
      <c r="BE32" s="148"/>
      <c r="BF32" s="148"/>
      <c r="BG32" s="148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</row>
    <row r="33" spans="2:72" s="12" customFormat="1" x14ac:dyDescent="0.35">
      <c r="M33" s="84"/>
      <c r="R33" s="87"/>
      <c r="S33" s="87"/>
      <c r="T33" s="87"/>
      <c r="U33" s="87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</row>
    <row r="34" spans="2:72" s="12" customFormat="1" x14ac:dyDescent="0.35">
      <c r="D34" s="13" t="s">
        <v>100</v>
      </c>
    </row>
    <row r="35" spans="2:72" s="89" customFormat="1" ht="26" x14ac:dyDescent="0.35">
      <c r="B35" s="74" t="s">
        <v>57</v>
      </c>
      <c r="C35" s="74" t="s">
        <v>58</v>
      </c>
      <c r="D35" s="74" t="s">
        <v>59</v>
      </c>
      <c r="E35" s="76" t="s">
        <v>60</v>
      </c>
      <c r="F35" s="76" t="s">
        <v>61</v>
      </c>
      <c r="G35" s="76" t="s">
        <v>62</v>
      </c>
      <c r="H35" s="76" t="s">
        <v>63</v>
      </c>
      <c r="I35" s="76" t="s">
        <v>64</v>
      </c>
      <c r="J35" s="76" t="s">
        <v>65</v>
      </c>
      <c r="K35" s="76" t="s">
        <v>66</v>
      </c>
      <c r="L35" s="76" t="s">
        <v>67</v>
      </c>
      <c r="M35" s="76" t="s">
        <v>68</v>
      </c>
      <c r="N35" s="76" t="s">
        <v>69</v>
      </c>
      <c r="O35" s="76" t="s">
        <v>70</v>
      </c>
      <c r="P35" s="76" t="s">
        <v>71</v>
      </c>
      <c r="Q35" s="76" t="s">
        <v>170</v>
      </c>
      <c r="R35" s="76" t="s">
        <v>72</v>
      </c>
      <c r="S35" s="76" t="s">
        <v>73</v>
      </c>
      <c r="T35" s="76" t="s">
        <v>74</v>
      </c>
      <c r="U35" s="76" t="s">
        <v>75</v>
      </c>
      <c r="V35" s="76" t="s">
        <v>76</v>
      </c>
      <c r="W35" s="76" t="s">
        <v>77</v>
      </c>
      <c r="X35" s="76" t="s">
        <v>78</v>
      </c>
      <c r="Y35" s="76" t="s">
        <v>79</v>
      </c>
      <c r="Z35" s="76" t="s">
        <v>80</v>
      </c>
      <c r="AA35" s="76" t="s">
        <v>81</v>
      </c>
      <c r="AB35" s="76" t="s">
        <v>82</v>
      </c>
      <c r="AC35" s="76" t="s">
        <v>83</v>
      </c>
      <c r="AD35" s="73" t="str">
        <f>AD4</f>
        <v>Lũy kế TT 2024</v>
      </c>
      <c r="AE35" s="72" t="s">
        <v>184</v>
      </c>
      <c r="AF35" s="70" t="s">
        <v>228</v>
      </c>
      <c r="AG35" s="70" t="s">
        <v>229</v>
      </c>
      <c r="AH35" s="70" t="s">
        <v>230</v>
      </c>
      <c r="AI35" s="70" t="s">
        <v>231</v>
      </c>
      <c r="AJ35" s="70" t="s">
        <v>232</v>
      </c>
      <c r="AK35" s="70" t="s">
        <v>233</v>
      </c>
      <c r="AL35" s="70" t="s">
        <v>234</v>
      </c>
      <c r="AM35" s="70" t="s">
        <v>235</v>
      </c>
      <c r="AN35" s="70" t="s">
        <v>236</v>
      </c>
      <c r="AO35" s="70" t="s">
        <v>237</v>
      </c>
      <c r="AP35" s="70" t="s">
        <v>238</v>
      </c>
      <c r="AQ35" s="70" t="s">
        <v>239</v>
      </c>
      <c r="AR35" s="70" t="s">
        <v>249</v>
      </c>
      <c r="AS35" s="70" t="str">
        <f>AS4</f>
        <v>T1.26</v>
      </c>
      <c r="AT35" s="70" t="str">
        <f t="shared" ref="AT35:BE35" si="30">AT4</f>
        <v>T2.26</v>
      </c>
      <c r="AU35" s="70" t="str">
        <f t="shared" si="30"/>
        <v>T3.26</v>
      </c>
      <c r="AV35" s="70" t="str">
        <f t="shared" si="30"/>
        <v>T4.26</v>
      </c>
      <c r="AW35" s="70" t="str">
        <f t="shared" si="30"/>
        <v>T5.26</v>
      </c>
      <c r="AX35" s="70" t="str">
        <f t="shared" si="30"/>
        <v>T6.26</v>
      </c>
      <c r="AY35" s="70" t="str">
        <f t="shared" si="30"/>
        <v>T7.26</v>
      </c>
      <c r="AZ35" s="70" t="str">
        <f t="shared" si="30"/>
        <v>T8.26</v>
      </c>
      <c r="BA35" s="70" t="str">
        <f t="shared" si="30"/>
        <v>T9.26</v>
      </c>
      <c r="BB35" s="70" t="str">
        <f t="shared" si="30"/>
        <v>T10.26</v>
      </c>
      <c r="BC35" s="70" t="str">
        <f t="shared" si="30"/>
        <v>T11.26</v>
      </c>
      <c r="BD35" s="70" t="str">
        <f t="shared" si="30"/>
        <v>T12.26</v>
      </c>
      <c r="BE35" s="70" t="str">
        <f t="shared" si="30"/>
        <v>BQ 2026</v>
      </c>
      <c r="BF35" s="73" t="str">
        <f>BF4</f>
        <v>KH T6.2026</v>
      </c>
      <c r="BG35" s="149"/>
    </row>
    <row r="36" spans="2:72" s="12" customFormat="1" x14ac:dyDescent="0.35">
      <c r="B36" s="81" t="s">
        <v>161</v>
      </c>
      <c r="C36" s="77" t="s">
        <v>162</v>
      </c>
      <c r="D36" s="77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147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</row>
    <row r="37" spans="2:72" s="12" customFormat="1" x14ac:dyDescent="0.35">
      <c r="B37" s="3">
        <v>1</v>
      </c>
      <c r="C37" s="3" t="s">
        <v>96</v>
      </c>
      <c r="D37" s="3" t="s">
        <v>47</v>
      </c>
      <c r="E37" s="15">
        <f t="shared" ref="E37:AE37" si="31">E6/E$25</f>
        <v>0.55703483178111934</v>
      </c>
      <c r="F37" s="15">
        <f t="shared" si="31"/>
        <v>0.63503585233586823</v>
      </c>
      <c r="G37" s="15">
        <f t="shared" si="31"/>
        <v>0.65906487628532739</v>
      </c>
      <c r="H37" s="15">
        <f t="shared" si="31"/>
        <v>0.6428714784688323</v>
      </c>
      <c r="I37" s="15">
        <f t="shared" si="31"/>
        <v>0.67443854639654777</v>
      </c>
      <c r="J37" s="15">
        <f t="shared" si="31"/>
        <v>0.63418488859827293</v>
      </c>
      <c r="K37" s="15">
        <f t="shared" si="31"/>
        <v>0.66739303680836892</v>
      </c>
      <c r="L37" s="15">
        <f t="shared" si="31"/>
        <v>0.668208192525797</v>
      </c>
      <c r="M37" s="15">
        <f t="shared" si="31"/>
        <v>0.6671624957133091</v>
      </c>
      <c r="N37" s="15">
        <f t="shared" si="31"/>
        <v>0.67396420723888473</v>
      </c>
      <c r="O37" s="15">
        <f t="shared" si="31"/>
        <v>0.61363454317677679</v>
      </c>
      <c r="P37" s="15">
        <f t="shared" si="31"/>
        <v>0.74476772781553624</v>
      </c>
      <c r="Q37" s="15">
        <f t="shared" si="31"/>
        <v>0.66282755247492631</v>
      </c>
      <c r="R37" s="15">
        <f t="shared" si="31"/>
        <v>0.71606015677782131</v>
      </c>
      <c r="S37" s="15">
        <f t="shared" si="31"/>
        <v>0.64440616281335439</v>
      </c>
      <c r="T37" s="15">
        <f t="shared" si="31"/>
        <v>0.73494058932301243</v>
      </c>
      <c r="U37" s="15">
        <f t="shared" si="31"/>
        <v>0.70635357942437249</v>
      </c>
      <c r="V37" s="15">
        <f t="shared" si="31"/>
        <v>0.70153105344986888</v>
      </c>
      <c r="W37" s="15">
        <f t="shared" si="31"/>
        <v>0.64254368872626544</v>
      </c>
      <c r="X37" s="15">
        <f t="shared" si="31"/>
        <v>0.5186845583495665</v>
      </c>
      <c r="Y37" s="15">
        <f t="shared" si="31"/>
        <v>0.53802510565674333</v>
      </c>
      <c r="Z37" s="15">
        <f t="shared" si="31"/>
        <v>0.58904099012185085</v>
      </c>
      <c r="AA37" s="15">
        <f t="shared" si="31"/>
        <v>0.67523213796881432</v>
      </c>
      <c r="AB37" s="15">
        <f t="shared" si="31"/>
        <v>0.690272047873567</v>
      </c>
      <c r="AC37" s="14">
        <f t="shared" si="31"/>
        <v>0.55977317339774368</v>
      </c>
      <c r="AD37" s="15">
        <f t="shared" si="31"/>
        <v>0.65481607324732594</v>
      </c>
      <c r="AE37" s="15">
        <f t="shared" si="31"/>
        <v>0.65481607324732594</v>
      </c>
      <c r="AF37" s="15">
        <f>AF6/AF$25</f>
        <v>0.47610798832850182</v>
      </c>
      <c r="AG37" s="15">
        <f t="shared" ref="AG37:AH37" si="32">AG6/AG$25</f>
        <v>0.58908271555672576</v>
      </c>
      <c r="AH37" s="15">
        <f t="shared" si="32"/>
        <v>0.68874838681146222</v>
      </c>
      <c r="AI37" s="15">
        <f t="shared" ref="AI37:AJ37" si="33">AI6/AI$25</f>
        <v>0.65987883686566062</v>
      </c>
      <c r="AJ37" s="15">
        <f t="shared" si="33"/>
        <v>0.68791909802710116</v>
      </c>
      <c r="AK37" s="15">
        <f t="shared" ref="AK37:AL37" si="34">AK6/AK$25</f>
        <v>0.65480278455580498</v>
      </c>
      <c r="AL37" s="15">
        <f t="shared" si="34"/>
        <v>0.66393710199356115</v>
      </c>
      <c r="AM37" s="15">
        <f t="shared" ref="AM37:AN37" si="35">AM6/AM$25</f>
        <v>0.65823343976876647</v>
      </c>
      <c r="AN37" s="15">
        <f t="shared" si="35"/>
        <v>0.64752641217340523</v>
      </c>
      <c r="AO37" s="15">
        <f t="shared" ref="AO37:AP37" si="36">AO6/AO$25</f>
        <v>0.55997337174881423</v>
      </c>
      <c r="AP37" s="15">
        <f t="shared" si="36"/>
        <v>0.48512242855859034</v>
      </c>
      <c r="AQ37" s="15"/>
      <c r="AR37" s="15">
        <f>AR6/AR$25</f>
        <v>0.62380071550470884</v>
      </c>
      <c r="AS37" s="15">
        <f>AS6/AS$25</f>
        <v>0.57055934125437657</v>
      </c>
      <c r="AT37" s="15">
        <f t="shared" ref="AT37:BE37" si="37">AT6/AT$25</f>
        <v>0.48379753341658788</v>
      </c>
      <c r="AU37" s="15">
        <f t="shared" si="37"/>
        <v>0.64420721263752601</v>
      </c>
      <c r="AV37" s="15">
        <f t="shared" si="37"/>
        <v>0.62889656515639669</v>
      </c>
      <c r="AW37" s="15">
        <f t="shared" si="37"/>
        <v>0.59811095981408102</v>
      </c>
      <c r="AX37" s="15">
        <f t="shared" si="37"/>
        <v>0.62698874686561135</v>
      </c>
      <c r="AY37" s="15" t="e">
        <f t="shared" si="37"/>
        <v>#DIV/0!</v>
      </c>
      <c r="AZ37" s="15" t="e">
        <f t="shared" si="37"/>
        <v>#DIV/0!</v>
      </c>
      <c r="BA37" s="15" t="e">
        <f t="shared" si="37"/>
        <v>#DIV/0!</v>
      </c>
      <c r="BB37" s="15" t="e">
        <f t="shared" si="37"/>
        <v>#DIV/0!</v>
      </c>
      <c r="BC37" s="15" t="e">
        <f t="shared" si="37"/>
        <v>#DIV/0!</v>
      </c>
      <c r="BD37" s="15" t="e">
        <f t="shared" si="37"/>
        <v>#DIV/0!</v>
      </c>
      <c r="BE37" s="15">
        <f t="shared" si="37"/>
        <v>0.60210074425271676</v>
      </c>
      <c r="BF37" s="15">
        <f t="shared" ref="BF37:BF47" si="38">BF6/BF$25</f>
        <v>0.61581826522493166</v>
      </c>
      <c r="BG37" s="150"/>
    </row>
    <row r="38" spans="2:72" s="12" customFormat="1" x14ac:dyDescent="0.35">
      <c r="B38" s="3">
        <f>+B37+1</f>
        <v>2</v>
      </c>
      <c r="C38" s="3" t="s">
        <v>96</v>
      </c>
      <c r="D38" s="3" t="s">
        <v>25</v>
      </c>
      <c r="E38" s="15">
        <f t="shared" ref="E38:AF38" si="39">E7/E$25</f>
        <v>3.99802772804254E-2</v>
      </c>
      <c r="F38" s="15">
        <f t="shared" si="39"/>
        <v>4.7895743872994057E-2</v>
      </c>
      <c r="G38" s="15">
        <f t="shared" si="39"/>
        <v>4.5983295437796896E-2</v>
      </c>
      <c r="H38" s="15">
        <f t="shared" si="39"/>
        <v>4.880095138981505E-2</v>
      </c>
      <c r="I38" s="15">
        <f t="shared" si="39"/>
        <v>4.7569116801237377E-2</v>
      </c>
      <c r="J38" s="15">
        <f t="shared" si="39"/>
        <v>5.1003851462730648E-2</v>
      </c>
      <c r="K38" s="15">
        <f t="shared" si="39"/>
        <v>5.2223660926674242E-2</v>
      </c>
      <c r="L38" s="15">
        <f t="shared" si="39"/>
        <v>4.7721322485280999E-2</v>
      </c>
      <c r="M38" s="15">
        <f t="shared" si="39"/>
        <v>5.2789033660662656E-2</v>
      </c>
      <c r="N38" s="15">
        <f t="shared" si="39"/>
        <v>5.3417903702734207E-2</v>
      </c>
      <c r="O38" s="15">
        <f t="shared" si="39"/>
        <v>5.5091337428441793E-2</v>
      </c>
      <c r="P38" s="15">
        <f t="shared" si="39"/>
        <v>5.4204711141660464E-2</v>
      </c>
      <c r="Q38" s="15">
        <f t="shared" si="39"/>
        <v>5.0303526465740087E-2</v>
      </c>
      <c r="R38" s="15">
        <f t="shared" si="39"/>
        <v>4.7966523898170202E-2</v>
      </c>
      <c r="S38" s="15">
        <f t="shared" si="39"/>
        <v>4.8912586173618024E-2</v>
      </c>
      <c r="T38" s="15">
        <f t="shared" si="39"/>
        <v>4.0786060632805335E-2</v>
      </c>
      <c r="U38" s="15">
        <f t="shared" si="39"/>
        <v>4.6173857355465572E-2</v>
      </c>
      <c r="V38" s="15">
        <f t="shared" si="39"/>
        <v>4.9104470064247625E-2</v>
      </c>
      <c r="W38" s="15">
        <f t="shared" si="39"/>
        <v>4.9060036915075433E-2</v>
      </c>
      <c r="X38" s="15">
        <f t="shared" si="39"/>
        <v>4.6548721456662522E-2</v>
      </c>
      <c r="Y38" s="15">
        <f t="shared" si="39"/>
        <v>4.7898261263418083E-2</v>
      </c>
      <c r="Z38" s="15">
        <f t="shared" si="39"/>
        <v>5.1714711914762644E-2</v>
      </c>
      <c r="AA38" s="15">
        <f t="shared" si="39"/>
        <v>4.6887575120421437E-2</v>
      </c>
      <c r="AB38" s="15">
        <f t="shared" si="39"/>
        <v>5.0779031235764459E-2</v>
      </c>
      <c r="AC38" s="14">
        <f t="shared" si="39"/>
        <v>4.5082317980382022E-2</v>
      </c>
      <c r="AD38" s="15">
        <f t="shared" si="39"/>
        <v>4.7460546290475226E-2</v>
      </c>
      <c r="AE38" s="15">
        <f t="shared" si="39"/>
        <v>4.7460546290475233E-2</v>
      </c>
      <c r="AF38" s="15">
        <f t="shared" si="39"/>
        <v>4.5511801716155868E-2</v>
      </c>
      <c r="AG38" s="15">
        <f t="shared" ref="AG38:AH38" si="40">AG7/AG$25</f>
        <v>4.5039798457844289E-2</v>
      </c>
      <c r="AH38" s="15">
        <f t="shared" si="40"/>
        <v>4.8337889462145678E-2</v>
      </c>
      <c r="AI38" s="15">
        <f t="shared" ref="AI38:AJ38" si="41">AI7/AI$25</f>
        <v>4.9979002967759402E-2</v>
      </c>
      <c r="AJ38" s="15">
        <f t="shared" si="41"/>
        <v>4.6893135336105903E-2</v>
      </c>
      <c r="AK38" s="15">
        <f t="shared" ref="AK38:AL38" si="42">AK7/AK$25</f>
        <v>4.9660289708454222E-2</v>
      </c>
      <c r="AL38" s="15">
        <f t="shared" si="42"/>
        <v>5.0597974615448724E-2</v>
      </c>
      <c r="AM38" s="15">
        <f t="shared" ref="AM38:AN38" si="43">AM7/AM$25</f>
        <v>5.1220636281413649E-2</v>
      </c>
      <c r="AN38" s="15">
        <f t="shared" si="43"/>
        <v>4.9723693948222139E-2</v>
      </c>
      <c r="AO38" s="15">
        <f t="shared" ref="AO38:AP38" si="44">AO7/AO$25</f>
        <v>5.7902677066953456E-2</v>
      </c>
      <c r="AP38" s="15">
        <f t="shared" si="44"/>
        <v>5.0537725863158231E-2</v>
      </c>
      <c r="AQ38" s="15"/>
      <c r="AR38" s="15">
        <f t="shared" ref="AR38" si="45">AR7/AR$25</f>
        <v>4.9037534045587222E-2</v>
      </c>
      <c r="AS38" s="15">
        <f t="shared" ref="AS38" si="46">AS7/AS$25</f>
        <v>4.3106895724107017E-2</v>
      </c>
      <c r="AT38" s="15">
        <f t="shared" ref="AT38:BE38" si="47">AT7/AT$25</f>
        <v>3.6988987927818281E-2</v>
      </c>
      <c r="AU38" s="15">
        <f t="shared" si="47"/>
        <v>4.6681098225131508E-2</v>
      </c>
      <c r="AV38" s="15">
        <f t="shared" si="47"/>
        <v>4.6589185661702399E-2</v>
      </c>
      <c r="AW38" s="15">
        <f t="shared" si="47"/>
        <v>5.2258646688881076E-2</v>
      </c>
      <c r="AX38" s="15">
        <f t="shared" si="47"/>
        <v>5.0792466315685333E-2</v>
      </c>
      <c r="AY38" s="15" t="e">
        <f t="shared" si="47"/>
        <v>#DIV/0!</v>
      </c>
      <c r="AZ38" s="15" t="e">
        <f t="shared" si="47"/>
        <v>#DIV/0!</v>
      </c>
      <c r="BA38" s="15" t="e">
        <f t="shared" si="47"/>
        <v>#DIV/0!</v>
      </c>
      <c r="BB38" s="15" t="e">
        <f t="shared" si="47"/>
        <v>#DIV/0!</v>
      </c>
      <c r="BC38" s="15" t="e">
        <f t="shared" si="47"/>
        <v>#DIV/0!</v>
      </c>
      <c r="BD38" s="15" t="e">
        <f t="shared" si="47"/>
        <v>#DIV/0!</v>
      </c>
      <c r="BE38" s="15">
        <f t="shared" si="47"/>
        <v>4.6859708811369256E-2</v>
      </c>
      <c r="BF38" s="15">
        <f t="shared" si="38"/>
        <v>4.0983634053446821E-2</v>
      </c>
      <c r="BG38" s="150"/>
    </row>
    <row r="39" spans="2:72" s="1" customFormat="1" x14ac:dyDescent="0.35">
      <c r="B39" s="3">
        <f t="shared" ref="B39:B47" si="48">+B38+1</f>
        <v>3</v>
      </c>
      <c r="C39" s="3" t="s">
        <v>96</v>
      </c>
      <c r="D39" s="3" t="s">
        <v>165</v>
      </c>
      <c r="E39" s="15">
        <f t="shared" ref="E39:AF39" si="49">E8/E$25</f>
        <v>0</v>
      </c>
      <c r="F39" s="15">
        <f t="shared" si="49"/>
        <v>0</v>
      </c>
      <c r="G39" s="15">
        <f t="shared" si="49"/>
        <v>9.0273429316429475E-3</v>
      </c>
      <c r="H39" s="15">
        <f t="shared" si="49"/>
        <v>7.8505812745807615E-3</v>
      </c>
      <c r="I39" s="15">
        <f t="shared" si="49"/>
        <v>6.3754389081411376E-3</v>
      </c>
      <c r="J39" s="15">
        <f t="shared" si="49"/>
        <v>1.2422746729444777E-2</v>
      </c>
      <c r="K39" s="15">
        <f t="shared" si="49"/>
        <v>7.6928020967309422E-3</v>
      </c>
      <c r="L39" s="15">
        <f t="shared" si="49"/>
        <v>1.1419390222232328E-2</v>
      </c>
      <c r="M39" s="15">
        <f t="shared" si="49"/>
        <v>6.7479885005025629E-3</v>
      </c>
      <c r="N39" s="15">
        <f t="shared" si="49"/>
        <v>1.1947658327792317E-2</v>
      </c>
      <c r="O39" s="15">
        <f t="shared" si="49"/>
        <v>1.2267497876366034E-2</v>
      </c>
      <c r="P39" s="15">
        <f t="shared" si="49"/>
        <v>5.5380325795145692E-3</v>
      </c>
      <c r="Q39" s="15">
        <f t="shared" si="49"/>
        <v>7.8426323062220846E-3</v>
      </c>
      <c r="R39" s="15">
        <f t="shared" si="49"/>
        <v>4.5741758869637644E-3</v>
      </c>
      <c r="S39" s="15">
        <f t="shared" si="49"/>
        <v>4.358438590714513E-3</v>
      </c>
      <c r="T39" s="15">
        <f t="shared" si="49"/>
        <v>4.6915292194228365E-3</v>
      </c>
      <c r="U39" s="15">
        <f t="shared" si="49"/>
        <v>8.7744103261218308E-3</v>
      </c>
      <c r="V39" s="15">
        <f t="shared" si="49"/>
        <v>6.7885912573051694E-3</v>
      </c>
      <c r="W39" s="15">
        <f t="shared" si="49"/>
        <v>1.4754514799195789E-2</v>
      </c>
      <c r="X39" s="15">
        <f t="shared" si="49"/>
        <v>1.215277069802009E-2</v>
      </c>
      <c r="Y39" s="15">
        <f t="shared" si="49"/>
        <v>2.5141600789606627E-2</v>
      </c>
      <c r="Z39" s="15">
        <f t="shared" si="49"/>
        <v>1.423313873703342E-2</v>
      </c>
      <c r="AA39" s="15">
        <f t="shared" si="49"/>
        <v>8.1399091346708672E-3</v>
      </c>
      <c r="AB39" s="15">
        <f t="shared" si="49"/>
        <v>5.9498395792286106E-3</v>
      </c>
      <c r="AC39" s="14">
        <f t="shared" si="49"/>
        <v>1.5516205440322062E-2</v>
      </c>
      <c r="AD39" s="15">
        <f t="shared" si="49"/>
        <v>9.7341165508571699E-3</v>
      </c>
      <c r="AE39" s="15">
        <f t="shared" si="49"/>
        <v>9.7341165508571699E-3</v>
      </c>
      <c r="AF39" s="15">
        <f t="shared" si="49"/>
        <v>1.9874865210922611E-2</v>
      </c>
      <c r="AG39" s="15">
        <f t="shared" ref="AG39:AH39" si="50">AG8/AG$25</f>
        <v>2.0318218715099031E-2</v>
      </c>
      <c r="AH39" s="15">
        <f t="shared" si="50"/>
        <v>7.4503220956670503E-3</v>
      </c>
      <c r="AI39" s="15">
        <f t="shared" ref="AI39:AJ39" si="51">AI8/AI$25</f>
        <v>9.6173401492985755E-3</v>
      </c>
      <c r="AJ39" s="15">
        <f t="shared" si="51"/>
        <v>7.5792505523012308E-3</v>
      </c>
      <c r="AK39" s="15">
        <f t="shared" ref="AK39:AL39" si="52">AK8/AK$25</f>
        <v>7.8182716667449768E-3</v>
      </c>
      <c r="AL39" s="15">
        <f t="shared" si="52"/>
        <v>8.3610429910570966E-3</v>
      </c>
      <c r="AM39" s="15">
        <f t="shared" ref="AM39:AN39" si="53">AM8/AM$25</f>
        <v>1.2270119903765036E-2</v>
      </c>
      <c r="AN39" s="15">
        <f t="shared" si="53"/>
        <v>8.8624032630151076E-3</v>
      </c>
      <c r="AO39" s="15">
        <f t="shared" ref="AO39:AP39" si="54">AO8/AO$25</f>
        <v>2.0076932833612293E-2</v>
      </c>
      <c r="AP39" s="15">
        <f t="shared" si="54"/>
        <v>1.7747250702868277E-2</v>
      </c>
      <c r="AQ39" s="15"/>
      <c r="AR39" s="15">
        <f t="shared" ref="AR39" si="55">AR8/AR$25</f>
        <v>1.1499288163987891E-2</v>
      </c>
      <c r="AS39" s="15">
        <f t="shared" ref="AS39" si="56">AS8/AS$25</f>
        <v>1.7125352606235857E-2</v>
      </c>
      <c r="AT39" s="15">
        <f t="shared" ref="AT39:BE39" si="57">AT8/AT$25</f>
        <v>1.745877751008083E-2</v>
      </c>
      <c r="AU39" s="15">
        <f t="shared" si="57"/>
        <v>2.5762232131283189E-2</v>
      </c>
      <c r="AV39" s="15">
        <f t="shared" si="57"/>
        <v>2.44362791622048E-2</v>
      </c>
      <c r="AW39" s="15">
        <f t="shared" si="57"/>
        <v>2.4583615488225356E-2</v>
      </c>
      <c r="AX39" s="15">
        <f t="shared" si="57"/>
        <v>1.4596971521672332E-2</v>
      </c>
      <c r="AY39" s="15" t="e">
        <f t="shared" si="57"/>
        <v>#DIV/0!</v>
      </c>
      <c r="AZ39" s="15" t="e">
        <f t="shared" si="57"/>
        <v>#DIV/0!</v>
      </c>
      <c r="BA39" s="15" t="e">
        <f t="shared" si="57"/>
        <v>#DIV/0!</v>
      </c>
      <c r="BB39" s="15" t="e">
        <f t="shared" si="57"/>
        <v>#DIV/0!</v>
      </c>
      <c r="BC39" s="15" t="e">
        <f t="shared" si="57"/>
        <v>#DIV/0!</v>
      </c>
      <c r="BD39" s="15" t="e">
        <f t="shared" si="57"/>
        <v>#DIV/0!</v>
      </c>
      <c r="BE39" s="15">
        <f t="shared" si="57"/>
        <v>2.1052272289343192E-2</v>
      </c>
      <c r="BF39" s="15">
        <f t="shared" si="38"/>
        <v>6.2968869934941643E-3</v>
      </c>
      <c r="BG39" s="150"/>
    </row>
    <row r="40" spans="2:72" s="1" customFormat="1" x14ac:dyDescent="0.35">
      <c r="B40" s="3">
        <f t="shared" si="48"/>
        <v>4</v>
      </c>
      <c r="C40" s="3" t="s">
        <v>96</v>
      </c>
      <c r="D40" s="3" t="s">
        <v>54</v>
      </c>
      <c r="E40" s="15">
        <f t="shared" ref="E40:AF40" si="58">E9/E$25</f>
        <v>1.9601561818778242E-3</v>
      </c>
      <c r="F40" s="15">
        <f t="shared" si="58"/>
        <v>3.1645898015389101E-3</v>
      </c>
      <c r="G40" s="15">
        <f t="shared" si="58"/>
        <v>9.1538342553767922E-3</v>
      </c>
      <c r="H40" s="15">
        <f t="shared" si="58"/>
        <v>1.3672594959554684E-2</v>
      </c>
      <c r="I40" s="15">
        <f t="shared" si="58"/>
        <v>1.6828343038524502E-2</v>
      </c>
      <c r="J40" s="15">
        <f t="shared" si="58"/>
        <v>8.7754423893876259E-3</v>
      </c>
      <c r="K40" s="15">
        <f t="shared" si="58"/>
        <v>1.7567660103056437E-2</v>
      </c>
      <c r="L40" s="15">
        <f t="shared" si="58"/>
        <v>1.8897649696290209E-2</v>
      </c>
      <c r="M40" s="15">
        <f t="shared" si="58"/>
        <v>2.0868062767456199E-2</v>
      </c>
      <c r="N40" s="15">
        <f t="shared" si="58"/>
        <v>2.8479755387925434E-2</v>
      </c>
      <c r="O40" s="15">
        <f t="shared" si="58"/>
        <v>3.0428740637590334E-2</v>
      </c>
      <c r="P40" s="15">
        <f t="shared" si="58"/>
        <v>2.1202648897902906E-2</v>
      </c>
      <c r="Q40" s="15">
        <f t="shared" si="58"/>
        <v>1.6962834739959385E-2</v>
      </c>
      <c r="R40" s="15">
        <f t="shared" si="58"/>
        <v>1.5032650077843575E-2</v>
      </c>
      <c r="S40" s="15">
        <f t="shared" si="58"/>
        <v>1.7883437977873694E-2</v>
      </c>
      <c r="T40" s="15">
        <f t="shared" si="58"/>
        <v>1.4087530595835462E-2</v>
      </c>
      <c r="U40" s="15">
        <f t="shared" si="58"/>
        <v>8.7110559317677468E-3</v>
      </c>
      <c r="V40" s="15">
        <f t="shared" si="58"/>
        <v>7.927948968219977E-3</v>
      </c>
      <c r="W40" s="15">
        <f t="shared" si="58"/>
        <v>5.9888715105620551E-3</v>
      </c>
      <c r="X40" s="15">
        <f t="shared" si="58"/>
        <v>1.6374378792870903E-2</v>
      </c>
      <c r="Y40" s="15">
        <f t="shared" si="58"/>
        <v>7.4218264876929202E-3</v>
      </c>
      <c r="Z40" s="15">
        <f t="shared" si="58"/>
        <v>1.1872533403135823E-2</v>
      </c>
      <c r="AA40" s="15">
        <f t="shared" si="58"/>
        <v>1.5933572931087391E-2</v>
      </c>
      <c r="AB40" s="15">
        <f t="shared" si="58"/>
        <v>1.3577125224350686E-2</v>
      </c>
      <c r="AC40" s="14">
        <f t="shared" si="58"/>
        <v>2.9672756167283165E-3</v>
      </c>
      <c r="AD40" s="15">
        <f t="shared" si="58"/>
        <v>1.1398974494852226E-2</v>
      </c>
      <c r="AE40" s="15">
        <f t="shared" si="58"/>
        <v>1.1398974494852228E-2</v>
      </c>
      <c r="AF40" s="15">
        <f t="shared" si="58"/>
        <v>4.7059661507084984E-3</v>
      </c>
      <c r="AG40" s="15">
        <f t="shared" ref="AG40:AH40" si="59">AG9/AG$25</f>
        <v>9.4380801046469193E-3</v>
      </c>
      <c r="AH40" s="15">
        <f t="shared" si="59"/>
        <v>1.1569132728147174E-2</v>
      </c>
      <c r="AI40" s="15">
        <f t="shared" ref="AI40:AJ40" si="60">AI9/AI$25</f>
        <v>1.3211605928223753E-2</v>
      </c>
      <c r="AJ40" s="15">
        <f t="shared" si="60"/>
        <v>1.3870820065614044E-2</v>
      </c>
      <c r="AK40" s="15">
        <f t="shared" ref="AK40:AL40" si="61">AK9/AK$25</f>
        <v>1.5189540851679898E-2</v>
      </c>
      <c r="AL40" s="15">
        <f t="shared" si="61"/>
        <v>1.8066243138701039E-2</v>
      </c>
      <c r="AM40" s="15">
        <f t="shared" ref="AM40:AN40" si="62">AM9/AM$25</f>
        <v>1.6093383958708504E-2</v>
      </c>
      <c r="AN40" s="15">
        <f t="shared" si="62"/>
        <v>1.377867210549426E-2</v>
      </c>
      <c r="AO40" s="15">
        <f t="shared" ref="AO40:AP40" si="63">AO9/AO$25</f>
        <v>5.7426996539782192E-3</v>
      </c>
      <c r="AP40" s="15">
        <f t="shared" si="63"/>
        <v>6.7179528575328704E-3</v>
      </c>
      <c r="AQ40" s="15"/>
      <c r="AR40" s="15">
        <f t="shared" ref="AR40" si="64">AR9/AR$25</f>
        <v>1.2201921368418182E-2</v>
      </c>
      <c r="AS40" s="15">
        <f t="shared" ref="AS40" si="65">AS9/AS$25</f>
        <v>9.3670204107440241E-3</v>
      </c>
      <c r="AT40" s="15">
        <f t="shared" ref="AT40:BE40" si="66">AT9/AT$25</f>
        <v>4.2577467006174189E-3</v>
      </c>
      <c r="AU40" s="15">
        <f t="shared" si="66"/>
        <v>1.4378776124396742E-2</v>
      </c>
      <c r="AV40" s="15">
        <f t="shared" si="66"/>
        <v>1.1222113788637527E-2</v>
      </c>
      <c r="AW40" s="15">
        <f t="shared" si="66"/>
        <v>1.6109278914683781E-2</v>
      </c>
      <c r="AX40" s="15">
        <f t="shared" si="66"/>
        <v>1.4232963089878394E-2</v>
      </c>
      <c r="AY40" s="15" t="e">
        <f t="shared" si="66"/>
        <v>#DIV/0!</v>
      </c>
      <c r="AZ40" s="15" t="e">
        <f t="shared" si="66"/>
        <v>#DIV/0!</v>
      </c>
      <c r="BA40" s="15" t="e">
        <f t="shared" si="66"/>
        <v>#DIV/0!</v>
      </c>
      <c r="BB40" s="15" t="e">
        <f t="shared" si="66"/>
        <v>#DIV/0!</v>
      </c>
      <c r="BC40" s="15" t="e">
        <f t="shared" si="66"/>
        <v>#DIV/0!</v>
      </c>
      <c r="BD40" s="15" t="e">
        <f t="shared" si="66"/>
        <v>#DIV/0!</v>
      </c>
      <c r="BE40" s="15">
        <f t="shared" si="66"/>
        <v>1.2236686501035699E-2</v>
      </c>
      <c r="BF40" s="15">
        <f t="shared" si="38"/>
        <v>1.1174412614134047E-2</v>
      </c>
      <c r="BG40" s="150"/>
    </row>
    <row r="41" spans="2:72" s="1" customFormat="1" x14ac:dyDescent="0.35">
      <c r="B41" s="3">
        <f t="shared" si="48"/>
        <v>5</v>
      </c>
      <c r="C41" s="3" t="s">
        <v>96</v>
      </c>
      <c r="D41" s="3" t="s">
        <v>49</v>
      </c>
      <c r="E41" s="15">
        <f t="shared" ref="E41:AF41" si="67">E10/E$25</f>
        <v>1.4697345295632889E-2</v>
      </c>
      <c r="F41" s="15">
        <f t="shared" si="67"/>
        <v>1.4526559279128409E-2</v>
      </c>
      <c r="G41" s="15">
        <f t="shared" si="67"/>
        <v>1.000216838735034E-2</v>
      </c>
      <c r="H41" s="15">
        <f t="shared" si="67"/>
        <v>1.1449947661128506E-2</v>
      </c>
      <c r="I41" s="15">
        <f t="shared" si="67"/>
        <v>1.3637343088059497E-2</v>
      </c>
      <c r="J41" s="15">
        <f t="shared" si="67"/>
        <v>1.6771015414850907E-2</v>
      </c>
      <c r="K41" s="15">
        <f t="shared" si="67"/>
        <v>1.2689751907888552E-2</v>
      </c>
      <c r="L41" s="15">
        <f t="shared" si="67"/>
        <v>1.0340527695557912E-2</v>
      </c>
      <c r="M41" s="15">
        <f t="shared" si="67"/>
        <v>6.3404008114158333E-3</v>
      </c>
      <c r="N41" s="15">
        <f t="shared" si="67"/>
        <v>1.0087408677654163E-2</v>
      </c>
      <c r="O41" s="15">
        <f t="shared" si="67"/>
        <v>6.735791865499721E-3</v>
      </c>
      <c r="P41" s="15">
        <f t="shared" si="67"/>
        <v>6.8463947842233646E-3</v>
      </c>
      <c r="Q41" s="15">
        <f t="shared" si="67"/>
        <v>1.0765821834744256E-2</v>
      </c>
      <c r="R41" s="15">
        <f t="shared" si="67"/>
        <v>9.122262150555881E-3</v>
      </c>
      <c r="S41" s="15">
        <f t="shared" si="67"/>
        <v>6.0059217193747282E-3</v>
      </c>
      <c r="T41" s="15">
        <f t="shared" si="67"/>
        <v>6.8042180493069412E-3</v>
      </c>
      <c r="U41" s="15">
        <f t="shared" si="67"/>
        <v>1.1126185642570554E-2</v>
      </c>
      <c r="V41" s="15">
        <f t="shared" si="67"/>
        <v>7.8814765303750114E-3</v>
      </c>
      <c r="W41" s="15">
        <f t="shared" si="67"/>
        <v>9.2473172237986113E-3</v>
      </c>
      <c r="X41" s="15">
        <f t="shared" si="67"/>
        <v>7.9153028231554179E-3</v>
      </c>
      <c r="Y41" s="15">
        <f t="shared" si="67"/>
        <v>7.6324933852630139E-3</v>
      </c>
      <c r="Z41" s="15">
        <f t="shared" si="67"/>
        <v>6.5917493127024092E-3</v>
      </c>
      <c r="AA41" s="15">
        <f t="shared" si="67"/>
        <v>5.1958960088126062E-3</v>
      </c>
      <c r="AB41" s="15">
        <f t="shared" si="67"/>
        <v>3.0895617541521333E-3</v>
      </c>
      <c r="AC41" s="14">
        <f t="shared" si="67"/>
        <v>6.5771747529536333E-3</v>
      </c>
      <c r="AD41" s="15">
        <f t="shared" si="67"/>
        <v>7.2198022062709907E-3</v>
      </c>
      <c r="AE41" s="15">
        <f t="shared" si="67"/>
        <v>7.2198022062709925E-3</v>
      </c>
      <c r="AF41" s="15">
        <f t="shared" si="67"/>
        <v>9.2130020637647032E-3</v>
      </c>
      <c r="AG41" s="15">
        <f t="shared" ref="AG41:AH41" si="68">AG10/AG$25</f>
        <v>6.9642373551138644E-3</v>
      </c>
      <c r="AH41" s="15">
        <f t="shared" si="68"/>
        <v>5.0881919147804282E-3</v>
      </c>
      <c r="AI41" s="15">
        <f t="shared" ref="AI41:AJ41" si="69">AI10/AI$25</f>
        <v>8.0766020129190864E-3</v>
      </c>
      <c r="AJ41" s="15">
        <f t="shared" si="69"/>
        <v>5.2423515221784083E-3</v>
      </c>
      <c r="AK41" s="15">
        <f t="shared" ref="AK41:AL41" si="70">AK10/AK$25</f>
        <v>5.6404007353527425E-3</v>
      </c>
      <c r="AL41" s="15">
        <f t="shared" si="70"/>
        <v>5.2527347327397189E-3</v>
      </c>
      <c r="AM41" s="15">
        <f t="shared" ref="AM41:AN41" si="71">AM10/AM$25</f>
        <v>5.9297197061737878E-3</v>
      </c>
      <c r="AN41" s="15">
        <f t="shared" si="71"/>
        <v>5.8672778437088655E-3</v>
      </c>
      <c r="AO41" s="15">
        <f t="shared" ref="AO41:AP41" si="72">AO10/AO$25</f>
        <v>5.3900975415164679E-3</v>
      </c>
      <c r="AP41" s="15">
        <f t="shared" si="72"/>
        <v>8.1013635513518308E-3</v>
      </c>
      <c r="AQ41" s="15"/>
      <c r="AR41" s="15">
        <f t="shared" ref="AR41" si="73">AR10/AR$25</f>
        <v>6.1860131136381473E-3</v>
      </c>
      <c r="AS41" s="15">
        <f t="shared" ref="AS41" si="74">AS10/AS$25</f>
        <v>7.6060953973611373E-3</v>
      </c>
      <c r="AT41" s="15">
        <f t="shared" ref="AT41:BE41" si="75">AT10/AT$25</f>
        <v>5.6846201635680233E-3</v>
      </c>
      <c r="AU41" s="15">
        <f t="shared" si="75"/>
        <v>6.6363853707405666E-3</v>
      </c>
      <c r="AV41" s="15">
        <f t="shared" si="75"/>
        <v>7.0711741560767344E-3</v>
      </c>
      <c r="AW41" s="15">
        <f t="shared" si="75"/>
        <v>6.0798998946522895E-3</v>
      </c>
      <c r="AX41" s="15">
        <f t="shared" si="75"/>
        <v>6.7729931016186637E-3</v>
      </c>
      <c r="AY41" s="15" t="e">
        <f t="shared" si="75"/>
        <v>#DIV/0!</v>
      </c>
      <c r="AZ41" s="15" t="e">
        <f t="shared" si="75"/>
        <v>#DIV/0!</v>
      </c>
      <c r="BA41" s="15" t="e">
        <f t="shared" si="75"/>
        <v>#DIV/0!</v>
      </c>
      <c r="BB41" s="15" t="e">
        <f t="shared" si="75"/>
        <v>#DIV/0!</v>
      </c>
      <c r="BC41" s="15" t="e">
        <f t="shared" si="75"/>
        <v>#DIV/0!</v>
      </c>
      <c r="BD41" s="15" t="e">
        <f t="shared" si="75"/>
        <v>#DIV/0!</v>
      </c>
      <c r="BE41" s="15">
        <f t="shared" si="75"/>
        <v>6.6912214564276238E-3</v>
      </c>
      <c r="BF41" s="15">
        <f t="shared" si="38"/>
        <v>7.5216714782682997E-3</v>
      </c>
      <c r="BG41" s="150"/>
    </row>
    <row r="42" spans="2:72" s="1" customFormat="1" x14ac:dyDescent="0.35">
      <c r="B42" s="3">
        <f t="shared" si="48"/>
        <v>6</v>
      </c>
      <c r="C42" s="3" t="s">
        <v>96</v>
      </c>
      <c r="D42" s="3" t="s">
        <v>56</v>
      </c>
      <c r="E42" s="15">
        <f t="shared" ref="E42:AF42" si="76">E11/E$25</f>
        <v>4.414870032347089E-3</v>
      </c>
      <c r="F42" s="15">
        <f t="shared" si="76"/>
        <v>6.3813397879634521E-3</v>
      </c>
      <c r="G42" s="15">
        <f t="shared" si="76"/>
        <v>5.4599187692070906E-3</v>
      </c>
      <c r="H42" s="15">
        <f t="shared" si="76"/>
        <v>5.6794874804628097E-3</v>
      </c>
      <c r="I42" s="15">
        <f t="shared" si="76"/>
        <v>6.4098976101703625E-3</v>
      </c>
      <c r="J42" s="15">
        <f t="shared" si="76"/>
        <v>7.1034828673087773E-3</v>
      </c>
      <c r="K42" s="15">
        <f t="shared" si="76"/>
        <v>6.4490669924899512E-3</v>
      </c>
      <c r="L42" s="15">
        <f t="shared" si="76"/>
        <v>6.2704499409967354E-3</v>
      </c>
      <c r="M42" s="15">
        <f t="shared" si="76"/>
        <v>6.8980012879922186E-3</v>
      </c>
      <c r="N42" s="15">
        <f t="shared" si="76"/>
        <v>6.7125427339748099E-3</v>
      </c>
      <c r="O42" s="15">
        <f t="shared" si="76"/>
        <v>6.2814390049088396E-3</v>
      </c>
      <c r="P42" s="15">
        <f t="shared" si="76"/>
        <v>7.1083363402096615E-3</v>
      </c>
      <c r="Q42" s="15">
        <f t="shared" si="76"/>
        <v>6.3768402061542733E-3</v>
      </c>
      <c r="R42" s="15">
        <f t="shared" si="76"/>
        <v>7.9441240257418951E-3</v>
      </c>
      <c r="S42" s="15">
        <f t="shared" si="76"/>
        <v>5.0361126200294502E-3</v>
      </c>
      <c r="T42" s="15">
        <f t="shared" si="76"/>
        <v>6.0654338896584878E-3</v>
      </c>
      <c r="U42" s="15">
        <f t="shared" si="76"/>
        <v>5.6315820512146822E-3</v>
      </c>
      <c r="V42" s="15">
        <f t="shared" si="76"/>
        <v>5.6524822198290086E-3</v>
      </c>
      <c r="W42" s="15">
        <f t="shared" si="76"/>
        <v>7.931579864431524E-3</v>
      </c>
      <c r="X42" s="15">
        <f t="shared" si="76"/>
        <v>4.8859145937081693E-3</v>
      </c>
      <c r="Y42" s="15">
        <f t="shared" si="76"/>
        <v>4.8841367797960332E-3</v>
      </c>
      <c r="Z42" s="15">
        <f t="shared" si="76"/>
        <v>5.7196117352947681E-3</v>
      </c>
      <c r="AA42" s="15">
        <f t="shared" si="76"/>
        <v>5.9511401761236085E-3</v>
      </c>
      <c r="AB42" s="15">
        <f t="shared" si="76"/>
        <v>6.5059467597387661E-3</v>
      </c>
      <c r="AC42" s="14">
        <f t="shared" si="76"/>
        <v>5.6479297838208254E-3</v>
      </c>
      <c r="AD42" s="15">
        <f t="shared" si="76"/>
        <v>6.0742676903446863E-3</v>
      </c>
      <c r="AE42" s="15">
        <f t="shared" si="76"/>
        <v>6.074267690344688E-3</v>
      </c>
      <c r="AF42" s="15">
        <f t="shared" si="76"/>
        <v>4.2472344232728524E-3</v>
      </c>
      <c r="AG42" s="15">
        <f t="shared" ref="AG42:AH42" si="77">AG11/AG$25</f>
        <v>5.4384315175116122E-3</v>
      </c>
      <c r="AH42" s="15">
        <f t="shared" si="77"/>
        <v>5.8201075416028092E-3</v>
      </c>
      <c r="AI42" s="15">
        <f t="shared" ref="AI42:AJ42" si="78">AI11/AI$25</f>
        <v>5.3441236492984337E-3</v>
      </c>
      <c r="AJ42" s="15">
        <f t="shared" si="78"/>
        <v>6.7607639637842507E-3</v>
      </c>
      <c r="AK42" s="15">
        <f t="shared" ref="AK42:AL42" si="79">AK11/AK$25</f>
        <v>5.8414470391469926E-3</v>
      </c>
      <c r="AL42" s="15">
        <f t="shared" si="79"/>
        <v>6.0717323879651199E-3</v>
      </c>
      <c r="AM42" s="15">
        <f t="shared" ref="AM42:AN42" si="80">AM11/AM$25</f>
        <v>6.1230790093500555E-3</v>
      </c>
      <c r="AN42" s="15">
        <f t="shared" si="80"/>
        <v>6.2235315735920567E-3</v>
      </c>
      <c r="AO42" s="15">
        <f t="shared" ref="AO42:AP42" si="81">AO11/AO$25</f>
        <v>5.8756724163456422E-3</v>
      </c>
      <c r="AP42" s="15">
        <f t="shared" si="81"/>
        <v>6.1992630627734071E-3</v>
      </c>
      <c r="AQ42" s="15"/>
      <c r="AR42" s="15">
        <f t="shared" ref="AR42" si="82">AR11/AR$25</f>
        <v>5.9234561395267882E-3</v>
      </c>
      <c r="AS42" s="15">
        <f t="shared" ref="AS42" si="83">AS11/AS$25</f>
        <v>6.3763742597301694E-3</v>
      </c>
      <c r="AT42" s="15">
        <f t="shared" ref="AT42:BE42" si="84">AT11/AT$25</f>
        <v>5.1296791265501339E-3</v>
      </c>
      <c r="AU42" s="15">
        <f t="shared" si="84"/>
        <v>6.6368229715118117E-3</v>
      </c>
      <c r="AV42" s="15">
        <f t="shared" si="84"/>
        <v>8.2907347201940842E-3</v>
      </c>
      <c r="AW42" s="15">
        <f t="shared" si="84"/>
        <v>6.9705317535868191E-3</v>
      </c>
      <c r="AX42" s="15">
        <f t="shared" si="84"/>
        <v>7.2323207248469494E-3</v>
      </c>
      <c r="AY42" s="15" t="e">
        <f t="shared" si="84"/>
        <v>#DIV/0!</v>
      </c>
      <c r="AZ42" s="15" t="e">
        <f t="shared" si="84"/>
        <v>#DIV/0!</v>
      </c>
      <c r="BA42" s="15" t="e">
        <f t="shared" si="84"/>
        <v>#DIV/0!</v>
      </c>
      <c r="BB42" s="15" t="e">
        <f t="shared" si="84"/>
        <v>#DIV/0!</v>
      </c>
      <c r="BC42" s="15" t="e">
        <f t="shared" si="84"/>
        <v>#DIV/0!</v>
      </c>
      <c r="BD42" s="15" t="e">
        <f t="shared" si="84"/>
        <v>#DIV/0!</v>
      </c>
      <c r="BE42" s="15">
        <f t="shared" si="84"/>
        <v>6.9275436099809429E-3</v>
      </c>
      <c r="BF42" s="15">
        <f t="shared" si="38"/>
        <v>6.0086952770347628E-3</v>
      </c>
      <c r="BG42" s="150"/>
    </row>
    <row r="43" spans="2:72" s="1" customFormat="1" x14ac:dyDescent="0.35">
      <c r="B43" s="3">
        <f t="shared" si="48"/>
        <v>7</v>
      </c>
      <c r="C43" s="3" t="s">
        <v>96</v>
      </c>
      <c r="D43" s="3" t="s">
        <v>28</v>
      </c>
      <c r="E43" s="15">
        <f t="shared" ref="E43:AF43" si="85">E12/E$25</f>
        <v>5.3015473728359411E-3</v>
      </c>
      <c r="F43" s="15">
        <f t="shared" si="85"/>
        <v>5.5316806742799953E-3</v>
      </c>
      <c r="G43" s="15">
        <f t="shared" si="85"/>
        <v>5.3876665218982791E-3</v>
      </c>
      <c r="H43" s="15">
        <f t="shared" si="85"/>
        <v>6.1121130950650511E-3</v>
      </c>
      <c r="I43" s="15">
        <f t="shared" si="85"/>
        <v>3.2415747373385618E-3</v>
      </c>
      <c r="J43" s="15">
        <f t="shared" si="85"/>
        <v>7.216725275801689E-3</v>
      </c>
      <c r="K43" s="15">
        <f t="shared" si="85"/>
        <v>5.3352941959415017E-3</v>
      </c>
      <c r="L43" s="15">
        <f t="shared" si="85"/>
        <v>5.8891139368006298E-3</v>
      </c>
      <c r="M43" s="15">
        <f t="shared" si="85"/>
        <v>6.401101414453012E-3</v>
      </c>
      <c r="N43" s="15">
        <f t="shared" si="85"/>
        <v>6.2151711621611649E-3</v>
      </c>
      <c r="O43" s="15">
        <f t="shared" si="85"/>
        <v>8.7493898706754239E-3</v>
      </c>
      <c r="P43" s="15">
        <f t="shared" si="85"/>
        <v>4.0874747606096471E-3</v>
      </c>
      <c r="Q43" s="15">
        <f t="shared" si="85"/>
        <v>5.6666626282621518E-3</v>
      </c>
      <c r="R43" s="15">
        <f t="shared" si="85"/>
        <v>3.3405803079277247E-3</v>
      </c>
      <c r="S43" s="15">
        <f t="shared" si="85"/>
        <v>3.1782632918174532E-3</v>
      </c>
      <c r="T43" s="15">
        <f t="shared" si="85"/>
        <v>3.2884665811254805E-3</v>
      </c>
      <c r="U43" s="15">
        <f t="shared" si="85"/>
        <v>3.2537276399213131E-3</v>
      </c>
      <c r="V43" s="15">
        <f t="shared" si="85"/>
        <v>3.2047365762677307E-3</v>
      </c>
      <c r="W43" s="15">
        <f t="shared" si="85"/>
        <v>3.599949069482352E-3</v>
      </c>
      <c r="X43" s="15">
        <f t="shared" si="85"/>
        <v>4.8009008168031402E-3</v>
      </c>
      <c r="Y43" s="15">
        <f t="shared" si="85"/>
        <v>3.6186467270935556E-3</v>
      </c>
      <c r="Z43" s="15">
        <f t="shared" si="85"/>
        <v>2.9251953147787775E-3</v>
      </c>
      <c r="AA43" s="15">
        <f t="shared" si="85"/>
        <v>2.6186743587915998E-3</v>
      </c>
      <c r="AB43" s="15">
        <f t="shared" si="85"/>
        <v>2.500042410905024E-3</v>
      </c>
      <c r="AC43" s="14">
        <f t="shared" si="85"/>
        <v>2.6853473924109989E-3</v>
      </c>
      <c r="AD43" s="15">
        <f t="shared" si="85"/>
        <v>3.1759076815434167E-3</v>
      </c>
      <c r="AE43" s="15">
        <f t="shared" si="85"/>
        <v>3.1759076815434171E-3</v>
      </c>
      <c r="AF43" s="15">
        <f t="shared" si="85"/>
        <v>2.4562025478650417E-3</v>
      </c>
      <c r="AG43" s="15">
        <f t="shared" ref="AG43:AH43" si="86">AG12/AG$25</f>
        <v>2.3735762179835878E-3</v>
      </c>
      <c r="AH43" s="15">
        <f t="shared" si="86"/>
        <v>2.0844246040202744E-3</v>
      </c>
      <c r="AI43" s="15">
        <f t="shared" ref="AI43:AJ43" si="87">AI12/AI$25</f>
        <v>1.9171724953051469E-3</v>
      </c>
      <c r="AJ43" s="15">
        <f t="shared" si="87"/>
        <v>1.7570692805061678E-3</v>
      </c>
      <c r="AK43" s="15">
        <f t="shared" ref="AK43:AL43" si="88">AK12/AK$25</f>
        <v>1.7814344964910286E-3</v>
      </c>
      <c r="AL43" s="15">
        <f t="shared" si="88"/>
        <v>1.8390659549709612E-3</v>
      </c>
      <c r="AM43" s="15">
        <f t="shared" ref="AM43:AN43" si="89">AM12/AM$25</f>
        <v>1.317737787942784E-3</v>
      </c>
      <c r="AN43" s="15">
        <f t="shared" si="89"/>
        <v>1.9332789984043137E-3</v>
      </c>
      <c r="AO43" s="15">
        <f t="shared" ref="AO43:AP43" si="90">AO12/AO$25</f>
        <v>1.9944702909093994E-3</v>
      </c>
      <c r="AP43" s="15">
        <f t="shared" si="90"/>
        <v>2.2288540028349889E-3</v>
      </c>
      <c r="AQ43" s="15"/>
      <c r="AR43" s="15">
        <f t="shared" ref="AR43" si="91">AR12/AR$25</f>
        <v>1.8943677417766088E-3</v>
      </c>
      <c r="AS43" s="15">
        <f t="shared" ref="AS43" si="92">AS12/AS$25</f>
        <v>1.6963741433671171E-3</v>
      </c>
      <c r="AT43" s="15">
        <f t="shared" ref="AT43:BE43" si="93">AT12/AT$25</f>
        <v>1.5871492994976306E-3</v>
      </c>
      <c r="AU43" s="15">
        <f t="shared" si="93"/>
        <v>2.792322024543074E-3</v>
      </c>
      <c r="AV43" s="15">
        <f t="shared" si="93"/>
        <v>3.2014448516024794E-3</v>
      </c>
      <c r="AW43" s="15">
        <f t="shared" si="93"/>
        <v>3.167784207549853E-3</v>
      </c>
      <c r="AX43" s="15">
        <f t="shared" si="93"/>
        <v>2.8012523426387864E-3</v>
      </c>
      <c r="AY43" s="15" t="e">
        <f t="shared" si="93"/>
        <v>#DIV/0!</v>
      </c>
      <c r="AZ43" s="15" t="e">
        <f t="shared" si="93"/>
        <v>#DIV/0!</v>
      </c>
      <c r="BA43" s="15" t="e">
        <f t="shared" si="93"/>
        <v>#DIV/0!</v>
      </c>
      <c r="BB43" s="15" t="e">
        <f t="shared" si="93"/>
        <v>#DIV/0!</v>
      </c>
      <c r="BC43" s="15" t="e">
        <f t="shared" si="93"/>
        <v>#DIV/0!</v>
      </c>
      <c r="BD43" s="15" t="e">
        <f t="shared" si="93"/>
        <v>#DIV/0!</v>
      </c>
      <c r="BE43" s="15">
        <f t="shared" si="93"/>
        <v>2.6490048472549905E-3</v>
      </c>
      <c r="BF43" s="15">
        <f t="shared" si="38"/>
        <v>1.8950375194046298E-3</v>
      </c>
      <c r="BG43" s="150"/>
    </row>
    <row r="44" spans="2:72" s="1" customFormat="1" x14ac:dyDescent="0.35">
      <c r="B44" s="3">
        <f t="shared" si="48"/>
        <v>8</v>
      </c>
      <c r="C44" s="3" t="s">
        <v>96</v>
      </c>
      <c r="D44" s="3" t="s">
        <v>53</v>
      </c>
      <c r="E44" s="15">
        <f t="shared" ref="E44:AF44" si="94">E13/E$25</f>
        <v>5.4767853006419207E-3</v>
      </c>
      <c r="F44" s="15">
        <f t="shared" si="94"/>
        <v>4.2379425864923249E-3</v>
      </c>
      <c r="G44" s="15">
        <f t="shared" si="94"/>
        <v>8.2224021379564312E-3</v>
      </c>
      <c r="H44" s="15">
        <f t="shared" si="94"/>
        <v>7.8020113411567775E-3</v>
      </c>
      <c r="I44" s="15">
        <f t="shared" si="94"/>
        <v>4.7692910453770894E-3</v>
      </c>
      <c r="J44" s="15">
        <f t="shared" si="94"/>
        <v>5.1714997854465554E-3</v>
      </c>
      <c r="K44" s="15">
        <f t="shared" si="94"/>
        <v>3.4141453077296074E-3</v>
      </c>
      <c r="L44" s="15">
        <f t="shared" si="94"/>
        <v>2.3164352239782682E-3</v>
      </c>
      <c r="M44" s="15">
        <f t="shared" si="94"/>
        <v>3.8010419125165179E-3</v>
      </c>
      <c r="N44" s="15">
        <f t="shared" si="94"/>
        <v>2.8670164913558141E-3</v>
      </c>
      <c r="O44" s="15">
        <f t="shared" si="94"/>
        <v>2.7295714297052107E-3</v>
      </c>
      <c r="P44" s="15">
        <f t="shared" si="94"/>
        <v>2.4305907757072799E-3</v>
      </c>
      <c r="Q44" s="15">
        <f t="shared" si="94"/>
        <v>4.2227916321193933E-3</v>
      </c>
      <c r="R44" s="15">
        <f t="shared" si="94"/>
        <v>1.4682249300166184E-3</v>
      </c>
      <c r="S44" s="15">
        <f t="shared" si="94"/>
        <v>1.6388391192814181E-3</v>
      </c>
      <c r="T44" s="15">
        <f t="shared" si="94"/>
        <v>1.0438003853025463E-3</v>
      </c>
      <c r="U44" s="15">
        <f t="shared" si="94"/>
        <v>1.8002886841563656E-3</v>
      </c>
      <c r="V44" s="15">
        <f t="shared" si="94"/>
        <v>2.4866113957951138E-3</v>
      </c>
      <c r="W44" s="15">
        <f t="shared" si="94"/>
        <v>2.9902462840600609E-3</v>
      </c>
      <c r="X44" s="15">
        <f t="shared" si="94"/>
        <v>2.8394836593307062E-3</v>
      </c>
      <c r="Y44" s="15">
        <f t="shared" si="94"/>
        <v>3.138220163196401E-3</v>
      </c>
      <c r="Z44" s="15">
        <f t="shared" si="94"/>
        <v>1.60678795564659E-3</v>
      </c>
      <c r="AA44" s="15">
        <f t="shared" si="94"/>
        <v>2.2911031804358842E-3</v>
      </c>
      <c r="AB44" s="15">
        <f t="shared" si="94"/>
        <v>2.1477996647785644E-3</v>
      </c>
      <c r="AC44" s="14">
        <f t="shared" si="94"/>
        <v>2.8307037793342056E-3</v>
      </c>
      <c r="AD44" s="15">
        <f t="shared" si="94"/>
        <v>2.1350794617207166E-3</v>
      </c>
      <c r="AE44" s="15">
        <f t="shared" si="94"/>
        <v>2.135079461720717E-3</v>
      </c>
      <c r="AF44" s="15">
        <f t="shared" si="94"/>
        <v>2.9784992631990783E-3</v>
      </c>
      <c r="AG44" s="15">
        <f t="shared" ref="AG44:AH44" si="95">AG13/AG$25</f>
        <v>2.0184543705442145E-3</v>
      </c>
      <c r="AH44" s="15">
        <f t="shared" si="95"/>
        <v>2.0840362263312507E-3</v>
      </c>
      <c r="AI44" s="15">
        <f t="shared" ref="AI44:AJ44" si="96">AI13/AI$25</f>
        <v>1.5785899345838105E-3</v>
      </c>
      <c r="AJ44" s="15">
        <f t="shared" si="96"/>
        <v>2.083262087462243E-3</v>
      </c>
      <c r="AK44" s="15">
        <f t="shared" ref="AK44:AL44" si="97">AK13/AK$25</f>
        <v>2.4029671997362156E-3</v>
      </c>
      <c r="AL44" s="15">
        <f t="shared" si="97"/>
        <v>3.3607874800086011E-3</v>
      </c>
      <c r="AM44" s="15">
        <f t="shared" ref="AM44:AN44" si="98">AM13/AM$25</f>
        <v>3.0955501740996499E-3</v>
      </c>
      <c r="AN44" s="15">
        <f t="shared" si="98"/>
        <v>3.1493005381433101E-3</v>
      </c>
      <c r="AO44" s="15">
        <f t="shared" ref="AO44:AP44" si="99">AO13/AO$25</f>
        <v>4.3113237703597089E-3</v>
      </c>
      <c r="AP44" s="15">
        <f t="shared" si="99"/>
        <v>2.0452256988643162E-3</v>
      </c>
      <c r="AQ44" s="15"/>
      <c r="AR44" s="15">
        <f t="shared" ref="AR44" si="100">AR13/AR$25</f>
        <v>2.6292426531267245E-3</v>
      </c>
      <c r="AS44" s="15">
        <f t="shared" ref="AS44" si="101">AS13/AS$25</f>
        <v>2.6524057317217661E-3</v>
      </c>
      <c r="AT44" s="15">
        <f t="shared" ref="AT44:BE44" si="102">AT13/AT$25</f>
        <v>1.1807308025829589E-3</v>
      </c>
      <c r="AU44" s="15">
        <f t="shared" si="102"/>
        <v>2.8441073238990203E-3</v>
      </c>
      <c r="AV44" s="15">
        <f t="shared" si="102"/>
        <v>3.7092313294199561E-3</v>
      </c>
      <c r="AW44" s="15">
        <f t="shared" si="102"/>
        <v>3.4230378547543787E-3</v>
      </c>
      <c r="AX44" s="15">
        <f t="shared" si="102"/>
        <v>3.4130965400243352E-3</v>
      </c>
      <c r="AY44" s="15" t="e">
        <f t="shared" si="102"/>
        <v>#DIV/0!</v>
      </c>
      <c r="AZ44" s="15" t="e">
        <f t="shared" si="102"/>
        <v>#DIV/0!</v>
      </c>
      <c r="BA44" s="15" t="e">
        <f t="shared" si="102"/>
        <v>#DIV/0!</v>
      </c>
      <c r="BB44" s="15" t="e">
        <f t="shared" si="102"/>
        <v>#DIV/0!</v>
      </c>
      <c r="BC44" s="15" t="e">
        <f t="shared" si="102"/>
        <v>#DIV/0!</v>
      </c>
      <c r="BD44" s="15" t="e">
        <f t="shared" si="102"/>
        <v>#DIV/0!</v>
      </c>
      <c r="BE44" s="15">
        <f t="shared" si="102"/>
        <v>3.0147938538235301E-3</v>
      </c>
      <c r="BF44" s="15">
        <f t="shared" si="38"/>
        <v>3.8557926323389588E-3</v>
      </c>
      <c r="BG44" s="150"/>
    </row>
    <row r="45" spans="2:72" s="1" customFormat="1" x14ac:dyDescent="0.35">
      <c r="B45" s="3">
        <f t="shared" si="48"/>
        <v>9</v>
      </c>
      <c r="C45" s="3" t="s">
        <v>97</v>
      </c>
      <c r="D45" s="3" t="s">
        <v>42</v>
      </c>
      <c r="E45" s="15">
        <f t="shared" ref="E45:AF45" si="103">E14/E$25</f>
        <v>2.6959767145218615E-3</v>
      </c>
      <c r="F45" s="15">
        <f t="shared" si="103"/>
        <v>2.4445097901859628E-3</v>
      </c>
      <c r="G45" s="15">
        <f t="shared" si="103"/>
        <v>2.8516354085943406E-3</v>
      </c>
      <c r="H45" s="15">
        <f t="shared" si="103"/>
        <v>2.2127613093182743E-3</v>
      </c>
      <c r="I45" s="15">
        <f t="shared" si="103"/>
        <v>2.7775520234750144E-3</v>
      </c>
      <c r="J45" s="15">
        <f t="shared" si="103"/>
        <v>3.7133966917342301E-3</v>
      </c>
      <c r="K45" s="15">
        <f t="shared" si="103"/>
        <v>2.2505215073857776E-3</v>
      </c>
      <c r="L45" s="15">
        <f t="shared" si="103"/>
        <v>1.5052412779905282E-3</v>
      </c>
      <c r="M45" s="15">
        <f t="shared" si="103"/>
        <v>1.071240504681962E-3</v>
      </c>
      <c r="N45" s="15">
        <f t="shared" si="103"/>
        <v>8.9483712545768471E-4</v>
      </c>
      <c r="O45" s="15">
        <f t="shared" si="103"/>
        <v>9.8405846436811634E-4</v>
      </c>
      <c r="P45" s="15">
        <f t="shared" si="103"/>
        <v>1.2311508315563592E-3</v>
      </c>
      <c r="Q45" s="15">
        <f t="shared" si="103"/>
        <v>1.9638941156485137E-3</v>
      </c>
      <c r="R45" s="15">
        <f t="shared" si="103"/>
        <v>6.0269260701350711E-4</v>
      </c>
      <c r="S45" s="15">
        <f t="shared" si="103"/>
        <v>7.7425082052079799E-4</v>
      </c>
      <c r="T45" s="15">
        <f t="shared" si="103"/>
        <v>5.735881290225242E-4</v>
      </c>
      <c r="U45" s="15">
        <f t="shared" si="103"/>
        <v>7.2883751567143923E-4</v>
      </c>
      <c r="V45" s="15">
        <f t="shared" si="103"/>
        <v>1.4815933715258492E-3</v>
      </c>
      <c r="W45" s="15">
        <f t="shared" si="103"/>
        <v>8.2912036955786622E-4</v>
      </c>
      <c r="X45" s="15">
        <f t="shared" si="103"/>
        <v>1.1101466248903398E-3</v>
      </c>
      <c r="Y45" s="15">
        <f t="shared" si="103"/>
        <v>1.074504126806467E-3</v>
      </c>
      <c r="Z45" s="15">
        <f t="shared" si="103"/>
        <v>6.6853771569489362E-4</v>
      </c>
      <c r="AA45" s="15">
        <f t="shared" si="103"/>
        <v>7.3545659550064142E-4</v>
      </c>
      <c r="AB45" s="15">
        <f t="shared" si="103"/>
        <v>5.8995713628196467E-4</v>
      </c>
      <c r="AC45" s="14">
        <f t="shared" si="103"/>
        <v>6.6215537926721647E-4</v>
      </c>
      <c r="AD45" s="15">
        <f t="shared" si="103"/>
        <v>8.0337499364775331E-4</v>
      </c>
      <c r="AE45" s="15">
        <f t="shared" si="103"/>
        <v>8.0337499364775342E-4</v>
      </c>
      <c r="AF45" s="15">
        <f t="shared" si="103"/>
        <v>6.4621764748302047E-4</v>
      </c>
      <c r="AG45" s="15">
        <f t="shared" ref="AG45:AH45" si="104">AG14/AG$25</f>
        <v>5.6827790887767436E-4</v>
      </c>
      <c r="AH45" s="15">
        <f t="shared" si="104"/>
        <v>5.0430395755026391E-4</v>
      </c>
      <c r="AI45" s="15">
        <f t="shared" ref="AI45:AJ45" si="105">AI14/AI$25</f>
        <v>8.0139054906173393E-4</v>
      </c>
      <c r="AJ45" s="15">
        <f t="shared" si="105"/>
        <v>6.0106418936810909E-4</v>
      </c>
      <c r="AK45" s="15">
        <f t="shared" ref="AK45:AL45" si="106">AK14/AK$25</f>
        <v>5.617441273739189E-4</v>
      </c>
      <c r="AL45" s="15">
        <f t="shared" si="106"/>
        <v>9.8485827304470785E-4</v>
      </c>
      <c r="AM45" s="15">
        <f t="shared" ref="AM45:AN45" si="107">AM14/AM$25</f>
        <v>6.7371525779793759E-4</v>
      </c>
      <c r="AN45" s="15">
        <f t="shared" si="107"/>
        <v>9.9363337663241238E-4</v>
      </c>
      <c r="AO45" s="15">
        <f t="shared" ref="AO45:AP45" si="108">AO14/AO$25</f>
        <v>1.2637887684024299E-3</v>
      </c>
      <c r="AP45" s="15">
        <f t="shared" si="108"/>
        <v>6.2754174729309146E-4</v>
      </c>
      <c r="AQ45" s="15"/>
      <c r="AR45" s="15">
        <f t="shared" ref="AR45" si="109">AR14/AR$25</f>
        <v>7.4731414064384695E-4</v>
      </c>
      <c r="AS45" s="15">
        <f t="shared" ref="AS45" si="110">AS14/AS$25</f>
        <v>7.3606727176037676E-4</v>
      </c>
      <c r="AT45" s="15">
        <f t="shared" ref="AT45:BE45" si="111">AT14/AT$25</f>
        <v>6.1166178560169079E-4</v>
      </c>
      <c r="AU45" s="15">
        <f t="shared" si="111"/>
        <v>8.0980938291014119E-4</v>
      </c>
      <c r="AV45" s="15">
        <f t="shared" si="111"/>
        <v>8.8699301092765796E-4</v>
      </c>
      <c r="AW45" s="15">
        <f t="shared" si="111"/>
        <v>7.4673702775561793E-4</v>
      </c>
      <c r="AX45" s="15">
        <f t="shared" si="111"/>
        <v>9.0908770445056358E-4</v>
      </c>
      <c r="AY45" s="15" t="e">
        <f t="shared" si="111"/>
        <v>#DIV/0!</v>
      </c>
      <c r="AZ45" s="15" t="e">
        <f t="shared" si="111"/>
        <v>#DIV/0!</v>
      </c>
      <c r="BA45" s="15" t="e">
        <f t="shared" si="111"/>
        <v>#DIV/0!</v>
      </c>
      <c r="BB45" s="15" t="e">
        <f t="shared" si="111"/>
        <v>#DIV/0!</v>
      </c>
      <c r="BC45" s="15" t="e">
        <f t="shared" si="111"/>
        <v>#DIV/0!</v>
      </c>
      <c r="BD45" s="15" t="e">
        <f t="shared" si="111"/>
        <v>#DIV/0!</v>
      </c>
      <c r="BE45" s="15">
        <f t="shared" si="111"/>
        <v>8.0035054568735958E-4</v>
      </c>
      <c r="BF45" s="15">
        <f t="shared" si="38"/>
        <v>1.0893406913525764E-3</v>
      </c>
      <c r="BG45" s="150"/>
    </row>
    <row r="46" spans="2:72" s="1" customFormat="1" x14ac:dyDescent="0.35">
      <c r="B46" s="3">
        <f t="shared" si="48"/>
        <v>10</v>
      </c>
      <c r="C46" s="3" t="s">
        <v>96</v>
      </c>
      <c r="D46" s="3" t="s">
        <v>52</v>
      </c>
      <c r="E46" s="15">
        <f t="shared" ref="E46:AF46" si="112">E15/E$25</f>
        <v>4.3035446112269079E-3</v>
      </c>
      <c r="F46" s="15">
        <f t="shared" si="112"/>
        <v>3.0510552087654628E-3</v>
      </c>
      <c r="G46" s="15">
        <f t="shared" si="112"/>
        <v>2.4116232889415663E-3</v>
      </c>
      <c r="H46" s="15">
        <f t="shared" si="112"/>
        <v>2.4503404909470825E-3</v>
      </c>
      <c r="I46" s="15">
        <f t="shared" si="112"/>
        <v>2.6571580274003977E-3</v>
      </c>
      <c r="J46" s="15">
        <f t="shared" si="112"/>
        <v>1.9234472326376355E-3</v>
      </c>
      <c r="K46" s="15">
        <f t="shared" si="112"/>
        <v>1.832922836485097E-3</v>
      </c>
      <c r="L46" s="15">
        <f t="shared" si="112"/>
        <v>2.0974659062118432E-3</v>
      </c>
      <c r="M46" s="15">
        <f t="shared" si="112"/>
        <v>2.3518625372316742E-3</v>
      </c>
      <c r="N46" s="15">
        <f t="shared" si="112"/>
        <v>1.9570542698446967E-3</v>
      </c>
      <c r="O46" s="15">
        <f t="shared" si="112"/>
        <v>2.232582180149374E-3</v>
      </c>
      <c r="P46" s="15">
        <f t="shared" si="112"/>
        <v>1.3864628102476053E-3</v>
      </c>
      <c r="Q46" s="15">
        <f t="shared" si="112"/>
        <v>2.2532210892724351E-3</v>
      </c>
      <c r="R46" s="15">
        <f t="shared" si="112"/>
        <v>1.1185652548375755E-3</v>
      </c>
      <c r="S46" s="15">
        <f t="shared" si="112"/>
        <v>1.3417363106716929E-3</v>
      </c>
      <c r="T46" s="15">
        <f t="shared" si="112"/>
        <v>1.113885290673523E-3</v>
      </c>
      <c r="U46" s="15">
        <f t="shared" si="112"/>
        <v>1.2151482040465317E-3</v>
      </c>
      <c r="V46" s="15">
        <f t="shared" si="112"/>
        <v>1.065021624847656E-3</v>
      </c>
      <c r="W46" s="15">
        <f t="shared" si="112"/>
        <v>1.346084027728474E-3</v>
      </c>
      <c r="X46" s="15">
        <f t="shared" si="112"/>
        <v>1.5531412194738313E-3</v>
      </c>
      <c r="Y46" s="15">
        <f t="shared" si="112"/>
        <v>1.4700174821442905E-3</v>
      </c>
      <c r="Z46" s="15">
        <f t="shared" si="112"/>
        <v>1.1052858580307644E-3</v>
      </c>
      <c r="AA46" s="15">
        <f t="shared" si="112"/>
        <v>1.0675761812171392E-3</v>
      </c>
      <c r="AB46" s="15">
        <f t="shared" si="112"/>
        <v>1.1132866276802355E-3</v>
      </c>
      <c r="AC46" s="14">
        <f t="shared" si="112"/>
        <v>1.1576361074340405E-3</v>
      </c>
      <c r="AD46" s="15">
        <f t="shared" si="112"/>
        <v>1.1959140755344619E-3</v>
      </c>
      <c r="AE46" s="15">
        <f t="shared" si="112"/>
        <v>1.1959140755344621E-3</v>
      </c>
      <c r="AF46" s="15">
        <f t="shared" si="112"/>
        <v>1.2965934270831347E-3</v>
      </c>
      <c r="AG46" s="15">
        <f t="shared" ref="AG46:AH46" si="113">AG15/AG$25</f>
        <v>1.503048590867279E-3</v>
      </c>
      <c r="AH46" s="15">
        <f t="shared" si="113"/>
        <v>8.9153159334661293E-4</v>
      </c>
      <c r="AI46" s="15">
        <f t="shared" ref="AI46:AJ46" si="114">AI15/AI$25</f>
        <v>9.9737870239902365E-4</v>
      </c>
      <c r="AJ46" s="15">
        <f t="shared" si="114"/>
        <v>1.1740086096703E-3</v>
      </c>
      <c r="AK46" s="15">
        <f t="shared" ref="AK46:AL46" si="115">AK15/AK$25</f>
        <v>1.2303329564178245E-3</v>
      </c>
      <c r="AL46" s="15">
        <f t="shared" si="115"/>
        <v>1.1846352059204494E-3</v>
      </c>
      <c r="AM46" s="15">
        <f t="shared" ref="AM46:AN46" si="116">AM15/AM$25</f>
        <v>1.4865080143061E-3</v>
      </c>
      <c r="AN46" s="15">
        <f t="shared" si="116"/>
        <v>1.2651226648904932E-3</v>
      </c>
      <c r="AO46" s="15">
        <f t="shared" ref="AO46:AP46" si="117">AO15/AO$25</f>
        <v>1.7485820350433611E-3</v>
      </c>
      <c r="AP46" s="15">
        <f t="shared" si="117"/>
        <v>1.6306854045310016E-3</v>
      </c>
      <c r="AQ46" s="15"/>
      <c r="AR46" s="15">
        <f t="shared" ref="AR46" si="118">AR15/AR$25</f>
        <v>1.2745274366030711E-3</v>
      </c>
      <c r="AS46" s="15">
        <f t="shared" ref="AS46" si="119">AS15/AS$25</f>
        <v>1.1748152540777283E-3</v>
      </c>
      <c r="AT46" s="15">
        <f t="shared" ref="AT46:BE46" si="120">AT15/AT$25</f>
        <v>1.1730765427686697E-3</v>
      </c>
      <c r="AU46" s="15">
        <f t="shared" si="120"/>
        <v>8.6397632640024746E-4</v>
      </c>
      <c r="AV46" s="15">
        <f t="shared" si="120"/>
        <v>1.0075276840708759E-3</v>
      </c>
      <c r="AW46" s="15">
        <f t="shared" si="120"/>
        <v>1.1101782188750219E-3</v>
      </c>
      <c r="AX46" s="15">
        <f t="shared" si="120"/>
        <v>1.2847209800391532E-3</v>
      </c>
      <c r="AY46" s="15" t="e">
        <f t="shared" si="120"/>
        <v>#DIV/0!</v>
      </c>
      <c r="AZ46" s="15" t="e">
        <f t="shared" si="120"/>
        <v>#DIV/0!</v>
      </c>
      <c r="BA46" s="15" t="e">
        <f t="shared" si="120"/>
        <v>#DIV/0!</v>
      </c>
      <c r="BB46" s="15" t="e">
        <f t="shared" si="120"/>
        <v>#DIV/0!</v>
      </c>
      <c r="BC46" s="15" t="e">
        <f t="shared" si="120"/>
        <v>#DIV/0!</v>
      </c>
      <c r="BD46" s="15" t="e">
        <f t="shared" si="120"/>
        <v>#DIV/0!</v>
      </c>
      <c r="BE46" s="15">
        <f t="shared" si="120"/>
        <v>1.092314604771548E-3</v>
      </c>
      <c r="BF46" s="15">
        <f t="shared" si="38"/>
        <v>1.8079633567078511E-3</v>
      </c>
      <c r="BG46" s="150"/>
    </row>
    <row r="47" spans="2:72" s="1" customFormat="1" x14ac:dyDescent="0.35">
      <c r="B47" s="3">
        <f t="shared" si="48"/>
        <v>11</v>
      </c>
      <c r="C47" s="3" t="s">
        <v>96</v>
      </c>
      <c r="D47" s="3" t="s">
        <v>55</v>
      </c>
      <c r="E47" s="15">
        <f t="shared" ref="E47:AF47" si="121">E16/E$25</f>
        <v>0</v>
      </c>
      <c r="F47" s="15">
        <f t="shared" si="121"/>
        <v>0</v>
      </c>
      <c r="G47" s="15">
        <f t="shared" si="121"/>
        <v>0</v>
      </c>
      <c r="H47" s="15">
        <f t="shared" si="121"/>
        <v>1.6634154544257155E-3</v>
      </c>
      <c r="I47" s="15">
        <f t="shared" si="121"/>
        <v>9.218874348174335E-4</v>
      </c>
      <c r="J47" s="15">
        <f t="shared" si="121"/>
        <v>1.1829425365572032E-3</v>
      </c>
      <c r="K47" s="15">
        <f t="shared" si="121"/>
        <v>5.6017080144487284E-4</v>
      </c>
      <c r="L47" s="15">
        <f t="shared" si="121"/>
        <v>1.0974433499227046E-3</v>
      </c>
      <c r="M47" s="15">
        <f t="shared" si="121"/>
        <v>8.1338173263206066E-4</v>
      </c>
      <c r="N47" s="15">
        <f t="shared" si="121"/>
        <v>0</v>
      </c>
      <c r="O47" s="15">
        <f t="shared" si="121"/>
        <v>4.3912195258822255E-4</v>
      </c>
      <c r="P47" s="15">
        <f t="shared" si="121"/>
        <v>1.4023923652971559E-6</v>
      </c>
      <c r="Q47" s="15">
        <f t="shared" si="121"/>
        <v>5.3607905015485755E-4</v>
      </c>
      <c r="R47" s="15">
        <f t="shared" si="121"/>
        <v>1.9966791163765721E-4</v>
      </c>
      <c r="S47" s="15">
        <f t="shared" si="121"/>
        <v>0</v>
      </c>
      <c r="T47" s="15">
        <f t="shared" si="121"/>
        <v>1.8365296232255408E-4</v>
      </c>
      <c r="U47" s="15">
        <f t="shared" si="121"/>
        <v>0</v>
      </c>
      <c r="V47" s="15">
        <f t="shared" si="121"/>
        <v>0</v>
      </c>
      <c r="W47" s="15">
        <f t="shared" si="121"/>
        <v>1.0648636579952246E-4</v>
      </c>
      <c r="X47" s="15">
        <f t="shared" si="121"/>
        <v>3.0769104760874704E-4</v>
      </c>
      <c r="Y47" s="15">
        <f t="shared" si="121"/>
        <v>3.9981707836357215E-4</v>
      </c>
      <c r="Z47" s="15">
        <f t="shared" si="121"/>
        <v>1.2508914629709866E-6</v>
      </c>
      <c r="AA47" s="15">
        <f t="shared" si="121"/>
        <v>3.3852790385545747E-4</v>
      </c>
      <c r="AB47" s="15">
        <f t="shared" si="121"/>
        <v>8.8769021900839964E-5</v>
      </c>
      <c r="AC47" s="14">
        <f t="shared" si="121"/>
        <v>6.9188276815839201E-5</v>
      </c>
      <c r="AD47" s="15">
        <f t="shared" si="121"/>
        <v>1.3227808622899817E-4</v>
      </c>
      <c r="AE47" s="15">
        <f t="shared" si="121"/>
        <v>1.3227808622899817E-4</v>
      </c>
      <c r="AF47" s="15">
        <f t="shared" si="121"/>
        <v>9.8005866510729196E-4</v>
      </c>
      <c r="AG47" s="15">
        <f t="shared" ref="AG47:AH47" si="122">AG16/AG$25</f>
        <v>2.6507090165490819E-4</v>
      </c>
      <c r="AH47" s="15">
        <f t="shared" si="122"/>
        <v>1.9935197670130762E-4</v>
      </c>
      <c r="AI47" s="15">
        <f t="shared" ref="AI47:AJ47" si="123">AI16/AI$25</f>
        <v>4.7924992006164992E-4</v>
      </c>
      <c r="AJ47" s="15">
        <f t="shared" si="123"/>
        <v>4.5853467677833479E-4</v>
      </c>
      <c r="AK47" s="15">
        <f t="shared" ref="AK47:AL47" si="124">AK16/AK$25</f>
        <v>3.9413017294182462E-4</v>
      </c>
      <c r="AL47" s="15">
        <f t="shared" si="124"/>
        <v>9.4463781875130848E-7</v>
      </c>
      <c r="AM47" s="15">
        <f t="shared" ref="AM47:AN47" si="125">AM16/AM$25</f>
        <v>1.5771776854260139E-4</v>
      </c>
      <c r="AN47" s="15">
        <f t="shared" si="125"/>
        <v>7.2654474489987244E-4</v>
      </c>
      <c r="AO47" s="15">
        <f t="shared" ref="AO47:AP47" si="126">AO16/AO$25</f>
        <v>1.3667268745537488E-3</v>
      </c>
      <c r="AP47" s="15">
        <f t="shared" si="126"/>
        <v>1.2306588207407123E-3</v>
      </c>
      <c r="AQ47" s="15"/>
      <c r="AR47" s="15">
        <f t="shared" ref="AR47" si="127">AR16/AR$25</f>
        <v>5.5898143652613561E-4</v>
      </c>
      <c r="AS47" s="15">
        <f t="shared" ref="AS47" si="128">AS16/AS$25</f>
        <v>1.2621413962166988E-3</v>
      </c>
      <c r="AT47" s="15">
        <f t="shared" ref="AT47:BE47" si="129">AT16/AT$25</f>
        <v>5.8533425637751846E-4</v>
      </c>
      <c r="AU47" s="15">
        <f t="shared" si="129"/>
        <v>1.6289335505963434E-3</v>
      </c>
      <c r="AV47" s="15">
        <f t="shared" si="129"/>
        <v>3.2743911625084804E-4</v>
      </c>
      <c r="AW47" s="15">
        <f t="shared" si="129"/>
        <v>2.356427477058037E-5</v>
      </c>
      <c r="AX47" s="15">
        <f t="shared" si="129"/>
        <v>6.8903472051130333E-4</v>
      </c>
      <c r="AY47" s="15" t="e">
        <f t="shared" si="129"/>
        <v>#DIV/0!</v>
      </c>
      <c r="AZ47" s="15" t="e">
        <f t="shared" si="129"/>
        <v>#DIV/0!</v>
      </c>
      <c r="BA47" s="15" t="e">
        <f t="shared" si="129"/>
        <v>#DIV/0!</v>
      </c>
      <c r="BB47" s="15" t="e">
        <f t="shared" si="129"/>
        <v>#DIV/0!</v>
      </c>
      <c r="BC47" s="15" t="e">
        <f t="shared" si="129"/>
        <v>#DIV/0!</v>
      </c>
      <c r="BD47" s="15" t="e">
        <f t="shared" si="129"/>
        <v>#DIV/0!</v>
      </c>
      <c r="BE47" s="15">
        <f t="shared" si="129"/>
        <v>7.561684853547116E-4</v>
      </c>
      <c r="BF47" s="15">
        <f t="shared" si="38"/>
        <v>6.5875699885023888E-4</v>
      </c>
      <c r="BG47" s="150"/>
    </row>
    <row r="48" spans="2:72" s="12" customFormat="1" x14ac:dyDescent="0.35">
      <c r="B48" s="81" t="s">
        <v>163</v>
      </c>
      <c r="C48" s="77" t="s">
        <v>164</v>
      </c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147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</row>
    <row r="49" spans="2:59" s="12" customFormat="1" x14ac:dyDescent="0.35">
      <c r="B49" s="3">
        <v>1</v>
      </c>
      <c r="C49" s="3" t="s">
        <v>97</v>
      </c>
      <c r="D49" s="3" t="s">
        <v>168</v>
      </c>
      <c r="E49" s="15">
        <f t="shared" ref="E49:AF49" si="130">E18/E$25</f>
        <v>8.795177721804262E-2</v>
      </c>
      <c r="F49" s="15">
        <f t="shared" si="130"/>
        <v>6.540003627430975E-2</v>
      </c>
      <c r="G49" s="15">
        <f t="shared" si="130"/>
        <v>5.4094540357370498E-2</v>
      </c>
      <c r="H49" s="15">
        <f t="shared" si="130"/>
        <v>2.4516071546436487E-2</v>
      </c>
      <c r="I49" s="15">
        <f t="shared" si="130"/>
        <v>2.3577633490577864E-2</v>
      </c>
      <c r="J49" s="15">
        <f t="shared" si="130"/>
        <v>2.5308056784291103E-2</v>
      </c>
      <c r="K49" s="15">
        <f t="shared" si="130"/>
        <v>2.1950736460587726E-2</v>
      </c>
      <c r="L49" s="15">
        <f t="shared" si="130"/>
        <v>1.8894273386222616E-2</v>
      </c>
      <c r="M49" s="15">
        <f t="shared" si="130"/>
        <v>0</v>
      </c>
      <c r="N49" s="15">
        <f t="shared" si="130"/>
        <v>1.2712510198295726E-3</v>
      </c>
      <c r="O49" s="15">
        <f t="shared" si="130"/>
        <v>1.5554937178743355E-3</v>
      </c>
      <c r="P49" s="15">
        <f t="shared" si="130"/>
        <v>8.2416697205487776E-4</v>
      </c>
      <c r="Q49" s="15">
        <f t="shared" si="130"/>
        <v>2.2987570711126702E-2</v>
      </c>
      <c r="R49" s="15">
        <f t="shared" si="130"/>
        <v>5.1745059208527268E-2</v>
      </c>
      <c r="S49" s="15">
        <f t="shared" si="130"/>
        <v>8.9021185143142986E-2</v>
      </c>
      <c r="T49" s="15">
        <f t="shared" si="130"/>
        <v>6.0593454067520355E-2</v>
      </c>
      <c r="U49" s="15">
        <f t="shared" si="130"/>
        <v>6.238386909699007E-2</v>
      </c>
      <c r="V49" s="15">
        <f t="shared" si="130"/>
        <v>6.2931284363118262E-2</v>
      </c>
      <c r="W49" s="15">
        <f t="shared" si="130"/>
        <v>7.6642670552944048E-2</v>
      </c>
      <c r="X49" s="15">
        <f t="shared" si="130"/>
        <v>0.11499745172544393</v>
      </c>
      <c r="Y49" s="15">
        <f t="shared" si="130"/>
        <v>0.10222510360005961</v>
      </c>
      <c r="Z49" s="15">
        <f t="shared" si="130"/>
        <v>8.3800737827166294E-2</v>
      </c>
      <c r="AA49" s="15">
        <f t="shared" si="130"/>
        <v>5.8616497057092376E-2</v>
      </c>
      <c r="AB49" s="15">
        <f t="shared" si="130"/>
        <v>5.3780876303071289E-2</v>
      </c>
      <c r="AC49" s="14">
        <f t="shared" si="130"/>
        <v>6.5644299568656139E-2</v>
      </c>
      <c r="AD49" s="15">
        <f t="shared" si="130"/>
        <v>6.9935161849872973E-2</v>
      </c>
      <c r="AE49" s="15">
        <f t="shared" si="130"/>
        <v>6.9935161849872987E-2</v>
      </c>
      <c r="AF49" s="15">
        <f t="shared" si="130"/>
        <v>0.10750269797590767</v>
      </c>
      <c r="AG49" s="15">
        <f t="shared" ref="AG49" si="131">AG18/AG$25</f>
        <v>8.1498724254714106E-2</v>
      </c>
      <c r="AH49" s="15">
        <f t="shared" ref="AH49:AM49" si="132">AH18/AH$25</f>
        <v>5.6437501709829203E-2</v>
      </c>
      <c r="AI49" s="15">
        <f t="shared" si="132"/>
        <v>6.0595883125044964E-2</v>
      </c>
      <c r="AJ49" s="15">
        <f t="shared" si="132"/>
        <v>5.3312950291855871E-2</v>
      </c>
      <c r="AK49" s="15">
        <f t="shared" si="132"/>
        <v>6.3873916529878685E-2</v>
      </c>
      <c r="AL49" s="15">
        <f t="shared" si="132"/>
        <v>6.0605845034440609E-2</v>
      </c>
      <c r="AM49" s="15">
        <f t="shared" si="132"/>
        <v>6.3252630898697038E-2</v>
      </c>
      <c r="AN49" s="15">
        <f t="shared" ref="AN49:AO49" si="133">AN18/AN$25</f>
        <v>6.3200235312302816E-2</v>
      </c>
      <c r="AO49" s="15">
        <f t="shared" si="133"/>
        <v>8.3286069035145918E-2</v>
      </c>
      <c r="AP49" s="15">
        <f t="shared" ref="AP49" si="134">AP18/AP$25</f>
        <v>0.10462345369897656</v>
      </c>
      <c r="AQ49" s="15"/>
      <c r="AR49" s="15">
        <f t="shared" ref="AR49" si="135">AR18/AR$25</f>
        <v>6.8976420744483707E-2</v>
      </c>
      <c r="AS49" s="15">
        <f t="shared" ref="AS49" si="136">AS18/AS$25</f>
        <v>9.8136188431743154E-2</v>
      </c>
      <c r="AT49" s="15">
        <f t="shared" ref="AT49:BE49" si="137">AT18/AT$25</f>
        <v>0.13776331843532169</v>
      </c>
      <c r="AU49" s="15">
        <f t="shared" si="137"/>
        <v>7.6134026566115218E-2</v>
      </c>
      <c r="AV49" s="15">
        <f t="shared" si="137"/>
        <v>7.5564266089858556E-2</v>
      </c>
      <c r="AW49" s="15">
        <f t="shared" si="137"/>
        <v>8.2866959957909506E-2</v>
      </c>
      <c r="AX49" s="15">
        <f t="shared" si="137"/>
        <v>7.6271956312921899E-2</v>
      </c>
      <c r="AY49" s="15" t="e">
        <f t="shared" si="137"/>
        <v>#DIV/0!</v>
      </c>
      <c r="AZ49" s="15" t="e">
        <f t="shared" si="137"/>
        <v>#DIV/0!</v>
      </c>
      <c r="BA49" s="15" t="e">
        <f t="shared" si="137"/>
        <v>#DIV/0!</v>
      </c>
      <c r="BB49" s="15" t="e">
        <f t="shared" si="137"/>
        <v>#DIV/0!</v>
      </c>
      <c r="BC49" s="15" t="e">
        <f t="shared" si="137"/>
        <v>#DIV/0!</v>
      </c>
      <c r="BD49" s="15" t="e">
        <f t="shared" si="137"/>
        <v>#DIV/0!</v>
      </c>
      <c r="BE49" s="15">
        <f t="shared" si="137"/>
        <v>8.6997335420815156E-2</v>
      </c>
      <c r="BF49" s="15">
        <f t="shared" ref="BF49:BF55" si="138">BF18/BF$25</f>
        <v>4.7555701806376971E-2</v>
      </c>
      <c r="BG49" s="150"/>
    </row>
    <row r="50" spans="2:59" s="12" customFormat="1" x14ac:dyDescent="0.35">
      <c r="B50" s="3">
        <f t="shared" ref="B50:B55" si="139">B49+1</f>
        <v>2</v>
      </c>
      <c r="C50" s="3" t="s">
        <v>97</v>
      </c>
      <c r="D50" s="3" t="s">
        <v>48</v>
      </c>
      <c r="E50" s="15">
        <f t="shared" ref="E50:AF50" si="140">E19/E$25</f>
        <v>0.17785647280143574</v>
      </c>
      <c r="F50" s="15">
        <f t="shared" si="140"/>
        <v>0.1322641595060659</v>
      </c>
      <c r="G50" s="15">
        <f t="shared" si="140"/>
        <v>0.11441817796722221</v>
      </c>
      <c r="H50" s="15">
        <f t="shared" si="140"/>
        <v>0.14390704151415445</v>
      </c>
      <c r="I50" s="15">
        <f t="shared" si="140"/>
        <v>0.12580536245945184</v>
      </c>
      <c r="J50" s="15">
        <f t="shared" si="140"/>
        <v>0.14540876058976368</v>
      </c>
      <c r="K50" s="15">
        <f t="shared" si="140"/>
        <v>0.12485835930704316</v>
      </c>
      <c r="L50" s="15">
        <f t="shared" si="140"/>
        <v>0.13307960258831816</v>
      </c>
      <c r="M50" s="15">
        <f t="shared" si="140"/>
        <v>0.14561764310471037</v>
      </c>
      <c r="N50" s="15">
        <f t="shared" si="140"/>
        <v>0.1269982757038344</v>
      </c>
      <c r="O50" s="15">
        <f t="shared" si="140"/>
        <v>0.16240354231375778</v>
      </c>
      <c r="P50" s="15">
        <f t="shared" si="140"/>
        <v>8.8391285052569046E-2</v>
      </c>
      <c r="Q50" s="15">
        <f t="shared" si="140"/>
        <v>0.13046980416516524</v>
      </c>
      <c r="R50" s="15">
        <f t="shared" si="140"/>
        <v>8.5442849440285185E-2</v>
      </c>
      <c r="S50" s="15">
        <f t="shared" si="140"/>
        <v>0.10339463228668738</v>
      </c>
      <c r="T50" s="15">
        <f t="shared" si="140"/>
        <v>7.5864126729491457E-2</v>
      </c>
      <c r="U50" s="15">
        <f t="shared" si="140"/>
        <v>8.6007733253980881E-2</v>
      </c>
      <c r="V50" s="15">
        <f t="shared" si="140"/>
        <v>8.5984769505167591E-2</v>
      </c>
      <c r="W50" s="15">
        <f t="shared" si="140"/>
        <v>0.10555687102125852</v>
      </c>
      <c r="X50" s="15">
        <f t="shared" si="140"/>
        <v>0.1575772491652723</v>
      </c>
      <c r="Y50" s="15">
        <f t="shared" si="140"/>
        <v>0.13846661237073579</v>
      </c>
      <c r="Z50" s="15">
        <f t="shared" si="140"/>
        <v>0.1217333780802648</v>
      </c>
      <c r="AA50" s="15">
        <f t="shared" si="140"/>
        <v>9.3061029845510498E-2</v>
      </c>
      <c r="AB50" s="15">
        <f t="shared" si="140"/>
        <v>8.9514237673995342E-2</v>
      </c>
      <c r="AC50" s="14">
        <f t="shared" si="140"/>
        <v>0.12035744920557158</v>
      </c>
      <c r="AD50" s="15">
        <f t="shared" si="140"/>
        <v>0.10110736866312171</v>
      </c>
      <c r="AE50" s="15">
        <f t="shared" si="140"/>
        <v>0.10110736866312173</v>
      </c>
      <c r="AF50" s="15">
        <f t="shared" si="140"/>
        <v>0.17643360855444923</v>
      </c>
      <c r="AG50" s="15">
        <f t="shared" ref="AG50:AH50" si="141">AG19/AG$25</f>
        <v>0.13327954208510137</v>
      </c>
      <c r="AH50" s="15">
        <f t="shared" si="141"/>
        <v>9.1874773620972988E-2</v>
      </c>
      <c r="AI50" s="15">
        <f t="shared" ref="AI50:AJ50" si="142">AI19/AI$25</f>
        <v>0.11093951424906213</v>
      </c>
      <c r="AJ50" s="15">
        <f t="shared" si="142"/>
        <v>9.7873183834369493E-2</v>
      </c>
      <c r="AK50" s="15">
        <f t="shared" ref="AK50:AL50" si="143">AK19/AK$25</f>
        <v>0.10959019025872735</v>
      </c>
      <c r="AL50" s="15">
        <f t="shared" si="143"/>
        <v>0.10428981323775097</v>
      </c>
      <c r="AM50" s="15">
        <f t="shared" ref="AM50:AN50" si="144">AM19/AM$25</f>
        <v>0.10530170995111564</v>
      </c>
      <c r="AN50" s="15">
        <f t="shared" si="144"/>
        <v>0.10762935587261691</v>
      </c>
      <c r="AO50" s="15">
        <f t="shared" ref="AO50:AP50" si="145">AO19/AO$25</f>
        <v>0.13405768741563123</v>
      </c>
      <c r="AP50" s="15">
        <f t="shared" si="145"/>
        <v>0.16357410586914206</v>
      </c>
      <c r="AQ50" s="15"/>
      <c r="AR50" s="15">
        <f t="shared" ref="AR50" si="146">AR19/AR$25</f>
        <v>0.12119542934564656</v>
      </c>
      <c r="AS50" s="15">
        <f t="shared" ref="AS50" si="147">AS19/AS$25</f>
        <v>0.15147899270168069</v>
      </c>
      <c r="AT50" s="15">
        <f t="shared" ref="AT50:BE50" si="148">AT19/AT$25</f>
        <v>0.19019219416570654</v>
      </c>
      <c r="AU50" s="15">
        <f t="shared" si="148"/>
        <v>0.11324456814171674</v>
      </c>
      <c r="AV50" s="15">
        <f t="shared" si="148"/>
        <v>0.12584943259152204</v>
      </c>
      <c r="AW50" s="15">
        <f t="shared" si="148"/>
        <v>0.13001963139954903</v>
      </c>
      <c r="AX50" s="15">
        <f t="shared" si="148"/>
        <v>0.12872198271595184</v>
      </c>
      <c r="AY50" s="15" t="e">
        <f t="shared" si="148"/>
        <v>#DIV/0!</v>
      </c>
      <c r="AZ50" s="15" t="e">
        <f t="shared" si="148"/>
        <v>#DIV/0!</v>
      </c>
      <c r="BA50" s="15" t="e">
        <f t="shared" si="148"/>
        <v>#DIV/0!</v>
      </c>
      <c r="BB50" s="15" t="e">
        <f t="shared" si="148"/>
        <v>#DIV/0!</v>
      </c>
      <c r="BC50" s="15" t="e">
        <f t="shared" si="148"/>
        <v>#DIV/0!</v>
      </c>
      <c r="BD50" s="15" t="e">
        <f t="shared" si="148"/>
        <v>#DIV/0!</v>
      </c>
      <c r="BE50" s="15">
        <f t="shared" si="148"/>
        <v>0.13530134537731431</v>
      </c>
      <c r="BF50" s="15">
        <f t="shared" si="138"/>
        <v>0.13570848185115802</v>
      </c>
      <c r="BG50" s="150"/>
    </row>
    <row r="51" spans="2:59" s="1" customFormat="1" x14ac:dyDescent="0.35">
      <c r="B51" s="3">
        <f t="shared" si="139"/>
        <v>3</v>
      </c>
      <c r="C51" s="3" t="s">
        <v>96</v>
      </c>
      <c r="D51" s="3" t="s">
        <v>16</v>
      </c>
      <c r="E51" s="15">
        <f t="shared" ref="E51:AF51" si="149">E20/E$25</f>
        <v>5.8063068967948432E-2</v>
      </c>
      <c r="F51" s="15">
        <f t="shared" si="149"/>
        <v>4.661533371652328E-2</v>
      </c>
      <c r="G51" s="15">
        <f t="shared" si="149"/>
        <v>4.206308350771875E-2</v>
      </c>
      <c r="H51" s="15">
        <f t="shared" si="149"/>
        <v>5.1143413851996465E-2</v>
      </c>
      <c r="I51" s="15">
        <f t="shared" si="149"/>
        <v>4.1870465981334891E-2</v>
      </c>
      <c r="J51" s="15">
        <f t="shared" si="149"/>
        <v>4.793602116826419E-2</v>
      </c>
      <c r="K51" s="15">
        <f t="shared" si="149"/>
        <v>4.3404685937291965E-2</v>
      </c>
      <c r="L51" s="15">
        <f t="shared" si="149"/>
        <v>4.4012999190639571E-2</v>
      </c>
      <c r="M51" s="15">
        <f t="shared" si="149"/>
        <v>5.1590748055597081E-2</v>
      </c>
      <c r="N51" s="15">
        <f t="shared" si="149"/>
        <v>4.6157199034926787E-2</v>
      </c>
      <c r="O51" s="15">
        <f t="shared" si="149"/>
        <v>5.6565893050042344E-2</v>
      </c>
      <c r="P51" s="15">
        <f t="shared" si="149"/>
        <v>3.1497673258327287E-2</v>
      </c>
      <c r="Q51" s="15">
        <f t="shared" si="149"/>
        <v>4.5290631560775951E-2</v>
      </c>
      <c r="R51" s="15">
        <f t="shared" si="149"/>
        <v>2.6060729173995125E-2</v>
      </c>
      <c r="S51" s="15">
        <f t="shared" si="149"/>
        <v>3.5395140465820485E-2</v>
      </c>
      <c r="T51" s="15">
        <f t="shared" si="149"/>
        <v>2.3898845739786807E-2</v>
      </c>
      <c r="U51" s="15">
        <f t="shared" si="149"/>
        <v>2.6495197006214548E-2</v>
      </c>
      <c r="V51" s="15">
        <f t="shared" si="149"/>
        <v>2.6415433008492244E-2</v>
      </c>
      <c r="W51" s="15">
        <f t="shared" si="149"/>
        <v>3.2825991030770628E-2</v>
      </c>
      <c r="X51" s="15">
        <f t="shared" si="149"/>
        <v>4.9770955085210775E-2</v>
      </c>
      <c r="Y51" s="15">
        <f t="shared" si="149"/>
        <v>4.4525915041141999E-2</v>
      </c>
      <c r="Z51" s="15">
        <f t="shared" si="149"/>
        <v>3.8043577683862663E-2</v>
      </c>
      <c r="AA51" s="15">
        <f t="shared" si="149"/>
        <v>2.8903289710593163E-2</v>
      </c>
      <c r="AB51" s="15">
        <f t="shared" si="149"/>
        <v>2.7214503270553889E-2</v>
      </c>
      <c r="AC51" s="14">
        <f t="shared" si="149"/>
        <v>3.470908929626311E-2</v>
      </c>
      <c r="AD51" s="15">
        <f t="shared" si="149"/>
        <v>3.1428474299025927E-2</v>
      </c>
      <c r="AE51" s="15">
        <f t="shared" si="149"/>
        <v>3.1428474299025927E-2</v>
      </c>
      <c r="AF51" s="15">
        <f t="shared" si="149"/>
        <v>5.3746032070241936E-2</v>
      </c>
      <c r="AG51" s="15">
        <f t="shared" ref="AG51:AH51" si="150">AG20/AG$25</f>
        <v>4.0761877845434509E-2</v>
      </c>
      <c r="AH51" s="15">
        <f t="shared" si="150"/>
        <v>2.9486603437401664E-2</v>
      </c>
      <c r="AI51" s="15">
        <f t="shared" ref="AI51:AJ51" si="151">AI20/AI$25</f>
        <v>3.1505376169897785E-2</v>
      </c>
      <c r="AJ51" s="15">
        <f t="shared" si="151"/>
        <v>2.8943492320410911E-2</v>
      </c>
      <c r="AK51" s="15">
        <f t="shared" ref="AK51:AL51" si="152">AK20/AK$25</f>
        <v>3.1582276840230503E-2</v>
      </c>
      <c r="AL51" s="15">
        <f t="shared" si="152"/>
        <v>2.8977472252839743E-2</v>
      </c>
      <c r="AM51" s="15">
        <f t="shared" ref="AM51:AN51" si="153">AM20/AM$25</f>
        <v>2.8782939286287071E-2</v>
      </c>
      <c r="AN51" s="15">
        <f t="shared" si="153"/>
        <v>3.0945544808826407E-2</v>
      </c>
      <c r="AO51" s="15">
        <f t="shared" ref="AO51:AP51" si="154">AO20/AO$25</f>
        <v>3.9378989007993095E-2</v>
      </c>
      <c r="AP51" s="15">
        <f t="shared" si="154"/>
        <v>5.1337912450432614E-2</v>
      </c>
      <c r="AQ51" s="15"/>
      <c r="AR51" s="15">
        <f t="shared" ref="AR51" si="155">AR20/AR$25</f>
        <v>3.4467758553877591E-2</v>
      </c>
      <c r="AS51" s="15">
        <f t="shared" ref="AS51" si="156">AS20/AS$25</f>
        <v>2.2429800279074253E-2</v>
      </c>
      <c r="AT51" s="15">
        <f t="shared" ref="AT51:BE51" si="157">AT20/AT$25</f>
        <v>3.1030070821252566E-2</v>
      </c>
      <c r="AU51" s="15">
        <f t="shared" si="157"/>
        <v>1.7271727408339373E-2</v>
      </c>
      <c r="AV51" s="15">
        <f t="shared" si="157"/>
        <v>1.843618290430462E-2</v>
      </c>
      <c r="AW51" s="15">
        <f t="shared" si="157"/>
        <v>2.068843526825016E-2</v>
      </c>
      <c r="AX51" s="15">
        <f t="shared" si="157"/>
        <v>1.9369119102537594E-2</v>
      </c>
      <c r="AY51" s="15" t="e">
        <f t="shared" si="157"/>
        <v>#DIV/0!</v>
      </c>
      <c r="AZ51" s="15" t="e">
        <f t="shared" si="157"/>
        <v>#DIV/0!</v>
      </c>
      <c r="BA51" s="15" t="e">
        <f t="shared" si="157"/>
        <v>#DIV/0!</v>
      </c>
      <c r="BB51" s="15" t="e">
        <f t="shared" si="157"/>
        <v>#DIV/0!</v>
      </c>
      <c r="BC51" s="15" t="e">
        <f t="shared" si="157"/>
        <v>#DIV/0!</v>
      </c>
      <c r="BD51" s="15" t="e">
        <f t="shared" si="157"/>
        <v>#DIV/0!</v>
      </c>
      <c r="BE51" s="15">
        <f t="shared" si="157"/>
        <v>2.0704906836557797E-2</v>
      </c>
      <c r="BF51" s="15">
        <f t="shared" si="138"/>
        <v>4.8765591623176369E-2</v>
      </c>
      <c r="BG51" s="150"/>
    </row>
    <row r="52" spans="2:59" s="1" customFormat="1" x14ac:dyDescent="0.35">
      <c r="B52" s="3">
        <f t="shared" si="139"/>
        <v>4</v>
      </c>
      <c r="C52" s="3" t="s">
        <v>97</v>
      </c>
      <c r="D52" s="3" t="s">
        <v>36</v>
      </c>
      <c r="E52" s="15">
        <f t="shared" ref="E52:AF52" si="158">E21/E$25</f>
        <v>1.8310076669571851E-2</v>
      </c>
      <c r="F52" s="15">
        <f t="shared" si="158"/>
        <v>1.8441522343880447E-2</v>
      </c>
      <c r="G52" s="15">
        <f t="shared" si="158"/>
        <v>1.7257939452804925E-2</v>
      </c>
      <c r="H52" s="15">
        <f t="shared" si="158"/>
        <v>1.5413941489310424E-2</v>
      </c>
      <c r="I52" s="15">
        <f t="shared" si="158"/>
        <v>1.12419782888227E-2</v>
      </c>
      <c r="J52" s="15">
        <f t="shared" si="158"/>
        <v>1.4754384950947769E-2</v>
      </c>
      <c r="K52" s="15">
        <f t="shared" si="158"/>
        <v>1.3372386711690191E-2</v>
      </c>
      <c r="L52" s="15">
        <f t="shared" si="158"/>
        <v>1.0511910467217243E-2</v>
      </c>
      <c r="M52" s="15">
        <f t="shared" si="158"/>
        <v>1.0707069701839784E-2</v>
      </c>
      <c r="N52" s="15">
        <f t="shared" si="158"/>
        <v>1.0056357380583834E-2</v>
      </c>
      <c r="O52" s="15">
        <f t="shared" si="158"/>
        <v>1.2520863989271823E-2</v>
      </c>
      <c r="P52" s="15">
        <f t="shared" si="158"/>
        <v>1.1316288027578949E-2</v>
      </c>
      <c r="Q52" s="15">
        <f t="shared" si="158"/>
        <v>1.3218794007717785E-2</v>
      </c>
      <c r="R52" s="15">
        <f t="shared" si="158"/>
        <v>1.4413771224104435E-2</v>
      </c>
      <c r="S52" s="15">
        <f t="shared" si="158"/>
        <v>1.6249497960250658E-2</v>
      </c>
      <c r="T52" s="15">
        <f t="shared" si="158"/>
        <v>9.1749791067399812E-3</v>
      </c>
      <c r="U52" s="15">
        <f t="shared" si="158"/>
        <v>1.1139265115724628E-2</v>
      </c>
      <c r="V52" s="15">
        <f t="shared" si="158"/>
        <v>1.5518727432006467E-2</v>
      </c>
      <c r="W52" s="15">
        <f t="shared" si="158"/>
        <v>1.8872515206132409E-2</v>
      </c>
      <c r="X52" s="15">
        <f t="shared" si="158"/>
        <v>2.3866568852213891E-2</v>
      </c>
      <c r="Y52" s="15">
        <f t="shared" si="158"/>
        <v>3.9295391473670754E-2</v>
      </c>
      <c r="Z52" s="15">
        <f t="shared" si="158"/>
        <v>3.9895496028194054E-2</v>
      </c>
      <c r="AA52" s="15">
        <f t="shared" si="158"/>
        <v>3.2474393086557939E-2</v>
      </c>
      <c r="AB52" s="15">
        <f t="shared" si="158"/>
        <v>2.8198217860066925E-2</v>
      </c>
      <c r="AC52" s="14">
        <f t="shared" si="158"/>
        <v>0.10313258632641299</v>
      </c>
      <c r="AD52" s="15">
        <f t="shared" si="158"/>
        <v>2.8768332301393491E-2</v>
      </c>
      <c r="AE52" s="15">
        <f t="shared" si="158"/>
        <v>2.8768332301393494E-2</v>
      </c>
      <c r="AF52" s="15">
        <f t="shared" si="158"/>
        <v>5.3083892689608232E-2</v>
      </c>
      <c r="AG52" s="15">
        <f t="shared" ref="AG52:AH52" si="159">AG21/AG$25</f>
        <v>2.838940431413204E-2</v>
      </c>
      <c r="AH52" s="15">
        <f t="shared" si="159"/>
        <v>2.9878125608115275E-2</v>
      </c>
      <c r="AI52" s="15">
        <f t="shared" ref="AI52:AJ52" si="160">AI21/AI$25</f>
        <v>1.9993276906660543E-2</v>
      </c>
      <c r="AJ52" s="15">
        <f t="shared" si="160"/>
        <v>2.1875596363631403E-2</v>
      </c>
      <c r="AK52" s="15">
        <f t="shared" ref="AK52:AL52" si="161">AK21/AK$25</f>
        <v>2.1564150095102704E-2</v>
      </c>
      <c r="AL52" s="15">
        <f t="shared" si="161"/>
        <v>2.1310668421120574E-2</v>
      </c>
      <c r="AM52" s="15">
        <f t="shared" ref="AM52:AN52" si="162">AM21/AM$25</f>
        <v>2.1269043912113043E-2</v>
      </c>
      <c r="AN52" s="15">
        <f t="shared" si="162"/>
        <v>3.2381860514616993E-2</v>
      </c>
      <c r="AO52" s="15">
        <f t="shared" ref="AO52:AP52" si="163">AO21/AO$25</f>
        <v>4.4347829689484079E-2</v>
      </c>
      <c r="AP52" s="15">
        <f t="shared" si="163"/>
        <v>5.8670863641986357E-2</v>
      </c>
      <c r="AQ52" s="15"/>
      <c r="AR52" s="15">
        <f t="shared" ref="AR52" si="164">AR21/AR$25</f>
        <v>3.188519391527006E-2</v>
      </c>
      <c r="AS52" s="15">
        <f t="shared" ref="AS52" si="165">AS21/AS$25</f>
        <v>3.6926396853835926E-2</v>
      </c>
      <c r="AT52" s="15">
        <f t="shared" ref="AT52:BE52" si="166">AT21/AT$25</f>
        <v>4.748892031614492E-2</v>
      </c>
      <c r="AU52" s="15">
        <f t="shared" si="166"/>
        <v>2.0293327871953037E-2</v>
      </c>
      <c r="AV52" s="15">
        <f t="shared" si="166"/>
        <v>2.3002952655240803E-2</v>
      </c>
      <c r="AW52" s="15">
        <f t="shared" si="166"/>
        <v>2.9781197230843427E-2</v>
      </c>
      <c r="AX52" s="15">
        <f t="shared" si="166"/>
        <v>2.465427697451647E-2</v>
      </c>
      <c r="AY52" s="15" t="e">
        <f t="shared" si="166"/>
        <v>#DIV/0!</v>
      </c>
      <c r="AZ52" s="15" t="e">
        <f t="shared" si="166"/>
        <v>#DIV/0!</v>
      </c>
      <c r="BA52" s="15" t="e">
        <f t="shared" si="166"/>
        <v>#DIV/0!</v>
      </c>
      <c r="BB52" s="15" t="e">
        <f t="shared" si="166"/>
        <v>#DIV/0!</v>
      </c>
      <c r="BC52" s="15" t="e">
        <f t="shared" si="166"/>
        <v>#DIV/0!</v>
      </c>
      <c r="BD52" s="15" t="e">
        <f t="shared" si="166"/>
        <v>#DIV/0!</v>
      </c>
      <c r="BE52" s="15">
        <f t="shared" si="166"/>
        <v>2.8632035504578646E-2</v>
      </c>
      <c r="BF52" s="15">
        <f t="shared" si="138"/>
        <v>2.6537440706954886E-2</v>
      </c>
      <c r="BG52" s="150"/>
    </row>
    <row r="53" spans="2:59" s="1" customFormat="1" x14ac:dyDescent="0.35">
      <c r="B53" s="3">
        <f t="shared" si="139"/>
        <v>5</v>
      </c>
      <c r="C53" s="3" t="s">
        <v>97</v>
      </c>
      <c r="D53" s="3" t="s">
        <v>12</v>
      </c>
      <c r="E53" s="15">
        <f t="shared" ref="E53:AF53" si="167">E22/E$25</f>
        <v>1.3509493415941988E-2</v>
      </c>
      <c r="F53" s="15">
        <f t="shared" si="167"/>
        <v>1.077117812039422E-2</v>
      </c>
      <c r="G53" s="15">
        <f t="shared" si="167"/>
        <v>8.665501236852809E-3</v>
      </c>
      <c r="H53" s="15">
        <f t="shared" si="167"/>
        <v>8.8251558162587493E-3</v>
      </c>
      <c r="I53" s="15">
        <f t="shared" si="167"/>
        <v>9.8746138772229063E-3</v>
      </c>
      <c r="J53" s="15">
        <f t="shared" si="167"/>
        <v>9.2385729008845532E-3</v>
      </c>
      <c r="K53" s="15">
        <f t="shared" si="167"/>
        <v>8.3767735935625087E-3</v>
      </c>
      <c r="L53" s="15">
        <f t="shared" si="167"/>
        <v>8.8794139103326748E-3</v>
      </c>
      <c r="M53" s="15">
        <f t="shared" si="167"/>
        <v>8.5009475913343201E-3</v>
      </c>
      <c r="N53" s="15">
        <f t="shared" si="167"/>
        <v>8.7669473679787471E-3</v>
      </c>
      <c r="O53" s="15">
        <f t="shared" si="167"/>
        <v>1.2064017718195246E-2</v>
      </c>
      <c r="P53" s="15">
        <f t="shared" si="167"/>
        <v>7.0676608803657125E-3</v>
      </c>
      <c r="Q53" s="15">
        <f t="shared" si="167"/>
        <v>9.2294061584045749E-3</v>
      </c>
      <c r="R53" s="15">
        <f t="shared" si="167"/>
        <v>6.2237497403305831E-3</v>
      </c>
      <c r="S53" s="15">
        <f t="shared" si="167"/>
        <v>8.1505609938240572E-3</v>
      </c>
      <c r="T53" s="15">
        <f t="shared" si="167"/>
        <v>6.6408868270770747E-3</v>
      </c>
      <c r="U53" s="15">
        <f t="shared" si="167"/>
        <v>7.330113242658658E-3</v>
      </c>
      <c r="V53" s="15">
        <f t="shared" si="167"/>
        <v>7.8499006799417712E-3</v>
      </c>
      <c r="W53" s="15">
        <f t="shared" si="167"/>
        <v>7.9013694966053056E-3</v>
      </c>
      <c r="X53" s="15">
        <f t="shared" si="167"/>
        <v>1.0319613224444765E-2</v>
      </c>
      <c r="Y53" s="15">
        <f t="shared" si="167"/>
        <v>1.1156457354571039E-2</v>
      </c>
      <c r="Z53" s="15">
        <f t="shared" si="167"/>
        <v>1.1207917938562458E-2</v>
      </c>
      <c r="AA53" s="15">
        <f t="shared" si="167"/>
        <v>6.990819462788218E-3</v>
      </c>
      <c r="AB53" s="15">
        <f t="shared" si="167"/>
        <v>7.8969448342466452E-3</v>
      </c>
      <c r="AC53" s="14">
        <f t="shared" si="167"/>
        <v>9.9647653598206043E-3</v>
      </c>
      <c r="AD53" s="15">
        <f t="shared" si="167"/>
        <v>8.2279485477195387E-3</v>
      </c>
      <c r="AE53" s="15">
        <f t="shared" si="167"/>
        <v>8.2279485477195404E-3</v>
      </c>
      <c r="AF53" s="15">
        <f t="shared" si="167"/>
        <v>1.1966913055807122E-2</v>
      </c>
      <c r="AG53" s="15">
        <f t="shared" ref="AG53:AH53" si="168">AG22/AG$25</f>
        <v>1.0722449010320503E-2</v>
      </c>
      <c r="AH53" s="15">
        <f t="shared" si="168"/>
        <v>6.976337050154208E-3</v>
      </c>
      <c r="AI53" s="15">
        <f t="shared" ref="AI53:AJ53" si="169">AI22/AI$25</f>
        <v>8.8563785702649722E-3</v>
      </c>
      <c r="AJ53" s="15">
        <f t="shared" si="169"/>
        <v>7.670240014451447E-3</v>
      </c>
      <c r="AK53" s="15">
        <f t="shared" ref="AK53:AL53" si="170">AK22/AK$25</f>
        <v>6.8854646451693294E-3</v>
      </c>
      <c r="AL53" s="15">
        <f t="shared" si="170"/>
        <v>6.8667160407844185E-3</v>
      </c>
      <c r="AM53" s="15">
        <f t="shared" ref="AM53:AN53" si="171">AM22/AM$25</f>
        <v>6.4794472748153763E-3</v>
      </c>
      <c r="AN53" s="15">
        <f t="shared" si="171"/>
        <v>6.6183587649290979E-3</v>
      </c>
      <c r="AO53" s="15">
        <f t="shared" ref="AO53:AP53" si="172">AO22/AO$25</f>
        <v>8.8351846451553591E-3</v>
      </c>
      <c r="AP53" s="15">
        <f t="shared" si="172"/>
        <v>1.1637730332913996E-2</v>
      </c>
      <c r="AQ53" s="15"/>
      <c r="AR53" s="15">
        <f t="shared" ref="AR53" si="173">AR22/AR$25</f>
        <v>8.0509484927539614E-3</v>
      </c>
      <c r="AS53" s="15">
        <f t="shared" ref="AS53" si="174">AS22/AS$25</f>
        <v>6.3136494165338701E-3</v>
      </c>
      <c r="AT53" s="15">
        <f t="shared" ref="AT53:BE53" si="175">AT22/AT$25</f>
        <v>7.6845341076570012E-3</v>
      </c>
      <c r="AU53" s="15">
        <f t="shared" si="175"/>
        <v>4.9438454207107836E-3</v>
      </c>
      <c r="AV53" s="15">
        <f t="shared" si="175"/>
        <v>4.6695123576667641E-3</v>
      </c>
      <c r="AW53" s="15">
        <f t="shared" si="175"/>
        <v>5.416328656801252E-3</v>
      </c>
      <c r="AX53" s="15">
        <f t="shared" si="175"/>
        <v>5.2071388229906488E-3</v>
      </c>
      <c r="AY53" s="15" t="e">
        <f t="shared" si="175"/>
        <v>#DIV/0!</v>
      </c>
      <c r="AZ53" s="15" t="e">
        <f t="shared" si="175"/>
        <v>#DIV/0!</v>
      </c>
      <c r="BA53" s="15" t="e">
        <f t="shared" si="175"/>
        <v>#DIV/0!</v>
      </c>
      <c r="BB53" s="15" t="e">
        <f t="shared" si="175"/>
        <v>#DIV/0!</v>
      </c>
      <c r="BC53" s="15" t="e">
        <f t="shared" si="175"/>
        <v>#DIV/0!</v>
      </c>
      <c r="BD53" s="15" t="e">
        <f t="shared" si="175"/>
        <v>#DIV/0!</v>
      </c>
      <c r="BE53" s="15">
        <f t="shared" si="175"/>
        <v>5.5155622626998141E-3</v>
      </c>
      <c r="BF53" s="15">
        <f t="shared" si="138"/>
        <v>6.8816559034204899E-3</v>
      </c>
      <c r="BG53" s="150"/>
    </row>
    <row r="54" spans="2:59" s="1" customFormat="1" x14ac:dyDescent="0.35">
      <c r="B54" s="3">
        <f t="shared" si="139"/>
        <v>6</v>
      </c>
      <c r="C54" s="3" t="s">
        <v>97</v>
      </c>
      <c r="D54" s="3" t="s">
        <v>51</v>
      </c>
      <c r="E54" s="15">
        <f t="shared" ref="E54:AF54" si="176">E23/E$25</f>
        <v>7.1568943954708128E-3</v>
      </c>
      <c r="F54" s="15">
        <f t="shared" si="176"/>
        <v>4.2384967016097421E-3</v>
      </c>
      <c r="G54" s="15">
        <f t="shared" si="176"/>
        <v>5.0659069297889943E-3</v>
      </c>
      <c r="H54" s="15">
        <f t="shared" si="176"/>
        <v>4.0721777708232019E-3</v>
      </c>
      <c r="I54" s="15">
        <f t="shared" si="176"/>
        <v>6.8296990560384315E-3</v>
      </c>
      <c r="J54" s="15">
        <f t="shared" si="176"/>
        <v>7.3422443038440467E-3</v>
      </c>
      <c r="K54" s="15">
        <f t="shared" si="176"/>
        <v>9.1056451870487262E-3</v>
      </c>
      <c r="L54" s="15">
        <f t="shared" si="176"/>
        <v>7.3551657413066657E-3</v>
      </c>
      <c r="M54" s="15">
        <f t="shared" si="176"/>
        <v>6.3581518765015495E-3</v>
      </c>
      <c r="N54" s="15">
        <f t="shared" si="176"/>
        <v>8.125552996327846E-3</v>
      </c>
      <c r="O54" s="15">
        <f t="shared" si="176"/>
        <v>1.2229304676139325E-2</v>
      </c>
      <c r="P54" s="15">
        <f t="shared" si="176"/>
        <v>8.8095099675016154E-3</v>
      </c>
      <c r="Q54" s="15">
        <f t="shared" si="176"/>
        <v>7.3780028846434347E-3</v>
      </c>
      <c r="R54" s="15">
        <f t="shared" si="176"/>
        <v>4.6821991689177311E-3</v>
      </c>
      <c r="S54" s="15">
        <f t="shared" si="176"/>
        <v>7.6074553992942495E-3</v>
      </c>
      <c r="T54" s="15">
        <f t="shared" si="176"/>
        <v>5.5686353075608715E-3</v>
      </c>
      <c r="U54" s="15">
        <f t="shared" si="176"/>
        <v>5.331379753704942E-3</v>
      </c>
      <c r="V54" s="15">
        <f t="shared" si="176"/>
        <v>6.2293072865931345E-3</v>
      </c>
      <c r="W54" s="15">
        <f t="shared" si="176"/>
        <v>8.5070546528079934E-3</v>
      </c>
      <c r="X54" s="15">
        <f t="shared" si="176"/>
        <v>8.6511354405875221E-3</v>
      </c>
      <c r="Y54" s="15">
        <f t="shared" si="176"/>
        <v>1.0930768038343079E-2</v>
      </c>
      <c r="Z54" s="15">
        <f t="shared" si="176"/>
        <v>1.0319718476152465E-2</v>
      </c>
      <c r="AA54" s="15">
        <f t="shared" si="176"/>
        <v>8.4925279283082442E-3</v>
      </c>
      <c r="AB54" s="15">
        <f t="shared" si="176"/>
        <v>9.7658321533069716E-3</v>
      </c>
      <c r="AC54" s="14">
        <f t="shared" si="176"/>
        <v>1.3697202423223403E-2</v>
      </c>
      <c r="AD54" s="15">
        <f t="shared" si="176"/>
        <v>8.1291045484748886E-3</v>
      </c>
      <c r="AE54" s="15">
        <f t="shared" si="176"/>
        <v>8.1291045484748886E-3</v>
      </c>
      <c r="AF54" s="15">
        <f t="shared" si="176"/>
        <v>1.3493771351402289E-2</v>
      </c>
      <c r="AG54" s="15">
        <f t="shared" ref="AG54:AH54" si="177">AG23/AG$25</f>
        <v>1.2391842988750941E-2</v>
      </c>
      <c r="AH54" s="15">
        <f t="shared" si="177"/>
        <v>7.6040012097455178E-3</v>
      </c>
      <c r="AI54" s="15">
        <f t="shared" ref="AI54:AJ54" si="178">AI23/AI$25</f>
        <v>9.061116307823202E-3</v>
      </c>
      <c r="AJ54" s="15">
        <f t="shared" si="178"/>
        <v>7.5739354489450907E-3</v>
      </c>
      <c r="AK54" s="15">
        <f t="shared" ref="AK54:AL54" si="179">AK23/AK$25</f>
        <v>9.9855731663871707E-3</v>
      </c>
      <c r="AL54" s="15">
        <f t="shared" si="179"/>
        <v>9.4828983173977453E-3</v>
      </c>
      <c r="AM54" s="15">
        <f t="shared" ref="AM54:AN54" si="180">AM23/AM$25</f>
        <v>9.1456630943381849E-3</v>
      </c>
      <c r="AN54" s="15">
        <f t="shared" si="180"/>
        <v>7.9707356484978575E-3</v>
      </c>
      <c r="AO54" s="15">
        <f t="shared" ref="AO54:AP54" si="181">AO23/AO$25</f>
        <v>1.1797376528235634E-2</v>
      </c>
      <c r="AP54" s="15">
        <f t="shared" si="181"/>
        <v>1.3383553020701988E-2</v>
      </c>
      <c r="AQ54" s="15"/>
      <c r="AR54" s="15">
        <f t="shared" ref="AR54" si="182">AR23/AR$25</f>
        <v>9.7183401127781174E-3</v>
      </c>
      <c r="AS54" s="15">
        <f t="shared" ref="AS54" si="183">AS23/AS$25</f>
        <v>1.0017440636184087E-2</v>
      </c>
      <c r="AT54" s="15">
        <f t="shared" ref="AT54:BE54" si="184">AT23/AT$25</f>
        <v>1.0324662522051229E-2</v>
      </c>
      <c r="AU54" s="15">
        <f t="shared" si="184"/>
        <v>7.0449907548410752E-3</v>
      </c>
      <c r="AV54" s="15">
        <f t="shared" si="184"/>
        <v>8.2432167614074729E-3</v>
      </c>
      <c r="AW54" s="15">
        <f t="shared" si="184"/>
        <v>1.1198173563220141E-2</v>
      </c>
      <c r="AX54" s="15">
        <f t="shared" si="184"/>
        <v>8.9382835346757013E-3</v>
      </c>
      <c r="AY54" s="15" t="e">
        <f t="shared" si="184"/>
        <v>#DIV/0!</v>
      </c>
      <c r="AZ54" s="15" t="e">
        <f t="shared" si="184"/>
        <v>#DIV/0!</v>
      </c>
      <c r="BA54" s="15" t="e">
        <f t="shared" si="184"/>
        <v>#DIV/0!</v>
      </c>
      <c r="BB54" s="15" t="e">
        <f t="shared" si="184"/>
        <v>#DIV/0!</v>
      </c>
      <c r="BC54" s="15" t="e">
        <f t="shared" si="184"/>
        <v>#DIV/0!</v>
      </c>
      <c r="BD54" s="15" t="e">
        <f t="shared" si="184"/>
        <v>#DIV/0!</v>
      </c>
      <c r="BE54" s="15">
        <f t="shared" si="184"/>
        <v>9.1457224185279105E-3</v>
      </c>
      <c r="BF54" s="15">
        <f t="shared" si="138"/>
        <v>1.2242964871659549E-2</v>
      </c>
      <c r="BG54" s="150"/>
    </row>
    <row r="55" spans="2:59" s="1" customFormat="1" x14ac:dyDescent="0.35">
      <c r="B55" s="3">
        <f t="shared" si="139"/>
        <v>7</v>
      </c>
      <c r="C55" s="3" t="s">
        <v>97</v>
      </c>
      <c r="D55" s="3" t="s">
        <v>40</v>
      </c>
      <c r="E55" s="15">
        <f t="shared" ref="E55:AF55" si="185">E24/E$25</f>
        <v>1.286881960959512E-3</v>
      </c>
      <c r="F55" s="15">
        <f t="shared" si="185"/>
        <v>0</v>
      </c>
      <c r="G55" s="15">
        <f t="shared" si="185"/>
        <v>8.7008712414951496E-4</v>
      </c>
      <c r="H55" s="15">
        <f t="shared" si="185"/>
        <v>1.5565150857332029E-3</v>
      </c>
      <c r="I55" s="15">
        <f t="shared" si="185"/>
        <v>1.1740977354621725E-3</v>
      </c>
      <c r="J55" s="15">
        <f t="shared" si="185"/>
        <v>5.4252031783166453E-4</v>
      </c>
      <c r="K55" s="15">
        <f t="shared" si="185"/>
        <v>1.5223793185797632E-3</v>
      </c>
      <c r="L55" s="15">
        <f t="shared" si="185"/>
        <v>1.5034024549036966E-3</v>
      </c>
      <c r="M55" s="15">
        <f t="shared" si="185"/>
        <v>1.9808288271629206E-3</v>
      </c>
      <c r="N55" s="15">
        <f t="shared" si="185"/>
        <v>2.0808613787339117E-3</v>
      </c>
      <c r="O55" s="15">
        <f t="shared" si="185"/>
        <v>3.0868106476493844E-3</v>
      </c>
      <c r="P55" s="15">
        <f t="shared" si="185"/>
        <v>3.2884827120692357E-3</v>
      </c>
      <c r="Q55" s="15">
        <f t="shared" si="185"/>
        <v>1.7039339689627225E-3</v>
      </c>
      <c r="R55" s="15">
        <f t="shared" si="185"/>
        <v>4.0020182153100983E-3</v>
      </c>
      <c r="S55" s="15">
        <f t="shared" si="185"/>
        <v>6.6457783137240959E-3</v>
      </c>
      <c r="T55" s="15">
        <f t="shared" si="185"/>
        <v>4.6803171633353286E-3</v>
      </c>
      <c r="U55" s="15">
        <f t="shared" si="185"/>
        <v>7.5437697554178798E-3</v>
      </c>
      <c r="V55" s="15">
        <f t="shared" si="185"/>
        <v>7.9465922663984282E-3</v>
      </c>
      <c r="W55" s="15">
        <f t="shared" si="185"/>
        <v>1.1295632883524059E-2</v>
      </c>
      <c r="X55" s="15">
        <f t="shared" si="185"/>
        <v>1.7644016424736345E-2</v>
      </c>
      <c r="Y55" s="15">
        <f t="shared" si="185"/>
        <v>1.269512218135346E-2</v>
      </c>
      <c r="Z55" s="15">
        <f t="shared" si="185"/>
        <v>9.5193810054034645E-3</v>
      </c>
      <c r="AA55" s="15">
        <f t="shared" si="185"/>
        <v>7.0698733494185375E-3</v>
      </c>
      <c r="AB55" s="15">
        <f t="shared" si="185"/>
        <v>7.0159806164106428E-3</v>
      </c>
      <c r="AC55" s="14">
        <f t="shared" si="185"/>
        <v>9.5254999128394739E-3</v>
      </c>
      <c r="AD55" s="15">
        <f t="shared" si="185"/>
        <v>8.2572750115897306E-3</v>
      </c>
      <c r="AE55" s="15">
        <f t="shared" si="185"/>
        <v>8.2572750115897323E-3</v>
      </c>
      <c r="AF55" s="15">
        <f t="shared" si="185"/>
        <v>1.5754654858519596E-2</v>
      </c>
      <c r="AG55" s="15">
        <f t="shared" ref="AG55:AH55" si="186">AG24/AG$25</f>
        <v>9.9462498046775163E-3</v>
      </c>
      <c r="AH55" s="15">
        <f t="shared" si="186"/>
        <v>4.9649784520259463E-3</v>
      </c>
      <c r="AI55" s="15">
        <f t="shared" ref="AI55:AJ55" si="187">AI24/AI$25</f>
        <v>7.1671614966751116E-3</v>
      </c>
      <c r="AJ55" s="15">
        <f t="shared" si="187"/>
        <v>8.4112434154657509E-3</v>
      </c>
      <c r="AK55" s="15">
        <f t="shared" ref="AK55:AL55" si="188">AK24/AK$25</f>
        <v>1.1195084954359516E-2</v>
      </c>
      <c r="AL55" s="15">
        <f t="shared" si="188"/>
        <v>8.8094652844294685E-3</v>
      </c>
      <c r="AM55" s="15">
        <f t="shared" ref="AM55:AN55" si="189">AM24/AM$25</f>
        <v>9.1669579517673124E-3</v>
      </c>
      <c r="AN55" s="15">
        <f t="shared" si="189"/>
        <v>1.120403784780185E-2</v>
      </c>
      <c r="AO55" s="15">
        <f t="shared" ref="AO55:AP55" si="190">AO24/AO$25</f>
        <v>1.265052067786566E-2</v>
      </c>
      <c r="AP55" s="15">
        <f t="shared" si="190"/>
        <v>1.458343071530719E-2</v>
      </c>
      <c r="AQ55" s="15"/>
      <c r="AR55" s="15">
        <f t="shared" ref="AR55" si="191">AR24/AR$25</f>
        <v>9.952547090646616E-3</v>
      </c>
      <c r="AS55" s="15">
        <f t="shared" ref="AS55" si="192">AS24/AS$25</f>
        <v>1.3034648231249685E-2</v>
      </c>
      <c r="AT55" s="15">
        <f t="shared" ref="AT55:BE55" si="193">AT24/AT$25</f>
        <v>1.7061002099814968E-2</v>
      </c>
      <c r="AU55" s="15">
        <f t="shared" si="193"/>
        <v>7.8258377673849147E-3</v>
      </c>
      <c r="AV55" s="15">
        <f t="shared" si="193"/>
        <v>8.5957480025157344E-3</v>
      </c>
      <c r="AW55" s="15">
        <f t="shared" si="193"/>
        <v>7.4450397856105077E-3</v>
      </c>
      <c r="AX55" s="15">
        <f t="shared" si="193"/>
        <v>7.1235886294285546E-3</v>
      </c>
      <c r="AY55" s="15" t="e">
        <f t="shared" si="193"/>
        <v>#DIV/0!</v>
      </c>
      <c r="AZ55" s="15" t="e">
        <f t="shared" si="193"/>
        <v>#DIV/0!</v>
      </c>
      <c r="BA55" s="15" t="e">
        <f t="shared" si="193"/>
        <v>#DIV/0!</v>
      </c>
      <c r="BB55" s="15" t="e">
        <f t="shared" si="193"/>
        <v>#DIV/0!</v>
      </c>
      <c r="BC55" s="15" t="e">
        <f t="shared" si="193"/>
        <v>#DIV/0!</v>
      </c>
      <c r="BD55" s="15" t="e">
        <f t="shared" si="193"/>
        <v>#DIV/0!</v>
      </c>
      <c r="BE55" s="15">
        <f t="shared" si="193"/>
        <v>9.5222829217407046E-3</v>
      </c>
      <c r="BF55" s="15">
        <f t="shared" si="138"/>
        <v>2.5197706397289778E-2</v>
      </c>
      <c r="BG55" s="150"/>
    </row>
    <row r="56" spans="2:59" s="17" customFormat="1" ht="14" x14ac:dyDescent="0.3">
      <c r="B56" s="16"/>
      <c r="C56" s="16"/>
      <c r="D56" s="16"/>
      <c r="E56" s="18">
        <f t="shared" ref="E56:Z56" si="194">SUM(E37:E55)</f>
        <v>1.0000000000000002</v>
      </c>
      <c r="F56" s="18">
        <f t="shared" si="194"/>
        <v>1</v>
      </c>
      <c r="G56" s="18">
        <f t="shared" si="194"/>
        <v>0.99999999999999967</v>
      </c>
      <c r="H56" s="18">
        <f t="shared" si="194"/>
        <v>1</v>
      </c>
      <c r="I56" s="18">
        <f t="shared" si="194"/>
        <v>1</v>
      </c>
      <c r="J56" s="18">
        <f t="shared" si="194"/>
        <v>0.99999999999999989</v>
      </c>
      <c r="K56" s="18">
        <f t="shared" si="194"/>
        <v>0.99999999999999989</v>
      </c>
      <c r="L56" s="18">
        <f t="shared" si="194"/>
        <v>0.99999999999999989</v>
      </c>
      <c r="M56" s="18">
        <f t="shared" si="194"/>
        <v>0.99999999999999978</v>
      </c>
      <c r="N56" s="18">
        <f t="shared" si="194"/>
        <v>1.0000000000000002</v>
      </c>
      <c r="O56" s="18">
        <f t="shared" si="194"/>
        <v>1</v>
      </c>
      <c r="P56" s="18">
        <f t="shared" si="194"/>
        <v>1.0000000000000002</v>
      </c>
      <c r="Q56" s="18">
        <f t="shared" si="194"/>
        <v>1</v>
      </c>
      <c r="R56" s="18">
        <f t="shared" si="194"/>
        <v>1</v>
      </c>
      <c r="S56" s="18">
        <f t="shared" si="194"/>
        <v>1.0000000000000002</v>
      </c>
      <c r="T56" s="18">
        <f t="shared" si="194"/>
        <v>1.0000000000000002</v>
      </c>
      <c r="U56" s="18">
        <f t="shared" si="194"/>
        <v>1</v>
      </c>
      <c r="V56" s="18">
        <f t="shared" si="194"/>
        <v>0.99999999999999989</v>
      </c>
      <c r="W56" s="18">
        <f t="shared" si="194"/>
        <v>1.0000000000000002</v>
      </c>
      <c r="X56" s="18">
        <f t="shared" si="194"/>
        <v>1</v>
      </c>
      <c r="Y56" s="18">
        <f t="shared" si="194"/>
        <v>1</v>
      </c>
      <c r="Z56" s="18">
        <f t="shared" si="194"/>
        <v>1.0000000000000002</v>
      </c>
      <c r="AA56" s="18">
        <f t="shared" ref="AA56:AC56" si="195">SUM(AA37:AA55)</f>
        <v>1</v>
      </c>
      <c r="AB56" s="18">
        <f t="shared" si="195"/>
        <v>0.99999999999999989</v>
      </c>
      <c r="AC56" s="18">
        <f t="shared" si="195"/>
        <v>0.99999999999999989</v>
      </c>
      <c r="AD56" s="18">
        <f>SUM(AD37:AD55)</f>
        <v>1.0000000000000002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>
        <f>SUM(BF37:BF55)</f>
        <v>1</v>
      </c>
      <c r="BG56" s="151"/>
    </row>
    <row r="57" spans="2:59" s="17" customFormat="1" ht="14" x14ac:dyDescent="0.3"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51"/>
    </row>
    <row r="58" spans="2:59" s="17" customFormat="1" ht="14" x14ac:dyDescent="0.3"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51"/>
    </row>
    <row r="59" spans="2:59" s="12" customFormat="1" hidden="1" x14ac:dyDescent="0.35">
      <c r="D59" s="13" t="s">
        <v>101</v>
      </c>
    </row>
    <row r="60" spans="2:59" s="12" customFormat="1" hidden="1" x14ac:dyDescent="0.35">
      <c r="B60" s="67" t="s">
        <v>57</v>
      </c>
      <c r="C60" s="67" t="s">
        <v>58</v>
      </c>
      <c r="D60" s="67" t="s">
        <v>59</v>
      </c>
      <c r="E60" s="68" t="s">
        <v>60</v>
      </c>
      <c r="F60" s="68" t="s">
        <v>61</v>
      </c>
      <c r="G60" s="68" t="s">
        <v>62</v>
      </c>
      <c r="H60" s="68" t="s">
        <v>63</v>
      </c>
      <c r="I60" s="68" t="s">
        <v>64</v>
      </c>
      <c r="J60" s="68" t="s">
        <v>65</v>
      </c>
      <c r="K60" s="68" t="s">
        <v>66</v>
      </c>
      <c r="L60" s="68" t="s">
        <v>67</v>
      </c>
      <c r="M60" s="68" t="s">
        <v>68</v>
      </c>
      <c r="N60" s="68" t="s">
        <v>69</v>
      </c>
      <c r="O60" s="68" t="s">
        <v>70</v>
      </c>
      <c r="P60" s="68" t="s">
        <v>71</v>
      </c>
      <c r="Q60" s="68"/>
      <c r="R60" s="68" t="s">
        <v>72</v>
      </c>
      <c r="S60" s="68" t="s">
        <v>73</v>
      </c>
      <c r="T60" s="68" t="s">
        <v>74</v>
      </c>
      <c r="U60" s="68" t="s">
        <v>75</v>
      </c>
      <c r="V60" s="68"/>
      <c r="W60" s="68"/>
      <c r="X60" s="68"/>
      <c r="Y60" s="68"/>
      <c r="Z60" s="68"/>
      <c r="AA60" s="68"/>
      <c r="AB60" s="68"/>
      <c r="AC60" s="68"/>
      <c r="AD60" s="69" t="s">
        <v>46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152"/>
    </row>
    <row r="61" spans="2:59" s="12" customFormat="1" hidden="1" x14ac:dyDescent="0.35">
      <c r="B61" s="3">
        <v>1</v>
      </c>
      <c r="C61" s="3" t="s">
        <v>96</v>
      </c>
      <c r="D61" s="3" t="s">
        <v>47</v>
      </c>
      <c r="E61" s="15">
        <f t="shared" ref="E61:P61" si="196">E6/E$80</f>
        <v>0.76783821932904528</v>
      </c>
      <c r="F61" s="15">
        <f t="shared" si="196"/>
        <v>1.2764779875276311</v>
      </c>
      <c r="G61" s="15">
        <f t="shared" si="196"/>
        <v>0.62327591949431649</v>
      </c>
      <c r="H61" s="15">
        <f t="shared" si="196"/>
        <v>0.57963999536816313</v>
      </c>
      <c r="I61" s="15">
        <f t="shared" si="196"/>
        <v>0.71275516384912119</v>
      </c>
      <c r="J61" s="15">
        <f t="shared" si="196"/>
        <v>0.63623020239639139</v>
      </c>
      <c r="K61" s="15">
        <f t="shared" si="196"/>
        <v>0.73482145034279223</v>
      </c>
      <c r="L61" s="15">
        <f t="shared" si="196"/>
        <v>0.5328254183268436</v>
      </c>
      <c r="M61" s="15">
        <f t="shared" si="196"/>
        <v>0.63101863947040182</v>
      </c>
      <c r="N61" s="15">
        <f t="shared" si="196"/>
        <v>0.59326055415633816</v>
      </c>
      <c r="O61" s="15">
        <f t="shared" si="196"/>
        <v>0.4980693697440986</v>
      </c>
      <c r="P61" s="15">
        <f t="shared" si="196"/>
        <v>0.72087202585346544</v>
      </c>
      <c r="Q61" s="15"/>
      <c r="R61" s="15">
        <f>R6/R$80</f>
        <v>1.2194382496683762</v>
      </c>
      <c r="S61" s="15">
        <f>S6/S$80</f>
        <v>0.77995377207151628</v>
      </c>
      <c r="T61" s="15">
        <f>T6/T$80</f>
        <v>1.0012539883918541</v>
      </c>
      <c r="U61" s="15">
        <f>U6/U$80</f>
        <v>0.86989326418633661</v>
      </c>
      <c r="V61" s="15"/>
      <c r="W61" s="15"/>
      <c r="X61" s="15"/>
      <c r="Y61" s="15"/>
      <c r="Z61" s="15"/>
      <c r="AA61" s="15"/>
      <c r="AB61" s="15"/>
      <c r="AC61" s="15"/>
      <c r="AD61" s="15">
        <f>AD6/AD$80</f>
        <v>0.80239522672154839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0"/>
    </row>
    <row r="62" spans="2:59" s="12" customFormat="1" hidden="1" x14ac:dyDescent="0.35">
      <c r="B62" s="3">
        <f>+B61+1</f>
        <v>2</v>
      </c>
      <c r="C62" s="3" t="s">
        <v>97</v>
      </c>
      <c r="D62" s="3" t="s">
        <v>48</v>
      </c>
      <c r="E62" s="15">
        <f t="shared" ref="E62:P62" si="197">E19/E$80</f>
        <v>0.24516419724657521</v>
      </c>
      <c r="F62" s="15">
        <f t="shared" si="197"/>
        <v>0.26586260842961323</v>
      </c>
      <c r="G62" s="15">
        <f t="shared" si="197"/>
        <v>0.10820496986780848</v>
      </c>
      <c r="H62" s="15">
        <f t="shared" si="197"/>
        <v>0.12975264834486608</v>
      </c>
      <c r="I62" s="15">
        <f t="shared" si="197"/>
        <v>0.13295269407713031</v>
      </c>
      <c r="J62" s="15">
        <f t="shared" si="197"/>
        <v>0.14587771932679525</v>
      </c>
      <c r="K62" s="15">
        <f t="shared" si="197"/>
        <v>0.13747311645950996</v>
      </c>
      <c r="L62" s="15">
        <f t="shared" si="197"/>
        <v>0.10611691941677776</v>
      </c>
      <c r="M62" s="15">
        <f t="shared" si="197"/>
        <v>0.13772873569066213</v>
      </c>
      <c r="N62" s="15">
        <f t="shared" si="197"/>
        <v>0.11179090315437343</v>
      </c>
      <c r="O62" s="15">
        <f t="shared" si="197"/>
        <v>0.13181824730020125</v>
      </c>
      <c r="P62" s="15">
        <f t="shared" si="197"/>
        <v>8.5555270917187801E-2</v>
      </c>
      <c r="Q62" s="15"/>
      <c r="R62" s="15">
        <f>R19/R$80</f>
        <v>0.14550771716861308</v>
      </c>
      <c r="S62" s="15">
        <f>S19/S$80</f>
        <v>0.12514317540334671</v>
      </c>
      <c r="T62" s="15">
        <f>T19/T$80</f>
        <v>0.10335428545828168</v>
      </c>
      <c r="U62" s="15">
        <f>U19/U$80</f>
        <v>0.10592081643664084</v>
      </c>
      <c r="V62" s="15"/>
      <c r="W62" s="15"/>
      <c r="X62" s="15"/>
      <c r="Y62" s="15"/>
      <c r="Z62" s="15"/>
      <c r="AA62" s="15"/>
      <c r="AB62" s="15"/>
      <c r="AC62" s="15"/>
      <c r="AD62" s="15">
        <f>AD19/AD$80</f>
        <v>0.1238944389366301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0"/>
    </row>
    <row r="63" spans="2:59" s="12" customFormat="1" hidden="1" x14ac:dyDescent="0.35">
      <c r="B63" s="3">
        <f>+B62+1</f>
        <v>3</v>
      </c>
      <c r="C63" s="3" t="s">
        <v>96</v>
      </c>
      <c r="D63" s="3" t="s">
        <v>25</v>
      </c>
      <c r="E63" s="15">
        <f t="shared" ref="E63:P63" si="198">E7/E$80</f>
        <v>5.5110350670756467E-2</v>
      </c>
      <c r="F63" s="15">
        <f t="shared" si="198"/>
        <v>9.6274663115875111E-2</v>
      </c>
      <c r="G63" s="15">
        <f t="shared" si="198"/>
        <v>4.3486281512844331E-2</v>
      </c>
      <c r="H63" s="15">
        <f t="shared" si="198"/>
        <v>4.4000992709969412E-2</v>
      </c>
      <c r="I63" s="15">
        <f t="shared" si="198"/>
        <v>5.0271642718191879E-2</v>
      </c>
      <c r="J63" s="15">
        <f t="shared" si="198"/>
        <v>5.1168344314940488E-2</v>
      </c>
      <c r="K63" s="15">
        <f t="shared" si="198"/>
        <v>5.7499950026250808E-2</v>
      </c>
      <c r="L63" s="15">
        <f t="shared" si="198"/>
        <v>3.8052711566161183E-2</v>
      </c>
      <c r="M63" s="15">
        <f t="shared" si="198"/>
        <v>4.9929161806215837E-2</v>
      </c>
      <c r="N63" s="15">
        <f t="shared" si="198"/>
        <v>4.7021391955494922E-2</v>
      </c>
      <c r="O63" s="15">
        <f t="shared" si="198"/>
        <v>4.4716041520887317E-2</v>
      </c>
      <c r="P63" s="15">
        <f t="shared" si="198"/>
        <v>5.2465565399966801E-2</v>
      </c>
      <c r="Q63" s="15"/>
      <c r="R63" s="15">
        <f>R7/R$80</f>
        <v>8.1686173139793802E-2</v>
      </c>
      <c r="S63" s="15">
        <f>S7/S$80</f>
        <v>5.9201103728326848E-2</v>
      </c>
      <c r="T63" s="15">
        <f>T7/T$80</f>
        <v>5.5565315717567537E-2</v>
      </c>
      <c r="U63" s="15">
        <f>U7/U$80</f>
        <v>5.6864336311218115E-2</v>
      </c>
      <c r="V63" s="15"/>
      <c r="W63" s="15"/>
      <c r="X63" s="15"/>
      <c r="Y63" s="15"/>
      <c r="Z63" s="15"/>
      <c r="AA63" s="15"/>
      <c r="AB63" s="15"/>
      <c r="AC63" s="15"/>
      <c r="AD63" s="15">
        <f>AD7/AD$80</f>
        <v>5.8156965531129659E-2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0"/>
    </row>
    <row r="64" spans="2:59" s="12" customFormat="1" hidden="1" x14ac:dyDescent="0.35">
      <c r="B64" s="3">
        <f>+B63+1</f>
        <v>4</v>
      </c>
      <c r="C64" s="3" t="s">
        <v>96</v>
      </c>
      <c r="D64" s="3" t="s">
        <v>16</v>
      </c>
      <c r="E64" s="15">
        <f t="shared" ref="E64:P64" si="199">E20/E$80</f>
        <v>8.0036365665993911E-2</v>
      </c>
      <c r="F64" s="15">
        <f t="shared" si="199"/>
        <v>9.3700925942249644E-2</v>
      </c>
      <c r="G64" s="15">
        <f t="shared" si="199"/>
        <v>3.9778947404700719E-2</v>
      </c>
      <c r="H64" s="15">
        <f t="shared" si="199"/>
        <v>4.6113055503551194E-2</v>
      </c>
      <c r="I64" s="15">
        <f t="shared" si="199"/>
        <v>4.4249236643450186E-2</v>
      </c>
      <c r="J64" s="15">
        <f t="shared" si="199"/>
        <v>4.8090619941090609E-2</v>
      </c>
      <c r="K64" s="15">
        <f t="shared" si="199"/>
        <v>4.7789971595511752E-2</v>
      </c>
      <c r="L64" s="15">
        <f t="shared" si="199"/>
        <v>3.5095715628578127E-2</v>
      </c>
      <c r="M64" s="15">
        <f t="shared" si="199"/>
        <v>4.8795793912990659E-2</v>
      </c>
      <c r="N64" s="15">
        <f t="shared" si="199"/>
        <v>4.0630118311400398E-2</v>
      </c>
      <c r="O64" s="15">
        <f t="shared" si="199"/>
        <v>4.5912895572324947E-2</v>
      </c>
      <c r="P64" s="15">
        <f t="shared" si="199"/>
        <v>3.0487077626200093E-2</v>
      </c>
      <c r="Q64" s="15"/>
      <c r="R64" s="15">
        <f>R20/R$80</f>
        <v>4.4380977866470946E-2</v>
      </c>
      <c r="S64" s="15">
        <f>S20/S$80</f>
        <v>4.2840331009239299E-2</v>
      </c>
      <c r="T64" s="15">
        <f>T20/T$80</f>
        <v>3.2558842119422393E-2</v>
      </c>
      <c r="U64" s="15">
        <f>U20/U$80</f>
        <v>3.2629541465307624E-2</v>
      </c>
      <c r="V64" s="15"/>
      <c r="W64" s="15"/>
      <c r="X64" s="15"/>
      <c r="Y64" s="15"/>
      <c r="Z64" s="15"/>
      <c r="AA64" s="15"/>
      <c r="AB64" s="15"/>
      <c r="AC64" s="15"/>
      <c r="AD64" s="15">
        <f>AD20/AD$80</f>
        <v>3.8511665780620402E-2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0"/>
    </row>
    <row r="65" spans="2:59" s="12" customFormat="1" hidden="1" x14ac:dyDescent="0.35">
      <c r="B65" s="3">
        <f>+B64+1</f>
        <v>5</v>
      </c>
      <c r="C65" s="3" t="s">
        <v>96</v>
      </c>
      <c r="D65" s="3" t="s">
        <v>54</v>
      </c>
      <c r="E65" s="15">
        <f t="shared" ref="E65:P65" si="200">E9/E$80</f>
        <v>2.7019546111459224E-3</v>
      </c>
      <c r="F65" s="15">
        <f t="shared" si="200"/>
        <v>6.3611041901967457E-3</v>
      </c>
      <c r="G65" s="15">
        <f t="shared" si="200"/>
        <v>8.6567569714465133E-3</v>
      </c>
      <c r="H65" s="15">
        <f t="shared" si="200"/>
        <v>1.2327787348573866E-2</v>
      </c>
      <c r="I65" s="15">
        <f t="shared" si="200"/>
        <v>1.7784405212036E-2</v>
      </c>
      <c r="J65" s="15">
        <f t="shared" si="200"/>
        <v>8.8037441255631455E-3</v>
      </c>
      <c r="K65" s="15">
        <f t="shared" si="200"/>
        <v>1.9342565421106985E-2</v>
      </c>
      <c r="L65" s="15">
        <f t="shared" si="200"/>
        <v>1.5068878558281439E-2</v>
      </c>
      <c r="M65" s="15">
        <f t="shared" si="200"/>
        <v>1.9737525206395483E-2</v>
      </c>
      <c r="N65" s="15">
        <f t="shared" si="200"/>
        <v>2.5069455146434643E-2</v>
      </c>
      <c r="O65" s="15">
        <f t="shared" si="200"/>
        <v>2.469812666185776E-2</v>
      </c>
      <c r="P65" s="15">
        <f t="shared" si="200"/>
        <v>2.0522366764362063E-2</v>
      </c>
      <c r="Q65" s="15"/>
      <c r="R65" s="15">
        <f>R9/R$80</f>
        <v>2.5600347017339493E-2</v>
      </c>
      <c r="S65" s="15">
        <f>S9/S$80</f>
        <v>2.1645129598938311E-2</v>
      </c>
      <c r="T65" s="15">
        <f>T9/T$80</f>
        <v>1.919229445289649E-2</v>
      </c>
      <c r="U65" s="15">
        <f>U9/U$80</f>
        <v>1.0727897613501821E-2</v>
      </c>
      <c r="V65" s="15"/>
      <c r="W65" s="15"/>
      <c r="X65" s="15"/>
      <c r="Y65" s="15"/>
      <c r="Z65" s="15"/>
      <c r="AA65" s="15"/>
      <c r="AB65" s="15"/>
      <c r="AC65" s="15"/>
      <c r="AD65" s="15">
        <f>AD9/AD$80</f>
        <v>1.396801804028938E-2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0"/>
    </row>
    <row r="66" spans="2:59" s="12" customFormat="1" hidden="1" x14ac:dyDescent="0.35">
      <c r="B66" s="3">
        <f t="shared" ref="B66:B77" si="201">+B65+1</f>
        <v>6</v>
      </c>
      <c r="C66" s="3" t="s">
        <v>97</v>
      </c>
      <c r="D66" s="3" t="s">
        <v>36</v>
      </c>
      <c r="E66" s="15">
        <f t="shared" ref="E66:P66" si="202">E21/E$80</f>
        <v>2.5239313349199578E-2</v>
      </c>
      <c r="F66" s="15">
        <f t="shared" si="202"/>
        <v>3.7069083960966712E-2</v>
      </c>
      <c r="G66" s="15">
        <f t="shared" si="202"/>
        <v>1.6320787934642512E-2</v>
      </c>
      <c r="H66" s="15">
        <f t="shared" si="202"/>
        <v>1.3897858705365158E-2</v>
      </c>
      <c r="I66" s="15">
        <f t="shared" si="202"/>
        <v>1.1880664472767003E-2</v>
      </c>
      <c r="J66" s="15">
        <f t="shared" si="202"/>
        <v>1.4801969413563437E-2</v>
      </c>
      <c r="K66" s="15">
        <f t="shared" si="202"/>
        <v>1.4723432903976095E-2</v>
      </c>
      <c r="L66" s="15">
        <f t="shared" si="202"/>
        <v>8.382137715100102E-3</v>
      </c>
      <c r="M66" s="15">
        <f t="shared" si="202"/>
        <v>1.0127008936175306E-2</v>
      </c>
      <c r="N66" s="15">
        <f t="shared" si="202"/>
        <v>8.8521617147017135E-3</v>
      </c>
      <c r="O66" s="15">
        <f t="shared" si="202"/>
        <v>1.0162822326629753E-2</v>
      </c>
      <c r="P66" s="15">
        <f t="shared" si="202"/>
        <v>1.0953207518146681E-2</v>
      </c>
      <c r="Q66" s="15"/>
      <c r="R66" s="15">
        <f>R21/R$80</f>
        <v>2.4546406871365712E-2</v>
      </c>
      <c r="S66" s="15">
        <f>S21/S$80</f>
        <v>1.9667498481135356E-2</v>
      </c>
      <c r="T66" s="15">
        <f>T21/T$80</f>
        <v>1.249962861963772E-2</v>
      </c>
      <c r="U66" s="15">
        <f>U21/U$80</f>
        <v>1.3718301958703626E-2</v>
      </c>
      <c r="V66" s="15"/>
      <c r="W66" s="15"/>
      <c r="X66" s="15"/>
      <c r="Y66" s="15"/>
      <c r="Z66" s="15"/>
      <c r="AA66" s="15"/>
      <c r="AB66" s="15"/>
      <c r="AC66" s="15"/>
      <c r="AD66" s="15">
        <f>AD21/AD$80</f>
        <v>3.5251994357595344E-2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0"/>
    </row>
    <row r="67" spans="2:59" s="12" customFormat="1" hidden="1" x14ac:dyDescent="0.35">
      <c r="B67" s="3">
        <f t="shared" si="201"/>
        <v>7</v>
      </c>
      <c r="C67" s="3" t="s">
        <v>96</v>
      </c>
      <c r="D67" s="3" t="s">
        <v>49</v>
      </c>
      <c r="E67" s="15">
        <f t="shared" ref="E67:P67" si="203">E10/E$80</f>
        <v>2.0259385583803607E-2</v>
      </c>
      <c r="F67" s="15">
        <f t="shared" si="203"/>
        <v>2.9199663430208078E-2</v>
      </c>
      <c r="G67" s="15">
        <f t="shared" si="203"/>
        <v>9.4590243280751746E-3</v>
      </c>
      <c r="H67" s="15">
        <f t="shared" si="203"/>
        <v>1.0323754951875664E-2</v>
      </c>
      <c r="I67" s="15">
        <f t="shared" si="203"/>
        <v>1.4412116210038555E-2</v>
      </c>
      <c r="J67" s="15">
        <f t="shared" si="203"/>
        <v>1.682510372545741E-2</v>
      </c>
      <c r="K67" s="15">
        <f t="shared" si="203"/>
        <v>1.39718297722101E-2</v>
      </c>
      <c r="L67" s="15">
        <f t="shared" si="203"/>
        <v>8.2454780661690968E-3</v>
      </c>
      <c r="M67" s="15">
        <f t="shared" si="203"/>
        <v>5.9969064799408464E-3</v>
      </c>
      <c r="N67" s="15">
        <f t="shared" si="203"/>
        <v>8.8794947830002306E-3</v>
      </c>
      <c r="O67" s="15">
        <f t="shared" si="203"/>
        <v>5.4672469900547789E-3</v>
      </c>
      <c r="P67" s="15">
        <f t="shared" si="203"/>
        <v>6.6267297757000654E-3</v>
      </c>
      <c r="Q67" s="15"/>
      <c r="R67" s="15">
        <f>R10/R$80</f>
        <v>1.5535057054349554E-2</v>
      </c>
      <c r="S67" s="15">
        <f>S10/S$80</f>
        <v>7.269237276288025E-3</v>
      </c>
      <c r="T67" s="15">
        <f>T10/T$80</f>
        <v>9.2697975302084672E-3</v>
      </c>
      <c r="U67" s="15">
        <f>U10/U$80</f>
        <v>1.3702194238820466E-2</v>
      </c>
      <c r="V67" s="15"/>
      <c r="W67" s="15"/>
      <c r="X67" s="15"/>
      <c r="Y67" s="15"/>
      <c r="Z67" s="15"/>
      <c r="AA67" s="15"/>
      <c r="AB67" s="15"/>
      <c r="AC67" s="15"/>
      <c r="AD67" s="15">
        <f>AD10/AD$80</f>
        <v>8.8469649186474139E-3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0"/>
    </row>
    <row r="68" spans="2:59" s="12" customFormat="1" hidden="1" x14ac:dyDescent="0.35">
      <c r="B68" s="3">
        <f t="shared" si="201"/>
        <v>8</v>
      </c>
      <c r="C68" s="3" t="s">
        <v>97</v>
      </c>
      <c r="D68" s="3" t="s">
        <v>12</v>
      </c>
      <c r="E68" s="15">
        <f t="shared" ref="E68:P68" si="204">E22/E$80</f>
        <v>1.86220049029364E-2</v>
      </c>
      <c r="F68" s="15">
        <f t="shared" si="204"/>
        <v>2.1651016584100798E-2</v>
      </c>
      <c r="G68" s="15">
        <f t="shared" si="204"/>
        <v>8.1949417206392434E-3</v>
      </c>
      <c r="H68" s="15">
        <f t="shared" si="204"/>
        <v>7.9571320983834008E-3</v>
      </c>
      <c r="I68" s="15">
        <f t="shared" si="204"/>
        <v>1.0435616513337003E-2</v>
      </c>
      <c r="J68" s="15">
        <f t="shared" si="204"/>
        <v>9.2683682822769873E-3</v>
      </c>
      <c r="K68" s="15">
        <f t="shared" si="204"/>
        <v>9.2231003048092002E-3</v>
      </c>
      <c r="L68" s="15">
        <f t="shared" si="204"/>
        <v>7.080394230706096E-3</v>
      </c>
      <c r="M68" s="15">
        <f t="shared" si="204"/>
        <v>8.0404045757363485E-3</v>
      </c>
      <c r="N68" s="15">
        <f t="shared" si="204"/>
        <v>7.7171517388059342E-3</v>
      </c>
      <c r="O68" s="15">
        <f t="shared" si="204"/>
        <v>9.7920134521373315E-3</v>
      </c>
      <c r="P68" s="15">
        <f t="shared" si="204"/>
        <v>6.8408965998274507E-3</v>
      </c>
      <c r="Q68" s="15"/>
      <c r="R68" s="15">
        <f t="shared" ref="R68:U69" si="205">R22/R$80</f>
        <v>1.0598939792816313E-2</v>
      </c>
      <c r="S68" s="15">
        <f t="shared" si="205"/>
        <v>9.8649906820852326E-3</v>
      </c>
      <c r="T68" s="15">
        <f t="shared" si="205"/>
        <v>9.0472815335927263E-3</v>
      </c>
      <c r="U68" s="15">
        <f t="shared" si="205"/>
        <v>9.0272298764425517E-3</v>
      </c>
      <c r="V68" s="15"/>
      <c r="W68" s="15"/>
      <c r="X68" s="15"/>
      <c r="Y68" s="15"/>
      <c r="Z68" s="15"/>
      <c r="AA68" s="15"/>
      <c r="AB68" s="15"/>
      <c r="AC68" s="15"/>
      <c r="AD68" s="15">
        <f>AD22/AD$80</f>
        <v>1.0082322212495592E-2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0"/>
    </row>
    <row r="69" spans="2:59" hidden="1" x14ac:dyDescent="0.35">
      <c r="B69" s="3">
        <f t="shared" si="201"/>
        <v>9</v>
      </c>
      <c r="C69" s="3" t="s">
        <v>97</v>
      </c>
      <c r="D69" s="3" t="s">
        <v>51</v>
      </c>
      <c r="E69" s="15">
        <f t="shared" ref="E69:P69" si="206">E23/E$80</f>
        <v>9.8653382787086911E-3</v>
      </c>
      <c r="F69" s="15">
        <f t="shared" si="206"/>
        <v>8.5197516327815016E-3</v>
      </c>
      <c r="G69" s="15">
        <f t="shared" si="206"/>
        <v>4.7908148550309245E-3</v>
      </c>
      <c r="H69" s="15">
        <f t="shared" si="206"/>
        <v>3.6716469516429699E-3</v>
      </c>
      <c r="I69" s="15">
        <f t="shared" si="206"/>
        <v>7.2177121188217088E-3</v>
      </c>
      <c r="J69" s="15">
        <f t="shared" si="206"/>
        <v>7.3659238235768516E-3</v>
      </c>
      <c r="K69" s="15">
        <f t="shared" si="206"/>
        <v>1.0025611646552478E-2</v>
      </c>
      <c r="L69" s="15">
        <f t="shared" si="206"/>
        <v>5.8649673961064077E-3</v>
      </c>
      <c r="M69" s="15">
        <f t="shared" si="206"/>
        <v>6.0136958723475088E-3</v>
      </c>
      <c r="N69" s="15">
        <f t="shared" si="206"/>
        <v>7.1525609545011271E-3</v>
      </c>
      <c r="O69" s="15">
        <f t="shared" si="206"/>
        <v>9.9261720843159158E-3</v>
      </c>
      <c r="P69" s="15">
        <f t="shared" si="206"/>
        <v>8.5268588579634069E-3</v>
      </c>
      <c r="Q69" s="15"/>
      <c r="R69" s="15">
        <f t="shared" si="205"/>
        <v>7.9737054283769496E-3</v>
      </c>
      <c r="S69" s="15">
        <f t="shared" si="205"/>
        <v>9.2076455455376207E-3</v>
      </c>
      <c r="T69" s="15">
        <f t="shared" si="205"/>
        <v>7.5864884762059208E-3</v>
      </c>
      <c r="U69" s="15">
        <f t="shared" si="205"/>
        <v>6.5657362993003553E-3</v>
      </c>
      <c r="V69" s="15"/>
      <c r="W69" s="15"/>
      <c r="X69" s="15"/>
      <c r="Y69" s="15"/>
      <c r="Z69" s="15"/>
      <c r="AA69" s="15"/>
      <c r="AB69" s="15"/>
      <c r="AC69" s="15"/>
      <c r="AD69" s="15">
        <f>AD23/AD$80</f>
        <v>9.9612012497943287E-3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0"/>
    </row>
    <row r="70" spans="2:59" hidden="1" x14ac:dyDescent="0.35">
      <c r="B70" s="3">
        <f t="shared" si="201"/>
        <v>10</v>
      </c>
      <c r="C70" s="3" t="s">
        <v>96</v>
      </c>
      <c r="D70" s="3" t="s">
        <v>56</v>
      </c>
      <c r="E70" s="15">
        <f t="shared" ref="E70:P70" si="207">E11/E$80</f>
        <v>6.085626518843223E-3</v>
      </c>
      <c r="F70" s="15">
        <f t="shared" si="207"/>
        <v>1.2827054945492097E-2</v>
      </c>
      <c r="G70" s="15">
        <f t="shared" si="207"/>
        <v>5.1634308149180724E-3</v>
      </c>
      <c r="H70" s="15">
        <f t="shared" si="207"/>
        <v>5.1208650673224866E-3</v>
      </c>
      <c r="I70" s="15">
        <f t="shared" si="207"/>
        <v>6.774060655048663E-3</v>
      </c>
      <c r="J70" s="15">
        <f t="shared" si="207"/>
        <v>7.1263923559837881E-3</v>
      </c>
      <c r="K70" s="15">
        <f t="shared" si="207"/>
        <v>7.1006326098964033E-3</v>
      </c>
      <c r="L70" s="15">
        <f t="shared" si="207"/>
        <v>5.0000211764541207E-3</v>
      </c>
      <c r="M70" s="15">
        <f t="shared" si="207"/>
        <v>6.5242986765317E-3</v>
      </c>
      <c r="N70" s="15">
        <f t="shared" si="207"/>
        <v>5.9087512057513268E-3</v>
      </c>
      <c r="O70" s="15">
        <f t="shared" si="207"/>
        <v>5.0984619445708966E-3</v>
      </c>
      <c r="P70" s="15">
        <f t="shared" si="207"/>
        <v>6.8802669968587938E-3</v>
      </c>
      <c r="Q70" s="15"/>
      <c r="R70" s="15">
        <f>R11/R$80</f>
        <v>1.352870789612301E-2</v>
      </c>
      <c r="S70" s="15">
        <f>S11/S$80</f>
        <v>6.0954336895543051E-3</v>
      </c>
      <c r="T70" s="15">
        <f>T11/T$80</f>
        <v>8.2633072136372738E-3</v>
      </c>
      <c r="U70" s="15">
        <f>U11/U$80</f>
        <v>6.9354434319658393E-3</v>
      </c>
      <c r="V70" s="15"/>
      <c r="W70" s="15"/>
      <c r="X70" s="15"/>
      <c r="Y70" s="15"/>
      <c r="Z70" s="15"/>
      <c r="AA70" s="15"/>
      <c r="AB70" s="15"/>
      <c r="AC70" s="15"/>
      <c r="AD70" s="15">
        <f>AD11/AD$80</f>
        <v>7.4432555944920903E-3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0"/>
    </row>
    <row r="71" spans="2:59" hidden="1" x14ac:dyDescent="0.35">
      <c r="B71" s="3">
        <f t="shared" si="201"/>
        <v>11</v>
      </c>
      <c r="C71" s="3" t="s">
        <v>96</v>
      </c>
      <c r="D71" s="3" t="s">
        <v>28</v>
      </c>
      <c r="E71" s="15">
        <f t="shared" ref="E71:P71" si="208">E8/E$80</f>
        <v>0</v>
      </c>
      <c r="F71" s="15">
        <f t="shared" si="208"/>
        <v>0</v>
      </c>
      <c r="G71" s="15">
        <f t="shared" si="208"/>
        <v>8.5371344593918232E-3</v>
      </c>
      <c r="H71" s="15">
        <f t="shared" si="208"/>
        <v>7.0784146536934881E-3</v>
      </c>
      <c r="I71" s="15">
        <f t="shared" si="208"/>
        <v>6.7376442640489304E-3</v>
      </c>
      <c r="J71" s="15">
        <f t="shared" si="208"/>
        <v>1.2462811410507148E-2</v>
      </c>
      <c r="K71" s="15">
        <f t="shared" si="208"/>
        <v>8.4700254305215706E-3</v>
      </c>
      <c r="L71" s="15">
        <f t="shared" si="208"/>
        <v>9.1057569186620019E-3</v>
      </c>
      <c r="M71" s="15">
        <f t="shared" si="208"/>
        <v>6.3824129055641988E-3</v>
      </c>
      <c r="N71" s="15">
        <f t="shared" si="208"/>
        <v>1.0516989365733944E-2</v>
      </c>
      <c r="O71" s="15">
        <f t="shared" si="208"/>
        <v>9.9571723977385368E-3</v>
      </c>
      <c r="P71" s="15">
        <f t="shared" si="208"/>
        <v>5.3603460726562926E-3</v>
      </c>
      <c r="Q71" s="15"/>
      <c r="R71" s="15">
        <f>R8/R$80</f>
        <v>7.7897436192712229E-3</v>
      </c>
      <c r="S71" s="15">
        <f>S8/S$80</f>
        <v>5.2752143218630938E-3</v>
      </c>
      <c r="T71" s="15">
        <f>T8/T$80</f>
        <v>6.3915538355706278E-3</v>
      </c>
      <c r="U71" s="15">
        <f>U8/U$80</f>
        <v>1.08059202391536E-2</v>
      </c>
      <c r="V71" s="15"/>
      <c r="W71" s="15"/>
      <c r="X71" s="15"/>
      <c r="Y71" s="15"/>
      <c r="Z71" s="15"/>
      <c r="AA71" s="15"/>
      <c r="AB71" s="15"/>
      <c r="AC71" s="15"/>
      <c r="AD71" s="15">
        <f>AD8/AD$80</f>
        <v>1.1927942785559763E-2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0"/>
    </row>
    <row r="72" spans="2:59" hidden="1" x14ac:dyDescent="0.35">
      <c r="B72" s="3">
        <f t="shared" si="201"/>
        <v>12</v>
      </c>
      <c r="C72" s="3" t="s">
        <v>96</v>
      </c>
      <c r="D72" s="3" t="s">
        <v>50</v>
      </c>
      <c r="E72" s="15">
        <f t="shared" ref="E72:P72" si="209">E12/E$80</f>
        <v>7.3078566405457316E-3</v>
      </c>
      <c r="F72" s="15">
        <f t="shared" si="209"/>
        <v>1.1119165301892031E-2</v>
      </c>
      <c r="G72" s="15">
        <f t="shared" si="209"/>
        <v>5.0951020547347807E-3</v>
      </c>
      <c r="H72" s="15">
        <f t="shared" si="209"/>
        <v>5.5109385386817381E-3</v>
      </c>
      <c r="I72" s="15">
        <f t="shared" si="209"/>
        <v>3.4257370747644814E-3</v>
      </c>
      <c r="J72" s="15">
        <f t="shared" si="209"/>
        <v>7.2399999833029239E-3</v>
      </c>
      <c r="K72" s="15">
        <f t="shared" si="209"/>
        <v>5.8743325189844929E-3</v>
      </c>
      <c r="L72" s="15">
        <f t="shared" si="209"/>
        <v>4.6959460121092401E-3</v>
      </c>
      <c r="M72" s="15">
        <f t="shared" si="209"/>
        <v>6.05431859796256E-3</v>
      </c>
      <c r="N72" s="15">
        <f t="shared" si="209"/>
        <v>5.470937251914481E-3</v>
      </c>
      <c r="O72" s="15">
        <f t="shared" si="209"/>
        <v>7.1016261176765367E-3</v>
      </c>
      <c r="P72" s="15">
        <f t="shared" si="209"/>
        <v>3.9563290691287641E-3</v>
      </c>
      <c r="Q72" s="15"/>
      <c r="R72" s="15">
        <f>R12/R$80</f>
        <v>5.6889513611633521E-3</v>
      </c>
      <c r="S72" s="15">
        <f>S12/S$80</f>
        <v>3.8467950589843201E-3</v>
      </c>
      <c r="T72" s="15">
        <f>T12/T$80</f>
        <v>4.4800767951572364E-3</v>
      </c>
      <c r="U72" s="15">
        <f>U12/U$80</f>
        <v>4.0070523317387672E-3</v>
      </c>
      <c r="V72" s="15"/>
      <c r="W72" s="15"/>
      <c r="X72" s="15"/>
      <c r="Y72" s="15"/>
      <c r="Z72" s="15"/>
      <c r="AA72" s="15"/>
      <c r="AB72" s="15"/>
      <c r="AC72" s="15"/>
      <c r="AD72" s="15">
        <f>AD12/AD$80</f>
        <v>3.8916777829554349E-3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0"/>
    </row>
    <row r="73" spans="2:59" hidden="1" x14ac:dyDescent="0.35">
      <c r="B73" s="3">
        <f t="shared" si="201"/>
        <v>13</v>
      </c>
      <c r="C73" s="3" t="s">
        <v>97</v>
      </c>
      <c r="D73" s="3" t="s">
        <v>42</v>
      </c>
      <c r="E73" s="15">
        <f t="shared" ref="E73:P73" si="210">E24/E$80</f>
        <v>1.7738875506767076E-3</v>
      </c>
      <c r="F73" s="15">
        <f t="shared" si="210"/>
        <v>0</v>
      </c>
      <c r="G73" s="15">
        <f t="shared" si="210"/>
        <v>8.228391040970538E-4</v>
      </c>
      <c r="H73" s="15">
        <f t="shared" si="210"/>
        <v>1.4034195438779465E-3</v>
      </c>
      <c r="I73" s="15">
        <f t="shared" si="210"/>
        <v>1.2408012980358121E-3</v>
      </c>
      <c r="J73" s="15">
        <f t="shared" si="210"/>
        <v>5.4427000362798389E-4</v>
      </c>
      <c r="K73" s="15">
        <f t="shared" si="210"/>
        <v>1.6761891676311618E-3</v>
      </c>
      <c r="L73" s="15">
        <f t="shared" si="210"/>
        <v>1.198804580530102E-3</v>
      </c>
      <c r="M73" s="15">
        <f t="shared" si="210"/>
        <v>1.8735164514961252E-3</v>
      </c>
      <c r="N73" s="15">
        <f t="shared" si="210"/>
        <v>1.8316892223812708E-3</v>
      </c>
      <c r="O73" s="15">
        <f t="shared" si="210"/>
        <v>2.5054747176304118E-3</v>
      </c>
      <c r="P73" s="15">
        <f t="shared" si="210"/>
        <v>3.1829724974611028E-3</v>
      </c>
      <c r="Q73" s="15"/>
      <c r="R73" s="15">
        <f>R24/R$80</f>
        <v>6.8153688505432856E-3</v>
      </c>
      <c r="S73" s="15">
        <f>S24/S$80</f>
        <v>8.0436845009527122E-3</v>
      </c>
      <c r="T73" s="15">
        <f>T24/T$80</f>
        <v>6.3762789738487681E-3</v>
      </c>
      <c r="U73" s="15">
        <f>U24/U$80</f>
        <v>9.2903535679091549E-3</v>
      </c>
      <c r="V73" s="15"/>
      <c r="W73" s="15"/>
      <c r="X73" s="15"/>
      <c r="Y73" s="15"/>
      <c r="Z73" s="15"/>
      <c r="AA73" s="15"/>
      <c r="AB73" s="15"/>
      <c r="AC73" s="15"/>
      <c r="AD73" s="15">
        <f>AD24/AD$80</f>
        <v>1.0118258127308079E-2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0"/>
    </row>
    <row r="74" spans="2:59" hidden="1" x14ac:dyDescent="0.35">
      <c r="B74" s="3">
        <f t="shared" si="201"/>
        <v>14</v>
      </c>
      <c r="C74" s="3" t="s">
        <v>96</v>
      </c>
      <c r="D74" s="3" t="s">
        <v>53</v>
      </c>
      <c r="E74" s="15">
        <f t="shared" ref="E74:P74" si="211">E13/E$80</f>
        <v>7.5494113347382248E-3</v>
      </c>
      <c r="F74" s="15">
        <f t="shared" si="211"/>
        <v>8.5186378125974328E-3</v>
      </c>
      <c r="G74" s="15">
        <f t="shared" si="211"/>
        <v>7.775904068612738E-3</v>
      </c>
      <c r="H74" s="15">
        <f t="shared" si="211"/>
        <v>7.0346219565093427E-3</v>
      </c>
      <c r="I74" s="15">
        <f t="shared" si="211"/>
        <v>5.0402469411841636E-3</v>
      </c>
      <c r="J74" s="15">
        <f t="shared" si="211"/>
        <v>5.1881784229516528E-3</v>
      </c>
      <c r="K74" s="15">
        <f t="shared" si="211"/>
        <v>3.7590850793177612E-3</v>
      </c>
      <c r="L74" s="15">
        <f t="shared" si="211"/>
        <v>1.847112293816431E-3</v>
      </c>
      <c r="M74" s="15">
        <f t="shared" si="211"/>
        <v>3.5951185979687245E-3</v>
      </c>
      <c r="N74" s="15">
        <f t="shared" si="211"/>
        <v>2.5237064137357606E-3</v>
      </c>
      <c r="O74" s="15">
        <f t="shared" si="211"/>
        <v>2.2155140006078844E-3</v>
      </c>
      <c r="P74" s="15">
        <f t="shared" si="211"/>
        <v>2.3526058273819609E-3</v>
      </c>
      <c r="Q74" s="15"/>
      <c r="R74" s="15">
        <f>R13/R$80</f>
        <v>2.5003620461659989E-3</v>
      </c>
      <c r="S74" s="15">
        <f>S13/S$80</f>
        <v>1.9835607209612092E-3</v>
      </c>
      <c r="T74" s="15">
        <f>T13/T$80</f>
        <v>1.4220323575159005E-3</v>
      </c>
      <c r="U74" s="15">
        <f>U13/U$80</f>
        <v>2.2171035095691471E-3</v>
      </c>
      <c r="V74" s="15"/>
      <c r="W74" s="15"/>
      <c r="X74" s="15"/>
      <c r="Y74" s="15"/>
      <c r="Z74" s="15"/>
      <c r="AA74" s="15"/>
      <c r="AB74" s="15"/>
      <c r="AC74" s="15"/>
      <c r="AD74" s="15">
        <f>AD13/AD$80</f>
        <v>2.6162729333445117E-3</v>
      </c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0"/>
    </row>
    <row r="75" spans="2:59" hidden="1" x14ac:dyDescent="0.35">
      <c r="B75" s="3">
        <f t="shared" si="201"/>
        <v>15</v>
      </c>
      <c r="C75" s="3" t="s">
        <v>96</v>
      </c>
      <c r="D75" s="3" t="s">
        <v>52</v>
      </c>
      <c r="E75" s="15">
        <f t="shared" ref="E75:P75" si="212">E15/E$80</f>
        <v>5.9321712800646104E-3</v>
      </c>
      <c r="F75" s="15">
        <f t="shared" si="212"/>
        <v>6.1328896603160474E-3</v>
      </c>
      <c r="G75" s="15">
        <f t="shared" si="212"/>
        <v>2.2806657993381307E-3</v>
      </c>
      <c r="H75" s="15">
        <f t="shared" si="212"/>
        <v>2.2093301669034136E-3</v>
      </c>
      <c r="I75" s="15">
        <f t="shared" si="212"/>
        <v>2.8081181233067082E-3</v>
      </c>
      <c r="J75" s="15">
        <f t="shared" si="212"/>
        <v>1.9296505547848441E-3</v>
      </c>
      <c r="K75" s="15">
        <f t="shared" si="212"/>
        <v>2.0181076858599824E-3</v>
      </c>
      <c r="L75" s="15">
        <f t="shared" si="212"/>
        <v>1.6725074032379089E-3</v>
      </c>
      <c r="M75" s="15">
        <f t="shared" si="212"/>
        <v>2.2244492278880551E-3</v>
      </c>
      <c r="N75" s="15">
        <f t="shared" si="212"/>
        <v>1.7227073606752592E-3</v>
      </c>
      <c r="O75" s="15">
        <f t="shared" si="212"/>
        <v>1.8121222342083227E-3</v>
      </c>
      <c r="P75" s="15">
        <f t="shared" si="212"/>
        <v>1.3419784685423783E-3</v>
      </c>
      <c r="Q75" s="15"/>
      <c r="R75" s="15">
        <f>R15/R$80</f>
        <v>1.9048975754172872E-3</v>
      </c>
      <c r="S75" s="15">
        <f>S15/S$80</f>
        <v>1.6239638244068323E-3</v>
      </c>
      <c r="T75" s="15">
        <f>T15/T$80</f>
        <v>1.5175132603918668E-3</v>
      </c>
      <c r="U75" s="15">
        <f>U15/U$80</f>
        <v>1.4964874086850685E-3</v>
      </c>
      <c r="V75" s="15"/>
      <c r="W75" s="15"/>
      <c r="X75" s="15"/>
      <c r="Y75" s="15"/>
      <c r="Z75" s="15"/>
      <c r="AA75" s="15"/>
      <c r="AB75" s="15"/>
      <c r="AC75" s="15"/>
      <c r="AD75" s="15">
        <f>AD15/AD$80</f>
        <v>1.4654431755457588E-3</v>
      </c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0"/>
    </row>
    <row r="76" spans="2:59" hidden="1" x14ac:dyDescent="0.35">
      <c r="B76" s="3">
        <f t="shared" si="201"/>
        <v>16</v>
      </c>
      <c r="C76" s="3" t="s">
        <v>97</v>
      </c>
      <c r="D76" s="3" t="s">
        <v>40</v>
      </c>
      <c r="E76" s="15">
        <f t="shared" ref="E76:P76" si="213">E14/E$80</f>
        <v>3.7162379113923143E-3</v>
      </c>
      <c r="F76" s="15">
        <f t="shared" si="213"/>
        <v>4.9136799536442875E-3</v>
      </c>
      <c r="G76" s="15">
        <f t="shared" si="213"/>
        <v>2.696784103215845E-3</v>
      </c>
      <c r="H76" s="15">
        <f t="shared" si="213"/>
        <v>1.9951187726339275E-3</v>
      </c>
      <c r="I76" s="15">
        <f t="shared" si="213"/>
        <v>2.9353520171241584E-3</v>
      </c>
      <c r="J76" s="15">
        <f t="shared" si="213"/>
        <v>3.7253727914932123E-3</v>
      </c>
      <c r="K76" s="15">
        <f t="shared" si="213"/>
        <v>2.4778974110868739E-3</v>
      </c>
      <c r="L76" s="15">
        <f t="shared" si="213"/>
        <v>1.200270847617859E-3</v>
      </c>
      <c r="M76" s="15">
        <f t="shared" si="213"/>
        <v>1.013205523621752E-3</v>
      </c>
      <c r="N76" s="15">
        <f t="shared" si="213"/>
        <v>7.876851073495136E-4</v>
      </c>
      <c r="O76" s="15">
        <f t="shared" si="213"/>
        <v>7.9873172817452676E-4</v>
      </c>
      <c r="P76" s="15">
        <f t="shared" si="213"/>
        <v>1.191649639114099E-3</v>
      </c>
      <c r="Q76" s="15"/>
      <c r="R76" s="15">
        <f>R14/R$80</f>
        <v>1.0263752435155534E-3</v>
      </c>
      <c r="S76" s="15">
        <f>S14/S$80</f>
        <v>9.3711060328510634E-4</v>
      </c>
      <c r="T76" s="15">
        <f>T14/T$80</f>
        <v>7.8143377875896703E-4</v>
      </c>
      <c r="U76" s="15">
        <f>U14/U$80</f>
        <v>8.9758283108802518E-4</v>
      </c>
      <c r="V76" s="15"/>
      <c r="W76" s="15"/>
      <c r="X76" s="15"/>
      <c r="Y76" s="15"/>
      <c r="Z76" s="15"/>
      <c r="AA76" s="15"/>
      <c r="AB76" s="15"/>
      <c r="AC76" s="15"/>
      <c r="AD76" s="15">
        <f>AD14/AD$80</f>
        <v>9.8443560948897955E-4</v>
      </c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0"/>
    </row>
    <row r="77" spans="2:59" hidden="1" x14ac:dyDescent="0.35">
      <c r="B77" s="3">
        <f t="shared" si="201"/>
        <v>17</v>
      </c>
      <c r="C77" s="3" t="s">
        <v>96</v>
      </c>
      <c r="D77" s="3" t="s">
        <v>55</v>
      </c>
      <c r="E77" s="15">
        <f t="shared" ref="E77:P77" si="214">E16/E$80</f>
        <v>0</v>
      </c>
      <c r="F77" s="15">
        <f t="shared" si="214"/>
        <v>0</v>
      </c>
      <c r="G77" s="15">
        <f t="shared" si="214"/>
        <v>0</v>
      </c>
      <c r="H77" s="15">
        <f t="shared" si="214"/>
        <v>1.4998054177097829E-3</v>
      </c>
      <c r="I77" s="15">
        <f t="shared" si="214"/>
        <v>9.7426227069086322E-4</v>
      </c>
      <c r="J77" s="15">
        <f t="shared" si="214"/>
        <v>1.1867576522054954E-3</v>
      </c>
      <c r="K77" s="15">
        <f t="shared" si="214"/>
        <v>6.1676628022056717E-4</v>
      </c>
      <c r="L77" s="15">
        <f t="shared" si="214"/>
        <v>8.7509509544063662E-4</v>
      </c>
      <c r="M77" s="15">
        <f t="shared" si="214"/>
        <v>7.6931637733443131E-4</v>
      </c>
      <c r="N77" s="15">
        <f t="shared" si="214"/>
        <v>0</v>
      </c>
      <c r="O77" s="15">
        <f t="shared" si="214"/>
        <v>3.5642255899437966E-4</v>
      </c>
      <c r="P77" s="15">
        <f t="shared" si="214"/>
        <v>1.3573969274667398E-6</v>
      </c>
      <c r="Q77" s="15"/>
      <c r="R77" s="15">
        <f>R16/R$80</f>
        <v>3.4003105238811991E-4</v>
      </c>
      <c r="S77" s="15">
        <f>S16/S$80</f>
        <v>0</v>
      </c>
      <c r="T77" s="15">
        <f>T16/T$80</f>
        <v>2.5020153149361298E-4</v>
      </c>
      <c r="U77" s="15">
        <f>U16/U$80</f>
        <v>0</v>
      </c>
      <c r="V77" s="15"/>
      <c r="W77" s="15"/>
      <c r="X77" s="15"/>
      <c r="Y77" s="15"/>
      <c r="Z77" s="15"/>
      <c r="AA77" s="15"/>
      <c r="AB77" s="15"/>
      <c r="AC77" s="15"/>
      <c r="AD77" s="15">
        <f>AD16/AD$80</f>
        <v>1.620902560678598E-4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0"/>
    </row>
    <row r="78" spans="2:59" hidden="1" x14ac:dyDescent="0.35">
      <c r="B78" s="16"/>
      <c r="C78" s="16"/>
      <c r="D78" s="16"/>
      <c r="E78" s="18">
        <f t="shared" ref="E78:AD78" si="215">SUM(E61:E77)</f>
        <v>1.2572023208744258</v>
      </c>
      <c r="F78" s="18">
        <f t="shared" si="215"/>
        <v>1.8786282324875647</v>
      </c>
      <c r="G78" s="18">
        <f t="shared" si="215"/>
        <v>0.89454030449381294</v>
      </c>
      <c r="H78" s="18">
        <f t="shared" si="215"/>
        <v>0.8795373860997231</v>
      </c>
      <c r="I78" s="18">
        <f t="shared" si="215"/>
        <v>1.0318954744590976</v>
      </c>
      <c r="J78" s="18">
        <f t="shared" si="215"/>
        <v>0.97783542852451277</v>
      </c>
      <c r="K78" s="18">
        <f t="shared" si="215"/>
        <v>1.0768640646562384</v>
      </c>
      <c r="L78" s="18">
        <f t="shared" si="215"/>
        <v>0.78232813523259204</v>
      </c>
      <c r="M78" s="18">
        <f t="shared" si="215"/>
        <v>0.94582450830923348</v>
      </c>
      <c r="N78" s="18">
        <f t="shared" si="215"/>
        <v>0.87913625784259219</v>
      </c>
      <c r="O78" s="18">
        <f t="shared" si="215"/>
        <v>0.81040846135210909</v>
      </c>
      <c r="P78" s="18">
        <f t="shared" si="215"/>
        <v>0.9671175052808908</v>
      </c>
      <c r="Q78" s="18"/>
      <c r="R78" s="18">
        <f t="shared" si="215"/>
        <v>1.6148620116520902</v>
      </c>
      <c r="S78" s="18">
        <f t="shared" si="215"/>
        <v>1.102598646516421</v>
      </c>
      <c r="T78" s="18">
        <f t="shared" si="215"/>
        <v>1.2798103200460411</v>
      </c>
      <c r="U78" s="18">
        <f t="shared" si="215"/>
        <v>1.1546992617063818</v>
      </c>
      <c r="V78" s="18">
        <f t="shared" si="215"/>
        <v>0</v>
      </c>
      <c r="W78" s="18">
        <f t="shared" si="215"/>
        <v>0</v>
      </c>
      <c r="X78" s="18">
        <f t="shared" si="215"/>
        <v>0</v>
      </c>
      <c r="Y78" s="18">
        <f t="shared" si="215"/>
        <v>0</v>
      </c>
      <c r="Z78" s="18">
        <f t="shared" si="215"/>
        <v>0</v>
      </c>
      <c r="AA78" s="18">
        <f t="shared" si="215"/>
        <v>0</v>
      </c>
      <c r="AB78" s="18">
        <f t="shared" si="215"/>
        <v>0</v>
      </c>
      <c r="AC78" s="18">
        <f t="shared" si="215"/>
        <v>0</v>
      </c>
      <c r="AD78" s="18">
        <f t="shared" si="215"/>
        <v>1.1396781740135133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51"/>
    </row>
    <row r="79" spans="2:59" hidden="1" x14ac:dyDescent="0.35"/>
    <row r="80" spans="2:59" hidden="1" x14ac:dyDescent="0.35">
      <c r="D80" t="s">
        <v>102</v>
      </c>
      <c r="E80" s="8">
        <v>24985.455241</v>
      </c>
      <c r="F80" s="8">
        <v>23042.319008999999</v>
      </c>
      <c r="G80" s="8">
        <v>59212.533479999998</v>
      </c>
      <c r="H80" s="8">
        <v>54287.042198000003</v>
      </c>
      <c r="I80" s="8">
        <v>55449.234385000003</v>
      </c>
      <c r="J80" s="8">
        <v>51903.698186000001</v>
      </c>
      <c r="K80" s="8">
        <v>54526.327197999999</v>
      </c>
      <c r="L80" s="8">
        <v>78282.463650999998</v>
      </c>
      <c r="M80" s="8">
        <v>58392.881425</v>
      </c>
      <c r="N80" s="8">
        <v>70970.846697999994</v>
      </c>
      <c r="O80" s="8">
        <v>62903.041444000002</v>
      </c>
      <c r="P80" s="8">
        <v>99555.993730000002</v>
      </c>
      <c r="Q80" s="8"/>
      <c r="R80" s="8">
        <v>67562.267735999994</v>
      </c>
      <c r="S80" s="8">
        <v>70105.871996000002</v>
      </c>
      <c r="T80" s="8">
        <v>92109.508132999996</v>
      </c>
      <c r="U80" s="8">
        <v>97489.092894000001</v>
      </c>
      <c r="V80" s="8"/>
      <c r="W80" s="8"/>
      <c r="X80" s="8"/>
      <c r="Y80" s="8"/>
      <c r="Z80" s="8"/>
      <c r="AA80" s="8"/>
      <c r="AB80" s="8"/>
      <c r="AC80" s="8"/>
      <c r="AD80" s="8">
        <f>SUM(E80:U80)</f>
        <v>1020778.5774039999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153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DB92-4D86-45B1-B3B4-32D1A743297F}">
  <sheetPr codeName="Sheet4"/>
  <dimension ref="A1:FR116"/>
  <sheetViews>
    <sheetView showGridLines="0" zoomScaleNormal="100" workbookViewId="0">
      <pane xSplit="5" ySplit="2" topLeftCell="AY80" activePane="bottomRight" state="frozen"/>
      <selection activeCell="BE19" sqref="BE19"/>
      <selection pane="topRight" activeCell="BE19" sqref="BE19"/>
      <selection pane="bottomLeft" activeCell="BE19" sqref="BE19"/>
      <selection pane="bottomRight" activeCell="D89" sqref="D89"/>
    </sheetView>
  </sheetViews>
  <sheetFormatPr defaultColWidth="8.54296875" defaultRowHeight="14" outlineLevelCol="1" x14ac:dyDescent="0.3"/>
  <cols>
    <col min="1" max="1" width="3.54296875" style="21" customWidth="1"/>
    <col min="2" max="2" width="8.54296875" style="21" customWidth="1"/>
    <col min="3" max="3" width="23.54296875" style="21" customWidth="1"/>
    <col min="4" max="4" width="25" style="21" customWidth="1"/>
    <col min="5" max="5" width="9.54296875" style="21" customWidth="1"/>
    <col min="6" max="11" width="9.453125" style="23" hidden="1" customWidth="1" outlineLevel="1"/>
    <col min="12" max="13" width="9.54296875" style="23" hidden="1" customWidth="1" outlineLevel="1"/>
    <col min="14" max="17" width="9.453125" style="23" hidden="1" customWidth="1" outlineLevel="1"/>
    <col min="18" max="18" width="9.453125" style="23" customWidth="1" collapsed="1"/>
    <col min="19" max="27" width="12.26953125" style="23" hidden="1" customWidth="1" outlineLevel="1"/>
    <col min="28" max="29" width="13.26953125" style="23" hidden="1" customWidth="1" outlineLevel="1"/>
    <col min="30" max="30" width="12.54296875" style="23" hidden="1" customWidth="1" outlineLevel="1"/>
    <col min="31" max="31" width="11.453125" style="23" hidden="1" customWidth="1" outlineLevel="1"/>
    <col min="32" max="32" width="14.54296875" style="23" hidden="1" customWidth="1" collapsed="1"/>
    <col min="33" max="33" width="11.453125" style="23" customWidth="1"/>
    <col min="34" max="45" width="11.453125" style="23" hidden="1" customWidth="1" outlineLevel="1"/>
    <col min="46" max="46" width="9.26953125" style="23" hidden="1" customWidth="1" outlineLevel="1"/>
    <col min="47" max="47" width="11.453125" style="23" customWidth="1" collapsed="1"/>
    <col min="48" max="53" width="11.453125" style="23" customWidth="1"/>
    <col min="54" max="59" width="11.453125" style="23" hidden="1" customWidth="1"/>
    <col min="60" max="60" width="11.453125" style="23" customWidth="1"/>
    <col min="61" max="61" width="13.7265625" style="23" bestFit="1" customWidth="1"/>
    <col min="62" max="62" width="24" style="23" hidden="1" customWidth="1"/>
    <col min="63" max="63" width="2.26953125" style="594" customWidth="1"/>
    <col min="64" max="75" width="10.453125" style="21" customWidth="1"/>
    <col min="76" max="76" width="11.453125" style="21" customWidth="1"/>
    <col min="77" max="77" width="8.54296875" style="21" customWidth="1"/>
    <col min="78" max="78" width="9.7265625" style="21" bestFit="1" customWidth="1"/>
    <col min="79" max="86" width="9.7265625" style="21" hidden="1" customWidth="1" outlineLevel="1"/>
    <col min="87" max="88" width="10.26953125" style="21" hidden="1" customWidth="1" outlineLevel="1"/>
    <col min="89" max="89" width="10.26953125" style="21" bestFit="1" customWidth="1" collapsed="1"/>
    <col min="90" max="90" width="15" style="21" bestFit="1" customWidth="1"/>
    <col min="91" max="91" width="8.54296875" style="21"/>
    <col min="92" max="92" width="9.7265625" style="21" bestFit="1" customWidth="1"/>
    <col min="93" max="100" width="9.7265625" style="21" hidden="1" customWidth="1" outlineLevel="1"/>
    <col min="101" max="102" width="10.26953125" style="21" hidden="1" customWidth="1" outlineLevel="1"/>
    <col min="103" max="103" width="10.26953125" style="21" bestFit="1" customWidth="1" collapsed="1"/>
    <col min="104" max="104" width="15" style="21" bestFit="1" customWidth="1"/>
    <col min="105" max="105" width="8.54296875" style="21"/>
    <col min="106" max="106" width="9.7265625" style="21" bestFit="1" customWidth="1"/>
    <col min="107" max="114" width="9.7265625" style="21" hidden="1" customWidth="1" outlineLevel="1"/>
    <col min="115" max="116" width="10.26953125" style="21" hidden="1" customWidth="1" outlineLevel="1"/>
    <col min="117" max="117" width="10.26953125" style="21" bestFit="1" customWidth="1" collapsed="1"/>
    <col min="118" max="118" width="15" style="21" bestFit="1" customWidth="1"/>
    <col min="119" max="119" width="8.54296875" style="21"/>
    <col min="120" max="120" width="9.7265625" style="21" bestFit="1" customWidth="1"/>
    <col min="121" max="128" width="9.7265625" style="21" hidden="1" customWidth="1" outlineLevel="1"/>
    <col min="129" max="130" width="10.26953125" style="21" hidden="1" customWidth="1" outlineLevel="1"/>
    <col min="131" max="131" width="10.26953125" style="21" bestFit="1" customWidth="1" collapsed="1"/>
    <col min="132" max="132" width="15" style="21" bestFit="1" customWidth="1"/>
    <col min="133" max="133" width="8.54296875" style="21"/>
    <col min="134" max="134" width="9.7265625" style="21" bestFit="1" customWidth="1"/>
    <col min="135" max="142" width="9.7265625" style="21" hidden="1" customWidth="1" outlineLevel="1"/>
    <col min="143" max="144" width="10.26953125" style="21" hidden="1" customWidth="1" outlineLevel="1"/>
    <col min="145" max="145" width="10.26953125" style="21" bestFit="1" customWidth="1" collapsed="1"/>
    <col min="146" max="146" width="15" style="21" bestFit="1" customWidth="1"/>
    <col min="147" max="147" width="8.54296875" style="21"/>
    <col min="148" max="148" width="11.54296875" style="21" bestFit="1" customWidth="1"/>
    <col min="149" max="156" width="9.7265625" style="21" hidden="1" customWidth="1" outlineLevel="1"/>
    <col min="157" max="158" width="10.26953125" style="21" hidden="1" customWidth="1" outlineLevel="1"/>
    <col min="159" max="159" width="10.26953125" style="21" bestFit="1" customWidth="1" collapsed="1"/>
    <col min="160" max="160" width="15" style="21" bestFit="1" customWidth="1"/>
    <col min="161" max="161" width="8.54296875" style="21"/>
    <col min="162" max="162" width="9.7265625" style="21" bestFit="1" customWidth="1"/>
    <col min="163" max="170" width="9.7265625" style="21" hidden="1" customWidth="1" outlineLevel="1"/>
    <col min="171" max="172" width="10.26953125" style="21" hidden="1" customWidth="1" outlineLevel="1"/>
    <col min="173" max="173" width="10.26953125" style="21" bestFit="1" customWidth="1" collapsed="1"/>
    <col min="174" max="174" width="15" style="21" bestFit="1" customWidth="1"/>
    <col min="175" max="16384" width="8.54296875" style="21"/>
  </cols>
  <sheetData>
    <row r="1" spans="1:174" ht="14.5" thickBot="1" x14ac:dyDescent="0.35">
      <c r="F1" s="22"/>
      <c r="G1" s="22"/>
      <c r="H1" s="22"/>
      <c r="I1" s="22"/>
      <c r="J1" s="22"/>
      <c r="K1" s="22"/>
      <c r="L1" s="22"/>
      <c r="M1" s="22"/>
      <c r="N1" s="934">
        <v>2670.8606060000002</v>
      </c>
      <c r="O1" s="22"/>
      <c r="P1" s="22"/>
      <c r="Q1" s="22"/>
      <c r="R1" s="22"/>
      <c r="S1" s="22">
        <f>SUBTOTAL(9,S4:S49)</f>
        <v>115228.39517860064</v>
      </c>
      <c r="T1" s="22">
        <f t="shared" ref="T1:AF1" si="0">SUBTOTAL(9,T4:T49)</f>
        <v>82308.467316309761</v>
      </c>
      <c r="U1" s="22">
        <f t="shared" si="0"/>
        <v>128217.74905364485</v>
      </c>
      <c r="V1" s="22">
        <f t="shared" si="0"/>
        <v>121555.08469479335</v>
      </c>
      <c r="W1" s="22">
        <f t="shared" si="0"/>
        <v>121347.51978554096</v>
      </c>
      <c r="X1" s="22">
        <f t="shared" si="0"/>
        <v>97496.107456854821</v>
      </c>
      <c r="Y1" s="22">
        <f t="shared" si="0"/>
        <v>64877.739682960215</v>
      </c>
      <c r="Z1" s="22">
        <f t="shared" si="0"/>
        <v>77688.687926751358</v>
      </c>
      <c r="AA1" s="22">
        <f t="shared" si="0"/>
        <v>93763.659360791935</v>
      </c>
      <c r="AB1" s="22">
        <f t="shared" si="0"/>
        <v>119614.09176392519</v>
      </c>
      <c r="AC1" s="22">
        <f t="shared" si="0"/>
        <v>125598.03056838282</v>
      </c>
      <c r="AD1" s="22">
        <f t="shared" si="0"/>
        <v>100294.66443034637</v>
      </c>
      <c r="AE1" s="22">
        <f t="shared" si="0"/>
        <v>3756.3801549999998</v>
      </c>
      <c r="AF1" s="22">
        <f t="shared" si="0"/>
        <v>1251746.5773739018</v>
      </c>
      <c r="AG1" s="22"/>
      <c r="AH1" s="22">
        <v>1000000</v>
      </c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L1" s="13">
        <v>6</v>
      </c>
      <c r="BV1" s="29"/>
      <c r="BW1" s="29"/>
      <c r="BZ1" s="16" t="s">
        <v>354</v>
      </c>
      <c r="CN1" s="16" t="s">
        <v>355</v>
      </c>
      <c r="CP1" s="926"/>
      <c r="DB1" s="16" t="s">
        <v>356</v>
      </c>
      <c r="DP1" s="16" t="s">
        <v>357</v>
      </c>
      <c r="ED1" s="16" t="s">
        <v>358</v>
      </c>
      <c r="ER1" s="16" t="s">
        <v>359</v>
      </c>
      <c r="FF1" s="16" t="s">
        <v>360</v>
      </c>
      <c r="FG1" s="926"/>
    </row>
    <row r="2" spans="1:174" s="593" customFormat="1" ht="27" customHeight="1" thickTop="1" x14ac:dyDescent="0.35">
      <c r="A2" s="583" t="s">
        <v>57</v>
      </c>
      <c r="B2" s="583" t="s">
        <v>58</v>
      </c>
      <c r="C2" s="584" t="s">
        <v>45</v>
      </c>
      <c r="D2" s="583" t="s">
        <v>59</v>
      </c>
      <c r="E2" s="583" t="s">
        <v>103</v>
      </c>
      <c r="F2" s="585" t="s">
        <v>60</v>
      </c>
      <c r="G2" s="585" t="s">
        <v>61</v>
      </c>
      <c r="H2" s="586" t="s">
        <v>62</v>
      </c>
      <c r="I2" s="586" t="s">
        <v>63</v>
      </c>
      <c r="J2" s="586" t="s">
        <v>64</v>
      </c>
      <c r="K2" s="586" t="s">
        <v>65</v>
      </c>
      <c r="L2" s="586" t="s">
        <v>66</v>
      </c>
      <c r="M2" s="587" t="s">
        <v>67</v>
      </c>
      <c r="N2" s="586" t="s">
        <v>68</v>
      </c>
      <c r="O2" s="586" t="s">
        <v>69</v>
      </c>
      <c r="P2" s="586" t="s">
        <v>70</v>
      </c>
      <c r="Q2" s="588" t="s">
        <v>71</v>
      </c>
      <c r="R2" s="589" t="s">
        <v>170</v>
      </c>
      <c r="S2" s="590" t="s">
        <v>84</v>
      </c>
      <c r="T2" s="583" t="s">
        <v>85</v>
      </c>
      <c r="U2" s="583" t="s">
        <v>86</v>
      </c>
      <c r="V2" s="583" t="s">
        <v>87</v>
      </c>
      <c r="W2" s="583" t="s">
        <v>88</v>
      </c>
      <c r="X2" s="583" t="s">
        <v>89</v>
      </c>
      <c r="Y2" s="583" t="s">
        <v>90</v>
      </c>
      <c r="Z2" s="583" t="s">
        <v>91</v>
      </c>
      <c r="AA2" s="583" t="s">
        <v>92</v>
      </c>
      <c r="AB2" s="583" t="s">
        <v>93</v>
      </c>
      <c r="AC2" s="583" t="s">
        <v>94</v>
      </c>
      <c r="AD2" s="583" t="s">
        <v>95</v>
      </c>
      <c r="AE2" s="583" t="s">
        <v>256</v>
      </c>
      <c r="AF2" s="591" t="s">
        <v>209</v>
      </c>
      <c r="AG2" s="589" t="s">
        <v>184</v>
      </c>
      <c r="AH2" s="590" t="s">
        <v>228</v>
      </c>
      <c r="AI2" s="583" t="s">
        <v>229</v>
      </c>
      <c r="AJ2" s="583" t="s">
        <v>230</v>
      </c>
      <c r="AK2" s="583" t="s">
        <v>231</v>
      </c>
      <c r="AL2" s="583" t="s">
        <v>232</v>
      </c>
      <c r="AM2" s="583" t="s">
        <v>233</v>
      </c>
      <c r="AN2" s="583" t="s">
        <v>234</v>
      </c>
      <c r="AO2" s="583" t="s">
        <v>235</v>
      </c>
      <c r="AP2" s="583" t="s">
        <v>236</v>
      </c>
      <c r="AQ2" s="583" t="s">
        <v>237</v>
      </c>
      <c r="AR2" s="583" t="s">
        <v>238</v>
      </c>
      <c r="AS2" s="583" t="s">
        <v>239</v>
      </c>
      <c r="AT2" s="583" t="s">
        <v>308</v>
      </c>
      <c r="AU2" s="589" t="s">
        <v>249</v>
      </c>
      <c r="AV2" s="590" t="s">
        <v>262</v>
      </c>
      <c r="AW2" s="583" t="s">
        <v>263</v>
      </c>
      <c r="AX2" s="583" t="s">
        <v>264</v>
      </c>
      <c r="AY2" s="583" t="s">
        <v>265</v>
      </c>
      <c r="AZ2" s="583" t="s">
        <v>266</v>
      </c>
      <c r="BA2" s="583" t="s">
        <v>267</v>
      </c>
      <c r="BB2" s="583" t="s">
        <v>268</v>
      </c>
      <c r="BC2" s="583" t="s">
        <v>269</v>
      </c>
      <c r="BD2" s="583" t="s">
        <v>270</v>
      </c>
      <c r="BE2" s="583" t="s">
        <v>271</v>
      </c>
      <c r="BF2" s="583" t="s">
        <v>272</v>
      </c>
      <c r="BG2" s="583" t="s">
        <v>273</v>
      </c>
      <c r="BH2" s="583" t="s">
        <v>306</v>
      </c>
      <c r="BI2" s="587" t="str">
        <f xml:space="preserve"> "KH"&amp;" T"&amp;BL1&amp;".2026"</f>
        <v>KH T6.2026</v>
      </c>
      <c r="BJ2" s="586" t="s">
        <v>104</v>
      </c>
      <c r="BK2" s="595"/>
      <c r="BL2" s="592" t="s">
        <v>293</v>
      </c>
      <c r="BM2" s="592" t="s">
        <v>294</v>
      </c>
      <c r="BN2" s="592" t="s">
        <v>295</v>
      </c>
      <c r="BO2" s="592" t="s">
        <v>296</v>
      </c>
      <c r="BP2" s="592" t="s">
        <v>297</v>
      </c>
      <c r="BQ2" s="592" t="s">
        <v>298</v>
      </c>
      <c r="BR2" s="592" t="s">
        <v>299</v>
      </c>
      <c r="BS2" s="592" t="s">
        <v>300</v>
      </c>
      <c r="BT2" s="592" t="s">
        <v>301</v>
      </c>
      <c r="BU2" s="592" t="s">
        <v>302</v>
      </c>
      <c r="BV2" s="592" t="s">
        <v>303</v>
      </c>
      <c r="BW2" s="592" t="s">
        <v>304</v>
      </c>
      <c r="BX2" s="592" t="s">
        <v>305</v>
      </c>
      <c r="BZ2" s="592" t="s">
        <v>293</v>
      </c>
      <c r="CA2" s="592" t="s">
        <v>294</v>
      </c>
      <c r="CB2" s="592" t="s">
        <v>295</v>
      </c>
      <c r="CC2" s="592" t="s">
        <v>296</v>
      </c>
      <c r="CD2" s="592" t="s">
        <v>297</v>
      </c>
      <c r="CE2" s="592" t="s">
        <v>298</v>
      </c>
      <c r="CF2" s="592" t="s">
        <v>299</v>
      </c>
      <c r="CG2" s="592" t="s">
        <v>300</v>
      </c>
      <c r="CH2" s="592" t="s">
        <v>301</v>
      </c>
      <c r="CI2" s="592" t="s">
        <v>302</v>
      </c>
      <c r="CJ2" s="592" t="s">
        <v>303</v>
      </c>
      <c r="CK2" s="592" t="s">
        <v>304</v>
      </c>
      <c r="CL2" s="592" t="s">
        <v>305</v>
      </c>
      <c r="CN2" s="592" t="s">
        <v>293</v>
      </c>
      <c r="CO2" s="592" t="s">
        <v>294</v>
      </c>
      <c r="CP2" s="592" t="s">
        <v>295</v>
      </c>
      <c r="CQ2" s="592" t="s">
        <v>296</v>
      </c>
      <c r="CR2" s="592" t="s">
        <v>297</v>
      </c>
      <c r="CS2" s="592" t="s">
        <v>298</v>
      </c>
      <c r="CT2" s="592" t="s">
        <v>299</v>
      </c>
      <c r="CU2" s="592" t="s">
        <v>300</v>
      </c>
      <c r="CV2" s="592" t="s">
        <v>301</v>
      </c>
      <c r="CW2" s="592" t="s">
        <v>302</v>
      </c>
      <c r="CX2" s="592" t="s">
        <v>303</v>
      </c>
      <c r="CY2" s="592" t="s">
        <v>304</v>
      </c>
      <c r="CZ2" s="592" t="s">
        <v>305</v>
      </c>
      <c r="DB2" s="592" t="s">
        <v>293</v>
      </c>
      <c r="DC2" s="592" t="s">
        <v>294</v>
      </c>
      <c r="DD2" s="592" t="s">
        <v>295</v>
      </c>
      <c r="DE2" s="592" t="s">
        <v>296</v>
      </c>
      <c r="DF2" s="592" t="s">
        <v>297</v>
      </c>
      <c r="DG2" s="592" t="s">
        <v>298</v>
      </c>
      <c r="DH2" s="592" t="s">
        <v>299</v>
      </c>
      <c r="DI2" s="592" t="s">
        <v>300</v>
      </c>
      <c r="DJ2" s="592" t="s">
        <v>301</v>
      </c>
      <c r="DK2" s="592" t="s">
        <v>302</v>
      </c>
      <c r="DL2" s="592" t="s">
        <v>303</v>
      </c>
      <c r="DM2" s="592" t="s">
        <v>304</v>
      </c>
      <c r="DN2" s="592" t="s">
        <v>305</v>
      </c>
      <c r="DP2" s="592" t="s">
        <v>293</v>
      </c>
      <c r="DQ2" s="592" t="s">
        <v>294</v>
      </c>
      <c r="DR2" s="592" t="s">
        <v>295</v>
      </c>
      <c r="DS2" s="592" t="s">
        <v>296</v>
      </c>
      <c r="DT2" s="592" t="s">
        <v>297</v>
      </c>
      <c r="DU2" s="592" t="s">
        <v>298</v>
      </c>
      <c r="DV2" s="592" t="s">
        <v>299</v>
      </c>
      <c r="DW2" s="592" t="s">
        <v>300</v>
      </c>
      <c r="DX2" s="592" t="s">
        <v>301</v>
      </c>
      <c r="DY2" s="592" t="s">
        <v>302</v>
      </c>
      <c r="DZ2" s="592" t="s">
        <v>303</v>
      </c>
      <c r="EA2" s="592" t="s">
        <v>304</v>
      </c>
      <c r="EB2" s="592" t="s">
        <v>305</v>
      </c>
      <c r="ED2" s="592" t="s">
        <v>293</v>
      </c>
      <c r="EE2" s="592" t="s">
        <v>294</v>
      </c>
      <c r="EF2" s="592" t="s">
        <v>295</v>
      </c>
      <c r="EG2" s="592" t="s">
        <v>296</v>
      </c>
      <c r="EH2" s="592" t="s">
        <v>297</v>
      </c>
      <c r="EI2" s="592" t="s">
        <v>298</v>
      </c>
      <c r="EJ2" s="592" t="s">
        <v>299</v>
      </c>
      <c r="EK2" s="592" t="s">
        <v>300</v>
      </c>
      <c r="EL2" s="592" t="s">
        <v>301</v>
      </c>
      <c r="EM2" s="592" t="s">
        <v>302</v>
      </c>
      <c r="EN2" s="592" t="s">
        <v>303</v>
      </c>
      <c r="EO2" s="592" t="s">
        <v>304</v>
      </c>
      <c r="EP2" s="592" t="s">
        <v>305</v>
      </c>
      <c r="ER2" s="592" t="s">
        <v>293</v>
      </c>
      <c r="ES2" s="592" t="s">
        <v>294</v>
      </c>
      <c r="ET2" s="592" t="s">
        <v>295</v>
      </c>
      <c r="EU2" s="592" t="s">
        <v>296</v>
      </c>
      <c r="EV2" s="592" t="s">
        <v>297</v>
      </c>
      <c r="EW2" s="592" t="s">
        <v>298</v>
      </c>
      <c r="EX2" s="592" t="s">
        <v>299</v>
      </c>
      <c r="EY2" s="592" t="s">
        <v>300</v>
      </c>
      <c r="EZ2" s="592" t="s">
        <v>301</v>
      </c>
      <c r="FA2" s="592" t="s">
        <v>302</v>
      </c>
      <c r="FB2" s="592" t="s">
        <v>303</v>
      </c>
      <c r="FC2" s="592" t="s">
        <v>304</v>
      </c>
      <c r="FD2" s="592" t="s">
        <v>305</v>
      </c>
      <c r="FF2" s="592" t="s">
        <v>293</v>
      </c>
      <c r="FG2" s="592" t="s">
        <v>294</v>
      </c>
      <c r="FH2" s="592" t="s">
        <v>295</v>
      </c>
      <c r="FI2" s="592" t="s">
        <v>296</v>
      </c>
      <c r="FJ2" s="592" t="s">
        <v>297</v>
      </c>
      <c r="FK2" s="592" t="s">
        <v>298</v>
      </c>
      <c r="FL2" s="592" t="s">
        <v>299</v>
      </c>
      <c r="FM2" s="592" t="s">
        <v>300</v>
      </c>
      <c r="FN2" s="592" t="s">
        <v>301</v>
      </c>
      <c r="FO2" s="592" t="s">
        <v>302</v>
      </c>
      <c r="FP2" s="592" t="s">
        <v>303</v>
      </c>
      <c r="FQ2" s="592" t="s">
        <v>304</v>
      </c>
      <c r="FR2" s="592" t="s">
        <v>305</v>
      </c>
    </row>
    <row r="3" spans="1:174" s="24" customFormat="1" x14ac:dyDescent="0.3">
      <c r="A3" s="81" t="s">
        <v>161</v>
      </c>
      <c r="B3" s="77" t="s">
        <v>162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545"/>
      <c r="R3" s="552"/>
      <c r="S3" s="563">
        <f t="shared" ref="S3:AC3" si="1">SUM(S4:S21)</f>
        <v>94765.355955934021</v>
      </c>
      <c r="T3" s="563">
        <f t="shared" si="1"/>
        <v>62683.971025643084</v>
      </c>
      <c r="U3" s="563">
        <f t="shared" si="1"/>
        <v>104764.03315397818</v>
      </c>
      <c r="V3" s="563">
        <f t="shared" si="1"/>
        <v>98334.471429126643</v>
      </c>
      <c r="W3" s="563">
        <f t="shared" si="1"/>
        <v>96786.977440874311</v>
      </c>
      <c r="X3" s="563">
        <f t="shared" si="1"/>
        <v>73211.483677188138</v>
      </c>
      <c r="Y3" s="563">
        <f t="shared" si="1"/>
        <v>41230.655253293553</v>
      </c>
      <c r="Z3" s="563">
        <f t="shared" si="1"/>
        <v>52636.304235084703</v>
      </c>
      <c r="AA3" s="563">
        <f t="shared" si="1"/>
        <v>66907.244759125271</v>
      </c>
      <c r="AB3" s="563">
        <f t="shared" si="1"/>
        <v>93154.599409258502</v>
      </c>
      <c r="AC3" s="563">
        <f t="shared" si="1"/>
        <v>98827.0939227161</v>
      </c>
      <c r="AD3" s="563">
        <f>SUM(AD4:AD21)</f>
        <v>70532.302284679696</v>
      </c>
      <c r="AE3" s="563">
        <f>SUM(AE4:AE21)</f>
        <v>483.30777899999993</v>
      </c>
      <c r="AF3" s="563">
        <f>SUM(S3:AE3)</f>
        <v>954317.80032590218</v>
      </c>
      <c r="AG3" s="552"/>
      <c r="AH3" s="548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552"/>
      <c r="AV3" s="548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596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</row>
    <row r="4" spans="1:174" ht="17.899999999999999" customHeight="1" x14ac:dyDescent="0.35">
      <c r="A4" s="3">
        <v>1</v>
      </c>
      <c r="B4" s="3" t="s">
        <v>96</v>
      </c>
      <c r="C4" s="3" t="s">
        <v>260</v>
      </c>
      <c r="D4" s="25" t="s">
        <v>260</v>
      </c>
      <c r="E4" s="26" t="s">
        <v>105</v>
      </c>
      <c r="F4" s="20">
        <v>19184.787461375003</v>
      </c>
      <c r="G4" s="20">
        <v>29413.012996578</v>
      </c>
      <c r="H4" s="20">
        <v>36905.746250334996</v>
      </c>
      <c r="I4" s="20">
        <v>31466.940888199999</v>
      </c>
      <c r="J4" s="20">
        <v>39521.728139389001</v>
      </c>
      <c r="K4" s="20">
        <f>32055.886902+966.8135</f>
        <v>33022.700401999995</v>
      </c>
      <c r="L4" s="20">
        <v>40067.114833499996</v>
      </c>
      <c r="M4" s="20">
        <v>41710.886442499999</v>
      </c>
      <c r="N4" s="20">
        <v>36846.996591559997</v>
      </c>
      <c r="O4" s="20">
        <v>42104.203841000002</v>
      </c>
      <c r="P4" s="20">
        <v>31330.078206999995</v>
      </c>
      <c r="Q4" s="546">
        <v>71767.130885999999</v>
      </c>
      <c r="R4" s="555">
        <f>AVERAGE(F4:Q4)</f>
        <v>37778.443911619746</v>
      </c>
      <c r="S4" s="549">
        <v>82388.013511614045</v>
      </c>
      <c r="T4" s="20">
        <v>54679.33930764308</v>
      </c>
      <c r="U4" s="20">
        <v>92225.012386978167</v>
      </c>
      <c r="V4" s="20">
        <v>84805.10524012665</v>
      </c>
      <c r="W4" s="20">
        <v>86012.811292874307</v>
      </c>
      <c r="X4" s="20">
        <v>63429.137098188141</v>
      </c>
      <c r="Y4" s="20">
        <v>34124.938092043485</v>
      </c>
      <c r="Z4" s="20">
        <v>39820.045517334758</v>
      </c>
      <c r="AA4" s="20">
        <v>53180.748441125281</v>
      </c>
      <c r="AB4" s="20">
        <v>80242.8457912585</v>
      </c>
      <c r="AC4" s="20">
        <v>87480.523861716094</v>
      </c>
      <c r="AD4" s="20">
        <v>60679.337507679702</v>
      </c>
      <c r="AE4" s="20">
        <v>0</v>
      </c>
      <c r="AF4" s="554">
        <f>SUM(S4:AE4)</f>
        <v>819067.8580485821</v>
      </c>
      <c r="AG4" s="555">
        <f>SUM(S4:AE4)/12</f>
        <v>68255.654837381837</v>
      </c>
      <c r="AH4" s="549">
        <v>33690.153681729942</v>
      </c>
      <c r="AI4" s="20">
        <v>54984.762966730275</v>
      </c>
      <c r="AJ4" s="20">
        <v>93493.565616349893</v>
      </c>
      <c r="AK4" s="20">
        <v>81794.17166151281</v>
      </c>
      <c r="AL4" s="20">
        <v>97253.819962899841</v>
      </c>
      <c r="AM4" s="20">
        <v>84746.443805998701</v>
      </c>
      <c r="AN4" s="20">
        <v>93606.744682943565</v>
      </c>
      <c r="AO4" s="20">
        <v>93602.194561389799</v>
      </c>
      <c r="AP4" s="20">
        <v>92225.640568510207</v>
      </c>
      <c r="AQ4" s="20">
        <v>60589.830985082903</v>
      </c>
      <c r="AR4" s="20">
        <v>41785.637411524003</v>
      </c>
      <c r="AS4" s="20">
        <v>66382.966178182702</v>
      </c>
      <c r="AT4" s="20"/>
      <c r="AU4" s="555">
        <f>SUM(AH4:AT4)/12</f>
        <v>74512.994340237885</v>
      </c>
      <c r="AV4" s="549">
        <v>54282.9558583486</v>
      </c>
      <c r="AW4" s="20">
        <v>32788.527139026301</v>
      </c>
      <c r="AX4" s="20">
        <v>79002.100402284006</v>
      </c>
      <c r="AY4" s="20">
        <v>77706.009766450486</v>
      </c>
      <c r="AZ4" s="20">
        <v>67389.4959113683</v>
      </c>
      <c r="BA4" s="20">
        <v>75415.651310678106</v>
      </c>
      <c r="BB4" s="20"/>
      <c r="BC4" s="20"/>
      <c r="BD4" s="20"/>
      <c r="BE4" s="20"/>
      <c r="BF4" s="20"/>
      <c r="BG4" s="20"/>
      <c r="BH4" s="20">
        <f>AVERAGE(AV4:BG4)</f>
        <v>64430.790064692635</v>
      </c>
      <c r="BI4" s="41" cm="1">
        <f t="array" ref="BI4">INDEX(BL4:BW4,$BL$1)</f>
        <v>75365.564327104483</v>
      </c>
      <c r="BJ4" s="27"/>
      <c r="BK4" s="597"/>
      <c r="BL4" s="20">
        <v>70449.79433851775</v>
      </c>
      <c r="BM4" s="20">
        <v>57841.876465266527</v>
      </c>
      <c r="BN4" s="20">
        <v>73858.796242105935</v>
      </c>
      <c r="BO4" s="20">
        <v>74028.379274825609</v>
      </c>
      <c r="BP4" s="20">
        <v>73858.796242105935</v>
      </c>
      <c r="BQ4" s="20">
        <v>75365.564327104483</v>
      </c>
      <c r="BR4" s="20">
        <v>77176.424886965047</v>
      </c>
      <c r="BS4" s="20">
        <v>77920.06932472506</v>
      </c>
      <c r="BT4" s="20">
        <v>77600.382468764248</v>
      </c>
      <c r="BU4" s="20">
        <v>78089.652357444735</v>
      </c>
      <c r="BV4" s="20">
        <v>77006.841854245373</v>
      </c>
      <c r="BW4" s="20">
        <v>77920.06932472506</v>
      </c>
      <c r="BX4" s="28">
        <f>SUM(BL4:BW4)</f>
        <v>891116.6471067958</v>
      </c>
      <c r="BY4" s="927">
        <f>BX4-(CL4+CZ4+DN4+EB4+EP4+FD4+FR4)</f>
        <v>0</v>
      </c>
      <c r="BZ4" s="20">
        <f>BL4</f>
        <v>70449.79433851775</v>
      </c>
      <c r="CA4" s="20">
        <f t="shared" ref="CA4:CK4" si="2">BM4</f>
        <v>57841.876465266527</v>
      </c>
      <c r="CB4" s="20">
        <f t="shared" si="2"/>
        <v>73858.796242105935</v>
      </c>
      <c r="CC4" s="20">
        <f t="shared" si="2"/>
        <v>74028.379274825609</v>
      </c>
      <c r="CD4" s="20">
        <f t="shared" si="2"/>
        <v>73858.796242105935</v>
      </c>
      <c r="CE4" s="20">
        <f t="shared" si="2"/>
        <v>75365.564327104483</v>
      </c>
      <c r="CF4" s="20">
        <f t="shared" si="2"/>
        <v>77176.424886965047</v>
      </c>
      <c r="CG4" s="20">
        <f t="shared" si="2"/>
        <v>77920.06932472506</v>
      </c>
      <c r="CH4" s="20">
        <f t="shared" si="2"/>
        <v>77600.382468764248</v>
      </c>
      <c r="CI4" s="20">
        <f t="shared" si="2"/>
        <v>78089.652357444735</v>
      </c>
      <c r="CJ4" s="20">
        <f t="shared" si="2"/>
        <v>77006.841854245373</v>
      </c>
      <c r="CK4" s="20">
        <f t="shared" si="2"/>
        <v>77920.06932472506</v>
      </c>
      <c r="CL4" s="28">
        <f>SUM(BZ4:CK4)</f>
        <v>891116.6471067958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8">
        <f>SUM(CN4:CY4)</f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8">
        <f>SUM(DB4:DM4)</f>
        <v>0</v>
      </c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8">
        <f>SUM(DP4:EA4)</f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8">
        <f>SUM(ED4:EO4)</f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8">
        <f>SUM(ER4:FC4)</f>
        <v>0</v>
      </c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8">
        <f>SUM(FF4:FQ4)</f>
        <v>0</v>
      </c>
    </row>
    <row r="5" spans="1:174" ht="14.5" x14ac:dyDescent="0.35">
      <c r="A5" s="3">
        <f t="shared" ref="A5:A21" si="3">A4+1</f>
        <v>2</v>
      </c>
      <c r="B5" s="3" t="s">
        <v>96</v>
      </c>
      <c r="C5" s="3" t="s">
        <v>25</v>
      </c>
      <c r="D5" s="25" t="s">
        <v>25</v>
      </c>
      <c r="E5" s="26" t="s">
        <v>105</v>
      </c>
      <c r="F5" s="20">
        <v>1376.9572000000001</v>
      </c>
      <c r="G5" s="20">
        <v>2218.3915000000002</v>
      </c>
      <c r="H5" s="20">
        <v>2574.9328999999998</v>
      </c>
      <c r="I5" s="20">
        <v>2388.6837479999999</v>
      </c>
      <c r="J5" s="20">
        <v>2787.5241000000001</v>
      </c>
      <c r="K5" s="20">
        <v>2655.8263000000002</v>
      </c>
      <c r="L5" s="20">
        <v>3135.2610890000001</v>
      </c>
      <c r="M5" s="20">
        <v>2978.8600099999999</v>
      </c>
      <c r="N5" s="20">
        <v>2915.5076250000002</v>
      </c>
      <c r="O5" s="20">
        <v>3337.1480000000001</v>
      </c>
      <c r="P5" s="20">
        <v>2812.7750129999999</v>
      </c>
      <c r="Q5" s="546">
        <v>5223.2614999999996</v>
      </c>
      <c r="R5" s="555">
        <f t="shared" ref="R5:R48" si="4">AVERAGE(F5:Q5)</f>
        <v>2867.0940820833334</v>
      </c>
      <c r="S5" s="549">
        <v>5518.9031000000004</v>
      </c>
      <c r="T5" s="20">
        <v>4150.3450000000003</v>
      </c>
      <c r="U5" s="20">
        <v>5118.0938999999998</v>
      </c>
      <c r="V5" s="20">
        <v>5543.6525650000003</v>
      </c>
      <c r="W5" s="20">
        <v>6020.5653000000002</v>
      </c>
      <c r="X5" s="20">
        <v>4842.9948999999997</v>
      </c>
      <c r="Y5" s="20">
        <v>3062.5014999999999</v>
      </c>
      <c r="Z5" s="20">
        <v>3545.0221999999999</v>
      </c>
      <c r="AA5" s="20">
        <v>4668.9910060000002</v>
      </c>
      <c r="AB5" s="20">
        <v>5571.9984999999997</v>
      </c>
      <c r="AC5" s="20">
        <v>6435.3993</v>
      </c>
      <c r="AD5" s="20">
        <v>4886.9172699999999</v>
      </c>
      <c r="AE5" s="20">
        <v>0</v>
      </c>
      <c r="AF5" s="554">
        <f t="shared" ref="AF5:AF49" si="5">SUM(S5:AE5)</f>
        <v>59365.384540999992</v>
      </c>
      <c r="AG5" s="555">
        <f t="shared" ref="AG5:AG49" si="6">SUM(S5:AE5)/12</f>
        <v>4947.1153784166663</v>
      </c>
      <c r="AH5" s="549">
        <v>3220.4870150000002</v>
      </c>
      <c r="AI5" s="20">
        <v>4203.9981429999998</v>
      </c>
      <c r="AJ5" s="20">
        <v>6561.5858079999998</v>
      </c>
      <c r="AK5" s="20">
        <v>6195.0632750000004</v>
      </c>
      <c r="AL5" s="20">
        <v>6629.4663929999997</v>
      </c>
      <c r="AM5" s="20">
        <v>6427.1763199999996</v>
      </c>
      <c r="AN5" s="20">
        <v>7133.675279</v>
      </c>
      <c r="AO5" s="20">
        <v>7283.683376</v>
      </c>
      <c r="AP5" s="20">
        <v>7082.0269870000002</v>
      </c>
      <c r="AQ5" s="20">
        <v>6265.143298</v>
      </c>
      <c r="AR5" s="20">
        <v>4353.0271210000001</v>
      </c>
      <c r="AS5" s="20">
        <v>4935.067223</v>
      </c>
      <c r="AT5" s="20"/>
      <c r="AU5" s="555">
        <f t="shared" ref="AU5:AU49" si="7">SUM(AH5:AT5)/12</f>
        <v>5857.5333531666665</v>
      </c>
      <c r="AV5" s="549">
        <v>4101.185536</v>
      </c>
      <c r="AW5" s="20">
        <v>2506.863617</v>
      </c>
      <c r="AX5" s="20">
        <v>5724.7182839999996</v>
      </c>
      <c r="AY5" s="20">
        <v>5756.5264569999999</v>
      </c>
      <c r="AZ5" s="20">
        <v>5888.0109110000003</v>
      </c>
      <c r="BA5" s="20">
        <v>6109.4348950000003</v>
      </c>
      <c r="BB5" s="20"/>
      <c r="BC5" s="20"/>
      <c r="BD5" s="20"/>
      <c r="BE5" s="20"/>
      <c r="BF5" s="20"/>
      <c r="BG5" s="20"/>
      <c r="BH5" s="20">
        <f t="shared" ref="BH5:BH21" si="8">AVERAGE(AV5:BG5)</f>
        <v>5014.4566166666664</v>
      </c>
      <c r="BI5" s="41" cm="1">
        <f t="array" ref="BI5">INDEX(BL5:BW5,$BL$1)</f>
        <v>5015.6919387335292</v>
      </c>
      <c r="BJ5" s="27"/>
      <c r="BK5" s="597"/>
      <c r="BL5" s="20">
        <v>4697.3396017444875</v>
      </c>
      <c r="BM5" s="20">
        <v>3893.9971987592303</v>
      </c>
      <c r="BN5" s="20">
        <v>4842.3796267444886</v>
      </c>
      <c r="BO5" s="20">
        <v>4886.2606887335287</v>
      </c>
      <c r="BP5" s="20">
        <v>4850.5640553159174</v>
      </c>
      <c r="BQ5" s="20">
        <v>5015.6919387335292</v>
      </c>
      <c r="BR5" s="20">
        <v>5356.1384432390805</v>
      </c>
      <c r="BS5" s="20">
        <v>5423.0816702390803</v>
      </c>
      <c r="BT5" s="20">
        <v>5431.5689632035965</v>
      </c>
      <c r="BU5" s="20">
        <v>5581.5463002948245</v>
      </c>
      <c r="BV5" s="20">
        <v>5527.4359356879104</v>
      </c>
      <c r="BW5" s="20">
        <v>5561.9175222948243</v>
      </c>
      <c r="BX5" s="28">
        <f t="shared" ref="BX5:BX21" si="9">SUM(BL5:BW5)</f>
        <v>61067.921944990492</v>
      </c>
      <c r="BY5" s="927">
        <f t="shared" ref="BY5:BY21" si="10">BX5-(CL5+CZ5+DN5+EB5+EP5+FD5+FR5)</f>
        <v>0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8">
        <f t="shared" ref="CL5" si="11">SUM(BZ5:CK5)</f>
        <v>0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8">
        <f t="shared" ref="CZ5" si="12">SUM(CN5:CY5)</f>
        <v>0</v>
      </c>
      <c r="DB5" s="20">
        <v>4625.4909577444878</v>
      </c>
      <c r="DC5" s="20">
        <v>3822.1485547592306</v>
      </c>
      <c r="DD5" s="20">
        <v>4770.530982744488</v>
      </c>
      <c r="DE5" s="20">
        <v>4814.412044733529</v>
      </c>
      <c r="DF5" s="20">
        <v>4778.7154113159168</v>
      </c>
      <c r="DG5" s="20">
        <v>4943.8432947335305</v>
      </c>
      <c r="DH5" s="20">
        <v>5284.2897992390808</v>
      </c>
      <c r="DI5" s="20">
        <v>5351.2330262390806</v>
      </c>
      <c r="DJ5" s="20">
        <v>5359.7203192035959</v>
      </c>
      <c r="DK5" s="20">
        <v>5509.6976562948239</v>
      </c>
      <c r="DL5" s="20">
        <v>5455.5872916879098</v>
      </c>
      <c r="DM5" s="20">
        <v>5490.0688782948246</v>
      </c>
      <c r="DN5" s="28">
        <f t="shared" ref="DN5" si="13">SUM(DB5:DM5)</f>
        <v>60205.738216990503</v>
      </c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8">
        <f t="shared" ref="EB5" si="14">SUM(DP5:EA5)</f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8">
        <f t="shared" ref="EP5" si="15">SUM(ED5:EO5)</f>
        <v>0</v>
      </c>
      <c r="ER5" s="20">
        <v>71.848643999999993</v>
      </c>
      <c r="ES5" s="20">
        <v>71.848643999999993</v>
      </c>
      <c r="ET5" s="20">
        <v>71.848643999999993</v>
      </c>
      <c r="EU5" s="20">
        <v>71.848643999999993</v>
      </c>
      <c r="EV5" s="20">
        <v>71.848643999999993</v>
      </c>
      <c r="EW5" s="20">
        <v>71.848643999999993</v>
      </c>
      <c r="EX5" s="20">
        <v>71.848643999999993</v>
      </c>
      <c r="EY5" s="20">
        <v>71.848643999999993</v>
      </c>
      <c r="EZ5" s="20">
        <v>71.848643999999993</v>
      </c>
      <c r="FA5" s="20">
        <v>71.848643999999993</v>
      </c>
      <c r="FB5" s="20">
        <v>71.848643999999993</v>
      </c>
      <c r="FC5" s="20">
        <v>71.848643999999993</v>
      </c>
      <c r="FD5" s="28">
        <f t="shared" ref="FD5" si="16">SUM(ER5:FC5)</f>
        <v>862.18372800000009</v>
      </c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8">
        <f t="shared" ref="FR5" si="17">SUM(FF5:FQ5)</f>
        <v>0</v>
      </c>
    </row>
    <row r="6" spans="1:174" ht="13.5" customHeight="1" x14ac:dyDescent="0.3">
      <c r="A6" s="3">
        <f t="shared" si="3"/>
        <v>3</v>
      </c>
      <c r="B6" s="3" t="s">
        <v>96</v>
      </c>
      <c r="C6" s="3"/>
      <c r="D6" s="25" t="s">
        <v>3</v>
      </c>
      <c r="E6" s="26" t="s">
        <v>105</v>
      </c>
      <c r="F6" s="20">
        <v>264.84462400000001</v>
      </c>
      <c r="G6" s="20">
        <v>513.47748899999999</v>
      </c>
      <c r="H6" s="20">
        <v>1035.771162</v>
      </c>
      <c r="I6" s="20">
        <v>269.06593099999998</v>
      </c>
      <c r="J6" s="20">
        <v>1173.7370989999999</v>
      </c>
      <c r="K6" s="20">
        <v>430.87844100000001</v>
      </c>
      <c r="L6" s="20">
        <v>596.20799699999998</v>
      </c>
      <c r="M6" s="20">
        <v>1310.92329</v>
      </c>
      <c r="N6" s="20">
        <v>742.50320299999998</v>
      </c>
      <c r="O6" s="20">
        <v>1298.0400959999999</v>
      </c>
      <c r="P6" s="20">
        <v>942.67765899999995</v>
      </c>
      <c r="Q6" s="546">
        <v>2339.9914739999999</v>
      </c>
      <c r="R6" s="555">
        <f t="shared" si="4"/>
        <v>909.84320541666659</v>
      </c>
      <c r="S6" s="549">
        <v>1864.6099389999999</v>
      </c>
      <c r="T6" s="20">
        <v>441.78208899999998</v>
      </c>
      <c r="U6" s="20">
        <v>2671.0043390000001</v>
      </c>
      <c r="V6" s="20">
        <v>3034.2736359999999</v>
      </c>
      <c r="W6" s="20">
        <v>279.84993400000002</v>
      </c>
      <c r="X6" s="20">
        <v>320.03341999999998</v>
      </c>
      <c r="Y6" s="20">
        <v>626.03261299999997</v>
      </c>
      <c r="Z6" s="20">
        <v>5216.793028</v>
      </c>
      <c r="AA6" s="20">
        <v>5019.652822</v>
      </c>
      <c r="AB6" s="20">
        <v>2316.2767180000001</v>
      </c>
      <c r="AC6" s="20">
        <v>404.23598299999998</v>
      </c>
      <c r="AD6" s="20">
        <v>1352.124446</v>
      </c>
      <c r="AE6" s="569">
        <v>-34.280119999999997</v>
      </c>
      <c r="AF6" s="554">
        <f t="shared" si="5"/>
        <v>23512.388846999998</v>
      </c>
      <c r="AG6" s="555">
        <f t="shared" si="6"/>
        <v>1959.3657372499999</v>
      </c>
      <c r="AH6" s="549">
        <v>1442.696903</v>
      </c>
      <c r="AI6" s="20">
        <v>3574.8378619999999</v>
      </c>
      <c r="AJ6" s="20">
        <v>1969.857757</v>
      </c>
      <c r="AK6" s="20">
        <v>1503.9844539999999</v>
      </c>
      <c r="AL6" s="20">
        <v>2462.7117330000001</v>
      </c>
      <c r="AM6" s="20">
        <v>1186.353811</v>
      </c>
      <c r="AN6" s="20">
        <v>1311.0373320000001</v>
      </c>
      <c r="AO6" s="20">
        <v>1643.0076819999999</v>
      </c>
      <c r="AP6" s="20">
        <v>437.20550100000003</v>
      </c>
      <c r="AQ6" s="20">
        <v>492.31250199999999</v>
      </c>
      <c r="AR6" s="20">
        <v>653.24646700000005</v>
      </c>
      <c r="AS6" s="20">
        <v>921.863966</v>
      </c>
      <c r="AT6" s="20">
        <v>-229.741579</v>
      </c>
      <c r="AU6" s="555">
        <f t="shared" si="7"/>
        <v>1447.4478659166668</v>
      </c>
      <c r="AV6" s="549">
        <v>1092.685189</v>
      </c>
      <c r="AW6" s="20">
        <v>1193.02684</v>
      </c>
      <c r="AX6" s="20">
        <v>1805.6022049999999</v>
      </c>
      <c r="AY6" s="20">
        <v>1237.3775459999999</v>
      </c>
      <c r="AZ6" s="20">
        <v>1647.9318780000001</v>
      </c>
      <c r="BA6" s="20">
        <v>1084.057458</v>
      </c>
      <c r="BB6" s="20"/>
      <c r="BC6" s="20"/>
      <c r="BD6" s="20"/>
      <c r="BE6" s="20"/>
      <c r="BF6" s="20"/>
      <c r="BG6" s="20"/>
      <c r="BH6" s="20">
        <f t="shared" si="8"/>
        <v>1343.4468526666667</v>
      </c>
      <c r="BI6" s="41" cm="1">
        <f t="array" ref="BI6">INDEX(BL6:BW6,$BL$1)</f>
        <v>2946.5590909090911</v>
      </c>
      <c r="BJ6" s="30"/>
      <c r="BK6" s="597"/>
      <c r="BL6" s="20">
        <v>2176.9990909090911</v>
      </c>
      <c r="BM6" s="20">
        <v>2422.389090909091</v>
      </c>
      <c r="BN6" s="20">
        <v>2939.139090909091</v>
      </c>
      <c r="BO6" s="20">
        <v>2052.9790909090912</v>
      </c>
      <c r="BP6" s="20">
        <v>2496.5890909090908</v>
      </c>
      <c r="BQ6" s="20">
        <v>2946.5590909090911</v>
      </c>
      <c r="BR6" s="20">
        <v>2556.8115454545455</v>
      </c>
      <c r="BS6" s="20">
        <v>2348.0445454545456</v>
      </c>
      <c r="BT6" s="20">
        <v>3226.2545454545457</v>
      </c>
      <c r="BU6" s="20">
        <v>2414.8245454545454</v>
      </c>
      <c r="BV6" s="20">
        <v>2728.0545454545454</v>
      </c>
      <c r="BW6" s="20">
        <v>2869.5645454545456</v>
      </c>
      <c r="BX6" s="29">
        <f>SUM(BL6:BW6)</f>
        <v>31178.208818181822</v>
      </c>
      <c r="BY6" s="927">
        <f t="shared" si="10"/>
        <v>0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9">
        <f>SUM(BZ6:CK6)</f>
        <v>0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9">
        <f>SUM(CN6:CY6)</f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9">
        <f>SUM(DB6:DM6)</f>
        <v>0</v>
      </c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9">
        <f>SUM(DP6:EA6)</f>
        <v>0</v>
      </c>
      <c r="ED6" s="20">
        <v>2176.9990909090911</v>
      </c>
      <c r="EE6" s="20">
        <v>2422.389090909091</v>
      </c>
      <c r="EF6" s="20">
        <v>2939.139090909091</v>
      </c>
      <c r="EG6" s="20">
        <v>2052.9790909090912</v>
      </c>
      <c r="EH6" s="20">
        <v>2496.5890909090908</v>
      </c>
      <c r="EI6" s="20">
        <v>2946.5590909090911</v>
      </c>
      <c r="EJ6" s="20">
        <v>2556.8115454545455</v>
      </c>
      <c r="EK6" s="20">
        <v>2348.0445454545456</v>
      </c>
      <c r="EL6" s="20">
        <v>3226.2545454545457</v>
      </c>
      <c r="EM6" s="20">
        <v>2414.8245454545454</v>
      </c>
      <c r="EN6" s="20">
        <v>2728.0545454545454</v>
      </c>
      <c r="EO6" s="20">
        <v>2869.5645454545456</v>
      </c>
      <c r="EP6" s="29">
        <f>SUM(ED6:EO6)</f>
        <v>31178.208818181822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9">
        <f>SUM(ER6:FC6)</f>
        <v>0</v>
      </c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9">
        <f>SUM(FF6:FQ6)</f>
        <v>0</v>
      </c>
    </row>
    <row r="7" spans="1:174" ht="15.65" customHeight="1" x14ac:dyDescent="0.35">
      <c r="A7" s="3">
        <f t="shared" si="3"/>
        <v>4</v>
      </c>
      <c r="B7" s="3" t="s">
        <v>96</v>
      </c>
      <c r="C7" s="3" t="s">
        <v>54</v>
      </c>
      <c r="D7" s="25" t="s">
        <v>54</v>
      </c>
      <c r="E7" s="26" t="s">
        <v>105</v>
      </c>
      <c r="F7" s="20">
        <v>67.509566000000007</v>
      </c>
      <c r="G7" s="20">
        <v>146.57459200000002</v>
      </c>
      <c r="H7" s="20">
        <v>512.58851200000004</v>
      </c>
      <c r="I7" s="20">
        <v>669.23911199999998</v>
      </c>
      <c r="J7" s="20">
        <v>986.13165299999991</v>
      </c>
      <c r="K7" s="20">
        <v>456.94687799999997</v>
      </c>
      <c r="L7" s="20">
        <v>1054.6790510000001</v>
      </c>
      <c r="M7" s="20">
        <v>1179.6289380000001</v>
      </c>
      <c r="N7" s="20">
        <v>1152.5309690000001</v>
      </c>
      <c r="O7" s="20">
        <v>1779.200458</v>
      </c>
      <c r="P7" s="20">
        <v>1553.5872850000001</v>
      </c>
      <c r="Q7" s="546">
        <v>2043.1246169175902</v>
      </c>
      <c r="R7" s="555">
        <f t="shared" si="4"/>
        <v>966.81180257646599</v>
      </c>
      <c r="S7" s="549">
        <v>1729.6174993199998</v>
      </c>
      <c r="T7" s="20">
        <v>1517.450685</v>
      </c>
      <c r="U7" s="20">
        <v>1767.7928019999999</v>
      </c>
      <c r="V7" s="20">
        <v>1045.8530069999999</v>
      </c>
      <c r="W7" s="20">
        <v>972.024225</v>
      </c>
      <c r="X7" s="20">
        <v>591.19552299999998</v>
      </c>
      <c r="Y7" s="20">
        <f>1583.965548-506.673668749945</f>
        <v>1077.291879250055</v>
      </c>
      <c r="Z7" s="20">
        <f>42.626848+506.673668749945</f>
        <v>549.30051674994502</v>
      </c>
      <c r="AA7" s="20">
        <v>1071.8952039999999</v>
      </c>
      <c r="AB7" s="20">
        <v>1893.504713</v>
      </c>
      <c r="AC7" s="20">
        <v>1720.675248</v>
      </c>
      <c r="AD7" s="20">
        <v>321.65228200000001</v>
      </c>
      <c r="AE7" s="20">
        <v>0</v>
      </c>
      <c r="AF7" s="554">
        <f t="shared" si="5"/>
        <v>14258.253584319998</v>
      </c>
      <c r="AG7" s="555">
        <f t="shared" si="6"/>
        <v>1188.1877986933332</v>
      </c>
      <c r="AH7" s="549">
        <v>333.00160199999999</v>
      </c>
      <c r="AI7" s="20">
        <v>880.94690900000001</v>
      </c>
      <c r="AJ7" s="20">
        <v>1570.44211</v>
      </c>
      <c r="AK7" s="20">
        <v>1637.622398</v>
      </c>
      <c r="AL7" s="20">
        <v>1960.972215</v>
      </c>
      <c r="AM7" s="20">
        <v>1965.8736960000001</v>
      </c>
      <c r="AN7" s="20">
        <v>2547.1120740000001</v>
      </c>
      <c r="AO7" s="20">
        <v>2288.513414</v>
      </c>
      <c r="AP7" s="20">
        <v>1962.463364</v>
      </c>
      <c r="AQ7" s="20">
        <v>621.36740599999996</v>
      </c>
      <c r="AR7" s="20">
        <v>578.64556600000003</v>
      </c>
      <c r="AS7" s="20">
        <v>1143.2730710000001</v>
      </c>
      <c r="AT7" s="20"/>
      <c r="AU7" s="555">
        <f t="shared" si="7"/>
        <v>1457.5194854166666</v>
      </c>
      <c r="AV7" s="549">
        <v>891.17733899999996</v>
      </c>
      <c r="AW7" s="20">
        <v>288.56129600000003</v>
      </c>
      <c r="AX7" s="20">
        <v>1763.335605</v>
      </c>
      <c r="AY7" s="20">
        <v>1386.5963529999999</v>
      </c>
      <c r="AZ7" s="20">
        <v>1815.041453</v>
      </c>
      <c r="BA7" s="20">
        <v>1711.9735989999999</v>
      </c>
      <c r="BB7" s="20"/>
      <c r="BC7" s="20"/>
      <c r="BD7" s="20"/>
      <c r="BE7" s="20"/>
      <c r="BF7" s="20"/>
      <c r="BG7" s="20"/>
      <c r="BH7" s="20">
        <f t="shared" si="8"/>
        <v>1309.4476075</v>
      </c>
      <c r="BI7" s="41" cm="1">
        <f t="array" ref="BI7">INDEX(BL7:BW7,$BL$1)</f>
        <v>1367.5559174597081</v>
      </c>
      <c r="BJ7" s="27"/>
      <c r="BK7" s="597"/>
      <c r="BL7" s="20">
        <v>1261.1159216334902</v>
      </c>
      <c r="BM7" s="20">
        <v>1061.7856150241835</v>
      </c>
      <c r="BN7" s="20">
        <v>1335.6927381118819</v>
      </c>
      <c r="BO7" s="20">
        <v>1335.6927381118819</v>
      </c>
      <c r="BP7" s="20">
        <v>1335.6927381118819</v>
      </c>
      <c r="BQ7" s="20">
        <v>1367.5559174597081</v>
      </c>
      <c r="BR7" s="20">
        <v>1380.1000858728389</v>
      </c>
      <c r="BS7" s="20">
        <v>1411.9632652206651</v>
      </c>
      <c r="BT7" s="20">
        <v>1380.1000858728389</v>
      </c>
      <c r="BU7" s="20">
        <v>1411.9632652206651</v>
      </c>
      <c r="BV7" s="20">
        <v>1380.1000858728389</v>
      </c>
      <c r="BW7" s="20">
        <v>1411.9632652206651</v>
      </c>
      <c r="BX7" s="28">
        <f t="shared" si="9"/>
        <v>16073.725721733541</v>
      </c>
      <c r="BY7" s="927">
        <f t="shared" si="10"/>
        <v>0</v>
      </c>
      <c r="BZ7" s="20">
        <f>BL7</f>
        <v>1261.1159216334902</v>
      </c>
      <c r="CA7" s="20">
        <f t="shared" ref="CA7:CA8" si="18">BM7</f>
        <v>1061.7856150241835</v>
      </c>
      <c r="CB7" s="20">
        <f t="shared" ref="CB7:CB8" si="19">BN7</f>
        <v>1335.6927381118819</v>
      </c>
      <c r="CC7" s="20">
        <f t="shared" ref="CC7:CC8" si="20">BO7</f>
        <v>1335.6927381118819</v>
      </c>
      <c r="CD7" s="20">
        <f t="shared" ref="CD7:CD8" si="21">BP7</f>
        <v>1335.6927381118819</v>
      </c>
      <c r="CE7" s="20">
        <f t="shared" ref="CE7:CE8" si="22">BQ7</f>
        <v>1367.5559174597081</v>
      </c>
      <c r="CF7" s="20">
        <f t="shared" ref="CF7:CF8" si="23">BR7</f>
        <v>1380.1000858728389</v>
      </c>
      <c r="CG7" s="20">
        <f t="shared" ref="CG7:CG8" si="24">BS7</f>
        <v>1411.9632652206651</v>
      </c>
      <c r="CH7" s="20">
        <f t="shared" ref="CH7:CH8" si="25">BT7</f>
        <v>1380.1000858728389</v>
      </c>
      <c r="CI7" s="20">
        <f t="shared" ref="CI7:CI8" si="26">BU7</f>
        <v>1411.9632652206651</v>
      </c>
      <c r="CJ7" s="20">
        <f t="shared" ref="CJ7:CJ8" si="27">BV7</f>
        <v>1380.1000858728389</v>
      </c>
      <c r="CK7" s="20">
        <f t="shared" ref="CK7:CK8" si="28">BW7</f>
        <v>1411.9632652206651</v>
      </c>
      <c r="CL7" s="28">
        <f t="shared" ref="CL7:CL8" si="29">SUM(BZ7:CK7)</f>
        <v>16073.725721733541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8">
        <f t="shared" ref="CZ7:CZ8" si="30">SUM(CN7:CY7)</f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8">
        <f t="shared" ref="DN7:DN8" si="31">SUM(DB7:DM7)</f>
        <v>0</v>
      </c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8">
        <f t="shared" ref="EB7:EB8" si="32">SUM(DP7:EA7)</f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8">
        <f t="shared" ref="EP7:EP8" si="33">SUM(ED7:EO7)</f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8">
        <f t="shared" ref="FD7:FD8" si="34">SUM(ER7:FC7)</f>
        <v>0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8">
        <f t="shared" ref="FR7:FR8" si="35">SUM(FF7:FQ7)</f>
        <v>0</v>
      </c>
    </row>
    <row r="8" spans="1:174" ht="14.9" customHeight="1" x14ac:dyDescent="0.35">
      <c r="A8" s="3">
        <f t="shared" si="3"/>
        <v>5</v>
      </c>
      <c r="B8" s="3" t="s">
        <v>96</v>
      </c>
      <c r="C8" s="3" t="s">
        <v>56</v>
      </c>
      <c r="D8" s="25" t="s">
        <v>56</v>
      </c>
      <c r="E8" s="26" t="s">
        <v>105</v>
      </c>
      <c r="F8" s="20">
        <v>152.05214899999999</v>
      </c>
      <c r="G8" s="20">
        <v>295.56509199999999</v>
      </c>
      <c r="H8" s="20">
        <v>305.73982000000001</v>
      </c>
      <c r="I8" s="20">
        <v>277.99661799999996</v>
      </c>
      <c r="J8" s="20">
        <v>375.61647699999997</v>
      </c>
      <c r="K8" s="20">
        <v>369.88611800000001</v>
      </c>
      <c r="L8" s="20">
        <v>387.17141699999996</v>
      </c>
      <c r="M8" s="20">
        <v>391.41397599999993</v>
      </c>
      <c r="N8" s="20">
        <v>380.972599</v>
      </c>
      <c r="O8" s="20">
        <v>419.34907600000003</v>
      </c>
      <c r="P8" s="20">
        <v>320.70876299999998</v>
      </c>
      <c r="Q8" s="546">
        <v>684.97181799999998</v>
      </c>
      <c r="R8" s="555">
        <f t="shared" si="4"/>
        <v>363.45366024999998</v>
      </c>
      <c r="S8" s="549">
        <v>914.03018499999996</v>
      </c>
      <c r="T8" s="20">
        <v>427.32569400000011</v>
      </c>
      <c r="U8" s="20">
        <v>761.12916300000006</v>
      </c>
      <c r="V8" s="20">
        <v>676.13008899999988</v>
      </c>
      <c r="W8" s="20">
        <v>693.03544600000009</v>
      </c>
      <c r="X8" s="20">
        <v>782.97129899999982</v>
      </c>
      <c r="Y8" s="20">
        <v>321.45073600000001</v>
      </c>
      <c r="Z8" s="20">
        <v>361.48229300000003</v>
      </c>
      <c r="AA8" s="20">
        <v>516.38720899999998</v>
      </c>
      <c r="AB8" s="20">
        <v>707.21815000000004</v>
      </c>
      <c r="AC8" s="20">
        <v>824.52075600000001</v>
      </c>
      <c r="AD8" s="20">
        <v>612.23483699999997</v>
      </c>
      <c r="AE8" s="20">
        <v>0</v>
      </c>
      <c r="AF8" s="554">
        <f t="shared" si="5"/>
        <v>7597.9158569999991</v>
      </c>
      <c r="AG8" s="555">
        <f t="shared" si="6"/>
        <v>633.15965474999996</v>
      </c>
      <c r="AH8" s="549">
        <v>300.54102</v>
      </c>
      <c r="AI8" s="20">
        <v>507.62118800000002</v>
      </c>
      <c r="AJ8" s="20">
        <v>790.04556200000002</v>
      </c>
      <c r="AK8" s="20">
        <v>662.42186100000004</v>
      </c>
      <c r="AL8" s="20">
        <v>955.79570799999999</v>
      </c>
      <c r="AM8" s="20">
        <v>756.01673500000004</v>
      </c>
      <c r="AN8" s="20">
        <v>856.03756999999996</v>
      </c>
      <c r="AO8" s="20">
        <v>870.71485299999995</v>
      </c>
      <c r="AP8" s="20">
        <v>886.40273999999999</v>
      </c>
      <c r="AQ8" s="20">
        <v>635.75522799999999</v>
      </c>
      <c r="AR8" s="20">
        <v>533.96862999999996</v>
      </c>
      <c r="AS8" s="20">
        <v>735.36080700000002</v>
      </c>
      <c r="AT8" s="20"/>
      <c r="AU8" s="555">
        <f t="shared" si="7"/>
        <v>707.55682516666673</v>
      </c>
      <c r="AV8" s="549">
        <v>606.64757799999995</v>
      </c>
      <c r="AW8" s="20">
        <v>347.65498300000002</v>
      </c>
      <c r="AX8" s="20">
        <v>813.90419799999995</v>
      </c>
      <c r="AY8" s="20">
        <v>1024.397252</v>
      </c>
      <c r="AZ8" s="20">
        <v>785.37370599999997</v>
      </c>
      <c r="BA8" s="20">
        <v>869.92020300000001</v>
      </c>
      <c r="BB8" s="20"/>
      <c r="BC8" s="20"/>
      <c r="BD8" s="20"/>
      <c r="BE8" s="20"/>
      <c r="BF8" s="20"/>
      <c r="BG8" s="20"/>
      <c r="BH8" s="20">
        <f t="shared" si="8"/>
        <v>741.31631999999991</v>
      </c>
      <c r="BI8" s="41" cm="1">
        <f t="array" ref="BI8">INDEX(BL8:BW8,$BL$1)</f>
        <v>735.360959548555</v>
      </c>
      <c r="BJ8" s="27"/>
      <c r="BK8" s="597"/>
      <c r="BL8" s="20">
        <v>679.00817341923403</v>
      </c>
      <c r="BM8" s="20">
        <v>562.30502743922989</v>
      </c>
      <c r="BN8" s="20">
        <v>711.9129784782557</v>
      </c>
      <c r="BO8" s="20">
        <v>715.21167396458748</v>
      </c>
      <c r="BP8" s="20">
        <v>711.9129784782557</v>
      </c>
      <c r="BQ8" s="20">
        <v>735.360959548555</v>
      </c>
      <c r="BR8" s="20">
        <v>745.36358318346674</v>
      </c>
      <c r="BS8" s="20">
        <v>753.96743456527292</v>
      </c>
      <c r="BT8" s="20">
        <v>753.61032189929642</v>
      </c>
      <c r="BU8" s="20">
        <v>757.2661300516047</v>
      </c>
      <c r="BV8" s="20">
        <v>742.06488769713496</v>
      </c>
      <c r="BW8" s="20">
        <v>753.96743456527292</v>
      </c>
      <c r="BX8" s="28">
        <f t="shared" si="9"/>
        <v>8621.951583290167</v>
      </c>
      <c r="BY8" s="927">
        <f t="shared" si="10"/>
        <v>0</v>
      </c>
      <c r="BZ8" s="20">
        <f>BL8</f>
        <v>679.00817341923403</v>
      </c>
      <c r="CA8" s="20">
        <f t="shared" si="18"/>
        <v>562.30502743922989</v>
      </c>
      <c r="CB8" s="20">
        <f t="shared" si="19"/>
        <v>711.9129784782557</v>
      </c>
      <c r="CC8" s="20">
        <f t="shared" si="20"/>
        <v>715.21167396458748</v>
      </c>
      <c r="CD8" s="20">
        <f t="shared" si="21"/>
        <v>711.9129784782557</v>
      </c>
      <c r="CE8" s="20">
        <f t="shared" si="22"/>
        <v>735.360959548555</v>
      </c>
      <c r="CF8" s="20">
        <f t="shared" si="23"/>
        <v>745.36358318346674</v>
      </c>
      <c r="CG8" s="20">
        <f t="shared" si="24"/>
        <v>753.96743456527292</v>
      </c>
      <c r="CH8" s="20">
        <f t="shared" si="25"/>
        <v>753.61032189929642</v>
      </c>
      <c r="CI8" s="20">
        <f t="shared" si="26"/>
        <v>757.2661300516047</v>
      </c>
      <c r="CJ8" s="20">
        <f t="shared" si="27"/>
        <v>742.06488769713496</v>
      </c>
      <c r="CK8" s="20">
        <f t="shared" si="28"/>
        <v>753.96743456527292</v>
      </c>
      <c r="CL8" s="28">
        <f t="shared" si="29"/>
        <v>8621.951583290167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8">
        <f t="shared" si="30"/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8">
        <f t="shared" si="31"/>
        <v>0</v>
      </c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8">
        <f t="shared" si="32"/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8">
        <f t="shared" si="33"/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8">
        <f t="shared" si="34"/>
        <v>0</v>
      </c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8">
        <f t="shared" si="35"/>
        <v>0</v>
      </c>
    </row>
    <row r="9" spans="1:174" ht="14.9" customHeight="1" x14ac:dyDescent="0.3">
      <c r="A9" s="3">
        <f t="shared" si="3"/>
        <v>6</v>
      </c>
      <c r="B9" s="3" t="s">
        <v>96</v>
      </c>
      <c r="C9" s="3" t="s">
        <v>165</v>
      </c>
      <c r="D9" s="25" t="s">
        <v>29</v>
      </c>
      <c r="E9" s="26" t="s">
        <v>105</v>
      </c>
      <c r="F9" s="20">
        <v>0</v>
      </c>
      <c r="G9" s="20">
        <v>0</v>
      </c>
      <c r="H9" s="20">
        <v>426.75335999999999</v>
      </c>
      <c r="I9" s="20">
        <v>314.04383999999999</v>
      </c>
      <c r="J9" s="20">
        <v>316.64791600000001</v>
      </c>
      <c r="K9" s="20">
        <v>377.27540199999999</v>
      </c>
      <c r="L9" s="20">
        <v>339.93937799999998</v>
      </c>
      <c r="M9" s="20">
        <v>613.21908499999995</v>
      </c>
      <c r="N9" s="20">
        <v>372.68747999999999</v>
      </c>
      <c r="O9" s="20">
        <v>500.14404000000002</v>
      </c>
      <c r="P9" s="20">
        <v>484.915728</v>
      </c>
      <c r="Q9" s="546">
        <v>325.56348000000003</v>
      </c>
      <c r="R9" s="555">
        <f t="shared" si="4"/>
        <v>339.26580908333335</v>
      </c>
      <c r="S9" s="549">
        <v>339.423744</v>
      </c>
      <c r="T9" s="20">
        <v>271.41840000000002</v>
      </c>
      <c r="U9" s="20">
        <v>484.68288000000001</v>
      </c>
      <c r="V9" s="20">
        <v>947.58528799999999</v>
      </c>
      <c r="W9" s="20">
        <v>732.2506800000001</v>
      </c>
      <c r="X9" s="20">
        <v>1259.908312</v>
      </c>
      <c r="Y9" s="20">
        <v>706.50883999999996</v>
      </c>
      <c r="Z9" s="20">
        <v>1228.5705700000001</v>
      </c>
      <c r="AA9" s="20">
        <v>805.49770000000001</v>
      </c>
      <c r="AB9" s="20">
        <v>568.12613599999997</v>
      </c>
      <c r="AC9" s="20">
        <v>338.54038000000003</v>
      </c>
      <c r="AD9" s="20">
        <v>685.16210000000001</v>
      </c>
      <c r="AE9" s="569">
        <v>518.31517199999996</v>
      </c>
      <c r="AF9" s="554">
        <f t="shared" si="5"/>
        <v>8885.9902020000009</v>
      </c>
      <c r="AG9" s="555">
        <f t="shared" si="6"/>
        <v>740.49918350000007</v>
      </c>
      <c r="AH9" s="549">
        <v>1156.6487239999999</v>
      </c>
      <c r="AI9" s="20">
        <v>1395.98984</v>
      </c>
      <c r="AJ9" s="20">
        <v>718.93884000000003</v>
      </c>
      <c r="AK9" s="20">
        <v>873.72567000000004</v>
      </c>
      <c r="AL9" s="20">
        <v>801.81133</v>
      </c>
      <c r="AM9" s="20">
        <v>522.88598000000002</v>
      </c>
      <c r="AN9" s="20">
        <v>827.00774000000001</v>
      </c>
      <c r="AO9" s="20">
        <v>729.09578999999997</v>
      </c>
      <c r="AP9" s="20">
        <v>673.07974899999999</v>
      </c>
      <c r="AQ9" s="20">
        <v>529.61419999999998</v>
      </c>
      <c r="AR9" s="20">
        <v>465.29880000000003</v>
      </c>
      <c r="AS9" s="20">
        <v>721.77290000000005</v>
      </c>
      <c r="AT9" s="20">
        <v>-258.43817999999999</v>
      </c>
      <c r="AU9" s="555">
        <f t="shared" si="7"/>
        <v>763.11928191666675</v>
      </c>
      <c r="AV9" s="549">
        <f>982.995182+301.22892</f>
        <v>1284.2241020000001</v>
      </c>
      <c r="AW9" s="20">
        <v>828.22527300000002</v>
      </c>
      <c r="AX9" s="20">
        <v>2221.2707989999999</v>
      </c>
      <c r="AY9" s="20">
        <v>2175.5773250000002</v>
      </c>
      <c r="AZ9" s="20">
        <v>2044.5937100000001</v>
      </c>
      <c r="BA9" s="20">
        <v>849.92965200000003</v>
      </c>
      <c r="BB9" s="20"/>
      <c r="BC9" s="20"/>
      <c r="BD9" s="20"/>
      <c r="BE9" s="20"/>
      <c r="BF9" s="20"/>
      <c r="BG9" s="20"/>
      <c r="BH9" s="20">
        <f t="shared" si="8"/>
        <v>1567.3034768333337</v>
      </c>
      <c r="BI9" s="41" cm="1">
        <f t="array" ref="BI9">INDEX(BL9:BW9,$BL$1)</f>
        <v>552.36918000000003</v>
      </c>
      <c r="BJ9" s="30"/>
      <c r="BK9" s="597"/>
      <c r="BL9" s="20">
        <v>570.50048000000004</v>
      </c>
      <c r="BM9" s="20">
        <v>541.35047999999995</v>
      </c>
      <c r="BN9" s="20">
        <v>570.50048000000004</v>
      </c>
      <c r="BO9" s="20">
        <v>548.69628</v>
      </c>
      <c r="BP9" s="20">
        <v>581.51918000000001</v>
      </c>
      <c r="BQ9" s="20">
        <v>552.36918000000003</v>
      </c>
      <c r="BR9" s="20">
        <v>581.51918000000001</v>
      </c>
      <c r="BS9" s="20">
        <v>552.36918000000003</v>
      </c>
      <c r="BT9" s="20">
        <v>581.51918000000001</v>
      </c>
      <c r="BU9" s="20">
        <v>552.36918000000003</v>
      </c>
      <c r="BV9" s="20">
        <v>582.52088000000003</v>
      </c>
      <c r="BW9" s="20">
        <v>556.04208000000006</v>
      </c>
      <c r="BX9" s="28">
        <f>SUM(BL9:BW9)</f>
        <v>6771.2757599999995</v>
      </c>
      <c r="BY9" s="927">
        <f t="shared" si="10"/>
        <v>0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8">
        <f>SUM(BZ9:CK9)</f>
        <v>0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8">
        <f>SUM(CN9:CY9)</f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8">
        <f>SUM(DB9:DM9)</f>
        <v>0</v>
      </c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8">
        <f>SUM(DP9:EA9)</f>
        <v>0</v>
      </c>
      <c r="ED9" s="20">
        <v>570.50048000000004</v>
      </c>
      <c r="EE9" s="20">
        <v>541.35047999999995</v>
      </c>
      <c r="EF9" s="20">
        <v>570.50048000000004</v>
      </c>
      <c r="EG9" s="20">
        <v>548.69628</v>
      </c>
      <c r="EH9" s="20">
        <v>581.51918000000001</v>
      </c>
      <c r="EI9" s="20">
        <v>552.36918000000003</v>
      </c>
      <c r="EJ9" s="20">
        <v>581.51918000000001</v>
      </c>
      <c r="EK9" s="20">
        <v>552.36918000000003</v>
      </c>
      <c r="EL9" s="20">
        <v>581.51918000000001</v>
      </c>
      <c r="EM9" s="20">
        <v>552.36918000000003</v>
      </c>
      <c r="EN9" s="20">
        <v>582.52088000000003</v>
      </c>
      <c r="EO9" s="20">
        <v>556.04208000000006</v>
      </c>
      <c r="EP9" s="28">
        <f>SUM(ED9:EO9)</f>
        <v>6771.2757599999995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8">
        <f>SUM(ER9:FC9)</f>
        <v>0</v>
      </c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8">
        <f>SUM(FF9:FQ9)</f>
        <v>0</v>
      </c>
    </row>
    <row r="10" spans="1:174" ht="14.9" customHeight="1" x14ac:dyDescent="0.3">
      <c r="A10" s="3">
        <f t="shared" si="3"/>
        <v>7</v>
      </c>
      <c r="B10" s="579" t="s">
        <v>96</v>
      </c>
      <c r="C10" s="579" t="s">
        <v>165</v>
      </c>
      <c r="D10" s="580" t="s">
        <v>261</v>
      </c>
      <c r="E10" s="581" t="s">
        <v>105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546"/>
      <c r="R10" s="555"/>
      <c r="S10" s="549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569"/>
      <c r="AF10" s="554"/>
      <c r="AG10" s="555"/>
      <c r="AH10" s="549">
        <v>0</v>
      </c>
      <c r="AI10" s="549">
        <v>0</v>
      </c>
      <c r="AJ10" s="549">
        <v>0</v>
      </c>
      <c r="AK10" s="549">
        <v>0</v>
      </c>
      <c r="AL10" s="549">
        <v>0</v>
      </c>
      <c r="AM10" s="549">
        <v>0</v>
      </c>
      <c r="AN10" s="549">
        <v>0</v>
      </c>
      <c r="AO10" s="549">
        <v>0</v>
      </c>
      <c r="AP10" s="549">
        <v>0</v>
      </c>
      <c r="AQ10" s="20">
        <v>988.51324299999999</v>
      </c>
      <c r="AR10" s="20">
        <v>536.59992299999999</v>
      </c>
      <c r="AS10" s="20">
        <v>0</v>
      </c>
      <c r="AT10" s="20"/>
      <c r="AU10" s="555">
        <f t="shared" si="7"/>
        <v>127.09276383333334</v>
      </c>
      <c r="AV10" s="549">
        <v>0</v>
      </c>
      <c r="AW10" s="973">
        <v>114.905933</v>
      </c>
      <c r="AX10" s="973">
        <v>381.94966399999998</v>
      </c>
      <c r="AY10" s="973">
        <v>29.654150000000001</v>
      </c>
      <c r="AZ10" s="549">
        <v>145.027728</v>
      </c>
      <c r="BA10" s="549">
        <v>367.85</v>
      </c>
      <c r="BB10" s="549"/>
      <c r="BC10" s="549"/>
      <c r="BD10" s="549"/>
      <c r="BE10" s="20"/>
      <c r="BF10" s="20"/>
      <c r="BG10" s="20"/>
      <c r="BH10" s="20">
        <f t="shared" si="8"/>
        <v>173.23124583333333</v>
      </c>
      <c r="BI10" s="41" cm="1">
        <f t="array" ref="BI10">INDEX(BL10:BW10,$BL$1)</f>
        <v>2.0833333333333299</v>
      </c>
      <c r="BJ10" s="30"/>
      <c r="BK10" s="597"/>
      <c r="BL10" s="974">
        <f>5+2.08333333333333</f>
        <v>7.0833333333333304</v>
      </c>
      <c r="BM10" s="974">
        <v>2.0833333333333299</v>
      </c>
      <c r="BN10" s="974">
        <v>2.0833333333333299</v>
      </c>
      <c r="BO10" s="974">
        <f>5+2.08333333333333</f>
        <v>7.0833333333333304</v>
      </c>
      <c r="BP10" s="974">
        <v>2.0833333333333299</v>
      </c>
      <c r="BQ10" s="974">
        <v>2.0833333333333299</v>
      </c>
      <c r="BR10" s="974">
        <f>5+2.08333333333333</f>
        <v>7.0833333333333304</v>
      </c>
      <c r="BS10" s="974">
        <v>2.0833333333333299</v>
      </c>
      <c r="BT10" s="974">
        <v>2.0833333333333299</v>
      </c>
      <c r="BU10" s="974">
        <f>5+2.08333333333333</f>
        <v>7.0833333333333304</v>
      </c>
      <c r="BV10" s="974">
        <v>2.0833333333333299</v>
      </c>
      <c r="BW10" s="974">
        <f>5+2.08333333333333</f>
        <v>7.0833333333333304</v>
      </c>
      <c r="BX10" s="28">
        <f>SUM(BL10:BW10)</f>
        <v>49.99999999999995</v>
      </c>
      <c r="BY10" s="927">
        <f t="shared" si="10"/>
        <v>49.99999999999995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8">
        <f>SUM(BZ10:CK10)</f>
        <v>0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8">
        <f>SUM(CN10:CY10)</f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8">
        <f>SUM(DB10:DM10)</f>
        <v>0</v>
      </c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8">
        <f>SUM(DP10:EA10)</f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8">
        <f>SUM(ED10:EO10)</f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8">
        <f>SUM(ER10:FC10)</f>
        <v>0</v>
      </c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8">
        <f>SUM(FF10:FQ10)</f>
        <v>0</v>
      </c>
    </row>
    <row r="11" spans="1:174" x14ac:dyDescent="0.3">
      <c r="A11" s="3">
        <f t="shared" si="3"/>
        <v>8</v>
      </c>
      <c r="B11" s="3" t="s">
        <v>96</v>
      </c>
      <c r="C11" s="3" t="s">
        <v>28</v>
      </c>
      <c r="D11" s="25" t="s">
        <v>28</v>
      </c>
      <c r="E11" s="26" t="s">
        <v>105</v>
      </c>
      <c r="F11" s="20">
        <v>182.590125</v>
      </c>
      <c r="G11" s="20">
        <v>256.21135399999997</v>
      </c>
      <c r="H11" s="20">
        <v>301.69390099999998</v>
      </c>
      <c r="I11" s="20">
        <v>299.17255299999999</v>
      </c>
      <c r="J11" s="20">
        <v>189.954498</v>
      </c>
      <c r="K11" s="20">
        <v>375.78277400000002</v>
      </c>
      <c r="L11" s="20">
        <v>320.30577699999998</v>
      </c>
      <c r="M11" s="20">
        <v>367.61022300000002</v>
      </c>
      <c r="N11" s="20">
        <v>353.52910800000001</v>
      </c>
      <c r="O11" s="20">
        <v>388.27704899999998</v>
      </c>
      <c r="P11" s="20">
        <v>446.71388200000001</v>
      </c>
      <c r="Q11" s="546">
        <v>393.87627199999997</v>
      </c>
      <c r="R11" s="555">
        <f t="shared" si="4"/>
        <v>322.9764596666667</v>
      </c>
      <c r="S11" s="549">
        <v>384.35845499999999</v>
      </c>
      <c r="T11" s="20">
        <v>269.68292200000002</v>
      </c>
      <c r="U11" s="20">
        <v>412.65767</v>
      </c>
      <c r="V11" s="20">
        <v>390.64389699999998</v>
      </c>
      <c r="W11" s="20">
        <v>392.92402099999998</v>
      </c>
      <c r="X11" s="20">
        <v>355.37142</v>
      </c>
      <c r="Y11" s="20">
        <v>315.85756800000001</v>
      </c>
      <c r="Z11" s="20">
        <v>267.82147500000002</v>
      </c>
      <c r="AA11" s="20">
        <v>264.09719999999999</v>
      </c>
      <c r="AB11" s="20">
        <v>311.196507</v>
      </c>
      <c r="AC11" s="20">
        <v>316.83887600000003</v>
      </c>
      <c r="AD11" s="20">
        <v>291.81857300000001</v>
      </c>
      <c r="AE11" s="569">
        <v>-0.72727299999999995</v>
      </c>
      <c r="AF11" s="554">
        <f t="shared" si="5"/>
        <v>3972.5413110000009</v>
      </c>
      <c r="AG11" s="555">
        <f t="shared" si="6"/>
        <v>331.04510925000005</v>
      </c>
      <c r="AH11" s="549">
        <v>173.80477400000001</v>
      </c>
      <c r="AI11" s="20">
        <v>221.54872700000001</v>
      </c>
      <c r="AJ11" s="20">
        <v>282.94844999999998</v>
      </c>
      <c r="AK11" s="20">
        <v>237.639893</v>
      </c>
      <c r="AL11" s="20">
        <v>248.403773</v>
      </c>
      <c r="AM11" s="20">
        <v>230.558333</v>
      </c>
      <c r="AN11" s="20">
        <v>259.28506900000002</v>
      </c>
      <c r="AO11" s="20">
        <v>187.38511500000001</v>
      </c>
      <c r="AP11" s="20">
        <v>275.35231099999999</v>
      </c>
      <c r="AQ11" s="20">
        <v>215.80422200000001</v>
      </c>
      <c r="AR11" s="20">
        <v>191.98058</v>
      </c>
      <c r="AS11" s="20">
        <v>190.675433</v>
      </c>
      <c r="AT11" s="20"/>
      <c r="AU11" s="555">
        <f t="shared" si="7"/>
        <v>226.28222333333335</v>
      </c>
      <c r="AV11" s="549">
        <v>161.39285799999999</v>
      </c>
      <c r="AW11" s="20">
        <v>107.566253</v>
      </c>
      <c r="AX11" s="20">
        <v>342.43532299999998</v>
      </c>
      <c r="AY11" s="20">
        <v>395.56823600000001</v>
      </c>
      <c r="AZ11" s="20">
        <v>356.91601600000001</v>
      </c>
      <c r="BA11" s="20">
        <v>336.94108699999998</v>
      </c>
      <c r="BB11" s="20"/>
      <c r="BC11" s="20"/>
      <c r="BD11" s="20"/>
      <c r="BE11" s="20"/>
      <c r="BF11" s="20"/>
      <c r="BG11" s="20"/>
      <c r="BH11" s="20">
        <f t="shared" si="8"/>
        <v>283.46996216666668</v>
      </c>
      <c r="BI11" s="41" cm="1">
        <f t="array" ref="BI11">INDEX(BL11:BW11,$BL$1)</f>
        <v>231.92</v>
      </c>
      <c r="BJ11" s="30"/>
      <c r="BK11" s="597"/>
      <c r="BL11" s="20">
        <v>231.92</v>
      </c>
      <c r="BM11" s="20">
        <v>231.92</v>
      </c>
      <c r="BN11" s="20">
        <v>231.92</v>
      </c>
      <c r="BO11" s="20">
        <v>231.92</v>
      </c>
      <c r="BP11" s="20">
        <v>231.92</v>
      </c>
      <c r="BQ11" s="20">
        <v>231.92</v>
      </c>
      <c r="BR11" s="20">
        <v>231.92</v>
      </c>
      <c r="BS11" s="20">
        <v>231.92</v>
      </c>
      <c r="BT11" s="20">
        <v>231.92</v>
      </c>
      <c r="BU11" s="20">
        <v>231.92</v>
      </c>
      <c r="BV11" s="20">
        <v>231.92</v>
      </c>
      <c r="BW11" s="20">
        <v>231.92</v>
      </c>
      <c r="BX11" s="28">
        <f t="shared" si="9"/>
        <v>2783.0400000000004</v>
      </c>
      <c r="BY11" s="927">
        <f t="shared" si="10"/>
        <v>0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8">
        <f t="shared" ref="CL11:CL16" si="36">SUM(BZ11:CK11)</f>
        <v>0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8">
        <f t="shared" ref="CZ11:CZ16" si="37">SUM(CN11:CY11)</f>
        <v>0</v>
      </c>
      <c r="DB11" s="20">
        <v>214.12</v>
      </c>
      <c r="DC11" s="20">
        <v>214.12</v>
      </c>
      <c r="DD11" s="20">
        <v>214.12</v>
      </c>
      <c r="DE11" s="20">
        <v>214.12</v>
      </c>
      <c r="DF11" s="20">
        <v>214.12</v>
      </c>
      <c r="DG11" s="20">
        <v>214.12</v>
      </c>
      <c r="DH11" s="20">
        <v>214.12</v>
      </c>
      <c r="DI11" s="20">
        <v>214.12</v>
      </c>
      <c r="DJ11" s="20">
        <v>214.12</v>
      </c>
      <c r="DK11" s="20">
        <v>214.12</v>
      </c>
      <c r="DL11" s="20">
        <v>214.12</v>
      </c>
      <c r="DM11" s="20">
        <v>214.12</v>
      </c>
      <c r="DN11" s="28">
        <f t="shared" ref="DN11:DN16" si="38">SUM(DB11:DM11)</f>
        <v>2569.4399999999991</v>
      </c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8">
        <f t="shared" ref="EB11:EB16" si="39">SUM(DP11:EA11)</f>
        <v>0</v>
      </c>
      <c r="ED11" s="20">
        <v>12</v>
      </c>
      <c r="EE11" s="20">
        <v>12</v>
      </c>
      <c r="EF11" s="20">
        <v>12</v>
      </c>
      <c r="EG11" s="20">
        <v>12</v>
      </c>
      <c r="EH11" s="20">
        <v>12</v>
      </c>
      <c r="EI11" s="20">
        <v>12</v>
      </c>
      <c r="EJ11" s="20">
        <v>12</v>
      </c>
      <c r="EK11" s="20">
        <v>12</v>
      </c>
      <c r="EL11" s="20">
        <v>12</v>
      </c>
      <c r="EM11" s="20">
        <v>12</v>
      </c>
      <c r="EN11" s="20">
        <v>12</v>
      </c>
      <c r="EO11" s="20">
        <v>12</v>
      </c>
      <c r="EP11" s="28">
        <f t="shared" ref="EP11:EP16" si="40">SUM(ED11:EO11)</f>
        <v>144</v>
      </c>
      <c r="ER11" s="20">
        <v>5.8</v>
      </c>
      <c r="ES11" s="20">
        <v>5.8</v>
      </c>
      <c r="ET11" s="20">
        <v>5.8</v>
      </c>
      <c r="EU11" s="20">
        <v>5.8</v>
      </c>
      <c r="EV11" s="20">
        <v>5.8</v>
      </c>
      <c r="EW11" s="20">
        <v>5.8</v>
      </c>
      <c r="EX11" s="20">
        <v>5.8</v>
      </c>
      <c r="EY11" s="20">
        <v>5.8</v>
      </c>
      <c r="EZ11" s="20">
        <v>5.8</v>
      </c>
      <c r="FA11" s="20">
        <v>5.8</v>
      </c>
      <c r="FB11" s="20">
        <v>5.8</v>
      </c>
      <c r="FC11" s="20">
        <v>5.8</v>
      </c>
      <c r="FD11" s="28">
        <f t="shared" ref="FD11:FD16" si="41">SUM(ER11:FC11)</f>
        <v>69.59999999999998</v>
      </c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8">
        <f t="shared" ref="FR11:FR16" si="42">SUM(FF11:FQ11)</f>
        <v>0</v>
      </c>
    </row>
    <row r="12" spans="1:174" ht="14.15" customHeight="1" x14ac:dyDescent="0.35">
      <c r="A12" s="3">
        <f t="shared" si="3"/>
        <v>9</v>
      </c>
      <c r="B12" s="3" t="s">
        <v>96</v>
      </c>
      <c r="C12" s="3" t="s">
        <v>49</v>
      </c>
      <c r="D12" s="25" t="s">
        <v>32</v>
      </c>
      <c r="E12" s="26" t="s">
        <v>105</v>
      </c>
      <c r="F12" s="20">
        <v>257.72536071428573</v>
      </c>
      <c r="G12" s="20">
        <v>257.72536071428573</v>
      </c>
      <c r="H12" s="20">
        <v>257.72536071428573</v>
      </c>
      <c r="I12" s="20">
        <v>257.72536071428573</v>
      </c>
      <c r="J12" s="20">
        <v>257.72536071428573</v>
      </c>
      <c r="K12" s="20">
        <v>257.72536071428573</v>
      </c>
      <c r="L12" s="20">
        <v>257.72536071428573</v>
      </c>
      <c r="M12" s="20">
        <v>285.47946899999999</v>
      </c>
      <c r="N12" s="20">
        <v>11.845178000000001</v>
      </c>
      <c r="O12" s="20">
        <v>153.89010300000001</v>
      </c>
      <c r="P12" s="20">
        <v>16.845178000000001</v>
      </c>
      <c r="Q12" s="546">
        <v>24.688371</v>
      </c>
      <c r="R12" s="555">
        <f t="shared" si="4"/>
        <v>191.40215200000003</v>
      </c>
      <c r="S12" s="549">
        <f>507.191117+109.71</f>
        <v>616.901117</v>
      </c>
      <c r="T12" s="20">
        <v>232.69113300000001</v>
      </c>
      <c r="U12" s="20">
        <v>520.28488100000004</v>
      </c>
      <c r="V12" s="20">
        <v>1076.524588</v>
      </c>
      <c r="W12" s="20">
        <v>371.48800699999998</v>
      </c>
      <c r="X12" s="20">
        <v>620.00057100000004</v>
      </c>
      <c r="Y12" s="20">
        <v>143.796875</v>
      </c>
      <c r="Z12" s="20">
        <v>143.796874</v>
      </c>
      <c r="AA12" s="20">
        <v>158.897941</v>
      </c>
      <c r="AB12" s="20">
        <v>192.37397799999999</v>
      </c>
      <c r="AC12" s="20">
        <v>0</v>
      </c>
      <c r="AD12" s="20">
        <v>240.846161</v>
      </c>
      <c r="AE12" s="20">
        <v>0</v>
      </c>
      <c r="AF12" s="554">
        <f t="shared" si="5"/>
        <v>4317.6021260000007</v>
      </c>
      <c r="AG12" s="555">
        <f t="shared" si="6"/>
        <v>359.80017716666674</v>
      </c>
      <c r="AH12" s="549">
        <v>314.13016800000003</v>
      </c>
      <c r="AI12" s="20">
        <v>225.87098399999999</v>
      </c>
      <c r="AJ12" s="20">
        <v>157.06508400000001</v>
      </c>
      <c r="AK12" s="20">
        <v>456.408635</v>
      </c>
      <c r="AL12" s="20">
        <v>230.53765100000001</v>
      </c>
      <c r="AM12" s="20">
        <v>227.88798800000001</v>
      </c>
      <c r="AN12" s="20">
        <v>197.89666500000001</v>
      </c>
      <c r="AO12" s="20">
        <v>297.99266999999998</v>
      </c>
      <c r="AP12" s="20">
        <v>300.84171400000002</v>
      </c>
      <c r="AQ12" s="20">
        <v>78.758262000000002</v>
      </c>
      <c r="AR12" s="20">
        <v>145.85</v>
      </c>
      <c r="AS12" s="20">
        <v>173.49562</v>
      </c>
      <c r="AT12" s="20"/>
      <c r="AU12" s="555">
        <f t="shared" si="7"/>
        <v>233.89462008333336</v>
      </c>
      <c r="AV12" s="549">
        <v>243.27062000000001</v>
      </c>
      <c r="AW12" s="20">
        <v>0</v>
      </c>
      <c r="AX12" s="20">
        <v>243.27062000000001</v>
      </c>
      <c r="AY12" s="20">
        <v>242.695684</v>
      </c>
      <c r="AZ12" s="20">
        <v>209.40041400000001</v>
      </c>
      <c r="BA12" s="20">
        <v>281.73602899999997</v>
      </c>
      <c r="BB12" s="20"/>
      <c r="BC12" s="20"/>
      <c r="BD12" s="20"/>
      <c r="BE12" s="20"/>
      <c r="BF12" s="20"/>
      <c r="BG12" s="20"/>
      <c r="BH12" s="20">
        <f t="shared" si="8"/>
        <v>203.39556116666665</v>
      </c>
      <c r="BI12" s="41" cm="1">
        <f t="array" ref="BI12">INDEX(BL12:BW12,$BL$1)</f>
        <v>285.01968658874074</v>
      </c>
      <c r="BJ12" s="27"/>
      <c r="BK12" s="597"/>
      <c r="BL12" s="20">
        <v>258.93196914501794</v>
      </c>
      <c r="BM12" s="20">
        <v>247.38705701015874</v>
      </c>
      <c r="BN12" s="20">
        <v>278.59974234394264</v>
      </c>
      <c r="BO12" s="20">
        <v>285.01968658874074</v>
      </c>
      <c r="BP12" s="20">
        <v>278.59974234394264</v>
      </c>
      <c r="BQ12" s="20">
        <v>285.01968658874074</v>
      </c>
      <c r="BR12" s="20">
        <v>285.0132728098925</v>
      </c>
      <c r="BS12" s="20">
        <v>285.0132728098925</v>
      </c>
      <c r="BT12" s="20">
        <v>291.64700140355558</v>
      </c>
      <c r="BU12" s="20">
        <v>285.0132728098925</v>
      </c>
      <c r="BV12" s="20">
        <v>291.64700140355558</v>
      </c>
      <c r="BW12" s="20">
        <v>285.0132728098925</v>
      </c>
      <c r="BX12" s="28">
        <f t="shared" si="9"/>
        <v>3356.9049780672249</v>
      </c>
      <c r="BY12" s="927">
        <f t="shared" si="10"/>
        <v>0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8">
        <f t="shared" si="36"/>
        <v>0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8">
        <f t="shared" si="37"/>
        <v>0</v>
      </c>
      <c r="DB12" s="20">
        <v>258.93196914501794</v>
      </c>
      <c r="DC12" s="20">
        <v>247.38705701015874</v>
      </c>
      <c r="DD12" s="20">
        <v>278.59974234394264</v>
      </c>
      <c r="DE12" s="20">
        <v>285.01968658874074</v>
      </c>
      <c r="DF12" s="20">
        <v>278.59974234394264</v>
      </c>
      <c r="DG12" s="20">
        <v>285.01968658874074</v>
      </c>
      <c r="DH12" s="20">
        <v>285.0132728098925</v>
      </c>
      <c r="DI12" s="20">
        <v>285.0132728098925</v>
      </c>
      <c r="DJ12" s="20">
        <v>291.64700140355558</v>
      </c>
      <c r="DK12" s="20">
        <v>285.0132728098925</v>
      </c>
      <c r="DL12" s="20">
        <v>291.64700140355558</v>
      </c>
      <c r="DM12" s="20">
        <v>285.0132728098925</v>
      </c>
      <c r="DN12" s="28">
        <f t="shared" si="38"/>
        <v>3356.9049780672249</v>
      </c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8">
        <f t="shared" si="39"/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8">
        <f t="shared" si="40"/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0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8">
        <f t="shared" si="41"/>
        <v>0</v>
      </c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8">
        <f t="shared" si="42"/>
        <v>0</v>
      </c>
    </row>
    <row r="13" spans="1:174" ht="14.15" customHeight="1" x14ac:dyDescent="0.3">
      <c r="A13" s="3">
        <f t="shared" si="3"/>
        <v>10</v>
      </c>
      <c r="B13" s="3" t="s">
        <v>96</v>
      </c>
      <c r="C13" s="25" t="s">
        <v>53</v>
      </c>
      <c r="D13" s="25" t="s">
        <v>53</v>
      </c>
      <c r="E13" s="26" t="s">
        <v>105</v>
      </c>
      <c r="F13" s="20">
        <v>188.62547899999998</v>
      </c>
      <c r="G13" s="20">
        <v>196.28916999999998</v>
      </c>
      <c r="H13" s="20">
        <v>460.43097999999998</v>
      </c>
      <c r="I13" s="20">
        <v>381.88881900000001</v>
      </c>
      <c r="J13" s="20">
        <v>279.47783400000003</v>
      </c>
      <c r="K13" s="20">
        <v>269.28564700000004</v>
      </c>
      <c r="L13" s="20">
        <v>204.96910300000002</v>
      </c>
      <c r="M13" s="20">
        <v>144.59650099999999</v>
      </c>
      <c r="N13" s="20">
        <v>209.92933399999998</v>
      </c>
      <c r="O13" s="20">
        <v>179.10958100000002</v>
      </c>
      <c r="P13" s="20">
        <v>139.36256900000001</v>
      </c>
      <c r="Q13" s="546">
        <v>234.21601099999998</v>
      </c>
      <c r="R13" s="555">
        <f t="shared" si="4"/>
        <v>240.68175233333332</v>
      </c>
      <c r="S13" s="549">
        <v>168.93012999999999</v>
      </c>
      <c r="T13" s="20">
        <v>139.05925400000001</v>
      </c>
      <c r="U13" s="20">
        <v>130.98270099999999</v>
      </c>
      <c r="V13" s="20">
        <v>216.14341000000002</v>
      </c>
      <c r="W13" s="20">
        <v>304.87664899999999</v>
      </c>
      <c r="X13" s="20">
        <v>295.18419499999999</v>
      </c>
      <c r="Y13" s="20">
        <v>186.81335799999999</v>
      </c>
      <c r="Z13" s="20">
        <v>232.26438400000001</v>
      </c>
      <c r="AA13" s="20">
        <v>145.066621</v>
      </c>
      <c r="AB13" s="20">
        <v>272.26879300000002</v>
      </c>
      <c r="AC13" s="20">
        <v>272.19795499999998</v>
      </c>
      <c r="AD13" s="20">
        <v>306.84791300000001</v>
      </c>
      <c r="AE13" s="20">
        <v>0</v>
      </c>
      <c r="AF13" s="554">
        <f t="shared" si="5"/>
        <v>2670.6353630000003</v>
      </c>
      <c r="AG13" s="555">
        <f t="shared" si="6"/>
        <v>222.55294691666668</v>
      </c>
      <c r="AH13" s="549">
        <v>210.76331500000001</v>
      </c>
      <c r="AI13" s="20">
        <v>188.40178499999999</v>
      </c>
      <c r="AJ13" s="20">
        <v>282.89573000000001</v>
      </c>
      <c r="AK13" s="20">
        <v>195.67146099999999</v>
      </c>
      <c r="AL13" s="20">
        <v>294.51892900000001</v>
      </c>
      <c r="AM13" s="20">
        <v>310.99886800000002</v>
      </c>
      <c r="AN13" s="20">
        <v>473.82858199999998</v>
      </c>
      <c r="AO13" s="20">
        <v>440.19381600000003</v>
      </c>
      <c r="AP13" s="20">
        <v>448.54735499999998</v>
      </c>
      <c r="AQ13" s="20">
        <v>466.49071500000002</v>
      </c>
      <c r="AR13" s="20">
        <v>176.16390100000001</v>
      </c>
      <c r="AS13" s="20">
        <v>280.28190499999999</v>
      </c>
      <c r="AT13" s="20"/>
      <c r="AU13" s="555">
        <f t="shared" si="7"/>
        <v>314.06303016666669</v>
      </c>
      <c r="AV13" s="549">
        <v>252.349603</v>
      </c>
      <c r="AW13" s="20">
        <v>80.021953999999994</v>
      </c>
      <c r="AX13" s="20">
        <v>348.78599300000002</v>
      </c>
      <c r="AY13" s="20">
        <v>458.30997000000002</v>
      </c>
      <c r="AZ13" s="20">
        <v>385.67558700000001</v>
      </c>
      <c r="BA13" s="20">
        <v>410.53511700000001</v>
      </c>
      <c r="BB13" s="20"/>
      <c r="BC13" s="20"/>
      <c r="BD13" s="20"/>
      <c r="BE13" s="20"/>
      <c r="BF13" s="20"/>
      <c r="BG13" s="20"/>
      <c r="BH13" s="20">
        <f t="shared" si="8"/>
        <v>322.61303733333335</v>
      </c>
      <c r="BI13" s="41" cm="1">
        <f t="array" ref="BI13">INDEX(BL13:BW13,$BL$1)</f>
        <v>471.88270318415442</v>
      </c>
      <c r="BJ13" s="31"/>
      <c r="BK13" s="597"/>
      <c r="BL13" s="20">
        <v>452.49026332727141</v>
      </c>
      <c r="BM13" s="20">
        <v>361.99221066181713</v>
      </c>
      <c r="BN13" s="20">
        <v>471.88270318415442</v>
      </c>
      <c r="BO13" s="20">
        <v>471.88270318415442</v>
      </c>
      <c r="BP13" s="20">
        <v>471.88270318415442</v>
      </c>
      <c r="BQ13" s="20">
        <v>471.88270318415442</v>
      </c>
      <c r="BR13" s="20">
        <v>496.89225642207646</v>
      </c>
      <c r="BS13" s="20">
        <v>496.89225642207646</v>
      </c>
      <c r="BT13" s="20">
        <v>496.89225642207646</v>
      </c>
      <c r="BU13" s="20">
        <v>496.89225642207646</v>
      </c>
      <c r="BV13" s="20">
        <v>496.89225642207646</v>
      </c>
      <c r="BW13" s="20">
        <v>496.89225642207646</v>
      </c>
      <c r="BX13" s="28">
        <f t="shared" si="9"/>
        <v>5683.3668252581656</v>
      </c>
      <c r="BY13" s="927">
        <f t="shared" si="10"/>
        <v>0</v>
      </c>
      <c r="BZ13" s="20">
        <f>BL13</f>
        <v>452.49026332727141</v>
      </c>
      <c r="CA13" s="20">
        <f t="shared" ref="CA13" si="43">BM13</f>
        <v>361.99221066181713</v>
      </c>
      <c r="CB13" s="20">
        <f t="shared" ref="CB13" si="44">BN13</f>
        <v>471.88270318415442</v>
      </c>
      <c r="CC13" s="20">
        <f t="shared" ref="CC13" si="45">BO13</f>
        <v>471.88270318415442</v>
      </c>
      <c r="CD13" s="20">
        <f t="shared" ref="CD13" si="46">BP13</f>
        <v>471.88270318415442</v>
      </c>
      <c r="CE13" s="20">
        <f t="shared" ref="CE13" si="47">BQ13</f>
        <v>471.88270318415442</v>
      </c>
      <c r="CF13" s="20">
        <f t="shared" ref="CF13" si="48">BR13</f>
        <v>496.89225642207646</v>
      </c>
      <c r="CG13" s="20">
        <f t="shared" ref="CG13" si="49">BS13</f>
        <v>496.89225642207646</v>
      </c>
      <c r="CH13" s="20">
        <f t="shared" ref="CH13" si="50">BT13</f>
        <v>496.89225642207646</v>
      </c>
      <c r="CI13" s="20">
        <f t="shared" ref="CI13" si="51">BU13</f>
        <v>496.89225642207646</v>
      </c>
      <c r="CJ13" s="20">
        <f t="shared" ref="CJ13" si="52">BV13</f>
        <v>496.89225642207646</v>
      </c>
      <c r="CK13" s="20">
        <f t="shared" ref="CK13" si="53">BW13</f>
        <v>496.89225642207646</v>
      </c>
      <c r="CL13" s="28">
        <f t="shared" si="36"/>
        <v>5683.3668252581656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8">
        <f t="shared" si="37"/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8">
        <f t="shared" si="38"/>
        <v>0</v>
      </c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8">
        <f t="shared" si="39"/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8">
        <f t="shared" si="40"/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8">
        <f t="shared" si="41"/>
        <v>0</v>
      </c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8">
        <f t="shared" si="42"/>
        <v>0</v>
      </c>
    </row>
    <row r="14" spans="1:174" ht="14.15" customHeight="1" x14ac:dyDescent="0.35">
      <c r="A14" s="3">
        <f t="shared" si="3"/>
        <v>11</v>
      </c>
      <c r="B14" s="3" t="s">
        <v>96</v>
      </c>
      <c r="C14" s="3" t="s">
        <v>49</v>
      </c>
      <c r="D14" s="25" t="s">
        <v>33</v>
      </c>
      <c r="E14" s="26" t="s">
        <v>105</v>
      </c>
      <c r="F14" s="20">
        <v>59.905610000000003</v>
      </c>
      <c r="G14" s="20">
        <v>187.22741600000001</v>
      </c>
      <c r="H14" s="20">
        <v>177.07536300000001</v>
      </c>
      <c r="I14" s="20">
        <v>25.791183</v>
      </c>
      <c r="J14" s="20">
        <v>258.34515099999999</v>
      </c>
      <c r="K14" s="20">
        <v>353.55610799999999</v>
      </c>
      <c r="L14" s="20">
        <v>242.862548</v>
      </c>
      <c r="M14" s="20">
        <v>157.31050099999999</v>
      </c>
      <c r="N14" s="20">
        <v>142.576457</v>
      </c>
      <c r="O14" s="20">
        <v>242.58994000000001</v>
      </c>
      <c r="P14" s="20">
        <v>81.511026000000001</v>
      </c>
      <c r="Q14" s="546">
        <f>303.462906+6.954717</f>
        <v>310.41762299999999</v>
      </c>
      <c r="R14" s="555">
        <f t="shared" si="4"/>
        <v>186.5974105</v>
      </c>
      <c r="S14" s="549">
        <v>170.17253500000001</v>
      </c>
      <c r="T14" s="20">
        <v>98.645677000000006</v>
      </c>
      <c r="U14" s="20">
        <v>152.282105</v>
      </c>
      <c r="V14" s="20">
        <v>70.730341999999993</v>
      </c>
      <c r="W14" s="20">
        <v>331.45537100000001</v>
      </c>
      <c r="X14" s="20">
        <v>137.75444899999999</v>
      </c>
      <c r="Y14" s="20">
        <v>130.50222199999999</v>
      </c>
      <c r="Z14" s="20">
        <v>226.962827</v>
      </c>
      <c r="AA14" s="20">
        <v>211.62888100000001</v>
      </c>
      <c r="AB14" s="20">
        <v>169.15491900000001</v>
      </c>
      <c r="AC14" s="20">
        <v>159.268833</v>
      </c>
      <c r="AD14" s="20">
        <v>115.910696</v>
      </c>
      <c r="AE14" s="20">
        <v>0</v>
      </c>
      <c r="AF14" s="554">
        <f t="shared" si="5"/>
        <v>1974.4688570000003</v>
      </c>
      <c r="AG14" s="555">
        <f t="shared" si="6"/>
        <v>164.5390714166667</v>
      </c>
      <c r="AH14" s="549">
        <v>54.276730000000001</v>
      </c>
      <c r="AI14" s="20">
        <v>93.605473000000003</v>
      </c>
      <c r="AJ14" s="20">
        <f>211.598967-10</f>
        <v>201.59896699999999</v>
      </c>
      <c r="AK14" s="20">
        <v>221.38745499999999</v>
      </c>
      <c r="AL14" s="20">
        <v>185.026994</v>
      </c>
      <c r="AM14" s="20">
        <v>164.58467999999999</v>
      </c>
      <c r="AN14" s="20">
        <v>195.22985</v>
      </c>
      <c r="AO14" s="20">
        <v>202.723263</v>
      </c>
      <c r="AP14" s="20">
        <v>160.963538</v>
      </c>
      <c r="AQ14" s="20">
        <v>135.79445200000001</v>
      </c>
      <c r="AR14" s="20">
        <v>119.64827699999999</v>
      </c>
      <c r="AS14" s="20">
        <v>140.69752399999999</v>
      </c>
      <c r="AT14" s="20"/>
      <c r="AU14" s="555">
        <f t="shared" si="7"/>
        <v>156.29476691666667</v>
      </c>
      <c r="AV14" s="549">
        <v>144.36025699999999</v>
      </c>
      <c r="AW14" s="20">
        <v>72.766227999999998</v>
      </c>
      <c r="AX14" s="20">
        <v>204.661135</v>
      </c>
      <c r="AY14" s="20">
        <v>181.14100400000001</v>
      </c>
      <c r="AZ14" s="20">
        <v>132.13597100000001</v>
      </c>
      <c r="BA14" s="20">
        <v>135.978385</v>
      </c>
      <c r="BB14" s="20"/>
      <c r="BC14" s="20"/>
      <c r="BD14" s="20"/>
      <c r="BE14" s="20"/>
      <c r="BF14" s="20"/>
      <c r="BG14" s="20"/>
      <c r="BH14" s="20">
        <f t="shared" si="8"/>
        <v>145.17383000000001</v>
      </c>
      <c r="BI14" s="41" cm="1">
        <f t="array" ref="BI14">INDEX(BL14:BW14,$BL$1)</f>
        <v>207.45927626666665</v>
      </c>
      <c r="BJ14" s="27"/>
      <c r="BK14" s="597"/>
      <c r="BL14" s="20">
        <v>195.62886148817205</v>
      </c>
      <c r="BM14" s="20">
        <v>182.41068327619047</v>
      </c>
      <c r="BN14" s="20">
        <v>199.59164858494626</v>
      </c>
      <c r="BO14" s="20">
        <v>205.12247626666664</v>
      </c>
      <c r="BP14" s="20">
        <v>199.59164858494626</v>
      </c>
      <c r="BQ14" s="20">
        <v>207.45927626666665</v>
      </c>
      <c r="BR14" s="20">
        <v>205.03168406881724</v>
      </c>
      <c r="BS14" s="20">
        <v>204.12711632688178</v>
      </c>
      <c r="BT14" s="20">
        <v>212.14592626666669</v>
      </c>
      <c r="BU14" s="20">
        <v>205.03168406881724</v>
      </c>
      <c r="BV14" s="20">
        <v>208.87440626666668</v>
      </c>
      <c r="BW14" s="20">
        <v>204.12711632688178</v>
      </c>
      <c r="BX14" s="28">
        <f t="shared" si="9"/>
        <v>2429.1425277923195</v>
      </c>
      <c r="BY14" s="927">
        <f t="shared" si="10"/>
        <v>0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8">
        <f t="shared" si="36"/>
        <v>0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8">
        <f t="shared" si="37"/>
        <v>0</v>
      </c>
      <c r="DB14" s="20">
        <v>195.62886148817205</v>
      </c>
      <c r="DC14" s="20">
        <v>182.41068327619047</v>
      </c>
      <c r="DD14" s="20">
        <v>199.59164858494626</v>
      </c>
      <c r="DE14" s="20">
        <v>205.12247626666664</v>
      </c>
      <c r="DF14" s="20">
        <v>199.59164858494626</v>
      </c>
      <c r="DG14" s="20">
        <v>207.45927626666665</v>
      </c>
      <c r="DH14" s="20">
        <v>205.03168406881724</v>
      </c>
      <c r="DI14" s="20">
        <v>204.12711632688178</v>
      </c>
      <c r="DJ14" s="20">
        <v>212.14592626666669</v>
      </c>
      <c r="DK14" s="20">
        <v>205.03168406881724</v>
      </c>
      <c r="DL14" s="20">
        <v>208.87440626666668</v>
      </c>
      <c r="DM14" s="20">
        <v>204.12711632688178</v>
      </c>
      <c r="DN14" s="28">
        <f t="shared" si="38"/>
        <v>2429.1425277923195</v>
      </c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8">
        <f t="shared" si="39"/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8">
        <f t="shared" si="40"/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0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8">
        <f t="shared" si="41"/>
        <v>0</v>
      </c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8">
        <f t="shared" si="42"/>
        <v>0</v>
      </c>
    </row>
    <row r="15" spans="1:174" ht="14.15" customHeight="1" x14ac:dyDescent="0.35">
      <c r="A15" s="3">
        <f t="shared" si="3"/>
        <v>12</v>
      </c>
      <c r="B15" s="3" t="s">
        <v>96</v>
      </c>
      <c r="C15" s="3" t="s">
        <v>52</v>
      </c>
      <c r="D15" s="25" t="s">
        <v>24</v>
      </c>
      <c r="E15" s="26" t="s">
        <v>105</v>
      </c>
      <c r="F15" s="20">
        <v>148.21799999999999</v>
      </c>
      <c r="G15" s="20">
        <v>141.316</v>
      </c>
      <c r="H15" s="20">
        <v>135.04400000000001</v>
      </c>
      <c r="I15" s="20">
        <v>119.938</v>
      </c>
      <c r="J15" s="20">
        <v>155.708</v>
      </c>
      <c r="K15" s="20">
        <v>100.15600000000001</v>
      </c>
      <c r="L15" s="20">
        <v>110.04</v>
      </c>
      <c r="M15" s="20">
        <v>130.928</v>
      </c>
      <c r="N15" s="20">
        <v>129.892</v>
      </c>
      <c r="O15" s="20">
        <v>122.262</v>
      </c>
      <c r="P15" s="20">
        <v>113.988</v>
      </c>
      <c r="Q15" s="546">
        <v>133.602</v>
      </c>
      <c r="R15" s="555">
        <f t="shared" si="4"/>
        <v>128.42433333333335</v>
      </c>
      <c r="S15" s="549">
        <v>128.69919999999999</v>
      </c>
      <c r="T15" s="20">
        <v>113.8494</v>
      </c>
      <c r="U15" s="20">
        <v>139.7774</v>
      </c>
      <c r="V15" s="20">
        <v>145.8912</v>
      </c>
      <c r="W15" s="20">
        <v>130.57939999999999</v>
      </c>
      <c r="X15" s="20">
        <v>132.87960000000001</v>
      </c>
      <c r="Y15" s="20">
        <v>102.1832</v>
      </c>
      <c r="Z15" s="20">
        <v>108.79819999999999</v>
      </c>
      <c r="AA15" s="20">
        <v>99.789199999999994</v>
      </c>
      <c r="AB15" s="20">
        <v>126.86799999999999</v>
      </c>
      <c r="AC15" s="20">
        <v>141.09059999999999</v>
      </c>
      <c r="AD15" s="20">
        <v>125.4876</v>
      </c>
      <c r="AE15" s="20">
        <v>0</v>
      </c>
      <c r="AF15" s="554">
        <f t="shared" si="5"/>
        <v>1495.8929999999998</v>
      </c>
      <c r="AG15" s="555">
        <f t="shared" si="6"/>
        <v>124.65774999999998</v>
      </c>
      <c r="AH15" s="549">
        <v>91.748999999999995</v>
      </c>
      <c r="AI15" s="20">
        <v>140.29400000000001</v>
      </c>
      <c r="AJ15" s="20">
        <v>121.0202</v>
      </c>
      <c r="AK15" s="20">
        <v>123.6284</v>
      </c>
      <c r="AL15" s="20">
        <v>165.9742</v>
      </c>
      <c r="AM15" s="20">
        <v>159.23320000000001</v>
      </c>
      <c r="AN15" s="20">
        <v>167.01859999999999</v>
      </c>
      <c r="AO15" s="20">
        <v>211.38460000000001</v>
      </c>
      <c r="AP15" s="20">
        <v>180.1884</v>
      </c>
      <c r="AQ15" s="20">
        <v>189.19880000000001</v>
      </c>
      <c r="AR15" s="20">
        <v>140.45779999999999</v>
      </c>
      <c r="AS15" s="20">
        <v>136.7604</v>
      </c>
      <c r="AT15" s="20"/>
      <c r="AU15" s="555">
        <f t="shared" si="7"/>
        <v>152.2423</v>
      </c>
      <c r="AV15" s="549">
        <v>111.7718</v>
      </c>
      <c r="AW15" s="20">
        <v>79.503200000000007</v>
      </c>
      <c r="AX15" s="20">
        <v>105.9534</v>
      </c>
      <c r="AY15" s="20">
        <v>124.4894</v>
      </c>
      <c r="AZ15" s="20">
        <v>125.0844</v>
      </c>
      <c r="BA15" s="20">
        <v>154.5292</v>
      </c>
      <c r="BB15" s="20"/>
      <c r="BC15" s="20"/>
      <c r="BD15" s="20"/>
      <c r="BE15" s="20"/>
      <c r="BF15" s="20"/>
      <c r="BG15" s="20"/>
      <c r="BH15" s="20">
        <f t="shared" si="8"/>
        <v>116.88856666666668</v>
      </c>
      <c r="BI15" s="41" cm="1">
        <f t="array" ref="BI15">INDEX(BL15:BW15,$BL$1)</f>
        <v>221.2636200572</v>
      </c>
      <c r="BJ15" s="27"/>
      <c r="BK15" s="597"/>
      <c r="BL15" s="20">
        <v>220.10199959720003</v>
      </c>
      <c r="BM15" s="20">
        <v>170.77461960160005</v>
      </c>
      <c r="BN15" s="20">
        <v>220.10199959720003</v>
      </c>
      <c r="BO15" s="20">
        <v>220.42946855720001</v>
      </c>
      <c r="BP15" s="20">
        <v>221.48736581720004</v>
      </c>
      <c r="BQ15" s="20">
        <v>221.2636200572</v>
      </c>
      <c r="BR15" s="20">
        <v>225.44506739720009</v>
      </c>
      <c r="BS15" s="20">
        <v>225.44506739720009</v>
      </c>
      <c r="BT15" s="20">
        <v>225.83180675720004</v>
      </c>
      <c r="BU15" s="20">
        <v>225.36052769720007</v>
      </c>
      <c r="BV15" s="20">
        <v>227.02158065720002</v>
      </c>
      <c r="BW15" s="20">
        <v>225.36052769720007</v>
      </c>
      <c r="BX15" s="28">
        <f t="shared" si="9"/>
        <v>2628.6236508308011</v>
      </c>
      <c r="BY15" s="927">
        <f t="shared" si="10"/>
        <v>0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8">
        <f t="shared" si="36"/>
        <v>0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8">
        <f t="shared" si="37"/>
        <v>0</v>
      </c>
      <c r="DB15" s="20">
        <v>184.84066944000003</v>
      </c>
      <c r="DC15" s="20">
        <v>143.01354816000003</v>
      </c>
      <c r="DD15" s="20">
        <v>184.84066944000003</v>
      </c>
      <c r="DE15" s="20">
        <v>185.1681384</v>
      </c>
      <c r="DF15" s="20">
        <v>185.39188416000002</v>
      </c>
      <c r="DG15" s="20">
        <v>185.1681384</v>
      </c>
      <c r="DH15" s="20">
        <v>188.51543424000008</v>
      </c>
      <c r="DI15" s="20">
        <v>188.51543424000008</v>
      </c>
      <c r="DJ15" s="20">
        <v>188.90217360000003</v>
      </c>
      <c r="DK15" s="20">
        <v>187.59674304000006</v>
      </c>
      <c r="DL15" s="20">
        <v>189.25779600000001</v>
      </c>
      <c r="DM15" s="20">
        <v>187.59674304000006</v>
      </c>
      <c r="DN15" s="28">
        <f t="shared" si="38"/>
        <v>2198.8073721600003</v>
      </c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8">
        <f t="shared" si="39"/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8">
        <f t="shared" si="40"/>
        <v>0</v>
      </c>
      <c r="ER15" s="20">
        <v>35.261330157200014</v>
      </c>
      <c r="ES15" s="20">
        <v>27.761071441600009</v>
      </c>
      <c r="ET15" s="20">
        <v>35.261330157200014</v>
      </c>
      <c r="EU15" s="20">
        <v>35.261330157200014</v>
      </c>
      <c r="EV15" s="20">
        <v>36.095481657200018</v>
      </c>
      <c r="EW15" s="20">
        <v>36.095481657200018</v>
      </c>
      <c r="EX15" s="20">
        <v>36.929633157200016</v>
      </c>
      <c r="EY15" s="20">
        <v>36.929633157200016</v>
      </c>
      <c r="EZ15" s="20">
        <v>36.929633157200016</v>
      </c>
      <c r="FA15" s="20">
        <v>37.763784657200006</v>
      </c>
      <c r="FB15" s="20">
        <v>37.763784657200006</v>
      </c>
      <c r="FC15" s="20">
        <v>37.763784657200006</v>
      </c>
      <c r="FD15" s="28">
        <f t="shared" si="41"/>
        <v>429.81627867080016</v>
      </c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8">
        <f t="shared" si="42"/>
        <v>0</v>
      </c>
    </row>
    <row r="16" spans="1:174" ht="14.15" customHeight="1" x14ac:dyDescent="0.35">
      <c r="A16" s="3">
        <f t="shared" si="3"/>
        <v>13</v>
      </c>
      <c r="B16" s="3" t="s">
        <v>96</v>
      </c>
      <c r="C16" s="3" t="s">
        <v>49</v>
      </c>
      <c r="D16" s="32" t="s">
        <v>35</v>
      </c>
      <c r="E16" s="26" t="s">
        <v>105</v>
      </c>
      <c r="F16" s="20">
        <v>77.756324000000006</v>
      </c>
      <c r="G16" s="20">
        <v>86.656323999999998</v>
      </c>
      <c r="H16" s="20">
        <v>96.348770999999999</v>
      </c>
      <c r="I16" s="20">
        <v>121.488354</v>
      </c>
      <c r="J16" s="20">
        <v>105.11398800000001</v>
      </c>
      <c r="K16" s="20">
        <v>149.60844800000001</v>
      </c>
      <c r="L16" s="20">
        <v>133.14721700000001</v>
      </c>
      <c r="M16" s="20">
        <v>126.687878</v>
      </c>
      <c r="N16" s="20">
        <v>116.520274</v>
      </c>
      <c r="O16" s="20">
        <v>119.69473499999999</v>
      </c>
      <c r="P16" s="20">
        <v>133.28872100000001</v>
      </c>
      <c r="Q16" s="546">
        <v>139.639126</v>
      </c>
      <c r="R16" s="555">
        <f t="shared" si="4"/>
        <v>117.16251333333332</v>
      </c>
      <c r="S16" s="549">
        <v>141.09458900000001</v>
      </c>
      <c r="T16" s="20">
        <v>134.933345</v>
      </c>
      <c r="U16" s="20">
        <v>138.53165799999999</v>
      </c>
      <c r="V16" s="20">
        <v>124.11779900000001</v>
      </c>
      <c r="W16" s="20">
        <v>119.77466200000001</v>
      </c>
      <c r="X16" s="20">
        <v>109.54861200000001</v>
      </c>
      <c r="Y16" s="20">
        <v>99.025947000000002</v>
      </c>
      <c r="Z16" s="20">
        <v>117.751276</v>
      </c>
      <c r="AA16" s="20">
        <v>135.853973</v>
      </c>
      <c r="AB16" s="20">
        <v>161.36879300000001</v>
      </c>
      <c r="AC16" s="20">
        <v>155.12281200000001</v>
      </c>
      <c r="AD16" s="20">
        <v>164.211412</v>
      </c>
      <c r="AE16" s="20">
        <v>0</v>
      </c>
      <c r="AF16" s="554">
        <f t="shared" si="5"/>
        <v>1601.3348780000001</v>
      </c>
      <c r="AG16" s="555">
        <f t="shared" si="6"/>
        <v>133.44457316666669</v>
      </c>
      <c r="AH16" s="549">
        <v>186.80962</v>
      </c>
      <c r="AI16" s="20">
        <v>205.223758</v>
      </c>
      <c r="AJ16" s="20">
        <v>212.42631900000001</v>
      </c>
      <c r="AK16" s="20">
        <v>211.27502799999999</v>
      </c>
      <c r="AL16" s="20">
        <v>219.63126800000001</v>
      </c>
      <c r="AM16" s="20">
        <v>234.35812999999999</v>
      </c>
      <c r="AN16" s="20">
        <v>228.682311</v>
      </c>
      <c r="AO16" s="20">
        <v>241.44515000000001</v>
      </c>
      <c r="AP16" s="20">
        <v>230.85844399999999</v>
      </c>
      <c r="AQ16" s="20">
        <v>203.993593</v>
      </c>
      <c r="AR16" s="20">
        <v>195.982675</v>
      </c>
      <c r="AS16" s="20">
        <v>185.77301399999999</v>
      </c>
      <c r="AT16" s="20"/>
      <c r="AU16" s="555">
        <f t="shared" si="7"/>
        <v>213.03827583333336</v>
      </c>
      <c r="AV16" s="549">
        <v>165.94377800000001</v>
      </c>
      <c r="AW16" s="20">
        <v>145.793384</v>
      </c>
      <c r="AX16" s="20">
        <v>161.32664199999999</v>
      </c>
      <c r="AY16" s="20">
        <v>148.295143</v>
      </c>
      <c r="AZ16" s="20">
        <v>144.11939699999999</v>
      </c>
      <c r="BA16" s="20">
        <v>205.66643300000001</v>
      </c>
      <c r="BB16" s="20"/>
      <c r="BC16" s="20"/>
      <c r="BD16" s="20"/>
      <c r="BE16" s="20"/>
      <c r="BF16" s="20"/>
      <c r="BG16" s="20"/>
      <c r="BH16" s="20">
        <f t="shared" si="8"/>
        <v>161.8574628333333</v>
      </c>
      <c r="BI16" s="41" cm="1">
        <f t="array" ref="BI16">INDEX(BL16:BW16,$BL$1)</f>
        <v>162.77463992879999</v>
      </c>
      <c r="BJ16" s="33"/>
      <c r="BK16" s="597"/>
      <c r="BL16" s="20">
        <v>159.64027909069745</v>
      </c>
      <c r="BM16" s="20">
        <v>167.39207049549739</v>
      </c>
      <c r="BN16" s="20">
        <v>172.02539865029743</v>
      </c>
      <c r="BO16" s="20">
        <v>179.32544605509739</v>
      </c>
      <c r="BP16" s="20">
        <v>173.37826738297431</v>
      </c>
      <c r="BQ16" s="20">
        <v>162.77463992879999</v>
      </c>
      <c r="BR16" s="20">
        <v>166.54278575026663</v>
      </c>
      <c r="BS16" s="20">
        <v>158.84286957173333</v>
      </c>
      <c r="BT16" s="20">
        <v>159.92789464320001</v>
      </c>
      <c r="BU16" s="20">
        <v>160.55650871466671</v>
      </c>
      <c r="BV16" s="20">
        <v>161.51952778613338</v>
      </c>
      <c r="BW16" s="20">
        <v>154.72149685760002</v>
      </c>
      <c r="BX16" s="28">
        <f t="shared" si="9"/>
        <v>1976.6471849269637</v>
      </c>
      <c r="BY16" s="927">
        <f t="shared" si="10"/>
        <v>0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8">
        <f t="shared" si="36"/>
        <v>0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8">
        <f t="shared" si="37"/>
        <v>0</v>
      </c>
      <c r="DB16" s="20">
        <v>159.64027909069745</v>
      </c>
      <c r="DC16" s="20">
        <v>167.39207049549748</v>
      </c>
      <c r="DD16" s="20">
        <v>172.02539865029743</v>
      </c>
      <c r="DE16" s="20">
        <v>179.32544605509744</v>
      </c>
      <c r="DF16" s="20">
        <v>173.37826738297431</v>
      </c>
      <c r="DG16" s="20">
        <v>162.77463992879999</v>
      </c>
      <c r="DH16" s="20">
        <v>166.54278575026666</v>
      </c>
      <c r="DI16" s="20">
        <v>158.84286957173333</v>
      </c>
      <c r="DJ16" s="20">
        <v>159.92789464320001</v>
      </c>
      <c r="DK16" s="20">
        <v>160.55650871466668</v>
      </c>
      <c r="DL16" s="20">
        <v>161.51952778613335</v>
      </c>
      <c r="DM16" s="20">
        <v>154.72149685760002</v>
      </c>
      <c r="DN16" s="28">
        <f t="shared" si="38"/>
        <v>1976.6471849269642</v>
      </c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8">
        <f t="shared" si="39"/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8">
        <f t="shared" si="40"/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8">
        <f t="shared" si="41"/>
        <v>0</v>
      </c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8">
        <f t="shared" si="42"/>
        <v>0</v>
      </c>
    </row>
    <row r="17" spans="1:174" ht="13.5" customHeight="1" x14ac:dyDescent="0.3">
      <c r="A17" s="3">
        <f t="shared" si="3"/>
        <v>14</v>
      </c>
      <c r="B17" s="3" t="s">
        <v>96</v>
      </c>
      <c r="C17" s="3" t="s">
        <v>165</v>
      </c>
      <c r="D17" s="25" t="s">
        <v>41</v>
      </c>
      <c r="E17" s="26" t="s">
        <v>105</v>
      </c>
      <c r="F17" s="4">
        <v>0</v>
      </c>
      <c r="G17" s="4">
        <v>0</v>
      </c>
      <c r="H17" s="4">
        <v>78.751999999999995</v>
      </c>
      <c r="I17" s="4">
        <v>70.222354999999993</v>
      </c>
      <c r="J17" s="4">
        <v>56.949300000000001</v>
      </c>
      <c r="K17" s="20">
        <v>269.59059999999999</v>
      </c>
      <c r="L17" s="20">
        <v>121.9</v>
      </c>
      <c r="M17" s="20">
        <v>99.602000000000004</v>
      </c>
      <c r="N17" s="20">
        <v>0</v>
      </c>
      <c r="O17" s="20">
        <v>246.25559999999999</v>
      </c>
      <c r="P17" s="20">
        <v>141.42070000000001</v>
      </c>
      <c r="Q17" s="546">
        <v>208.09110000000001</v>
      </c>
      <c r="R17" s="555">
        <f t="shared" si="4"/>
        <v>107.73197125000002</v>
      </c>
      <c r="S17" s="549">
        <v>186.869</v>
      </c>
      <c r="T17" s="20">
        <v>98.405100000000004</v>
      </c>
      <c r="U17" s="20">
        <v>104.04</v>
      </c>
      <c r="V17" s="20">
        <v>105.87407399999999</v>
      </c>
      <c r="W17" s="20">
        <v>100.08</v>
      </c>
      <c r="X17" s="20">
        <v>196.593648</v>
      </c>
      <c r="Y17" s="20">
        <v>93.037899999999993</v>
      </c>
      <c r="Z17" s="20">
        <v>632.19703600000003</v>
      </c>
      <c r="AA17" s="20">
        <v>479.52148099999999</v>
      </c>
      <c r="AB17" s="20">
        <v>399.19967200000002</v>
      </c>
      <c r="AC17" s="20">
        <v>415.50302199999999</v>
      </c>
      <c r="AD17" s="20">
        <v>478.47733299999999</v>
      </c>
      <c r="AE17" s="20">
        <v>0</v>
      </c>
      <c r="AF17" s="554">
        <f t="shared" si="5"/>
        <v>3289.7982659999998</v>
      </c>
      <c r="AG17" s="555">
        <f t="shared" si="6"/>
        <v>274.1498555</v>
      </c>
      <c r="AH17" s="549">
        <v>249.728148</v>
      </c>
      <c r="AI17" s="20">
        <v>500.50518599999998</v>
      </c>
      <c r="AJ17" s="20">
        <v>292.39881400000002</v>
      </c>
      <c r="AK17" s="20">
        <v>318.37555700000001</v>
      </c>
      <c r="AL17" s="20">
        <v>269.69703600000003</v>
      </c>
      <c r="AM17" s="20">
        <v>488.977036</v>
      </c>
      <c r="AN17" s="20">
        <v>351.79370699999998</v>
      </c>
      <c r="AO17" s="20">
        <v>1015.741347</v>
      </c>
      <c r="AP17" s="20">
        <v>589.17118400000004</v>
      </c>
      <c r="AQ17" s="20">
        <v>654.22222299999999</v>
      </c>
      <c r="AR17" s="20">
        <v>526.74670600000002</v>
      </c>
      <c r="AS17" s="20">
        <v>543.17791199999999</v>
      </c>
      <c r="AT17" s="20"/>
      <c r="AU17" s="555">
        <f t="shared" si="7"/>
        <v>483.37790466666667</v>
      </c>
      <c r="AV17" s="549">
        <v>345.08014800000001</v>
      </c>
      <c r="AW17" s="20">
        <v>240.106741</v>
      </c>
      <c r="AX17" s="20">
        <v>556.12083199999995</v>
      </c>
      <c r="AY17" s="20">
        <v>814.09770000000003</v>
      </c>
      <c r="AZ17" s="20">
        <v>580.22825</v>
      </c>
      <c r="BA17" s="20">
        <v>537.97771999999998</v>
      </c>
      <c r="BB17" s="20"/>
      <c r="BC17" s="20"/>
      <c r="BD17" s="20"/>
      <c r="BE17" s="20"/>
      <c r="BF17" s="20"/>
      <c r="BG17" s="20"/>
      <c r="BH17" s="20">
        <f t="shared" si="8"/>
        <v>512.26856516666669</v>
      </c>
      <c r="BI17" s="41" cm="1">
        <f t="array" ref="BI17">INDEX(BL17:BW17,$BL$1)</f>
        <v>216.17815575757575</v>
      </c>
      <c r="BJ17" s="44"/>
      <c r="BK17" s="597"/>
      <c r="BL17" s="20">
        <v>147.75223075757575</v>
      </c>
      <c r="BM17" s="20">
        <v>147.75223075757575</v>
      </c>
      <c r="BN17" s="20">
        <v>147.75223075757575</v>
      </c>
      <c r="BO17" s="20">
        <v>202.75223075757575</v>
      </c>
      <c r="BP17" s="20">
        <v>167.77815575757575</v>
      </c>
      <c r="BQ17" s="20">
        <v>216.17815575757575</v>
      </c>
      <c r="BR17" s="20">
        <v>167.77815575757575</v>
      </c>
      <c r="BS17" s="20">
        <v>216.17815575757575</v>
      </c>
      <c r="BT17" s="20">
        <v>167.77815575757575</v>
      </c>
      <c r="BU17" s="20">
        <v>216.17815575757575</v>
      </c>
      <c r="BV17" s="20">
        <v>168.73815575757575</v>
      </c>
      <c r="BW17" s="20">
        <v>171.07815575757576</v>
      </c>
      <c r="BX17" s="28">
        <f>SUM(BL17:BW17)</f>
        <v>2137.6941690909084</v>
      </c>
      <c r="BY17" s="927">
        <f t="shared" si="10"/>
        <v>0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8">
        <f>SUM(BZ17:CK17)</f>
        <v>0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8">
        <f>SUM(CN17:CY17)</f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8">
        <f>SUM(DB17:DM17)</f>
        <v>0</v>
      </c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8">
        <f>SUM(DP17:EA17)</f>
        <v>0</v>
      </c>
      <c r="ED17" s="20">
        <v>147.75223075757575</v>
      </c>
      <c r="EE17" s="20">
        <v>147.75223075757575</v>
      </c>
      <c r="EF17" s="20">
        <v>147.75223075757575</v>
      </c>
      <c r="EG17" s="20">
        <v>202.75223075757575</v>
      </c>
      <c r="EH17" s="20">
        <v>167.77815575757575</v>
      </c>
      <c r="EI17" s="20">
        <v>216.17815575757575</v>
      </c>
      <c r="EJ17" s="20">
        <v>167.77815575757575</v>
      </c>
      <c r="EK17" s="20">
        <v>216.17815575757575</v>
      </c>
      <c r="EL17" s="20">
        <v>167.77815575757575</v>
      </c>
      <c r="EM17" s="20">
        <v>216.17815575757575</v>
      </c>
      <c r="EN17" s="20">
        <v>168.73815575757575</v>
      </c>
      <c r="EO17" s="20">
        <v>171.07815575757576</v>
      </c>
      <c r="EP17" s="28">
        <f>SUM(ED17:EO17)</f>
        <v>2137.6941690909084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8">
        <f>SUM(ER17:FC17)</f>
        <v>0</v>
      </c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8">
        <f>SUM(FF17:FQ17)</f>
        <v>0</v>
      </c>
    </row>
    <row r="18" spans="1:174" ht="14.15" customHeight="1" x14ac:dyDescent="0.3">
      <c r="A18" s="3">
        <f t="shared" si="3"/>
        <v>15</v>
      </c>
      <c r="B18" s="3" t="s">
        <v>96</v>
      </c>
      <c r="C18" s="25" t="s">
        <v>42</v>
      </c>
      <c r="D18" s="25" t="s">
        <v>207</v>
      </c>
      <c r="E18" s="26" t="s">
        <v>105</v>
      </c>
      <c r="F18" s="20">
        <v>92.851895999999996</v>
      </c>
      <c r="G18" s="20">
        <v>113.22258100000001</v>
      </c>
      <c r="H18" s="20">
        <v>159.68341899999999</v>
      </c>
      <c r="I18" s="20">
        <v>108.30909699999999</v>
      </c>
      <c r="J18" s="20">
        <v>162.76302200000001</v>
      </c>
      <c r="K18" s="20">
        <v>193.360625</v>
      </c>
      <c r="L18" s="20">
        <v>135.11064500000001</v>
      </c>
      <c r="M18" s="20">
        <v>93.960159000000004</v>
      </c>
      <c r="N18" s="20">
        <v>59.163989999999998</v>
      </c>
      <c r="O18" s="20">
        <v>55.902678999999999</v>
      </c>
      <c r="P18" s="20">
        <v>50.242654999999999</v>
      </c>
      <c r="Q18" s="546">
        <v>118.635864</v>
      </c>
      <c r="R18" s="555">
        <f t="shared" si="4"/>
        <v>111.93388600000002</v>
      </c>
      <c r="S18" s="549">
        <v>69.344239000000002</v>
      </c>
      <c r="T18" s="20">
        <v>65.696956</v>
      </c>
      <c r="U18" s="20">
        <v>71.977480999999997</v>
      </c>
      <c r="V18" s="20">
        <v>87.504536000000002</v>
      </c>
      <c r="W18" s="20">
        <v>181.65412699999999</v>
      </c>
      <c r="X18" s="20">
        <v>81.847181000000006</v>
      </c>
      <c r="Y18" s="20">
        <v>73.038004000000001</v>
      </c>
      <c r="Z18" s="20">
        <v>79.525662999999994</v>
      </c>
      <c r="AA18" s="20">
        <v>60.357999999999997</v>
      </c>
      <c r="AB18" s="20">
        <v>87.399765000000002</v>
      </c>
      <c r="AC18" s="20">
        <v>74.767274</v>
      </c>
      <c r="AD18" s="20">
        <v>71.777555000000007</v>
      </c>
      <c r="AE18" s="20">
        <v>0</v>
      </c>
      <c r="AF18" s="554">
        <f t="shared" si="5"/>
        <v>1004.8907810000001</v>
      </c>
      <c r="AG18" s="555">
        <f t="shared" si="6"/>
        <v>83.740898416666667</v>
      </c>
      <c r="AH18" s="549">
        <v>45.727381999999999</v>
      </c>
      <c r="AI18" s="20">
        <v>53.042850000000001</v>
      </c>
      <c r="AJ18" s="20">
        <v>68.456312999999994</v>
      </c>
      <c r="AK18" s="20">
        <v>99.335018000000005</v>
      </c>
      <c r="AL18" s="20">
        <v>84.974800999999999</v>
      </c>
      <c r="AM18" s="20">
        <v>72.702527000000003</v>
      </c>
      <c r="AN18" s="20">
        <v>138.852576</v>
      </c>
      <c r="AO18" s="20">
        <v>95.803742</v>
      </c>
      <c r="AP18" s="20">
        <v>141.52082899999999</v>
      </c>
      <c r="AQ18" s="20">
        <v>136.74355199999999</v>
      </c>
      <c r="AR18" s="20">
        <v>54.052813</v>
      </c>
      <c r="AS18" s="20">
        <v>79.987669999999994</v>
      </c>
      <c r="AT18" s="20"/>
      <c r="AU18" s="555">
        <f t="shared" si="7"/>
        <v>89.266672750000012</v>
      </c>
      <c r="AV18" s="549">
        <v>70.029363000000004</v>
      </c>
      <c r="AW18" s="20">
        <v>41.454301999999998</v>
      </c>
      <c r="AX18" s="20">
        <v>99.310658000000004</v>
      </c>
      <c r="AY18" s="20">
        <v>109.596222</v>
      </c>
      <c r="AZ18" s="20">
        <v>84.135278</v>
      </c>
      <c r="BA18" s="20">
        <v>109.34716400000001</v>
      </c>
      <c r="BB18" s="20"/>
      <c r="BC18" s="20"/>
      <c r="BD18" s="20"/>
      <c r="BE18" s="20"/>
      <c r="BF18" s="20"/>
      <c r="BG18" s="20"/>
      <c r="BH18" s="20">
        <f t="shared" si="8"/>
        <v>85.645497833333351</v>
      </c>
      <c r="BI18" s="41" cm="1">
        <f t="array" ref="BI18">INDEX(BL18:BW18,$BL$1)</f>
        <v>133.31656526666669</v>
      </c>
      <c r="BJ18" s="30"/>
      <c r="BK18" s="597"/>
      <c r="BL18" s="20">
        <v>117.85857906666668</v>
      </c>
      <c r="BM18" s="20">
        <v>130.10857906666666</v>
      </c>
      <c r="BN18" s="20">
        <v>125.92056526666669</v>
      </c>
      <c r="BO18" s="20">
        <v>121.27056526666668</v>
      </c>
      <c r="BP18" s="20">
        <v>122.35857906666668</v>
      </c>
      <c r="BQ18" s="20">
        <v>133.31656526666669</v>
      </c>
      <c r="BR18" s="20">
        <v>125.77056526666668</v>
      </c>
      <c r="BS18" s="20">
        <v>133.52056526666669</v>
      </c>
      <c r="BT18" s="20">
        <v>122.50857906666668</v>
      </c>
      <c r="BU18" s="20">
        <v>133.52056526666669</v>
      </c>
      <c r="BV18" s="20">
        <v>121.27056526666668</v>
      </c>
      <c r="BW18" s="20">
        <v>117.85857906666668</v>
      </c>
      <c r="BX18" s="28">
        <f t="shared" si="9"/>
        <v>1505.2828522</v>
      </c>
      <c r="BY18" s="927">
        <f t="shared" si="10"/>
        <v>0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8">
        <f t="shared" ref="CL18:CL21" si="54">SUM(BZ18:CK18)</f>
        <v>0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8">
        <f t="shared" ref="CZ18:CZ21" si="55">SUM(CN18:CY18)</f>
        <v>0</v>
      </c>
      <c r="DB18" s="20">
        <v>117.85857906666668</v>
      </c>
      <c r="DC18" s="20">
        <v>130.10857906666666</v>
      </c>
      <c r="DD18" s="20">
        <v>125.92056526666669</v>
      </c>
      <c r="DE18" s="20">
        <v>121.27056526666668</v>
      </c>
      <c r="DF18" s="20">
        <v>122.35857906666668</v>
      </c>
      <c r="DG18" s="20">
        <v>133.31656526666669</v>
      </c>
      <c r="DH18" s="20">
        <v>125.77056526666668</v>
      </c>
      <c r="DI18" s="20">
        <v>133.52056526666669</v>
      </c>
      <c r="DJ18" s="20">
        <v>122.50857906666668</v>
      </c>
      <c r="DK18" s="20">
        <v>133.52056526666669</v>
      </c>
      <c r="DL18" s="20">
        <v>121.27056526666668</v>
      </c>
      <c r="DM18" s="20">
        <v>117.85857906666668</v>
      </c>
      <c r="DN18" s="28">
        <f t="shared" ref="DN18:DN21" si="56">SUM(DB18:DM18)</f>
        <v>1505.2828522</v>
      </c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8">
        <f t="shared" ref="EB18:EB21" si="57">SUM(DP18:EA18)</f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8">
        <f t="shared" ref="EP18:EP21" si="58">SUM(ED18:EO18)</f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8">
        <f t="shared" ref="FD18:FD21" si="59">SUM(ER18:FC18)</f>
        <v>0</v>
      </c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8">
        <f t="shared" ref="FR18:FR21" si="60">SUM(FF18:FQ18)</f>
        <v>0</v>
      </c>
    </row>
    <row r="19" spans="1:174" ht="14.15" customHeight="1" x14ac:dyDescent="0.3">
      <c r="A19" s="3">
        <f t="shared" si="3"/>
        <v>16</v>
      </c>
      <c r="B19" s="3" t="s">
        <v>96</v>
      </c>
      <c r="C19" s="3" t="s">
        <v>49</v>
      </c>
      <c r="D19" s="25" t="s">
        <v>18</v>
      </c>
      <c r="E19" s="26" t="s">
        <v>105</v>
      </c>
      <c r="F19" s="20">
        <v>39.315077000000002</v>
      </c>
      <c r="G19" s="20">
        <v>118.38605</v>
      </c>
      <c r="H19" s="20">
        <v>28.943300000000001</v>
      </c>
      <c r="I19" s="20">
        <v>155.44122300000001</v>
      </c>
      <c r="J19" s="20">
        <v>101.04413700000001</v>
      </c>
      <c r="K19" s="20">
        <v>43.475189</v>
      </c>
      <c r="L19" s="20">
        <v>82.915527999999995</v>
      </c>
      <c r="M19" s="20">
        <v>39.278489</v>
      </c>
      <c r="N19" s="20">
        <v>50.490042000000003</v>
      </c>
      <c r="O19" s="20">
        <v>12.929349999999999</v>
      </c>
      <c r="P19" s="20">
        <v>17.69772</v>
      </c>
      <c r="Q19" s="546">
        <v>41.241410999999999</v>
      </c>
      <c r="R19" s="555">
        <f t="shared" si="4"/>
        <v>60.929792999999997</v>
      </c>
      <c r="S19" s="549">
        <v>39.932242000000002</v>
      </c>
      <c r="T19" s="20">
        <v>17.638089999999998</v>
      </c>
      <c r="U19" s="20">
        <v>26.732105000000001</v>
      </c>
      <c r="V19" s="20">
        <v>51.36788</v>
      </c>
      <c r="W19" s="20">
        <v>112.855974</v>
      </c>
      <c r="X19" s="20">
        <v>37.292253000000002</v>
      </c>
      <c r="Y19" s="20">
        <v>129.19365400000001</v>
      </c>
      <c r="Z19" s="20">
        <v>53.966382000000003</v>
      </c>
      <c r="AA19" s="20">
        <v>77.179580000000001</v>
      </c>
      <c r="AB19" s="20">
        <v>70.416405999999995</v>
      </c>
      <c r="AC19" s="20">
        <v>37.993709000000003</v>
      </c>
      <c r="AD19" s="20">
        <v>168.98879199999999</v>
      </c>
      <c r="AE19" s="20">
        <v>0</v>
      </c>
      <c r="AF19" s="554">
        <f t="shared" si="5"/>
        <v>823.55706699999996</v>
      </c>
      <c r="AG19" s="555">
        <f t="shared" si="6"/>
        <v>68.629755583333335</v>
      </c>
      <c r="AH19" s="549">
        <v>84.282499999999999</v>
      </c>
      <c r="AI19" s="20">
        <v>101.295947</v>
      </c>
      <c r="AJ19" s="20">
        <v>84.542195000000007</v>
      </c>
      <c r="AK19" s="20">
        <v>73.205596</v>
      </c>
      <c r="AL19" s="20">
        <v>83.843356</v>
      </c>
      <c r="AM19" s="20">
        <v>53.143155</v>
      </c>
      <c r="AN19" s="20">
        <v>65.933961999999994</v>
      </c>
      <c r="AO19" s="20">
        <v>69.936926</v>
      </c>
      <c r="AP19" s="20">
        <v>103.960145</v>
      </c>
      <c r="AQ19" s="20">
        <v>129.51427799999999</v>
      </c>
      <c r="AR19" s="20">
        <v>205.85413199999999</v>
      </c>
      <c r="AS19" s="20">
        <v>155.018348</v>
      </c>
      <c r="AT19" s="20"/>
      <c r="AU19" s="555">
        <f t="shared" si="7"/>
        <v>100.877545</v>
      </c>
      <c r="AV19" s="549">
        <v>49.062382999999997</v>
      </c>
      <c r="AW19" s="974">
        <f>170.99023-114.905933</f>
        <v>56.084296999999992</v>
      </c>
      <c r="AX19" s="974">
        <f>416.115796-381.949664</f>
        <v>34.166132000000005</v>
      </c>
      <c r="AY19" s="974">
        <f>163.830768-29.65415</f>
        <v>134.17661800000002</v>
      </c>
      <c r="AZ19" s="20">
        <v>36.569830000000003</v>
      </c>
      <c r="BA19" s="20">
        <v>46.013038999999999</v>
      </c>
      <c r="BB19" s="20"/>
      <c r="BC19" s="20"/>
      <c r="BD19" s="20"/>
      <c r="BE19" s="20"/>
      <c r="BF19" s="20"/>
      <c r="BG19" s="20"/>
      <c r="BH19" s="20">
        <f t="shared" si="8"/>
        <v>59.345383166666672</v>
      </c>
      <c r="BI19" s="41" cm="1">
        <f t="array" ref="BI19">INDEX(BL19:BW19,$BL$1)</f>
        <v>48.452777777777769</v>
      </c>
      <c r="BJ19" s="30"/>
      <c r="BK19" s="597"/>
      <c r="BL19" s="974">
        <f>51.4544926944444-2.08333333333333</f>
        <v>49.371159361111069</v>
      </c>
      <c r="BM19" s="974">
        <f>70.3594926944444-2.08333333333333</f>
        <v>68.27615936111107</v>
      </c>
      <c r="BN19" s="974">
        <f>58.9844926944444-2.08333333333333</f>
        <v>56.90115936111107</v>
      </c>
      <c r="BO19" s="974">
        <f>37.4111111111111-2.08333333333333</f>
        <v>35.327777777777769</v>
      </c>
      <c r="BP19" s="974">
        <f>46.4611111111111-2.08333333333333</f>
        <v>44.377777777777773</v>
      </c>
      <c r="BQ19" s="974">
        <f>50.5361111111111-2.08333333333333</f>
        <v>48.452777777777769</v>
      </c>
      <c r="BR19" s="974">
        <f>41.1611111111111-2.08333333333333</f>
        <v>39.077777777777769</v>
      </c>
      <c r="BS19" s="974">
        <f>32.6611111111111-2.08333333333333</f>
        <v>30.577777777777769</v>
      </c>
      <c r="BT19" s="974">
        <f>29.3811111111111-2.08333333333333</f>
        <v>27.297777777777771</v>
      </c>
      <c r="BU19" s="974">
        <f>73.3383333333333-2.08333333333333</f>
        <v>71.254999999999967</v>
      </c>
      <c r="BV19" s="974">
        <f>29.8833333333333-2.08333333333333</f>
        <v>27.799999999999972</v>
      </c>
      <c r="BW19" s="974">
        <f>26.6333333333333-2.08333333333333</f>
        <v>24.549999999999972</v>
      </c>
      <c r="BX19" s="28">
        <f t="shared" si="9"/>
        <v>523.26514474999965</v>
      </c>
      <c r="BY19" s="927">
        <f t="shared" si="10"/>
        <v>-25.000000000000455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8">
        <f t="shared" si="54"/>
        <v>0</v>
      </c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8">
        <f t="shared" si="55"/>
        <v>0</v>
      </c>
      <c r="DB19" s="20">
        <v>26.593381583333336</v>
      </c>
      <c r="DC19" s="20">
        <v>45.498381583333334</v>
      </c>
      <c r="DD19" s="20">
        <v>32.123381583333334</v>
      </c>
      <c r="DE19" s="20">
        <v>12.55</v>
      </c>
      <c r="DF19" s="20">
        <v>21.6</v>
      </c>
      <c r="DG19" s="20">
        <v>23.675000000000001</v>
      </c>
      <c r="DH19" s="20">
        <v>16.3</v>
      </c>
      <c r="DI19" s="20">
        <v>7.8</v>
      </c>
      <c r="DJ19" s="20">
        <v>2.52</v>
      </c>
      <c r="DK19" s="20">
        <v>51.255000000000003</v>
      </c>
      <c r="DL19" s="20">
        <v>7.8</v>
      </c>
      <c r="DM19" s="20">
        <v>2.5499999999999998</v>
      </c>
      <c r="DN19" s="28">
        <f t="shared" si="56"/>
        <v>250.26514475000008</v>
      </c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8">
        <f t="shared" si="57"/>
        <v>0</v>
      </c>
      <c r="ED19" s="20">
        <v>24.861111111111111</v>
      </c>
      <c r="EE19" s="20">
        <v>24.861111111111111</v>
      </c>
      <c r="EF19" s="20">
        <v>26.861111111111111</v>
      </c>
      <c r="EG19" s="20">
        <v>24.861111111111111</v>
      </c>
      <c r="EH19" s="20">
        <v>24.861111111111111</v>
      </c>
      <c r="EI19" s="20">
        <v>26.861111111111111</v>
      </c>
      <c r="EJ19" s="20">
        <v>24.861111111111111</v>
      </c>
      <c r="EK19" s="20">
        <v>24.861111111111111</v>
      </c>
      <c r="EL19" s="20">
        <v>26.861111111111104</v>
      </c>
      <c r="EM19" s="20">
        <v>22.083333333333332</v>
      </c>
      <c r="EN19" s="20">
        <v>22.083333333333332</v>
      </c>
      <c r="EO19" s="20">
        <v>24.083333333333332</v>
      </c>
      <c r="EP19" s="28">
        <f t="shared" si="58"/>
        <v>298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8">
        <f t="shared" si="59"/>
        <v>0</v>
      </c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8">
        <f t="shared" si="60"/>
        <v>0</v>
      </c>
    </row>
    <row r="20" spans="1:174" ht="14.15" customHeight="1" x14ac:dyDescent="0.35">
      <c r="A20" s="3">
        <f t="shared" si="3"/>
        <v>17</v>
      </c>
      <c r="B20" s="3" t="s">
        <v>96</v>
      </c>
      <c r="C20" s="3" t="s">
        <v>49</v>
      </c>
      <c r="D20" s="25" t="s">
        <v>31</v>
      </c>
      <c r="E20" s="26" t="s">
        <v>105</v>
      </c>
      <c r="F20" s="20">
        <v>71.4876</v>
      </c>
      <c r="G20" s="20">
        <v>22.832809000000001</v>
      </c>
      <c r="H20" s="20">
        <v>0</v>
      </c>
      <c r="I20" s="20">
        <v>0</v>
      </c>
      <c r="J20" s="20">
        <v>76.912172999999996</v>
      </c>
      <c r="K20" s="20">
        <v>68.92</v>
      </c>
      <c r="L20" s="20">
        <v>45.181908</v>
      </c>
      <c r="M20" s="20">
        <v>36.72</v>
      </c>
      <c r="N20" s="20">
        <v>28.744698</v>
      </c>
      <c r="O20" s="20">
        <f>62.7196+38.361535</f>
        <v>101.081135</v>
      </c>
      <c r="P20" s="20">
        <f>54.763819+39.8</f>
        <v>94.563818999999995</v>
      </c>
      <c r="Q20" s="546">
        <v>143.74413699999999</v>
      </c>
      <c r="R20" s="555">
        <f t="shared" si="4"/>
        <v>57.515689916666666</v>
      </c>
      <c r="S20" s="549">
        <v>81.483200999999994</v>
      </c>
      <c r="T20" s="20">
        <v>25.707972999999999</v>
      </c>
      <c r="U20" s="20">
        <v>16.005742000000001</v>
      </c>
      <c r="V20" s="20">
        <v>13.073878000000001</v>
      </c>
      <c r="W20" s="20">
        <v>30.752351999999998</v>
      </c>
      <c r="X20" s="20">
        <v>8.2593219999999992</v>
      </c>
      <c r="Y20" s="20">
        <v>18.239467000000001</v>
      </c>
      <c r="Z20" s="20">
        <v>22.414930999999999</v>
      </c>
      <c r="AA20" s="20">
        <v>11.566565000000001</v>
      </c>
      <c r="AB20" s="20">
        <v>24.152785000000002</v>
      </c>
      <c r="AC20" s="20">
        <v>39.165312999999998</v>
      </c>
      <c r="AD20" s="20">
        <v>23.007807</v>
      </c>
      <c r="AE20" s="20">
        <v>0</v>
      </c>
      <c r="AF20" s="554">
        <f t="shared" si="5"/>
        <v>313.82933599999996</v>
      </c>
      <c r="AG20" s="555">
        <f t="shared" si="6"/>
        <v>26.152444666666664</v>
      </c>
      <c r="AH20" s="549">
        <v>12.427568000000001</v>
      </c>
      <c r="AI20" s="20">
        <v>24.043178999999999</v>
      </c>
      <c r="AJ20" s="20">
        <v>35.059730999999999</v>
      </c>
      <c r="AK20" s="20">
        <v>38.844907999999997</v>
      </c>
      <c r="AL20" s="20">
        <v>22.092518999999999</v>
      </c>
      <c r="AM20" s="20">
        <v>50.022796</v>
      </c>
      <c r="AN20" s="20">
        <v>52.826458000000002</v>
      </c>
      <c r="AO20" s="20">
        <v>31.120740000000001</v>
      </c>
      <c r="AP20" s="20">
        <v>39.038530999999999</v>
      </c>
      <c r="AQ20" s="20">
        <v>35.154823999999998</v>
      </c>
      <c r="AR20" s="20">
        <v>30.469470000000001</v>
      </c>
      <c r="AS20" s="20">
        <v>46.667845</v>
      </c>
      <c r="AT20" s="20"/>
      <c r="AU20" s="555">
        <f t="shared" si="7"/>
        <v>34.814047416666668</v>
      </c>
      <c r="AV20" s="549">
        <v>121.00608</v>
      </c>
      <c r="AW20" s="20">
        <v>110.621227</v>
      </c>
      <c r="AX20" s="20">
        <v>170.42600400000001</v>
      </c>
      <c r="AY20" s="20">
        <v>167.40077199999999</v>
      </c>
      <c r="AZ20" s="20">
        <v>162.800105</v>
      </c>
      <c r="BA20" s="20">
        <v>145.277332</v>
      </c>
      <c r="BB20" s="20"/>
      <c r="BC20" s="20"/>
      <c r="BD20" s="20"/>
      <c r="BE20" s="20"/>
      <c r="BF20" s="20"/>
      <c r="BG20" s="20"/>
      <c r="BH20" s="20">
        <f t="shared" si="8"/>
        <v>146.25525333333334</v>
      </c>
      <c r="BI20" s="41" cm="1">
        <f t="array" ref="BI20">INDEX(BL20:BW20,$BL$1)</f>
        <v>216.81684463940087</v>
      </c>
      <c r="BJ20" s="27"/>
      <c r="BK20" s="597"/>
      <c r="BL20" s="20">
        <v>189.77688996419838</v>
      </c>
      <c r="BM20" s="20">
        <v>178.75622123590563</v>
      </c>
      <c r="BN20" s="20">
        <v>205.72918706880665</v>
      </c>
      <c r="BO20" s="20">
        <v>203.32607365130562</v>
      </c>
      <c r="BP20" s="20">
        <v>196.52577506880664</v>
      </c>
      <c r="BQ20" s="20">
        <v>216.81684463940087</v>
      </c>
      <c r="BR20" s="20">
        <v>211.68600093731663</v>
      </c>
      <c r="BS20" s="20">
        <v>207.72992439353783</v>
      </c>
      <c r="BT20" s="20">
        <v>218.77089113606755</v>
      </c>
      <c r="BU20" s="20">
        <v>211.13265601796178</v>
      </c>
      <c r="BV20" s="20">
        <v>212.74902705273422</v>
      </c>
      <c r="BW20" s="20">
        <v>216.31432615160233</v>
      </c>
      <c r="BX20" s="28">
        <f t="shared" si="9"/>
        <v>2469.3138173176444</v>
      </c>
      <c r="BY20" s="927">
        <f t="shared" si="10"/>
        <v>0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8">
        <f t="shared" si="54"/>
        <v>0</v>
      </c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8">
        <f t="shared" si="55"/>
        <v>0</v>
      </c>
      <c r="DB20" s="20">
        <v>189.77688996419838</v>
      </c>
      <c r="DC20" s="20">
        <v>178.75622123590563</v>
      </c>
      <c r="DD20" s="20">
        <v>205.72918706880665</v>
      </c>
      <c r="DE20" s="20">
        <v>203.32607365130562</v>
      </c>
      <c r="DF20" s="20">
        <v>196.52577506880664</v>
      </c>
      <c r="DG20" s="20">
        <v>216.81684463940087</v>
      </c>
      <c r="DH20" s="20">
        <v>211.68600093731663</v>
      </c>
      <c r="DI20" s="20">
        <v>207.72992439353783</v>
      </c>
      <c r="DJ20" s="20">
        <v>218.77089113606755</v>
      </c>
      <c r="DK20" s="20">
        <v>211.13265601796178</v>
      </c>
      <c r="DL20" s="20">
        <v>212.74902705273422</v>
      </c>
      <c r="DM20" s="20">
        <v>216.31432615160233</v>
      </c>
      <c r="DN20" s="28">
        <f t="shared" si="56"/>
        <v>2469.3138173176444</v>
      </c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8">
        <f t="shared" si="57"/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8">
        <f t="shared" si="58"/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8">
        <f t="shared" si="59"/>
        <v>0</v>
      </c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8">
        <f t="shared" si="60"/>
        <v>0</v>
      </c>
    </row>
    <row r="21" spans="1:174" ht="14.15" customHeight="1" x14ac:dyDescent="0.35">
      <c r="A21" s="3">
        <f t="shared" si="3"/>
        <v>18</v>
      </c>
      <c r="B21" s="3" t="s">
        <v>96</v>
      </c>
      <c r="C21" s="3" t="s">
        <v>55</v>
      </c>
      <c r="D21" s="25" t="s">
        <v>55</v>
      </c>
      <c r="E21" s="26" t="s">
        <v>105</v>
      </c>
      <c r="F21" s="20">
        <v>0</v>
      </c>
      <c r="G21" s="20">
        <v>0</v>
      </c>
      <c r="H21" s="20">
        <v>0</v>
      </c>
      <c r="I21" s="20">
        <v>81.42</v>
      </c>
      <c r="J21" s="20">
        <v>54.022096999999995</v>
      </c>
      <c r="K21" s="20">
        <v>61.597110999999998</v>
      </c>
      <c r="L21" s="20">
        <v>33.630000000000003</v>
      </c>
      <c r="M21" s="20">
        <v>68.504600000000011</v>
      </c>
      <c r="N21" s="20">
        <v>44.922600000000003</v>
      </c>
      <c r="O21" s="20">
        <v>0</v>
      </c>
      <c r="P21" s="20">
        <v>22.420062999999999</v>
      </c>
      <c r="Q21" s="546">
        <v>0.13513700000000001</v>
      </c>
      <c r="R21" s="555">
        <f t="shared" si="4"/>
        <v>30.554300666666666</v>
      </c>
      <c r="S21" s="549">
        <v>22.973268999999998</v>
      </c>
      <c r="T21" s="20">
        <v>0</v>
      </c>
      <c r="U21" s="20">
        <v>23.045940000000002</v>
      </c>
      <c r="V21" s="20">
        <v>0</v>
      </c>
      <c r="W21" s="20">
        <v>0</v>
      </c>
      <c r="X21" s="20">
        <v>10.511874000000001</v>
      </c>
      <c r="Y21" s="20">
        <v>20.243397999999999</v>
      </c>
      <c r="Z21" s="20">
        <v>29.591062000000001</v>
      </c>
      <c r="AA21" s="20">
        <v>0.11293499999999999</v>
      </c>
      <c r="AB21" s="20">
        <v>40.229782999999998</v>
      </c>
      <c r="AC21" s="20">
        <v>11.25</v>
      </c>
      <c r="AD21" s="20">
        <v>7.5</v>
      </c>
      <c r="AE21" s="20">
        <v>0</v>
      </c>
      <c r="AF21" s="554">
        <f t="shared" si="5"/>
        <v>165.45826099999999</v>
      </c>
      <c r="AG21" s="555">
        <f t="shared" si="6"/>
        <v>13.788188416666666</v>
      </c>
      <c r="AH21" s="549">
        <v>69.350499999999997</v>
      </c>
      <c r="AI21" s="20">
        <v>24.741620000000001</v>
      </c>
      <c r="AJ21" s="20">
        <v>27.060865</v>
      </c>
      <c r="AK21" s="20">
        <v>59.404617999999999</v>
      </c>
      <c r="AL21" s="20">
        <v>64.824844999999996</v>
      </c>
      <c r="AM21" s="20">
        <v>51.009450999999999</v>
      </c>
      <c r="AN21" s="20">
        <v>0.13318199999999999</v>
      </c>
      <c r="AO21" s="20">
        <v>22.427802</v>
      </c>
      <c r="AP21" s="20">
        <v>103.48003300000001</v>
      </c>
      <c r="AQ21" s="20">
        <v>147.881586</v>
      </c>
      <c r="AR21" s="20">
        <v>106.00182599999999</v>
      </c>
      <c r="AS21" s="20">
        <v>124.927651</v>
      </c>
      <c r="AT21" s="20"/>
      <c r="AU21" s="555">
        <f t="shared" si="7"/>
        <v>66.770331583333316</v>
      </c>
      <c r="AV21" s="549">
        <v>120.08</v>
      </c>
      <c r="AW21" s="20">
        <v>39.67</v>
      </c>
      <c r="AX21" s="20">
        <v>199.763631</v>
      </c>
      <c r="AY21" s="20">
        <v>40.458143</v>
      </c>
      <c r="AZ21" s="20">
        <v>2.6549999999999998</v>
      </c>
      <c r="BA21" s="20">
        <v>82.878684000000007</v>
      </c>
      <c r="BB21" s="20"/>
      <c r="BC21" s="20"/>
      <c r="BD21" s="20"/>
      <c r="BE21" s="20"/>
      <c r="BF21" s="20"/>
      <c r="BG21" s="20"/>
      <c r="BH21" s="20">
        <f t="shared" si="8"/>
        <v>80.917576333333344</v>
      </c>
      <c r="BI21" s="41" cm="1">
        <f t="array" ref="BI21">INDEX(BL21:BW21,$BL$1)</f>
        <v>80.620526828063248</v>
      </c>
      <c r="BJ21" s="27"/>
      <c r="BK21" s="597"/>
      <c r="BL21" s="20">
        <v>55.069493307236243</v>
      </c>
      <c r="BM21" s="20">
        <v>47.074623377166319</v>
      </c>
      <c r="BN21" s="20">
        <v>49.856552724992397</v>
      </c>
      <c r="BO21" s="20">
        <v>57.851422655062336</v>
      </c>
      <c r="BP21" s="20">
        <v>49.856552724992397</v>
      </c>
      <c r="BQ21" s="20">
        <v>80.620526828063248</v>
      </c>
      <c r="BR21" s="20">
        <v>59.242387328975376</v>
      </c>
      <c r="BS21" s="20">
        <v>54.02944674673153</v>
      </c>
      <c r="BT21" s="20">
        <v>79.229562154150202</v>
      </c>
      <c r="BU21" s="20">
        <v>62.024316676801462</v>
      </c>
      <c r="BV21" s="20">
        <v>51.247517398905444</v>
      </c>
      <c r="BW21" s="20">
        <v>54.02944674673153</v>
      </c>
      <c r="BX21" s="28">
        <f t="shared" si="9"/>
        <v>700.13184866980851</v>
      </c>
      <c r="BY21" s="927">
        <f t="shared" si="10"/>
        <v>0</v>
      </c>
      <c r="BZ21" s="20">
        <f>BL21</f>
        <v>55.069493307236243</v>
      </c>
      <c r="CA21" s="20">
        <f t="shared" ref="CA21" si="61">BM21</f>
        <v>47.074623377166319</v>
      </c>
      <c r="CB21" s="20">
        <f t="shared" ref="CB21" si="62">BN21</f>
        <v>49.856552724992397</v>
      </c>
      <c r="CC21" s="20">
        <f t="shared" ref="CC21" si="63">BO21</f>
        <v>57.851422655062336</v>
      </c>
      <c r="CD21" s="20">
        <f t="shared" ref="CD21" si="64">BP21</f>
        <v>49.856552724992397</v>
      </c>
      <c r="CE21" s="20">
        <f t="shared" ref="CE21" si="65">BQ21</f>
        <v>80.620526828063248</v>
      </c>
      <c r="CF21" s="20">
        <f t="shared" ref="CF21" si="66">BR21</f>
        <v>59.242387328975376</v>
      </c>
      <c r="CG21" s="20">
        <f t="shared" ref="CG21" si="67">BS21</f>
        <v>54.02944674673153</v>
      </c>
      <c r="CH21" s="20">
        <f t="shared" ref="CH21" si="68">BT21</f>
        <v>79.229562154150202</v>
      </c>
      <c r="CI21" s="20">
        <f t="shared" ref="CI21" si="69">BU21</f>
        <v>62.024316676801462</v>
      </c>
      <c r="CJ21" s="20">
        <f t="shared" ref="CJ21" si="70">BV21</f>
        <v>51.247517398905444</v>
      </c>
      <c r="CK21" s="20">
        <f t="shared" ref="CK21" si="71">BW21</f>
        <v>54.02944674673153</v>
      </c>
      <c r="CL21" s="28">
        <f t="shared" si="54"/>
        <v>700.13184866980851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8">
        <f t="shared" si="55"/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8">
        <f t="shared" si="56"/>
        <v>0</v>
      </c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8">
        <f t="shared" si="57"/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8">
        <f t="shared" si="58"/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8">
        <f t="shared" si="59"/>
        <v>0</v>
      </c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8">
        <f t="shared" si="60"/>
        <v>0</v>
      </c>
    </row>
    <row r="22" spans="1:174" s="24" customFormat="1" x14ac:dyDescent="0.3">
      <c r="A22" s="81" t="s">
        <v>163</v>
      </c>
      <c r="B22" s="77" t="s">
        <v>164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85"/>
      <c r="O22" s="77"/>
      <c r="P22" s="77"/>
      <c r="Q22" s="545"/>
      <c r="R22" s="552"/>
      <c r="S22" s="548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545"/>
      <c r="AG22" s="552"/>
      <c r="AH22" s="548"/>
      <c r="AI22" s="77"/>
      <c r="AJ22" s="563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552"/>
      <c r="AV22" s="548"/>
      <c r="AW22" s="77"/>
      <c r="AX22" s="563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597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 x14ac:dyDescent="0.3">
      <c r="A23" s="3">
        <v>1</v>
      </c>
      <c r="B23" s="3" t="s">
        <v>97</v>
      </c>
      <c r="C23" s="25" t="s">
        <v>168</v>
      </c>
      <c r="D23" s="25" t="s">
        <v>168</v>
      </c>
      <c r="E23" s="26" t="s">
        <v>105</v>
      </c>
      <c r="F23" s="4">
        <f>5700-N1</f>
        <v>3029.1393939999998</v>
      </c>
      <c r="G23" s="4">
        <f>5700-N1</f>
        <v>3029.1393939999998</v>
      </c>
      <c r="H23" s="4">
        <f>5700-N1</f>
        <v>3029.1393939999998</v>
      </c>
      <c r="I23" s="4">
        <v>1200</v>
      </c>
      <c r="J23" s="4">
        <v>1381.636364</v>
      </c>
      <c r="K23" s="20">
        <v>1317.818182</v>
      </c>
      <c r="L23" s="20">
        <v>1317.818182</v>
      </c>
      <c r="M23" s="20">
        <v>1179.4181819999999</v>
      </c>
      <c r="N23" s="20">
        <v>0</v>
      </c>
      <c r="O23" s="20">
        <v>79.418182000000002</v>
      </c>
      <c r="P23" s="20">
        <v>79.418182000000002</v>
      </c>
      <c r="Q23" s="546">
        <v>79.418182000000002</v>
      </c>
      <c r="R23" s="555">
        <f>AVERAGE(F23:Q23)</f>
        <v>1310.196969833333</v>
      </c>
      <c r="S23" s="930">
        <v>4260.0456516666673</v>
      </c>
      <c r="T23" s="931">
        <v>4568.0456516666673</v>
      </c>
      <c r="U23" s="931">
        <v>7664.0456316666678</v>
      </c>
      <c r="V23" s="931">
        <v>5950.2274696666673</v>
      </c>
      <c r="W23" s="931">
        <v>6176.2274696666673</v>
      </c>
      <c r="X23" s="931">
        <v>6026.2274696666673</v>
      </c>
      <c r="Y23" s="931">
        <v>6026.2274696666673</v>
      </c>
      <c r="Z23" s="931">
        <v>6026.2274696666673</v>
      </c>
      <c r="AA23" s="931">
        <v>6026.2274696666673</v>
      </c>
      <c r="AB23" s="931">
        <v>5426.2274696666673</v>
      </c>
      <c r="AC23" s="931">
        <v>5276.2274696666673</v>
      </c>
      <c r="AD23" s="931">
        <v>1449.1666666666697</v>
      </c>
      <c r="AE23" s="931">
        <v>0</v>
      </c>
      <c r="AF23" s="933">
        <f t="shared" si="5"/>
        <v>64875.123358999997</v>
      </c>
      <c r="AG23" s="555">
        <f t="shared" si="6"/>
        <v>5406.2602799166661</v>
      </c>
      <c r="AH23" s="930">
        <v>5417.0608030000003</v>
      </c>
      <c r="AI23" s="931">
        <v>5297.0608030000003</v>
      </c>
      <c r="AJ23" s="931">
        <v>5411.0608030000003</v>
      </c>
      <c r="AK23" s="931">
        <v>5411.0608030000003</v>
      </c>
      <c r="AL23" s="931">
        <v>5437.0608030000003</v>
      </c>
      <c r="AM23" s="931">
        <v>5498.7525150000001</v>
      </c>
      <c r="AN23" s="931">
        <v>5498.7525150000001</v>
      </c>
      <c r="AO23" s="931">
        <v>5498.7525150000001</v>
      </c>
      <c r="AP23" s="931">
        <v>5505.5525150000003</v>
      </c>
      <c r="AQ23" s="931">
        <v>5515.7525150000001</v>
      </c>
      <c r="AR23" s="931">
        <v>5515.7525150000001</v>
      </c>
      <c r="AS23" s="931">
        <v>5460.7525150000001</v>
      </c>
      <c r="AT23" s="20">
        <v>840</v>
      </c>
      <c r="AU23" s="555">
        <f t="shared" si="7"/>
        <v>5525.6143016666674</v>
      </c>
      <c r="AV23" s="549">
        <v>9336.6666700000005</v>
      </c>
      <c r="AW23" s="20">
        <v>9336.6666700000005</v>
      </c>
      <c r="AX23" s="20">
        <v>9336.6666700000005</v>
      </c>
      <c r="AY23" s="20">
        <v>9336.6666700000005</v>
      </c>
      <c r="AZ23" s="20">
        <v>9336.666663</v>
      </c>
      <c r="BA23" s="20">
        <v>9174.1666669999995</v>
      </c>
      <c r="BB23" s="20"/>
      <c r="BC23" s="20"/>
      <c r="BD23" s="20"/>
      <c r="BE23" s="20"/>
      <c r="BF23" s="20"/>
      <c r="BG23" s="20"/>
      <c r="BH23" s="20">
        <f t="shared" ref="BH23:BH49" si="72">AVERAGE(AV23:BG23)</f>
        <v>9309.5833350000012</v>
      </c>
      <c r="BI23" s="41" cm="1">
        <f t="array" ref="BI23">INDEX(BL23:BW23,$BL$1)</f>
        <v>5820</v>
      </c>
      <c r="BJ23" s="44"/>
      <c r="BK23" s="597"/>
      <c r="BL23" s="20">
        <v>5820</v>
      </c>
      <c r="BM23" s="20">
        <v>5820</v>
      </c>
      <c r="BN23" s="20">
        <v>5820</v>
      </c>
      <c r="BO23" s="20">
        <v>5820</v>
      </c>
      <c r="BP23" s="20">
        <v>5820</v>
      </c>
      <c r="BQ23" s="20">
        <v>5820</v>
      </c>
      <c r="BR23" s="20">
        <v>5820</v>
      </c>
      <c r="BS23" s="20">
        <v>5820</v>
      </c>
      <c r="BT23" s="20">
        <v>5820</v>
      </c>
      <c r="BU23" s="20">
        <v>5820</v>
      </c>
      <c r="BV23" s="20">
        <v>5820</v>
      </c>
      <c r="BW23" s="20">
        <v>5820</v>
      </c>
      <c r="BX23" s="28">
        <f>SUM(BL23:BW23)</f>
        <v>69840</v>
      </c>
      <c r="BY23" s="927">
        <f t="shared" ref="BY23:BY50" si="73">BX23-(CL23+CZ23+DN23+EB23+EP23+FD23+FR23)</f>
        <v>0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8">
        <f>SUM(BZ23:CK23)</f>
        <v>0</v>
      </c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8">
        <f>SUM(CN23:CY23)</f>
        <v>0</v>
      </c>
      <c r="DB23" s="20">
        <v>5750</v>
      </c>
      <c r="DC23" s="20">
        <v>5750</v>
      </c>
      <c r="DD23" s="20">
        <v>5750</v>
      </c>
      <c r="DE23" s="20">
        <v>5750</v>
      </c>
      <c r="DF23" s="20">
        <v>5750</v>
      </c>
      <c r="DG23" s="20">
        <v>5750</v>
      </c>
      <c r="DH23" s="20">
        <v>5750</v>
      </c>
      <c r="DI23" s="20">
        <v>5750</v>
      </c>
      <c r="DJ23" s="20">
        <v>5750</v>
      </c>
      <c r="DK23" s="20">
        <v>5750</v>
      </c>
      <c r="DL23" s="20">
        <v>5750</v>
      </c>
      <c r="DM23" s="20">
        <v>5750</v>
      </c>
      <c r="DN23" s="28">
        <f>SUM(DB23:DM23)</f>
        <v>69000</v>
      </c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8">
        <f>SUM(DP23:EA23)</f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8">
        <f>SUM(ED23:EO23)</f>
        <v>0</v>
      </c>
      <c r="ER23" s="20">
        <v>70</v>
      </c>
      <c r="ES23" s="20">
        <v>70</v>
      </c>
      <c r="ET23" s="20">
        <v>70</v>
      </c>
      <c r="EU23" s="20">
        <v>70</v>
      </c>
      <c r="EV23" s="20">
        <v>70</v>
      </c>
      <c r="EW23" s="20">
        <v>70</v>
      </c>
      <c r="EX23" s="20">
        <v>70</v>
      </c>
      <c r="EY23" s="20">
        <v>70</v>
      </c>
      <c r="EZ23" s="20">
        <v>70</v>
      </c>
      <c r="FA23" s="20">
        <v>70</v>
      </c>
      <c r="FB23" s="20">
        <v>70</v>
      </c>
      <c r="FC23" s="20">
        <v>70</v>
      </c>
      <c r="FD23" s="28">
        <f>SUM(ER23:FC23)</f>
        <v>840</v>
      </c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8">
        <f>SUM(FF23:FQ23)</f>
        <v>0</v>
      </c>
    </row>
    <row r="24" spans="1:174" ht="14.9" customHeight="1" x14ac:dyDescent="0.35">
      <c r="A24" s="3">
        <f>A23+1</f>
        <v>2</v>
      </c>
      <c r="B24" s="3" t="s">
        <v>97</v>
      </c>
      <c r="C24" s="3" t="s">
        <v>48</v>
      </c>
      <c r="D24" s="25" t="s">
        <v>39</v>
      </c>
      <c r="E24" s="26" t="s">
        <v>105</v>
      </c>
      <c r="F24" s="20">
        <v>6125.5390770000004</v>
      </c>
      <c r="G24" s="20">
        <v>6126.0910359999998</v>
      </c>
      <c r="H24" s="20">
        <v>6407.0904010000004</v>
      </c>
      <c r="I24" s="20">
        <v>7043.8874960000003</v>
      </c>
      <c r="J24" s="20">
        <v>7372.1250959999998</v>
      </c>
      <c r="K24" s="20">
        <v>7571.593116</v>
      </c>
      <c r="L24" s="20">
        <v>7495.9041289999996</v>
      </c>
      <c r="M24" s="20">
        <v>8307.0938870000009</v>
      </c>
      <c r="N24" s="20">
        <v>8042.3777319999999</v>
      </c>
      <c r="O24" s="20">
        <v>7933.8950500000001</v>
      </c>
      <c r="P24" s="20">
        <v>8291.7686730000005</v>
      </c>
      <c r="Q24" s="546">
        <v>8517.5400150000005</v>
      </c>
      <c r="R24" s="555">
        <f t="shared" si="4"/>
        <v>7436.2421423333353</v>
      </c>
      <c r="S24" s="577">
        <f>9815.831345+15</f>
        <v>9830.8313450000005</v>
      </c>
      <c r="T24" s="20">
        <v>8773.2714360000009</v>
      </c>
      <c r="U24" s="20">
        <v>9519.9123970000001</v>
      </c>
      <c r="V24" s="20">
        <v>10326.124313</v>
      </c>
      <c r="W24" s="20">
        <v>10542.358342</v>
      </c>
      <c r="X24" s="20">
        <v>10420.118291000001</v>
      </c>
      <c r="Y24" s="20">
        <v>10367.214110999999</v>
      </c>
      <c r="Z24" s="20">
        <v>10248.121787</v>
      </c>
      <c r="AA24" s="20">
        <v>10990.529123</v>
      </c>
      <c r="AB24" s="20">
        <v>11059.132774</v>
      </c>
      <c r="AC24" s="20">
        <v>11344.443729000001</v>
      </c>
      <c r="AD24" s="20">
        <v>11810.713624</v>
      </c>
      <c r="AE24" s="569">
        <v>1236.0178539999999</v>
      </c>
      <c r="AF24" s="554">
        <f t="shared" si="5"/>
        <v>126468.789126</v>
      </c>
      <c r="AG24" s="555">
        <f t="shared" si="6"/>
        <v>10539.0657605</v>
      </c>
      <c r="AH24" s="549">
        <v>12484.720971999999</v>
      </c>
      <c r="AI24" s="20">
        <v>12440.263203</v>
      </c>
      <c r="AJ24" s="20">
        <v>12471.463223000001</v>
      </c>
      <c r="AK24" s="20">
        <v>13751.320948</v>
      </c>
      <c r="AL24" s="20">
        <v>13836.715722999999</v>
      </c>
      <c r="AM24" s="20">
        <v>14183.474963000001</v>
      </c>
      <c r="AN24" s="20">
        <v>14703.546302000001</v>
      </c>
      <c r="AO24" s="20">
        <v>14974.12703</v>
      </c>
      <c r="AP24" s="20">
        <v>15329.392134</v>
      </c>
      <c r="AQ24" s="20">
        <v>14505.21227</v>
      </c>
      <c r="AR24" s="20">
        <v>14089.326478000001</v>
      </c>
      <c r="AS24" s="20">
        <v>15607.507922000001</v>
      </c>
      <c r="AT24" s="20">
        <f>4022.115284+1322.339345+N("thưởng danh hiệu kỳ 13 ghi nhận 632")</f>
        <v>5344.4546289999998</v>
      </c>
      <c r="AU24" s="555">
        <f t="shared" si="7"/>
        <v>14476.793816416664</v>
      </c>
      <c r="AV24" s="549">
        <v>14411.695471000001</v>
      </c>
      <c r="AW24" s="20">
        <v>12889.941534</v>
      </c>
      <c r="AX24" s="20">
        <v>13887.70347</v>
      </c>
      <c r="AY24" s="20">
        <v>15549.865876</v>
      </c>
      <c r="AZ24" s="20">
        <v>14649.384491000001</v>
      </c>
      <c r="BA24" s="20">
        <v>15482.976709</v>
      </c>
      <c r="BB24" s="20"/>
      <c r="BC24" s="20"/>
      <c r="BD24" s="20"/>
      <c r="BE24" s="20"/>
      <c r="BF24" s="20"/>
      <c r="BG24" s="20"/>
      <c r="BH24" s="20">
        <f t="shared" si="72"/>
        <v>14478.594591833333</v>
      </c>
      <c r="BI24" s="41" cm="1">
        <f t="array" ref="BI24">INDEX(BL24:BW24,$BL$1)</f>
        <v>16608.384155269232</v>
      </c>
      <c r="BJ24" s="27"/>
      <c r="BK24" s="597"/>
      <c r="BL24" s="20">
        <v>15931.069797384615</v>
      </c>
      <c r="BM24" s="20">
        <v>15790.248279384619</v>
      </c>
      <c r="BN24" s="20">
        <v>15196.810000538462</v>
      </c>
      <c r="BO24" s="20">
        <v>16297.499056557692</v>
      </c>
      <c r="BP24" s="20">
        <v>15842.84843769231</v>
      </c>
      <c r="BQ24" s="20">
        <v>16608.384155269232</v>
      </c>
      <c r="BR24" s="20">
        <v>16228.669642442308</v>
      </c>
      <c r="BS24" s="20">
        <v>16424.568209153847</v>
      </c>
      <c r="BT24" s="20">
        <v>16603.793978038459</v>
      </c>
      <c r="BU24" s="20">
        <v>15861.049816326924</v>
      </c>
      <c r="BV24" s="20">
        <v>16586.944001269232</v>
      </c>
      <c r="BW24" s="20">
        <v>18480.446209153848</v>
      </c>
      <c r="BX24" s="28">
        <f t="shared" ref="BX24:BX48" si="74">SUM(BL24:BW24)</f>
        <v>195852.33158321158</v>
      </c>
      <c r="BY24" s="927">
        <f t="shared" si="73"/>
        <v>0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8">
        <f t="shared" ref="CL24:CL49" si="75">SUM(BZ24:CK24)</f>
        <v>0</v>
      </c>
      <c r="CN24" s="20">
        <v>3897.2468261153845</v>
      </c>
      <c r="CO24" s="20">
        <v>3657.4129616923074</v>
      </c>
      <c r="CP24" s="20">
        <v>3561.7950848461537</v>
      </c>
      <c r="CQ24" s="20">
        <v>3875.3872236923075</v>
      </c>
      <c r="CR24" s="20">
        <v>3716.3069672307693</v>
      </c>
      <c r="CS24" s="20">
        <v>3875.3872236923075</v>
      </c>
      <c r="CT24" s="20">
        <v>3788.2974989999998</v>
      </c>
      <c r="CU24" s="20">
        <v>3788.2974989999998</v>
      </c>
      <c r="CV24" s="20">
        <v>3867.8532653076927</v>
      </c>
      <c r="CW24" s="20">
        <v>3701.2077533076927</v>
      </c>
      <c r="CX24" s="20">
        <v>3875.3872236923075</v>
      </c>
      <c r="CY24" s="20">
        <v>3788.2974989999998</v>
      </c>
      <c r="CZ24" s="28">
        <f t="shared" ref="CZ24:CZ49" si="76">SUM(CN24:CY24)</f>
        <v>45392.877026576927</v>
      </c>
      <c r="DB24" s="20">
        <v>5641.7863502500004</v>
      </c>
      <c r="DC24" s="20">
        <v>5620.8127463076926</v>
      </c>
      <c r="DD24" s="20">
        <v>5448.3518405384621</v>
      </c>
      <c r="DE24" s="20">
        <v>5927.749771076923</v>
      </c>
      <c r="DF24" s="20">
        <v>5653.5861540769238</v>
      </c>
      <c r="DG24" s="20">
        <v>5968.8094167692307</v>
      </c>
      <c r="DH24" s="20">
        <v>5809.6492945384616</v>
      </c>
      <c r="DI24" s="20">
        <v>5814.3787332307693</v>
      </c>
      <c r="DJ24" s="20">
        <v>5998.1583746923079</v>
      </c>
      <c r="DK24" s="20">
        <v>5697.4147579999999</v>
      </c>
      <c r="DL24" s="20">
        <v>6013.3692627692308</v>
      </c>
      <c r="DM24" s="20">
        <v>5857.756733230769</v>
      </c>
      <c r="DN24" s="28">
        <f t="shared" ref="DN24:DN49" si="77">SUM(DB24:DM24)</f>
        <v>69451.823435480765</v>
      </c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8">
        <f t="shared" ref="EB24:EB49" si="78">SUM(DP24:EA24)</f>
        <v>0</v>
      </c>
      <c r="ED24" s="20">
        <v>615.41026299999999</v>
      </c>
      <c r="EE24" s="20">
        <v>631.50082099999997</v>
      </c>
      <c r="EF24" s="20">
        <v>594.963705</v>
      </c>
      <c r="EG24" s="20">
        <v>626.46130000000005</v>
      </c>
      <c r="EH24" s="20">
        <v>610.40674300000001</v>
      </c>
      <c r="EI24" s="20">
        <v>632.76082099999996</v>
      </c>
      <c r="EJ24" s="20">
        <v>613.86226299999998</v>
      </c>
      <c r="EK24" s="20">
        <v>620.16178300000001</v>
      </c>
      <c r="EL24" s="20">
        <v>634.05682100000001</v>
      </c>
      <c r="EM24" s="20">
        <v>601.26322500000003</v>
      </c>
      <c r="EN24" s="20">
        <v>632.76082099999996</v>
      </c>
      <c r="EO24" s="20">
        <v>620.16178300000001</v>
      </c>
      <c r="EP24" s="28">
        <f t="shared" ref="EP24:EP49" si="79">SUM(ED24:EO24)</f>
        <v>7433.7703490000004</v>
      </c>
      <c r="ER24" s="20">
        <v>5776.6263580192308</v>
      </c>
      <c r="ES24" s="20">
        <v>5880.5217503846152</v>
      </c>
      <c r="ET24" s="20">
        <v>5591.6993701538468</v>
      </c>
      <c r="EU24" s="20">
        <v>5867.9007617884618</v>
      </c>
      <c r="EV24" s="20">
        <v>5862.5485733846153</v>
      </c>
      <c r="EW24" s="20">
        <v>6131.4266938076926</v>
      </c>
      <c r="EX24" s="20">
        <v>6016.8605859038471</v>
      </c>
      <c r="EY24" s="20">
        <v>6201.7301939230765</v>
      </c>
      <c r="EZ24" s="20">
        <v>6103.7255170384615</v>
      </c>
      <c r="FA24" s="20">
        <v>5861.1640800192308</v>
      </c>
      <c r="FB24" s="20">
        <v>6065.4266938076926</v>
      </c>
      <c r="FC24" s="20">
        <v>8214.2301939230765</v>
      </c>
      <c r="FD24" s="28">
        <f t="shared" ref="FD24:FD49" si="80">SUM(ER24:FC24)</f>
        <v>73573.860772153843</v>
      </c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8">
        <f t="shared" ref="FR24:FR49" si="81">SUM(FF24:FQ24)</f>
        <v>0</v>
      </c>
    </row>
    <row r="25" spans="1:174" ht="14.5" x14ac:dyDescent="0.35">
      <c r="A25" s="3">
        <f t="shared" ref="A25:A48" si="82">A24+1</f>
        <v>3</v>
      </c>
      <c r="B25" s="3" t="s">
        <v>97</v>
      </c>
      <c r="C25" s="3" t="s">
        <v>16</v>
      </c>
      <c r="D25" s="25" t="s">
        <v>16</v>
      </c>
      <c r="E25" s="26" t="s">
        <v>105</v>
      </c>
      <c r="F25" s="20">
        <v>1999.745032</v>
      </c>
      <c r="G25" s="20">
        <v>2159.0866270000001</v>
      </c>
      <c r="H25" s="20">
        <v>2355.4122550000002</v>
      </c>
      <c r="I25" s="20">
        <v>2503.34139</v>
      </c>
      <c r="J25" s="20">
        <v>2453.5862940000002</v>
      </c>
      <c r="K25" s="20">
        <v>2496.0810230000002</v>
      </c>
      <c r="L25" s="20">
        <v>2605.8116279999999</v>
      </c>
      <c r="M25" s="20">
        <v>2747.3790829999998</v>
      </c>
      <c r="N25" s="20">
        <v>2849.3270080000002</v>
      </c>
      <c r="O25" s="20">
        <v>2883.5538980000001</v>
      </c>
      <c r="P25" s="20">
        <v>2888.0607730000002</v>
      </c>
      <c r="Q25" s="546">
        <v>3035.1713089999998</v>
      </c>
      <c r="R25" s="555">
        <f t="shared" si="4"/>
        <v>2581.3796933333338</v>
      </c>
      <c r="S25" s="930">
        <v>2998.4795089999998</v>
      </c>
      <c r="T25" s="931">
        <v>3003.3587619999998</v>
      </c>
      <c r="U25" s="931">
        <v>2998.9789329999999</v>
      </c>
      <c r="V25" s="931">
        <v>3181.0243989999999</v>
      </c>
      <c r="W25" s="931">
        <v>3238.7242780000001</v>
      </c>
      <c r="X25" s="931">
        <v>3240.4400230000001</v>
      </c>
      <c r="Y25" s="931">
        <v>3274.4964810000001</v>
      </c>
      <c r="Z25" s="931">
        <v>3295.429795</v>
      </c>
      <c r="AA25" s="931">
        <v>3434.7116219999998</v>
      </c>
      <c r="AB25" s="931">
        <v>3434.7924050000001</v>
      </c>
      <c r="AC25" s="931">
        <v>3448.9865410000002</v>
      </c>
      <c r="AD25" s="931">
        <v>3762.4606610000001</v>
      </c>
      <c r="AE25" s="931">
        <v>0</v>
      </c>
      <c r="AF25" s="933">
        <f t="shared" si="5"/>
        <v>39311.883408999995</v>
      </c>
      <c r="AG25" s="555">
        <f t="shared" si="6"/>
        <v>3275.9902840833329</v>
      </c>
      <c r="AH25" s="930">
        <v>3803.154168</v>
      </c>
      <c r="AI25" s="931">
        <v>3804.6986139999999</v>
      </c>
      <c r="AJ25" s="931">
        <v>4002.6339750000002</v>
      </c>
      <c r="AK25" s="931">
        <v>3905.1959280000001</v>
      </c>
      <c r="AL25" s="931">
        <v>4091.8549859999998</v>
      </c>
      <c r="AM25" s="931">
        <v>4087.4683380000001</v>
      </c>
      <c r="AN25" s="931">
        <v>4085.457551</v>
      </c>
      <c r="AO25" s="931">
        <v>4092.9951599999999</v>
      </c>
      <c r="AP25" s="931">
        <v>4407.5000479999999</v>
      </c>
      <c r="AQ25" s="931">
        <v>4260.8566920000003</v>
      </c>
      <c r="AR25" s="931">
        <v>4421.9505609999997</v>
      </c>
      <c r="AS25" s="931">
        <v>4442.3183429999999</v>
      </c>
      <c r="AT25" s="20"/>
      <c r="AU25" s="555">
        <f t="shared" si="7"/>
        <v>4117.1736969999993</v>
      </c>
      <c r="AV25" s="549">
        <v>2133.9688449999999</v>
      </c>
      <c r="AW25" s="20">
        <v>2103.0084879999999</v>
      </c>
      <c r="AX25" s="20">
        <v>2118.1115580000001</v>
      </c>
      <c r="AY25" s="20">
        <v>2277.961573</v>
      </c>
      <c r="AZ25" s="20">
        <v>2330.9775570000002</v>
      </c>
      <c r="BA25" s="20">
        <v>2329.7622799999999</v>
      </c>
      <c r="BB25" s="20"/>
      <c r="BC25" s="20"/>
      <c r="BD25" s="20"/>
      <c r="BE25" s="20"/>
      <c r="BF25" s="20"/>
      <c r="BG25" s="20"/>
      <c r="BH25" s="20">
        <f t="shared" si="72"/>
        <v>2215.6317168333335</v>
      </c>
      <c r="BI25" s="41" cm="1">
        <f t="array" ref="BI25">INDEX(BL25:BW25,$BL$1)</f>
        <v>5968.0697049208147</v>
      </c>
      <c r="BJ25" s="27"/>
      <c r="BK25" s="597"/>
      <c r="BL25" s="20">
        <v>5303.4900609208144</v>
      </c>
      <c r="BM25" s="20">
        <v>5687.8820129208143</v>
      </c>
      <c r="BN25" s="20">
        <v>5775.9012329208144</v>
      </c>
      <c r="BO25" s="20">
        <v>5810.1415109208147</v>
      </c>
      <c r="BP25" s="20">
        <v>5826.0945669208149</v>
      </c>
      <c r="BQ25" s="20">
        <v>5968.0697049208147</v>
      </c>
      <c r="BR25" s="20">
        <v>5968.0697049208147</v>
      </c>
      <c r="BS25" s="20">
        <v>5968.0697049208147</v>
      </c>
      <c r="BT25" s="20">
        <v>5968.0697049208147</v>
      </c>
      <c r="BU25" s="20">
        <v>5980.8891379208144</v>
      </c>
      <c r="BV25" s="20">
        <v>5980.8891379208144</v>
      </c>
      <c r="BW25" s="20">
        <v>5993.1641379208149</v>
      </c>
      <c r="BX25" s="28">
        <f t="shared" si="74"/>
        <v>70230.730618049784</v>
      </c>
      <c r="BY25" s="927">
        <f t="shared" si="73"/>
        <v>0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8">
        <f t="shared" si="75"/>
        <v>0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8">
        <f t="shared" si="76"/>
        <v>0</v>
      </c>
      <c r="DB25" s="20">
        <v>5221.4244075821371</v>
      </c>
      <c r="DC25" s="20">
        <v>5605.816359582137</v>
      </c>
      <c r="DD25" s="20">
        <v>5690.9189125821367</v>
      </c>
      <c r="DE25" s="20">
        <v>5725.1591905821369</v>
      </c>
      <c r="DF25" s="20">
        <v>5741.1122465821372</v>
      </c>
      <c r="DG25" s="20">
        <v>5883.087384582137</v>
      </c>
      <c r="DH25" s="20">
        <v>5883.087384582137</v>
      </c>
      <c r="DI25" s="20">
        <v>5883.087384582137</v>
      </c>
      <c r="DJ25" s="20">
        <v>5883.087384582137</v>
      </c>
      <c r="DK25" s="20">
        <v>5883.087384582137</v>
      </c>
      <c r="DL25" s="20">
        <v>5883.087384582137</v>
      </c>
      <c r="DM25" s="20">
        <v>5895.3623845821367</v>
      </c>
      <c r="DN25" s="28">
        <f t="shared" si="77"/>
        <v>69178.317808985637</v>
      </c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8">
        <f t="shared" si="78"/>
        <v>0</v>
      </c>
      <c r="ED25" s="20">
        <v>20.58026426529997</v>
      </c>
      <c r="EE25" s="20">
        <v>20.58026426529997</v>
      </c>
      <c r="EF25" s="20">
        <v>20.58026426529997</v>
      </c>
      <c r="EG25" s="20">
        <v>20.58026426529997</v>
      </c>
      <c r="EH25" s="20">
        <v>20.58026426529997</v>
      </c>
      <c r="EI25" s="20">
        <v>20.58026426529997</v>
      </c>
      <c r="EJ25" s="20">
        <v>20.58026426529997</v>
      </c>
      <c r="EK25" s="20">
        <v>20.58026426529997</v>
      </c>
      <c r="EL25" s="20">
        <v>20.58026426529997</v>
      </c>
      <c r="EM25" s="20">
        <v>20.58026426529997</v>
      </c>
      <c r="EN25" s="20">
        <v>20.58026426529997</v>
      </c>
      <c r="EO25" s="20">
        <v>20.58026426529997</v>
      </c>
      <c r="EP25" s="28">
        <f t="shared" si="79"/>
        <v>246.96317118359966</v>
      </c>
      <c r="ER25" s="20">
        <v>61.485389073379082</v>
      </c>
      <c r="ES25" s="20">
        <v>61.485389073379082</v>
      </c>
      <c r="ET25" s="20">
        <v>64.402056073379086</v>
      </c>
      <c r="EU25" s="20">
        <v>64.402056073379086</v>
      </c>
      <c r="EV25" s="20">
        <v>64.402056073379086</v>
      </c>
      <c r="EW25" s="20">
        <v>64.402056073379086</v>
      </c>
      <c r="EX25" s="20">
        <v>64.402056073379086</v>
      </c>
      <c r="EY25" s="20">
        <v>64.402056073379086</v>
      </c>
      <c r="EZ25" s="20">
        <v>64.402056073379086</v>
      </c>
      <c r="FA25" s="20">
        <v>77.22148907337909</v>
      </c>
      <c r="FB25" s="20">
        <v>77.22148907337909</v>
      </c>
      <c r="FC25" s="20">
        <v>77.22148907337909</v>
      </c>
      <c r="FD25" s="28">
        <f t="shared" si="80"/>
        <v>805.44963788054895</v>
      </c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8">
        <f t="shared" si="81"/>
        <v>0</v>
      </c>
    </row>
    <row r="26" spans="1:174" ht="14.9" customHeight="1" x14ac:dyDescent="0.3">
      <c r="A26" s="3">
        <f t="shared" si="82"/>
        <v>4</v>
      </c>
      <c r="B26" s="3" t="s">
        <v>97</v>
      </c>
      <c r="C26" s="3" t="s">
        <v>12</v>
      </c>
      <c r="D26" s="25" t="s">
        <v>12</v>
      </c>
      <c r="E26" s="26" t="s">
        <v>105</v>
      </c>
      <c r="F26" s="20">
        <v>465.27927</v>
      </c>
      <c r="G26" s="20">
        <v>498.88963100000001</v>
      </c>
      <c r="H26" s="20">
        <v>485.24326100000002</v>
      </c>
      <c r="I26" s="20">
        <v>431.96916599999997</v>
      </c>
      <c r="J26" s="20">
        <v>578.64694599999996</v>
      </c>
      <c r="K26" s="20">
        <v>481.06259</v>
      </c>
      <c r="L26" s="20">
        <v>502.90178500000002</v>
      </c>
      <c r="M26" s="20">
        <v>554.27070400000002</v>
      </c>
      <c r="N26" s="20">
        <v>469.50239099999999</v>
      </c>
      <c r="O26" s="20">
        <f>586.054328-38.361535</f>
        <v>547.69279300000005</v>
      </c>
      <c r="P26" s="20">
        <f>655.747428-39.8</f>
        <v>615.94742800000006</v>
      </c>
      <c r="Q26" s="546">
        <f>688.006976-6.954717</f>
        <v>681.05225900000005</v>
      </c>
      <c r="R26" s="555">
        <f t="shared" si="4"/>
        <v>526.03818533333344</v>
      </c>
      <c r="S26" s="930">
        <v>716.08840799999996</v>
      </c>
      <c r="T26" s="931">
        <v>691.59377400000005</v>
      </c>
      <c r="U26" s="931">
        <v>833.34065199999998</v>
      </c>
      <c r="V26" s="931">
        <v>880.05645200000004</v>
      </c>
      <c r="W26" s="931">
        <v>962.45493699999997</v>
      </c>
      <c r="X26" s="931">
        <v>779.98906199999999</v>
      </c>
      <c r="Y26" s="931">
        <v>678.94090300000005</v>
      </c>
      <c r="Z26" s="931">
        <v>825.70615199999997</v>
      </c>
      <c r="AA26" s="931">
        <v>1011.891319</v>
      </c>
      <c r="AB26" s="931">
        <v>830.77095499999996</v>
      </c>
      <c r="AC26" s="931">
        <v>1000.806672</v>
      </c>
      <c r="AD26" s="931">
        <v>1080.1792390000001</v>
      </c>
      <c r="AE26" s="931">
        <v>0</v>
      </c>
      <c r="AF26" s="933">
        <f t="shared" si="5"/>
        <v>10291.818524999999</v>
      </c>
      <c r="AG26" s="555">
        <f t="shared" si="6"/>
        <v>857.65154374999986</v>
      </c>
      <c r="AH26" s="930">
        <v>846.79768000000001</v>
      </c>
      <c r="AI26" s="931">
        <v>1000.829428</v>
      </c>
      <c r="AJ26" s="931">
        <v>946.99695599999995</v>
      </c>
      <c r="AK26" s="931">
        <v>1097.7775140000001</v>
      </c>
      <c r="AL26" s="931">
        <v>1084.371903</v>
      </c>
      <c r="AM26" s="931">
        <v>891.13647100000003</v>
      </c>
      <c r="AN26" s="931">
        <v>968.12022300000001</v>
      </c>
      <c r="AO26" s="931">
        <v>921.39117799999997</v>
      </c>
      <c r="AP26" s="931">
        <v>942.63703399999997</v>
      </c>
      <c r="AQ26" s="931">
        <v>955.97821499999998</v>
      </c>
      <c r="AR26" s="931">
        <v>1002.406715</v>
      </c>
      <c r="AS26" s="931">
        <v>881.78607799999997</v>
      </c>
      <c r="AT26" s="20"/>
      <c r="AU26" s="555">
        <f t="shared" si="7"/>
        <v>961.68578291666643</v>
      </c>
      <c r="AV26" s="549">
        <v>600.67994299999998</v>
      </c>
      <c r="AW26" s="20">
        <v>520.80578700000001</v>
      </c>
      <c r="AX26" s="20">
        <v>606.28655600000002</v>
      </c>
      <c r="AY26" s="20">
        <v>576.96160699999996</v>
      </c>
      <c r="AZ26" s="20">
        <v>610.26077499999997</v>
      </c>
      <c r="BA26" s="20">
        <v>626.32665699999995</v>
      </c>
      <c r="BB26" s="20"/>
      <c r="BC26" s="20"/>
      <c r="BD26" s="20"/>
      <c r="BE26" s="20"/>
      <c r="BF26" s="20"/>
      <c r="BG26" s="20"/>
      <c r="BH26" s="20">
        <f t="shared" si="72"/>
        <v>590.2202208333332</v>
      </c>
      <c r="BI26" s="41" cm="1">
        <f t="array" ref="BI26">INDEX(BL26:BW26,$BL$1)</f>
        <v>842.19632634117897</v>
      </c>
      <c r="BJ26" s="30"/>
      <c r="BK26" s="597"/>
      <c r="BL26" s="20">
        <v>1097.4625267947374</v>
      </c>
      <c r="BM26" s="20">
        <v>684.3883389500387</v>
      </c>
      <c r="BN26" s="20">
        <v>909.00912691545204</v>
      </c>
      <c r="BO26" s="20">
        <v>950.68150148275629</v>
      </c>
      <c r="BP26" s="20">
        <v>787.24237985516299</v>
      </c>
      <c r="BQ26" s="20">
        <v>842.19632634117897</v>
      </c>
      <c r="BR26" s="20">
        <v>822.75043507037333</v>
      </c>
      <c r="BS26" s="20">
        <v>778.17658718628445</v>
      </c>
      <c r="BT26" s="20">
        <v>805.80359646110617</v>
      </c>
      <c r="BU26" s="20">
        <v>789.03098314356475</v>
      </c>
      <c r="BV26" s="20">
        <v>680.53850176721824</v>
      </c>
      <c r="BW26" s="20">
        <v>784.4652000531986</v>
      </c>
      <c r="BX26" s="28">
        <f t="shared" si="74"/>
        <v>9931.7455040210716</v>
      </c>
      <c r="BY26" s="927">
        <f t="shared" si="73"/>
        <v>0</v>
      </c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8">
        <f t="shared" si="75"/>
        <v>0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8">
        <f t="shared" si="76"/>
        <v>0</v>
      </c>
      <c r="DB26" s="20">
        <v>1004.1135733225151</v>
      </c>
      <c r="DC26" s="20">
        <v>620.47600047781646</v>
      </c>
      <c r="DD26" s="20">
        <v>846.65024144322979</v>
      </c>
      <c r="DE26" s="20">
        <v>885.97974467720064</v>
      </c>
      <c r="DF26" s="20">
        <v>703.92064204960741</v>
      </c>
      <c r="DG26" s="20">
        <v>751.22790936895672</v>
      </c>
      <c r="DH26" s="20">
        <v>757.9685684592622</v>
      </c>
      <c r="DI26" s="20">
        <v>711.39020857517335</v>
      </c>
      <c r="DJ26" s="20">
        <v>744.20343259999515</v>
      </c>
      <c r="DK26" s="20">
        <v>728.20449069912024</v>
      </c>
      <c r="DL26" s="20">
        <v>620.61399207277384</v>
      </c>
      <c r="DM26" s="20">
        <v>722.05437210875414</v>
      </c>
      <c r="DN26" s="28">
        <f t="shared" si="77"/>
        <v>9096.8031758544057</v>
      </c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8">
        <f t="shared" si="78"/>
        <v>0</v>
      </c>
      <c r="ED26" s="20">
        <v>0</v>
      </c>
      <c r="EE26" s="20">
        <v>0</v>
      </c>
      <c r="EF26" s="20">
        <v>0</v>
      </c>
      <c r="EG26" s="20">
        <v>5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8">
        <f t="shared" si="79"/>
        <v>5</v>
      </c>
      <c r="ER26" s="20">
        <v>93.34895347222222</v>
      </c>
      <c r="ES26" s="20">
        <v>63.912338472222224</v>
      </c>
      <c r="ET26" s="20">
        <v>62.358885472222227</v>
      </c>
      <c r="EU26" s="20">
        <v>59.701756805555561</v>
      </c>
      <c r="EV26" s="20">
        <v>83.321737805555557</v>
      </c>
      <c r="EW26" s="20">
        <v>90.968416972222229</v>
      </c>
      <c r="EX26" s="20">
        <v>64.781866611111113</v>
      </c>
      <c r="EY26" s="20">
        <v>66.786378611111118</v>
      </c>
      <c r="EZ26" s="20">
        <v>61.600163861111113</v>
      </c>
      <c r="FA26" s="20">
        <v>60.826492444444447</v>
      </c>
      <c r="FB26" s="20">
        <v>59.924509694444446</v>
      </c>
      <c r="FC26" s="20">
        <v>62.410827944444449</v>
      </c>
      <c r="FD26" s="28">
        <f t="shared" si="80"/>
        <v>829.9423281666667</v>
      </c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8">
        <f t="shared" si="81"/>
        <v>0</v>
      </c>
    </row>
    <row r="27" spans="1:174" ht="14.15" customHeight="1" x14ac:dyDescent="0.35">
      <c r="A27" s="3">
        <f t="shared" si="82"/>
        <v>5</v>
      </c>
      <c r="B27" s="3" t="s">
        <v>97</v>
      </c>
      <c r="C27" s="3" t="s">
        <v>51</v>
      </c>
      <c r="D27" s="25" t="s">
        <v>30</v>
      </c>
      <c r="E27" s="26" t="s">
        <v>105</v>
      </c>
      <c r="F27" s="20">
        <v>201.67382699999999</v>
      </c>
      <c r="G27" s="20">
        <v>130.52025399999999</v>
      </c>
      <c r="H27" s="20">
        <v>162.514993</v>
      </c>
      <c r="I27" s="20">
        <v>82.880408000000003</v>
      </c>
      <c r="J27" s="20">
        <v>241.697767</v>
      </c>
      <c r="K27" s="20">
        <v>205.60839100000001</v>
      </c>
      <c r="L27" s="20">
        <v>351.64520599999997</v>
      </c>
      <c r="M27" s="20">
        <v>256.12971499999998</v>
      </c>
      <c r="N27" s="20">
        <v>223.468908</v>
      </c>
      <c r="O27" s="20">
        <v>306.21830199999999</v>
      </c>
      <c r="P27" s="20">
        <v>448.66226699999999</v>
      </c>
      <c r="Q27" s="546">
        <v>609.87255300000004</v>
      </c>
      <c r="R27" s="555">
        <f t="shared" si="4"/>
        <v>268.40771591666669</v>
      </c>
      <c r="S27" s="577">
        <f>327.913953-1.592544</f>
        <v>326.32140900000002</v>
      </c>
      <c r="T27" s="20">
        <v>280.13175799999999</v>
      </c>
      <c r="U27" s="20">
        <v>368.55747700000001</v>
      </c>
      <c r="V27" s="20">
        <v>341.44460900000001</v>
      </c>
      <c r="W27" s="20">
        <v>497.60524700000002</v>
      </c>
      <c r="X27" s="20">
        <v>495.88888600000001</v>
      </c>
      <c r="Y27" s="20">
        <v>307.06946099999999</v>
      </c>
      <c r="Z27" s="20">
        <v>317.08936199999999</v>
      </c>
      <c r="AA27" s="20">
        <v>458.09177799999998</v>
      </c>
      <c r="AB27" s="20">
        <v>610.68493599999999</v>
      </c>
      <c r="AC27" s="20">
        <v>643.33116900000005</v>
      </c>
      <c r="AD27" s="20">
        <v>738.00133800000003</v>
      </c>
      <c r="AE27" s="20">
        <v>0</v>
      </c>
      <c r="AF27" s="554">
        <f t="shared" si="5"/>
        <v>5384.2174300000006</v>
      </c>
      <c r="AG27" s="555">
        <f t="shared" si="6"/>
        <v>448.68478583333336</v>
      </c>
      <c r="AH27" s="549">
        <v>519.57632000000001</v>
      </c>
      <c r="AI27" s="20">
        <v>581.32746499999996</v>
      </c>
      <c r="AJ27" s="20">
        <v>560.476766</v>
      </c>
      <c r="AK27" s="20">
        <v>543.47885900000006</v>
      </c>
      <c r="AL27" s="20">
        <v>573.65389500000003</v>
      </c>
      <c r="AM27" s="20">
        <v>669.29146200000002</v>
      </c>
      <c r="AN27" s="20">
        <v>744.41693499999997</v>
      </c>
      <c r="AO27" s="20">
        <v>623.36006099999997</v>
      </c>
      <c r="AP27" s="20">
        <v>642.354647</v>
      </c>
      <c r="AQ27" s="20">
        <v>587.074521</v>
      </c>
      <c r="AR27" s="20">
        <v>644.47328800000003</v>
      </c>
      <c r="AS27" s="20">
        <v>619.29266900000005</v>
      </c>
      <c r="AT27" s="20"/>
      <c r="AU27" s="555">
        <f t="shared" si="7"/>
        <v>609.06474066666681</v>
      </c>
      <c r="AV27" s="549">
        <v>482.090397</v>
      </c>
      <c r="AW27" s="20">
        <v>334.41424899999998</v>
      </c>
      <c r="AX27" s="20">
        <v>496.38067699999999</v>
      </c>
      <c r="AY27" s="20">
        <v>596.75916199999995</v>
      </c>
      <c r="AZ27" s="20">
        <v>653.54991399999994</v>
      </c>
      <c r="BA27" s="20">
        <v>593.87044200000003</v>
      </c>
      <c r="BB27" s="20"/>
      <c r="BC27" s="20"/>
      <c r="BD27" s="20"/>
      <c r="BE27" s="20"/>
      <c r="BF27" s="20"/>
      <c r="BG27" s="20"/>
      <c r="BH27" s="20">
        <f t="shared" si="72"/>
        <v>526.17747350000002</v>
      </c>
      <c r="BI27" s="41" cm="1">
        <f t="array" ref="BI27">INDEX(BL27:BW27,$BL$1)</f>
        <v>924.0696597475926</v>
      </c>
      <c r="BJ27" s="27"/>
      <c r="BK27" s="597"/>
      <c r="BL27" s="20">
        <v>343.10558626836917</v>
      </c>
      <c r="BM27" s="20">
        <v>376.18178016531749</v>
      </c>
      <c r="BN27" s="20">
        <v>669.77502176234759</v>
      </c>
      <c r="BO27" s="20">
        <v>707.6117784975927</v>
      </c>
      <c r="BP27" s="20">
        <v>756.23517917901438</v>
      </c>
      <c r="BQ27" s="20">
        <v>924.0696597475926</v>
      </c>
      <c r="BR27" s="20">
        <v>827.86114385284964</v>
      </c>
      <c r="BS27" s="20">
        <v>821.37069010284961</v>
      </c>
      <c r="BT27" s="20">
        <v>981.51959768277777</v>
      </c>
      <c r="BU27" s="20">
        <v>900.77983601951598</v>
      </c>
      <c r="BV27" s="20">
        <v>886.3061399327778</v>
      </c>
      <c r="BW27" s="20">
        <v>821.53994851951597</v>
      </c>
      <c r="BX27" s="28">
        <f t="shared" si="74"/>
        <v>9016.3563617305208</v>
      </c>
      <c r="BY27" s="927">
        <f t="shared" si="73"/>
        <v>0</v>
      </c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8">
        <f t="shared" si="75"/>
        <v>0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8">
        <f t="shared" si="76"/>
        <v>0</v>
      </c>
      <c r="DB27" s="20">
        <v>343.10558626836917</v>
      </c>
      <c r="DC27" s="20">
        <v>376.18178016531749</v>
      </c>
      <c r="DD27" s="20">
        <v>669.77502176234759</v>
      </c>
      <c r="DE27" s="20">
        <v>707.6117784975927</v>
      </c>
      <c r="DF27" s="20">
        <v>756.23517917901438</v>
      </c>
      <c r="DG27" s="20">
        <v>924.0696597475926</v>
      </c>
      <c r="DH27" s="20">
        <v>827.86114385284964</v>
      </c>
      <c r="DI27" s="20">
        <v>821.37069010284961</v>
      </c>
      <c r="DJ27" s="20">
        <v>981.51959768277777</v>
      </c>
      <c r="DK27" s="20">
        <v>900.77983601951598</v>
      </c>
      <c r="DL27" s="20">
        <v>886.3061399327778</v>
      </c>
      <c r="DM27" s="20">
        <v>821.53994851951597</v>
      </c>
      <c r="DN27" s="28">
        <f t="shared" si="77"/>
        <v>9016.3563617305208</v>
      </c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8">
        <f t="shared" si="78"/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8">
        <f t="shared" si="79"/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8">
        <f t="shared" si="80"/>
        <v>0</v>
      </c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8">
        <f t="shared" si="81"/>
        <v>0</v>
      </c>
    </row>
    <row r="28" spans="1:174" ht="14.9" customHeight="1" x14ac:dyDescent="0.3">
      <c r="A28" s="3">
        <f t="shared" si="82"/>
        <v>6</v>
      </c>
      <c r="B28" s="3" t="s">
        <v>97</v>
      </c>
      <c r="C28" s="3" t="s">
        <v>40</v>
      </c>
      <c r="D28" s="25" t="s">
        <v>40</v>
      </c>
      <c r="E28" s="26" t="s">
        <v>105</v>
      </c>
      <c r="F28" s="20">
        <v>44.321387999999999</v>
      </c>
      <c r="G28" s="20">
        <v>0</v>
      </c>
      <c r="H28" s="20">
        <v>48.722388000000002</v>
      </c>
      <c r="I28" s="20">
        <v>76.187495999999996</v>
      </c>
      <c r="J28" s="20">
        <v>68.801481999999993</v>
      </c>
      <c r="K28" s="20">
        <v>28.249625999999999</v>
      </c>
      <c r="L28" s="20">
        <v>91.396439000000001</v>
      </c>
      <c r="M28" s="20">
        <v>93.845376000000002</v>
      </c>
      <c r="N28" s="20">
        <v>109.400024</v>
      </c>
      <c r="O28" s="20">
        <v>129.99653499999999</v>
      </c>
      <c r="P28" s="20">
        <v>157.60198</v>
      </c>
      <c r="Q28" s="546">
        <v>316.88398999999998</v>
      </c>
      <c r="R28" s="555">
        <f t="shared" si="4"/>
        <v>97.117227</v>
      </c>
      <c r="S28" s="549">
        <v>460.46177499999999</v>
      </c>
      <c r="T28" s="20">
        <v>563.90951600000005</v>
      </c>
      <c r="U28" s="20">
        <v>587.31592000000001</v>
      </c>
      <c r="V28" s="20">
        <v>905.70814199999995</v>
      </c>
      <c r="W28" s="20">
        <v>974.31002899999999</v>
      </c>
      <c r="X28" s="20">
        <v>1115.0560800000001</v>
      </c>
      <c r="Y28" s="20">
        <v>1160.8230060000001</v>
      </c>
      <c r="Z28" s="20">
        <v>939.58504500000004</v>
      </c>
      <c r="AA28" s="20">
        <v>859.44410500000004</v>
      </c>
      <c r="AB28" s="20">
        <v>840.16551500000003</v>
      </c>
      <c r="AC28" s="20">
        <v>889.15908100000001</v>
      </c>
      <c r="AD28" s="20">
        <v>1032.562923</v>
      </c>
      <c r="AE28" s="20">
        <v>0</v>
      </c>
      <c r="AF28" s="554">
        <f t="shared" si="5"/>
        <v>10328.501137000001</v>
      </c>
      <c r="AG28" s="555">
        <f t="shared" si="6"/>
        <v>860.70842808333339</v>
      </c>
      <c r="AH28" s="549">
        <v>1114.8242760000001</v>
      </c>
      <c r="AI28" s="20">
        <v>928.37928099999999</v>
      </c>
      <c r="AJ28" s="20">
        <v>673.96678899999995</v>
      </c>
      <c r="AK28" s="20">
        <v>888.39345200000002</v>
      </c>
      <c r="AL28" s="20">
        <v>1189.130459</v>
      </c>
      <c r="AM28" s="20">
        <v>1448.8998220000001</v>
      </c>
      <c r="AN28" s="20">
        <v>1242.023326</v>
      </c>
      <c r="AO28" s="20">
        <v>1303.5609099999999</v>
      </c>
      <c r="AP28" s="20">
        <v>1595.764355</v>
      </c>
      <c r="AQ28" s="20">
        <v>1368.802426</v>
      </c>
      <c r="AR28" s="20">
        <v>1256.132292</v>
      </c>
      <c r="AS28" s="20">
        <v>1256.103396</v>
      </c>
      <c r="AT28" s="20"/>
      <c r="AU28" s="555">
        <f t="shared" si="7"/>
        <v>1188.8317320000001</v>
      </c>
      <c r="AV28" s="549">
        <v>1240.115065</v>
      </c>
      <c r="AW28" s="20">
        <v>1156.2794180000001</v>
      </c>
      <c r="AX28" s="20">
        <v>959.71856400000001</v>
      </c>
      <c r="AY28" s="20">
        <v>1062.0844750000001</v>
      </c>
      <c r="AZ28" s="20">
        <v>838.83679099999995</v>
      </c>
      <c r="BA28" s="20">
        <v>856.84165599999994</v>
      </c>
      <c r="BB28" s="20"/>
      <c r="BC28" s="20"/>
      <c r="BD28" s="20"/>
      <c r="BE28" s="20"/>
      <c r="BF28" s="20"/>
      <c r="BG28" s="20"/>
      <c r="BH28" s="20">
        <f t="shared" si="72"/>
        <v>1018.9793281666666</v>
      </c>
      <c r="BI28" s="41" cm="1">
        <f t="array" ref="BI28">INDEX(BL28:BW28,$BL$1)</f>
        <v>3083.7658926644508</v>
      </c>
      <c r="BJ28" s="30"/>
      <c r="BK28" s="597"/>
      <c r="BL28" s="20">
        <v>1440.7291910893346</v>
      </c>
      <c r="BM28" s="20">
        <v>2314.4014916227866</v>
      </c>
      <c r="BN28" s="20">
        <v>2754.8451088531456</v>
      </c>
      <c r="BO28" s="20">
        <v>2658.9739779450151</v>
      </c>
      <c r="BP28" s="20">
        <v>2984.5638576971396</v>
      </c>
      <c r="BQ28" s="20">
        <v>3083.7658926644508</v>
      </c>
      <c r="BR28" s="20">
        <v>3139.6191586549103</v>
      </c>
      <c r="BS28" s="20">
        <v>3321.5810537279758</v>
      </c>
      <c r="BT28" s="20">
        <v>3248.3418835147654</v>
      </c>
      <c r="BU28" s="20">
        <v>3254.7331846761322</v>
      </c>
      <c r="BV28" s="20">
        <v>3261.9944609206568</v>
      </c>
      <c r="BW28" s="20">
        <v>3102.3550620342407</v>
      </c>
      <c r="BX28" s="28">
        <f t="shared" si="74"/>
        <v>34565.904323400558</v>
      </c>
      <c r="BY28" s="927">
        <f t="shared" si="73"/>
        <v>0</v>
      </c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8">
        <f t="shared" si="75"/>
        <v>0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8">
        <f t="shared" si="76"/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8">
        <f t="shared" si="77"/>
        <v>0</v>
      </c>
      <c r="DP28" s="20">
        <v>1440.7291910893346</v>
      </c>
      <c r="DQ28" s="20">
        <v>2314.4014916227866</v>
      </c>
      <c r="DR28" s="20">
        <v>2754.8451088531456</v>
      </c>
      <c r="DS28" s="20">
        <v>2658.9739779450151</v>
      </c>
      <c r="DT28" s="20">
        <v>2984.5638576971396</v>
      </c>
      <c r="DU28" s="20">
        <v>3083.7658926644508</v>
      </c>
      <c r="DV28" s="20">
        <v>3139.6191586549103</v>
      </c>
      <c r="DW28" s="20">
        <v>3321.5810537279758</v>
      </c>
      <c r="DX28" s="20">
        <v>3248.3418835147654</v>
      </c>
      <c r="DY28" s="20">
        <v>3254.7331846761322</v>
      </c>
      <c r="DZ28" s="20">
        <v>3261.9944609206568</v>
      </c>
      <c r="EA28" s="20">
        <v>3102.3550620342407</v>
      </c>
      <c r="EB28" s="28">
        <f t="shared" si="78"/>
        <v>34565.904323400558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8">
        <f t="shared" si="79"/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8">
        <f t="shared" si="80"/>
        <v>0</v>
      </c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8">
        <f t="shared" si="81"/>
        <v>0</v>
      </c>
    </row>
    <row r="29" spans="1:174" ht="14.15" customHeight="1" x14ac:dyDescent="0.3">
      <c r="A29" s="3">
        <f t="shared" si="82"/>
        <v>7</v>
      </c>
      <c r="B29" s="3" t="s">
        <v>97</v>
      </c>
      <c r="C29" s="3" t="s">
        <v>36</v>
      </c>
      <c r="D29" s="25" t="s">
        <v>9</v>
      </c>
      <c r="E29" s="26" t="s">
        <v>105</v>
      </c>
      <c r="F29" s="20">
        <v>120.986681</v>
      </c>
      <c r="G29" s="20">
        <v>102.77466200000001</v>
      </c>
      <c r="H29" s="20">
        <v>282.92131599999999</v>
      </c>
      <c r="I29" s="20">
        <v>98.140203999999997</v>
      </c>
      <c r="J29" s="20">
        <v>184.97905399999999</v>
      </c>
      <c r="K29" s="20">
        <v>239.840022</v>
      </c>
      <c r="L29" s="20">
        <v>124.92917</v>
      </c>
      <c r="M29" s="20">
        <v>151.76581899999999</v>
      </c>
      <c r="N29" s="20">
        <v>192.104073</v>
      </c>
      <c r="O29" s="20">
        <v>123.19785299999999</v>
      </c>
      <c r="P29" s="20">
        <v>64.052771000000007</v>
      </c>
      <c r="Q29" s="546">
        <v>399.475461</v>
      </c>
      <c r="R29" s="555">
        <f t="shared" si="4"/>
        <v>173.76392383333334</v>
      </c>
      <c r="S29" s="930">
        <v>201.32918900000001</v>
      </c>
      <c r="T29" s="931">
        <v>235.19612499999999</v>
      </c>
      <c r="U29" s="931">
        <v>230.77257800000001</v>
      </c>
      <c r="V29" s="931">
        <v>211.62852599999999</v>
      </c>
      <c r="W29" s="931">
        <v>292.54064399999999</v>
      </c>
      <c r="X29" s="931">
        <v>238.01302999999999</v>
      </c>
      <c r="Y29" s="931">
        <v>219.77776499999999</v>
      </c>
      <c r="Z29" s="931">
        <v>539.31173699999999</v>
      </c>
      <c r="AA29" s="931">
        <v>414.966297</v>
      </c>
      <c r="AB29" s="931">
        <v>812.98435300000006</v>
      </c>
      <c r="AC29" s="931">
        <v>617.20765900000004</v>
      </c>
      <c r="AD29" s="931">
        <v>4344.6449890000004</v>
      </c>
      <c r="AE29" s="931">
        <v>784.0625</v>
      </c>
      <c r="AF29" s="933">
        <f t="shared" si="5"/>
        <v>9142.4353920000012</v>
      </c>
      <c r="AG29" s="555">
        <f t="shared" si="6"/>
        <v>761.86961600000006</v>
      </c>
      <c r="AH29" s="930">
        <v>936.02991499999996</v>
      </c>
      <c r="AI29" s="931">
        <v>689.33592899999996</v>
      </c>
      <c r="AJ29" s="931">
        <v>776.20322799999997</v>
      </c>
      <c r="AK29" s="931">
        <v>728.91740400000003</v>
      </c>
      <c r="AL29" s="931">
        <v>995.699209</v>
      </c>
      <c r="AM29" s="931">
        <v>922.14662099999998</v>
      </c>
      <c r="AN29" s="931">
        <v>1223.513428</v>
      </c>
      <c r="AO29" s="931">
        <v>1194.4622670000001</v>
      </c>
      <c r="AP29" s="931">
        <v>1432.2909990000001</v>
      </c>
      <c r="AQ29" s="931">
        <v>933.74342200000001</v>
      </c>
      <c r="AR29" s="931">
        <v>2899.4771179999998</v>
      </c>
      <c r="AS29" s="931">
        <v>1323.224455</v>
      </c>
      <c r="AT29" s="20">
        <v>143.53448299999999</v>
      </c>
      <c r="AU29" s="555">
        <f t="shared" si="7"/>
        <v>1183.2148731666666</v>
      </c>
      <c r="AV29" s="549">
        <v>841.27230099999997</v>
      </c>
      <c r="AW29" s="20">
        <v>944.58813299999997</v>
      </c>
      <c r="AX29" s="20">
        <v>754.10009700000001</v>
      </c>
      <c r="AY29" s="20">
        <v>802.38717099999997</v>
      </c>
      <c r="AZ29" s="20">
        <v>1112.9236020000001</v>
      </c>
      <c r="BA29" s="20">
        <v>1042.16957</v>
      </c>
      <c r="BB29" s="20"/>
      <c r="BC29" s="20"/>
      <c r="BD29" s="20"/>
      <c r="BE29" s="20"/>
      <c r="BF29" s="20"/>
      <c r="BG29" s="20"/>
      <c r="BH29" s="20">
        <f t="shared" si="72"/>
        <v>916.24014566666665</v>
      </c>
      <c r="BI29" s="41" cm="1">
        <f t="array" ref="BI29">INDEX(BL29:BW29,$BL$1)</f>
        <v>790.60218525691153</v>
      </c>
      <c r="BJ29" s="30"/>
      <c r="BK29" s="597"/>
      <c r="BL29" s="20">
        <v>1037.1199180545307</v>
      </c>
      <c r="BM29" s="20">
        <v>803.07492867357814</v>
      </c>
      <c r="BN29" s="20">
        <v>835.65462734024493</v>
      </c>
      <c r="BO29" s="20">
        <v>923.44629400691156</v>
      </c>
      <c r="BP29" s="20">
        <v>862.56629400691156</v>
      </c>
      <c r="BQ29" s="20">
        <v>790.60218525691153</v>
      </c>
      <c r="BR29" s="20">
        <v>744.03049159024488</v>
      </c>
      <c r="BS29" s="20">
        <v>832.20282525691152</v>
      </c>
      <c r="BT29" s="20">
        <v>808.39282492357825</v>
      </c>
      <c r="BU29" s="20">
        <v>823.27215825691155</v>
      </c>
      <c r="BV29" s="20">
        <v>780.69382492357818</v>
      </c>
      <c r="BW29" s="20">
        <v>794.69382492357818</v>
      </c>
      <c r="BX29" s="28">
        <f t="shared" si="74"/>
        <v>10035.750197213893</v>
      </c>
      <c r="BY29" s="927">
        <f t="shared" si="73"/>
        <v>0</v>
      </c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8">
        <f t="shared" si="75"/>
        <v>0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8">
        <f t="shared" si="76"/>
        <v>0</v>
      </c>
      <c r="DB29" s="20">
        <v>3.875</v>
      </c>
      <c r="DC29" s="20">
        <v>3.875</v>
      </c>
      <c r="DD29" s="20">
        <v>3.875</v>
      </c>
      <c r="DE29" s="20">
        <v>3.875</v>
      </c>
      <c r="DF29" s="20">
        <v>5.9950000000000001</v>
      </c>
      <c r="DG29" s="20">
        <v>30.875</v>
      </c>
      <c r="DH29" s="20">
        <v>3.875</v>
      </c>
      <c r="DI29" s="20">
        <v>3.875</v>
      </c>
      <c r="DJ29" s="20">
        <v>3.875</v>
      </c>
      <c r="DK29" s="20">
        <v>5.9950000000000001</v>
      </c>
      <c r="DL29" s="20">
        <v>3.875</v>
      </c>
      <c r="DM29" s="20">
        <v>3.875</v>
      </c>
      <c r="DN29" s="28">
        <f t="shared" si="77"/>
        <v>77.740000000000009</v>
      </c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8">
        <f t="shared" si="78"/>
        <v>0</v>
      </c>
      <c r="ED29" s="20">
        <v>230.53465041666669</v>
      </c>
      <c r="EE29" s="20">
        <v>230.53465041666669</v>
      </c>
      <c r="EF29" s="20">
        <v>230.53465041666669</v>
      </c>
      <c r="EG29" s="20">
        <v>285.65965041666669</v>
      </c>
      <c r="EH29" s="20">
        <v>285.65965041666669</v>
      </c>
      <c r="EI29" s="20">
        <v>166.81554166666666</v>
      </c>
      <c r="EJ29" s="20">
        <v>166.81554166666666</v>
      </c>
      <c r="EK29" s="20">
        <v>166.81554166666666</v>
      </c>
      <c r="EL29" s="20">
        <v>166.81554166666666</v>
      </c>
      <c r="EM29" s="20">
        <v>166.81554166666666</v>
      </c>
      <c r="EN29" s="20">
        <v>166.81554166666666</v>
      </c>
      <c r="EO29" s="20">
        <v>166.81554166666666</v>
      </c>
      <c r="EP29" s="28">
        <f t="shared" si="79"/>
        <v>2430.6320437500003</v>
      </c>
      <c r="ER29" s="20">
        <v>802.71026763786392</v>
      </c>
      <c r="ES29" s="20">
        <v>568.66527825691151</v>
      </c>
      <c r="ET29" s="20">
        <v>601.24497692357818</v>
      </c>
      <c r="EU29" s="20">
        <v>633.91164359024481</v>
      </c>
      <c r="EV29" s="20">
        <v>570.91164359024481</v>
      </c>
      <c r="EW29" s="20">
        <v>592.91164359024481</v>
      </c>
      <c r="EX29" s="20">
        <v>573.33994992357816</v>
      </c>
      <c r="EY29" s="20">
        <v>661.51228359024481</v>
      </c>
      <c r="EZ29" s="20">
        <v>637.70228325691153</v>
      </c>
      <c r="FA29" s="20">
        <v>650.46161659024472</v>
      </c>
      <c r="FB29" s="20">
        <v>610.00328325691157</v>
      </c>
      <c r="FC29" s="20">
        <v>624.00328325691157</v>
      </c>
      <c r="FD29" s="28">
        <f t="shared" si="80"/>
        <v>7527.3781534638892</v>
      </c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8">
        <f t="shared" si="81"/>
        <v>0</v>
      </c>
    </row>
    <row r="30" spans="1:174" ht="28.5" x14ac:dyDescent="0.35">
      <c r="A30" s="3">
        <f t="shared" si="82"/>
        <v>8</v>
      </c>
      <c r="B30" s="3" t="s">
        <v>97</v>
      </c>
      <c r="C30" s="3" t="s">
        <v>51</v>
      </c>
      <c r="D30" s="32" t="s">
        <v>17</v>
      </c>
      <c r="E30" s="26" t="s">
        <v>105</v>
      </c>
      <c r="F30" s="20">
        <v>27.009788</v>
      </c>
      <c r="G30" s="20">
        <v>23.820537999999999</v>
      </c>
      <c r="H30" s="20">
        <v>97.499787999999995</v>
      </c>
      <c r="I30" s="20">
        <v>76.791787999999997</v>
      </c>
      <c r="J30" s="20">
        <v>83.243121000000002</v>
      </c>
      <c r="K30" s="20">
        <v>102.628201</v>
      </c>
      <c r="L30" s="20">
        <v>158.41932399999999</v>
      </c>
      <c r="M30" s="20">
        <v>132.48603299999999</v>
      </c>
      <c r="N30" s="20">
        <v>95.116036000000008</v>
      </c>
      <c r="O30" s="20">
        <v>133.37608399999999</v>
      </c>
      <c r="P30" s="20">
        <v>124.431406</v>
      </c>
      <c r="Q30" s="546">
        <v>180.22106099999999</v>
      </c>
      <c r="R30" s="555">
        <f t="shared" si="4"/>
        <v>102.92026399999999</v>
      </c>
      <c r="S30" s="577">
        <f>162.241914+1.592544</f>
        <v>163.83445800000001</v>
      </c>
      <c r="T30" s="20">
        <v>199.21540299999998</v>
      </c>
      <c r="U30" s="20">
        <v>210.765241</v>
      </c>
      <c r="V30" s="20">
        <v>207.926806</v>
      </c>
      <c r="W30" s="20">
        <v>188.14409800000001</v>
      </c>
      <c r="X30" s="20">
        <v>231.14537899999999</v>
      </c>
      <c r="Y30" s="20">
        <v>134.86960400000001</v>
      </c>
      <c r="Z30" s="20">
        <v>304.83430600000003</v>
      </c>
      <c r="AA30" s="20">
        <v>203.29655399999999</v>
      </c>
      <c r="AB30" s="20">
        <v>186.93203500000001</v>
      </c>
      <c r="AC30" s="20">
        <v>333.38828599999994</v>
      </c>
      <c r="AD30" s="20">
        <v>399.10796900000003</v>
      </c>
      <c r="AE30" s="569">
        <v>38.799999999999997</v>
      </c>
      <c r="AF30" s="554">
        <f t="shared" si="5"/>
        <v>2802.2601390000004</v>
      </c>
      <c r="AG30" s="555">
        <f t="shared" si="6"/>
        <v>233.52167825000004</v>
      </c>
      <c r="AH30" s="930">
        <v>220.25863899999999</v>
      </c>
      <c r="AI30" s="931">
        <v>347.308289</v>
      </c>
      <c r="AJ30" s="931">
        <v>218.00814800000001</v>
      </c>
      <c r="AK30" s="931">
        <v>293.041629</v>
      </c>
      <c r="AL30" s="931">
        <v>286.26683200000002</v>
      </c>
      <c r="AM30" s="931">
        <v>405.591792</v>
      </c>
      <c r="AN30" s="931">
        <v>376.93684100000002</v>
      </c>
      <c r="AO30" s="931">
        <v>451.16498100000001</v>
      </c>
      <c r="AP30" s="931">
        <v>237.230951</v>
      </c>
      <c r="AQ30" s="931">
        <v>327.96024799999998</v>
      </c>
      <c r="AR30" s="931">
        <v>281.66661099999999</v>
      </c>
      <c r="AS30" s="931">
        <v>294.37815699999999</v>
      </c>
      <c r="AT30" s="20"/>
      <c r="AU30" s="555">
        <f t="shared" si="7"/>
        <v>311.65109316666667</v>
      </c>
      <c r="AV30" s="549">
        <v>310.26575700000001</v>
      </c>
      <c r="AW30" s="20">
        <v>176.08893699999999</v>
      </c>
      <c r="AX30" s="20">
        <v>203.774608</v>
      </c>
      <c r="AY30" s="20">
        <v>149.46913000000001</v>
      </c>
      <c r="AZ30" s="20">
        <v>220.83173199999999</v>
      </c>
      <c r="BA30" s="20">
        <v>246.09506500000001</v>
      </c>
      <c r="BB30" s="20"/>
      <c r="BC30" s="20"/>
      <c r="BD30" s="20"/>
      <c r="BE30" s="20"/>
      <c r="BF30" s="20"/>
      <c r="BG30" s="20"/>
      <c r="BH30" s="20">
        <f t="shared" si="72"/>
        <v>217.75420483333332</v>
      </c>
      <c r="BI30" s="41" cm="1">
        <f t="array" ref="BI30">INDEX(BL30:BW30,$BL$1)</f>
        <v>329.56659339506172</v>
      </c>
      <c r="BJ30" s="27"/>
      <c r="BK30" s="597"/>
      <c r="BL30" s="20">
        <v>342.09381464506174</v>
      </c>
      <c r="BM30" s="20">
        <v>223.81200264506174</v>
      </c>
      <c r="BN30" s="20">
        <v>241.47969364506173</v>
      </c>
      <c r="BO30" s="20">
        <v>221.26990247839507</v>
      </c>
      <c r="BP30" s="20">
        <v>206.46206914506172</v>
      </c>
      <c r="BQ30" s="20">
        <v>329.56659339506172</v>
      </c>
      <c r="BR30" s="20">
        <v>196.50557231172843</v>
      </c>
      <c r="BS30" s="20">
        <v>216.45391031172841</v>
      </c>
      <c r="BT30" s="20">
        <v>250.43311031172843</v>
      </c>
      <c r="BU30" s="20">
        <v>190.49391031172843</v>
      </c>
      <c r="BV30" s="20">
        <v>248.21391031172843</v>
      </c>
      <c r="BW30" s="20">
        <v>328.94712297839504</v>
      </c>
      <c r="BX30" s="28">
        <f t="shared" si="74"/>
        <v>2995.7316124907406</v>
      </c>
      <c r="BY30" s="927">
        <f t="shared" si="73"/>
        <v>0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8">
        <f t="shared" si="75"/>
        <v>0</v>
      </c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8">
        <f t="shared" si="76"/>
        <v>0</v>
      </c>
      <c r="DB30" s="20">
        <v>288.98579731172833</v>
      </c>
      <c r="DC30" s="20">
        <v>171.30398531172841</v>
      </c>
      <c r="DD30" s="20">
        <v>172.85729364506173</v>
      </c>
      <c r="DE30" s="20">
        <v>177.46229364506172</v>
      </c>
      <c r="DF30" s="20">
        <v>157.23112697839508</v>
      </c>
      <c r="DG30" s="20">
        <v>236.22781497839503</v>
      </c>
      <c r="DH30" s="20">
        <v>159.10679389506174</v>
      </c>
      <c r="DI30" s="20">
        <v>167.9417985617284</v>
      </c>
      <c r="DJ30" s="20">
        <v>171.39099856172842</v>
      </c>
      <c r="DK30" s="20">
        <v>152.6917985617284</v>
      </c>
      <c r="DL30" s="20">
        <v>173.21179856172841</v>
      </c>
      <c r="DM30" s="20">
        <v>270.60501122839503</v>
      </c>
      <c r="DN30" s="28">
        <f t="shared" si="77"/>
        <v>2299.0165112407403</v>
      </c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8">
        <f t="shared" si="78"/>
        <v>0</v>
      </c>
      <c r="ED30" s="20">
        <v>5.2</v>
      </c>
      <c r="EE30" s="20">
        <v>5.2</v>
      </c>
      <c r="EF30" s="20">
        <v>5.2</v>
      </c>
      <c r="EG30" s="20">
        <v>5.2</v>
      </c>
      <c r="EH30" s="20">
        <v>6.89</v>
      </c>
      <c r="EI30" s="20">
        <v>35.200000000000003</v>
      </c>
      <c r="EJ30" s="20">
        <v>5.2</v>
      </c>
      <c r="EK30" s="20">
        <v>5.2</v>
      </c>
      <c r="EL30" s="20">
        <v>5.2</v>
      </c>
      <c r="EM30" s="20">
        <v>5.2</v>
      </c>
      <c r="EN30" s="20">
        <v>5.2</v>
      </c>
      <c r="EO30" s="20">
        <v>5.2</v>
      </c>
      <c r="EP30" s="28">
        <f t="shared" si="79"/>
        <v>94.090000000000018</v>
      </c>
      <c r="ER30" s="20">
        <v>47.908017333333326</v>
      </c>
      <c r="ES30" s="20">
        <v>47.308017333333325</v>
      </c>
      <c r="ET30" s="20">
        <v>63.422400000000003</v>
      </c>
      <c r="EU30" s="20">
        <v>38.607608833333337</v>
      </c>
      <c r="EV30" s="20">
        <v>42.340942166666672</v>
      </c>
      <c r="EW30" s="20">
        <v>58.138778416666675</v>
      </c>
      <c r="EX30" s="20">
        <v>32.19877841666667</v>
      </c>
      <c r="EY30" s="20">
        <v>43.31211175</v>
      </c>
      <c r="EZ30" s="20">
        <v>73.842111750000001</v>
      </c>
      <c r="FA30" s="20">
        <v>32.602111749999999</v>
      </c>
      <c r="FB30" s="20">
        <v>69.802111749999995</v>
      </c>
      <c r="FC30" s="20">
        <v>53.142111749999998</v>
      </c>
      <c r="FD30" s="28">
        <f t="shared" si="80"/>
        <v>602.62510125000006</v>
      </c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8">
        <f t="shared" si="81"/>
        <v>0</v>
      </c>
    </row>
    <row r="31" spans="1:174" ht="14.15" customHeight="1" x14ac:dyDescent="0.35">
      <c r="A31" s="3">
        <f t="shared" si="82"/>
        <v>9</v>
      </c>
      <c r="B31" s="3" t="s">
        <v>97</v>
      </c>
      <c r="C31" s="3" t="s">
        <v>36</v>
      </c>
      <c r="D31" s="25" t="s">
        <v>11</v>
      </c>
      <c r="E31" s="26" t="s">
        <v>105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183.50238100000001</v>
      </c>
      <c r="Q31" s="546">
        <v>218.97200000000001</v>
      </c>
      <c r="R31" s="555">
        <f t="shared" si="4"/>
        <v>33.539531750000002</v>
      </c>
      <c r="S31" s="549">
        <v>738.81561799999997</v>
      </c>
      <c r="T31" s="20">
        <v>290.56763799999999</v>
      </c>
      <c r="U31" s="20">
        <v>287.435</v>
      </c>
      <c r="V31" s="20">
        <v>260.51666699999998</v>
      </c>
      <c r="W31" s="20">
        <v>742.71367499999997</v>
      </c>
      <c r="X31" s="20">
        <v>566.32730100000003</v>
      </c>
      <c r="Y31" s="20">
        <v>432.60000100000002</v>
      </c>
      <c r="Z31" s="20">
        <v>1042.330001</v>
      </c>
      <c r="AA31" s="20">
        <v>1473.095399</v>
      </c>
      <c r="AB31" s="20">
        <v>1159.0806210000001</v>
      </c>
      <c r="AC31" s="20">
        <v>1552.796621</v>
      </c>
      <c r="AD31" s="20">
        <v>2276.8016210000001</v>
      </c>
      <c r="AE31" s="601">
        <v>300</v>
      </c>
      <c r="AF31" s="554">
        <f t="shared" si="5"/>
        <v>11123.080163000001</v>
      </c>
      <c r="AG31" s="555">
        <f t="shared" si="6"/>
        <v>926.92334691666667</v>
      </c>
      <c r="AH31" s="549">
        <v>456.29629599999998</v>
      </c>
      <c r="AI31" s="20">
        <v>563.90909099999999</v>
      </c>
      <c r="AJ31" s="20">
        <v>896.50990899999999</v>
      </c>
      <c r="AK31" s="20">
        <v>486.43823900000001</v>
      </c>
      <c r="AL31" s="20">
        <v>594.73248699999999</v>
      </c>
      <c r="AM31" s="20">
        <v>567.59090900000001</v>
      </c>
      <c r="AN31" s="20">
        <v>186.04720499999999</v>
      </c>
      <c r="AO31" s="20">
        <v>89.650908999999999</v>
      </c>
      <c r="AP31" s="20">
        <v>269.09090900000001</v>
      </c>
      <c r="AQ31" s="20">
        <v>246.86868699999999</v>
      </c>
      <c r="AR31" s="20">
        <v>178.350168</v>
      </c>
      <c r="AS31" s="20">
        <v>1574.6464639999999</v>
      </c>
      <c r="AT31" s="20"/>
      <c r="AU31" s="555">
        <f t="shared" si="7"/>
        <v>509.17760608333327</v>
      </c>
      <c r="AV31" s="549">
        <v>175.95833300000001</v>
      </c>
      <c r="AW31" s="20">
        <v>248.25462899999999</v>
      </c>
      <c r="AX31" s="20">
        <v>25.958333</v>
      </c>
      <c r="AY31" s="20">
        <v>101.86833300000001</v>
      </c>
      <c r="AZ31" s="20">
        <v>264.29226599999998</v>
      </c>
      <c r="BA31" s="20">
        <v>274.66143699999998</v>
      </c>
      <c r="BB31" s="20"/>
      <c r="BC31" s="20"/>
      <c r="BD31" s="20"/>
      <c r="BE31" s="20"/>
      <c r="BF31" s="20"/>
      <c r="BG31" s="20"/>
      <c r="BH31" s="20">
        <f t="shared" si="72"/>
        <v>181.83222183333331</v>
      </c>
      <c r="BI31" s="41" cm="1">
        <f t="array" ref="BI31">INDEX(BL31:BW31,$BL$1)</f>
        <v>725.0817055425448</v>
      </c>
      <c r="BJ31" s="27"/>
      <c r="BK31" s="597"/>
      <c r="BL31" s="20">
        <v>497.1765558087431</v>
      </c>
      <c r="BM31" s="20">
        <v>479.45833333333326</v>
      </c>
      <c r="BN31" s="20">
        <v>479.45833333333326</v>
      </c>
      <c r="BO31" s="20">
        <v>610.79599125683058</v>
      </c>
      <c r="BP31" s="20">
        <v>568.85963071038248</v>
      </c>
      <c r="BQ31" s="20">
        <v>725.0817055425448</v>
      </c>
      <c r="BR31" s="20">
        <v>543.74404761904759</v>
      </c>
      <c r="BS31" s="20">
        <v>622.54664237314591</v>
      </c>
      <c r="BT31" s="20">
        <v>543.74404761904759</v>
      </c>
      <c r="BU31" s="20">
        <v>736.67824587041366</v>
      </c>
      <c r="BV31" s="20">
        <v>750.41071428571411</v>
      </c>
      <c r="BW31" s="20">
        <v>726.07954324746277</v>
      </c>
      <c r="BX31" s="28">
        <f t="shared" si="74"/>
        <v>7284.0337909999989</v>
      </c>
      <c r="BY31" s="927">
        <f t="shared" si="73"/>
        <v>0</v>
      </c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8">
        <f t="shared" si="75"/>
        <v>0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8">
        <f t="shared" si="76"/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8">
        <f t="shared" si="77"/>
        <v>0</v>
      </c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8">
        <f t="shared" si="78"/>
        <v>0</v>
      </c>
      <c r="ED31" s="20">
        <v>53.713592808743165</v>
      </c>
      <c r="EE31" s="20">
        <v>45.833333333333329</v>
      </c>
      <c r="EF31" s="20">
        <v>45.833333333333329</v>
      </c>
      <c r="EG31" s="20">
        <v>177.17099125683058</v>
      </c>
      <c r="EH31" s="20">
        <v>135.23463071038253</v>
      </c>
      <c r="EI31" s="20">
        <v>291.45670554254485</v>
      </c>
      <c r="EJ31" s="20">
        <v>110.11904761904762</v>
      </c>
      <c r="EK31" s="20">
        <v>188.921642373146</v>
      </c>
      <c r="EL31" s="20">
        <v>110.11904761904762</v>
      </c>
      <c r="EM31" s="20">
        <v>303.05324587041372</v>
      </c>
      <c r="EN31" s="20">
        <v>316.78571428571428</v>
      </c>
      <c r="EO31" s="20">
        <v>292.45454324746288</v>
      </c>
      <c r="EP31" s="28">
        <f t="shared" si="79"/>
        <v>2070.6958279999999</v>
      </c>
      <c r="ER31" s="20">
        <v>9.8379630000000002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8">
        <f t="shared" si="80"/>
        <v>9.8379630000000002</v>
      </c>
      <c r="FF31" s="20">
        <v>433.62499999999994</v>
      </c>
      <c r="FG31" s="20">
        <v>433.62499999999994</v>
      </c>
      <c r="FH31" s="20">
        <v>433.62499999999994</v>
      </c>
      <c r="FI31" s="20">
        <v>433.62499999999994</v>
      </c>
      <c r="FJ31" s="20">
        <v>433.62499999999994</v>
      </c>
      <c r="FK31" s="20">
        <v>433.62499999999994</v>
      </c>
      <c r="FL31" s="20">
        <v>433.62499999999994</v>
      </c>
      <c r="FM31" s="20">
        <v>433.62499999999994</v>
      </c>
      <c r="FN31" s="20">
        <v>433.62499999999994</v>
      </c>
      <c r="FO31" s="20">
        <v>433.62499999999994</v>
      </c>
      <c r="FP31" s="20">
        <v>433.62499999999994</v>
      </c>
      <c r="FQ31" s="20">
        <v>433.62499999999994</v>
      </c>
      <c r="FR31" s="28">
        <f t="shared" si="81"/>
        <v>5203.4999999999991</v>
      </c>
    </row>
    <row r="32" spans="1:174" ht="14.15" customHeight="1" x14ac:dyDescent="0.3">
      <c r="A32" s="3">
        <f t="shared" si="82"/>
        <v>10</v>
      </c>
      <c r="B32" s="3" t="s">
        <v>97</v>
      </c>
      <c r="C32" s="3" t="s">
        <v>36</v>
      </c>
      <c r="D32" s="25" t="s">
        <v>22</v>
      </c>
      <c r="E32" s="26" t="s">
        <v>105</v>
      </c>
      <c r="F32" s="20">
        <v>121.632559</v>
      </c>
      <c r="G32" s="20">
        <v>39.968558999999999</v>
      </c>
      <c r="H32" s="20">
        <v>187.05753000000001</v>
      </c>
      <c r="I32" s="20">
        <v>146.510076</v>
      </c>
      <c r="J32" s="20">
        <v>72.233847999999995</v>
      </c>
      <c r="K32" s="20">
        <v>176.99984799999999</v>
      </c>
      <c r="L32" s="20">
        <v>143.16220799999999</v>
      </c>
      <c r="M32" s="20">
        <v>115.13653499999999</v>
      </c>
      <c r="N32" s="20">
        <v>106.030147</v>
      </c>
      <c r="O32" s="20">
        <v>95.691602000000003</v>
      </c>
      <c r="P32" s="20">
        <v>63.938803</v>
      </c>
      <c r="Q32" s="546">
        <v>97.759415000000004</v>
      </c>
      <c r="R32" s="555">
        <f t="shared" si="4"/>
        <v>113.8434275</v>
      </c>
      <c r="S32" s="549">
        <v>73.235646000000003</v>
      </c>
      <c r="T32" s="20">
        <v>144.25811899999999</v>
      </c>
      <c r="U32" s="20">
        <v>99.342737999999997</v>
      </c>
      <c r="V32" s="20">
        <v>104.57202700000001</v>
      </c>
      <c r="W32" s="20">
        <v>110.33908</v>
      </c>
      <c r="X32" s="20">
        <v>146.95098100000001</v>
      </c>
      <c r="Y32" s="20">
        <v>112.475082</v>
      </c>
      <c r="Z32" s="20">
        <v>116.752612</v>
      </c>
      <c r="AA32" s="20">
        <v>115.064132</v>
      </c>
      <c r="AB32" s="20">
        <v>132.08844099999999</v>
      </c>
      <c r="AC32" s="20">
        <v>151.71313499999999</v>
      </c>
      <c r="AD32" s="20">
        <v>151.99137500000001</v>
      </c>
      <c r="AE32" s="20">
        <v>0</v>
      </c>
      <c r="AF32" s="554">
        <f t="shared" si="5"/>
        <v>1458.7833680000001</v>
      </c>
      <c r="AG32" s="555">
        <f t="shared" si="6"/>
        <v>121.56528066666668</v>
      </c>
      <c r="AH32" s="549">
        <v>163.34113400000001</v>
      </c>
      <c r="AI32" s="20">
        <v>102.488747</v>
      </c>
      <c r="AJ32" s="20">
        <v>117.437054</v>
      </c>
      <c r="AK32" s="20">
        <v>104.51088</v>
      </c>
      <c r="AL32" s="20">
        <v>69.184230999999997</v>
      </c>
      <c r="AM32" s="20">
        <v>247.99948599999999</v>
      </c>
      <c r="AN32" s="20">
        <v>151.75765999999999</v>
      </c>
      <c r="AO32" s="20">
        <v>295.168994</v>
      </c>
      <c r="AP32" s="20">
        <v>217.60972100000001</v>
      </c>
      <c r="AQ32" s="20">
        <v>70.833980999999994</v>
      </c>
      <c r="AR32" s="20">
        <v>280.38958600000001</v>
      </c>
      <c r="AS32" s="20">
        <v>235.05404899999999</v>
      </c>
      <c r="AT32" s="20"/>
      <c r="AU32" s="555">
        <f t="shared" si="7"/>
        <v>171.3146269166667</v>
      </c>
      <c r="AV32" s="549">
        <v>164.42631399999999</v>
      </c>
      <c r="AW32" s="20">
        <v>160.29350700000001</v>
      </c>
      <c r="AX32" s="20">
        <v>169.729457</v>
      </c>
      <c r="AY32" s="20">
        <v>168.77785700000001</v>
      </c>
      <c r="AZ32" s="20">
        <v>62.452184000000003</v>
      </c>
      <c r="BA32" s="20">
        <v>211.81522200000001</v>
      </c>
      <c r="BB32" s="20"/>
      <c r="BC32" s="20"/>
      <c r="BD32" s="20"/>
      <c r="BE32" s="20"/>
      <c r="BF32" s="20"/>
      <c r="BG32" s="20"/>
      <c r="BH32" s="20">
        <f t="shared" si="72"/>
        <v>156.24909016666666</v>
      </c>
      <c r="BI32" s="41" cm="1">
        <f t="array" ref="BI32">INDEX(BL32:BW32,$BL$1)</f>
        <v>278.5706246049524</v>
      </c>
      <c r="BJ32" s="30"/>
      <c r="BK32" s="597"/>
      <c r="BL32" s="20">
        <v>223.70246181935241</v>
      </c>
      <c r="BM32" s="20">
        <v>168.6073998785524</v>
      </c>
      <c r="BN32" s="20">
        <v>251.92246181935241</v>
      </c>
      <c r="BO32" s="20">
        <v>217.61789760495239</v>
      </c>
      <c r="BP32" s="20">
        <v>216.01673683855245</v>
      </c>
      <c r="BQ32" s="20">
        <v>278.5706246049524</v>
      </c>
      <c r="BR32" s="20">
        <v>224.63278194735244</v>
      </c>
      <c r="BS32" s="20">
        <v>244.10550894735243</v>
      </c>
      <c r="BT32" s="20">
        <v>237.92854547695242</v>
      </c>
      <c r="BU32" s="20">
        <v>220.12091558201908</v>
      </c>
      <c r="BV32" s="20">
        <v>220.11849860761907</v>
      </c>
      <c r="BW32" s="20">
        <v>239.92091558201909</v>
      </c>
      <c r="BX32" s="28">
        <f t="shared" si="74"/>
        <v>2743.2647487090294</v>
      </c>
      <c r="BY32" s="927">
        <f t="shared" si="73"/>
        <v>0</v>
      </c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8">
        <f t="shared" si="75"/>
        <v>0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8">
        <f t="shared" si="76"/>
        <v>0</v>
      </c>
      <c r="DB32" s="20">
        <v>213.66646181935241</v>
      </c>
      <c r="DC32" s="20">
        <v>158.5713998785524</v>
      </c>
      <c r="DD32" s="20">
        <v>241.88646181935241</v>
      </c>
      <c r="DE32" s="20">
        <v>207.58189760495239</v>
      </c>
      <c r="DF32" s="20">
        <v>205.98073683855245</v>
      </c>
      <c r="DG32" s="20">
        <v>268.5346246049524</v>
      </c>
      <c r="DH32" s="20">
        <v>214.59678194735244</v>
      </c>
      <c r="DI32" s="20">
        <v>234.06950894735243</v>
      </c>
      <c r="DJ32" s="20">
        <v>224.89254547695242</v>
      </c>
      <c r="DK32" s="20">
        <v>210.08491558201908</v>
      </c>
      <c r="DL32" s="20">
        <v>210.08249860761907</v>
      </c>
      <c r="DM32" s="20">
        <v>229.88491558201909</v>
      </c>
      <c r="DN32" s="28">
        <f t="shared" si="77"/>
        <v>2619.8327487090287</v>
      </c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8">
        <f t="shared" si="78"/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8">
        <f t="shared" si="79"/>
        <v>0</v>
      </c>
      <c r="ER32" s="20">
        <v>10.036</v>
      </c>
      <c r="ES32" s="20">
        <v>10.036</v>
      </c>
      <c r="ET32" s="20">
        <v>10.036</v>
      </c>
      <c r="EU32" s="20">
        <v>10.036</v>
      </c>
      <c r="EV32" s="20">
        <v>10.036</v>
      </c>
      <c r="EW32" s="20">
        <v>10.036</v>
      </c>
      <c r="EX32" s="20">
        <v>10.036</v>
      </c>
      <c r="EY32" s="20">
        <v>10.036</v>
      </c>
      <c r="EZ32" s="20">
        <v>13.036</v>
      </c>
      <c r="FA32" s="20">
        <v>10.036</v>
      </c>
      <c r="FB32" s="20">
        <v>10.036</v>
      </c>
      <c r="FC32" s="20">
        <v>10.036</v>
      </c>
      <c r="FD32" s="28">
        <f t="shared" si="80"/>
        <v>123.432</v>
      </c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8">
        <f t="shared" si="81"/>
        <v>0</v>
      </c>
    </row>
    <row r="33" spans="1:174" ht="14.15" customHeight="1" x14ac:dyDescent="0.3">
      <c r="A33" s="3">
        <f t="shared" si="82"/>
        <v>11</v>
      </c>
      <c r="B33" s="3" t="s">
        <v>97</v>
      </c>
      <c r="C33" s="3" t="s">
        <v>36</v>
      </c>
      <c r="D33" s="25" t="s">
        <v>21</v>
      </c>
      <c r="E33" s="26" t="s">
        <v>105</v>
      </c>
      <c r="F33" s="20">
        <v>86.919137000000006</v>
      </c>
      <c r="G33" s="20">
        <v>168.83827400000001</v>
      </c>
      <c r="H33" s="20">
        <v>168.83827400000001</v>
      </c>
      <c r="I33" s="20">
        <v>168.83827400000001</v>
      </c>
      <c r="J33" s="20">
        <v>84.419137000000006</v>
      </c>
      <c r="K33" s="20">
        <v>84.419137000000006</v>
      </c>
      <c r="L33" s="20">
        <v>84.419137000000006</v>
      </c>
      <c r="M33" s="20">
        <v>84.419137000000006</v>
      </c>
      <c r="N33" s="20">
        <v>0</v>
      </c>
      <c r="O33" s="20">
        <v>0</v>
      </c>
      <c r="P33" s="20">
        <v>52.797851000000001</v>
      </c>
      <c r="Q33" s="546">
        <v>52.797851000000001</v>
      </c>
      <c r="R33" s="555">
        <f t="shared" si="4"/>
        <v>86.392184083333333</v>
      </c>
      <c r="S33" s="549">
        <v>52.797851000000001</v>
      </c>
      <c r="T33" s="20">
        <v>52.797851000000001</v>
      </c>
      <c r="U33" s="20">
        <v>52.797851000000001</v>
      </c>
      <c r="V33" s="20">
        <v>52.797851000000001</v>
      </c>
      <c r="W33" s="20">
        <v>52.797851000000001</v>
      </c>
      <c r="X33" s="20">
        <v>52.797851000000001</v>
      </c>
      <c r="Y33" s="20">
        <v>52.797851000000001</v>
      </c>
      <c r="Z33" s="20">
        <v>52.797851000000001</v>
      </c>
      <c r="AA33" s="20">
        <v>52.797851000000001</v>
      </c>
      <c r="AB33" s="20">
        <v>133.196912</v>
      </c>
      <c r="AC33" s="20">
        <v>80.399061000000003</v>
      </c>
      <c r="AD33" s="20">
        <v>80.399061000000003</v>
      </c>
      <c r="AE33" s="20">
        <v>0</v>
      </c>
      <c r="AF33" s="554">
        <f t="shared" si="5"/>
        <v>769.17569299999991</v>
      </c>
      <c r="AG33" s="555">
        <f t="shared" si="6"/>
        <v>64.097974416666659</v>
      </c>
      <c r="AH33" s="549">
        <v>80.399061000000003</v>
      </c>
      <c r="AI33" s="20">
        <v>80.399061000000003</v>
      </c>
      <c r="AJ33" s="20">
        <v>80.399061000000003</v>
      </c>
      <c r="AK33" s="20">
        <v>0</v>
      </c>
      <c r="AL33" s="20">
        <v>80.399062000000001</v>
      </c>
      <c r="AM33" s="20">
        <v>86.795724000000007</v>
      </c>
      <c r="AN33" s="20">
        <v>86.795724000000007</v>
      </c>
      <c r="AO33" s="20">
        <v>86.795724000000007</v>
      </c>
      <c r="AP33" s="20">
        <v>86.795724000000007</v>
      </c>
      <c r="AQ33" s="20">
        <v>86.795724000000007</v>
      </c>
      <c r="AR33" s="20">
        <v>87.208938000000003</v>
      </c>
      <c r="AS33" s="20">
        <v>87.208938000000003</v>
      </c>
      <c r="AT33" s="20"/>
      <c r="AU33" s="555">
        <f t="shared" si="7"/>
        <v>77.49939508333334</v>
      </c>
      <c r="AV33" s="549">
        <v>87.208938000000003</v>
      </c>
      <c r="AW33" s="20">
        <v>87.208938000000003</v>
      </c>
      <c r="AX33" s="20">
        <v>87.208938000000003</v>
      </c>
      <c r="AY33" s="20">
        <v>87.208938000000003</v>
      </c>
      <c r="AZ33" s="20">
        <v>66.497399999999999</v>
      </c>
      <c r="BA33" s="20">
        <v>66.497399999999999</v>
      </c>
      <c r="BB33" s="20"/>
      <c r="BC33" s="20"/>
      <c r="BD33" s="20"/>
      <c r="BE33" s="20"/>
      <c r="BF33" s="20"/>
      <c r="BG33" s="20"/>
      <c r="BH33" s="20">
        <f t="shared" si="72"/>
        <v>80.305092000000002</v>
      </c>
      <c r="BI33" s="41" cm="1">
        <f t="array" ref="BI33">INDEX(BL33:BW33,$BL$1)</f>
        <v>172.88987466666666</v>
      </c>
      <c r="BJ33" s="30"/>
      <c r="BK33" s="597"/>
      <c r="BL33" s="20">
        <v>87.20893816666667</v>
      </c>
      <c r="BM33" s="20">
        <v>87.20893816666667</v>
      </c>
      <c r="BN33" s="20">
        <v>87.20893816666667</v>
      </c>
      <c r="BO33" s="20">
        <v>87.20893816666667</v>
      </c>
      <c r="BP33" s="20">
        <v>172.88987466666666</v>
      </c>
      <c r="BQ33" s="20">
        <v>172.88987466666666</v>
      </c>
      <c r="BR33" s="20">
        <v>172.88987466666666</v>
      </c>
      <c r="BS33" s="20">
        <v>172.88987466666666</v>
      </c>
      <c r="BT33" s="20">
        <v>172.88987466666666</v>
      </c>
      <c r="BU33" s="20">
        <v>172.88987466666666</v>
      </c>
      <c r="BV33" s="20">
        <v>172.88987466666666</v>
      </c>
      <c r="BW33" s="20">
        <v>172.88987466666666</v>
      </c>
      <c r="BX33" s="28">
        <f t="shared" si="74"/>
        <v>1731.9547499999999</v>
      </c>
      <c r="BY33" s="927">
        <f t="shared" si="73"/>
        <v>0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8">
        <f t="shared" si="75"/>
        <v>0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8">
        <f t="shared" si="76"/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8">
        <f t="shared" si="77"/>
        <v>0</v>
      </c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8">
        <f t="shared" si="78"/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8">
        <f t="shared" si="79"/>
        <v>0</v>
      </c>
      <c r="ER33" s="20">
        <v>87.20893816666667</v>
      </c>
      <c r="ES33" s="20">
        <v>87.20893816666667</v>
      </c>
      <c r="ET33" s="20">
        <v>87.20893816666667</v>
      </c>
      <c r="EU33" s="20">
        <v>87.20893816666667</v>
      </c>
      <c r="EV33" s="20">
        <v>172.88987466666666</v>
      </c>
      <c r="EW33" s="20">
        <v>172.88987466666666</v>
      </c>
      <c r="EX33" s="20">
        <v>172.88987466666666</v>
      </c>
      <c r="EY33" s="20">
        <v>172.88987466666666</v>
      </c>
      <c r="EZ33" s="20">
        <v>172.88987466666666</v>
      </c>
      <c r="FA33" s="20">
        <v>172.88987466666666</v>
      </c>
      <c r="FB33" s="20">
        <v>172.88987466666666</v>
      </c>
      <c r="FC33" s="20">
        <v>172.88987466666666</v>
      </c>
      <c r="FD33" s="28">
        <f t="shared" si="80"/>
        <v>1731.9547499999999</v>
      </c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8">
        <f t="shared" si="81"/>
        <v>0</v>
      </c>
    </row>
    <row r="34" spans="1:174" ht="14.15" customHeight="1" x14ac:dyDescent="0.3">
      <c r="A34" s="3">
        <f t="shared" si="82"/>
        <v>12</v>
      </c>
      <c r="B34" s="3" t="s">
        <v>97</v>
      </c>
      <c r="C34" s="3" t="s">
        <v>36</v>
      </c>
      <c r="D34" s="25" t="s">
        <v>26</v>
      </c>
      <c r="E34" s="26" t="s">
        <v>105</v>
      </c>
      <c r="F34" s="20">
        <v>35.109521000000001</v>
      </c>
      <c r="G34" s="20">
        <v>76.818160000000006</v>
      </c>
      <c r="H34" s="20">
        <v>28.211646000000002</v>
      </c>
      <c r="I34" s="20">
        <v>23.111598000000001</v>
      </c>
      <c r="J34" s="20">
        <v>19.621597999999999</v>
      </c>
      <c r="K34" s="20">
        <v>21.720980999999998</v>
      </c>
      <c r="L34" s="20">
        <v>35.012847999999998</v>
      </c>
      <c r="M34" s="20">
        <v>35.573756000000003</v>
      </c>
      <c r="N34" s="20">
        <v>44.561959000000002</v>
      </c>
      <c r="O34" s="20">
        <v>43.024603999999997</v>
      </c>
      <c r="P34" s="20">
        <v>35.644986000000003</v>
      </c>
      <c r="Q34" s="546">
        <v>48.579369999999997</v>
      </c>
      <c r="R34" s="555">
        <f t="shared" si="4"/>
        <v>37.249252250000005</v>
      </c>
      <c r="S34" s="549">
        <v>304.074409</v>
      </c>
      <c r="T34" s="20">
        <v>286.17897499999998</v>
      </c>
      <c r="U34" s="20">
        <v>44.464737</v>
      </c>
      <c r="V34" s="20">
        <v>44.776470000000003</v>
      </c>
      <c r="W34" s="20">
        <v>44.41337</v>
      </c>
      <c r="X34" s="20">
        <v>69.929940999999999</v>
      </c>
      <c r="Y34" s="20">
        <v>49.511733999999997</v>
      </c>
      <c r="Z34" s="20">
        <v>80.874835000000004</v>
      </c>
      <c r="AA34" s="20">
        <v>591.82500600000003</v>
      </c>
      <c r="AB34" s="20">
        <v>54.115850000000002</v>
      </c>
      <c r="AC34" s="20">
        <v>66.468480999999997</v>
      </c>
      <c r="AD34" s="20">
        <v>88.386717000000004</v>
      </c>
      <c r="AE34" s="569">
        <v>9.1538959999999996</v>
      </c>
      <c r="AF34" s="554">
        <f t="shared" si="5"/>
        <v>1734.1744210000002</v>
      </c>
      <c r="AG34" s="555">
        <f t="shared" si="6"/>
        <v>144.51453508333336</v>
      </c>
      <c r="AH34" s="549">
        <v>547.76191300000005</v>
      </c>
      <c r="AI34" s="20">
        <v>76.997563999999997</v>
      </c>
      <c r="AJ34" s="20">
        <v>63.927276999999997</v>
      </c>
      <c r="AK34" s="20">
        <v>43.090344999999999</v>
      </c>
      <c r="AL34" s="20">
        <v>46.340394000000003</v>
      </c>
      <c r="AM34" s="20">
        <v>27.467345000000002</v>
      </c>
      <c r="AN34" s="20">
        <v>90.952610000000007</v>
      </c>
      <c r="AO34" s="20">
        <v>155.68275399999999</v>
      </c>
      <c r="AP34" s="20">
        <v>1586.7915029999999</v>
      </c>
      <c r="AQ34" s="20">
        <v>138.45326800000001</v>
      </c>
      <c r="AR34" s="20">
        <v>102.66128999999999</v>
      </c>
      <c r="AS34" s="20">
        <v>158.33250200000001</v>
      </c>
      <c r="AT34" s="20"/>
      <c r="AU34" s="555">
        <f t="shared" si="7"/>
        <v>253.20489708333335</v>
      </c>
      <c r="AV34" s="549">
        <v>298.914467</v>
      </c>
      <c r="AW34" s="20">
        <v>643.608294</v>
      </c>
      <c r="AX34" s="20">
        <v>128.959686</v>
      </c>
      <c r="AY34" s="20">
        <v>62.590373</v>
      </c>
      <c r="AZ34" s="20">
        <v>124.941363</v>
      </c>
      <c r="BA34" s="20">
        <v>36.265833999999998</v>
      </c>
      <c r="BB34" s="20"/>
      <c r="BC34" s="20"/>
      <c r="BD34" s="20"/>
      <c r="BE34" s="20"/>
      <c r="BF34" s="20"/>
      <c r="BG34" s="20"/>
      <c r="BH34" s="20">
        <f t="shared" si="72"/>
        <v>215.88000283333329</v>
      </c>
      <c r="BI34" s="41" cm="1">
        <f t="array" ref="BI34">INDEX(BL34:BW34,$BL$1)</f>
        <v>104.11238220238096</v>
      </c>
      <c r="BJ34" s="30"/>
      <c r="BK34" s="597"/>
      <c r="BL34" s="20">
        <v>919.66037791666679</v>
      </c>
      <c r="BM34" s="20">
        <v>99.466667916666665</v>
      </c>
      <c r="BN34" s="20">
        <v>44.866667916666671</v>
      </c>
      <c r="BO34" s="20">
        <v>44.866667916666671</v>
      </c>
      <c r="BP34" s="20">
        <v>44.866667916666671</v>
      </c>
      <c r="BQ34" s="20">
        <v>104.11238220238096</v>
      </c>
      <c r="BR34" s="20">
        <v>851.15238220238086</v>
      </c>
      <c r="BS34" s="20">
        <v>880.55238220238084</v>
      </c>
      <c r="BT34" s="20">
        <v>79.308039285714287</v>
      </c>
      <c r="BU34" s="20">
        <v>103.67617745238095</v>
      </c>
      <c r="BV34" s="20">
        <v>103.67617745238095</v>
      </c>
      <c r="BW34" s="20">
        <v>103.67617745238095</v>
      </c>
      <c r="BX34" s="28">
        <f t="shared" si="74"/>
        <v>3379.8807678333337</v>
      </c>
      <c r="BY34" s="927">
        <f t="shared" si="73"/>
        <v>0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8">
        <f t="shared" si="75"/>
        <v>0</v>
      </c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8">
        <f t="shared" si="76"/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8">
        <f t="shared" si="77"/>
        <v>0</v>
      </c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8">
        <f t="shared" si="78"/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8">
        <f t="shared" si="79"/>
        <v>0</v>
      </c>
      <c r="ER34" s="20">
        <v>919.66037791666668</v>
      </c>
      <c r="ES34" s="20">
        <v>99.466667916666665</v>
      </c>
      <c r="ET34" s="20">
        <v>44.866667916666671</v>
      </c>
      <c r="EU34" s="20">
        <v>44.866667916666671</v>
      </c>
      <c r="EV34" s="20">
        <v>44.866667916666671</v>
      </c>
      <c r="EW34" s="20">
        <v>104.11238220238096</v>
      </c>
      <c r="EX34" s="20">
        <v>851.15238220238086</v>
      </c>
      <c r="EY34" s="20">
        <v>880.55238220238084</v>
      </c>
      <c r="EZ34" s="20">
        <v>79.308039285714287</v>
      </c>
      <c r="FA34" s="20">
        <v>103.67617745238095</v>
      </c>
      <c r="FB34" s="20">
        <v>103.67617745238095</v>
      </c>
      <c r="FC34" s="20">
        <v>103.67617745238095</v>
      </c>
      <c r="FD34" s="28">
        <f t="shared" si="80"/>
        <v>3379.8807678333337</v>
      </c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8">
        <f t="shared" si="81"/>
        <v>0</v>
      </c>
    </row>
    <row r="35" spans="1:174" x14ac:dyDescent="0.3">
      <c r="A35" s="3">
        <f t="shared" si="82"/>
        <v>13</v>
      </c>
      <c r="B35" s="3" t="s">
        <v>97</v>
      </c>
      <c r="C35" s="3" t="s">
        <v>36</v>
      </c>
      <c r="D35" s="25" t="s">
        <v>27</v>
      </c>
      <c r="E35" s="26" t="s">
        <v>105</v>
      </c>
      <c r="F35" s="20">
        <v>43.4</v>
      </c>
      <c r="G35" s="20">
        <v>76.728999999999999</v>
      </c>
      <c r="H35" s="20">
        <v>64.912999999999997</v>
      </c>
      <c r="I35" s="20">
        <v>59</v>
      </c>
      <c r="J35" s="20">
        <v>61.154000000000003</v>
      </c>
      <c r="K35" s="20">
        <v>59.834000000000003</v>
      </c>
      <c r="L35" s="20">
        <v>61.836091000000003</v>
      </c>
      <c r="M35" s="20">
        <v>59.581480999999997</v>
      </c>
      <c r="N35" s="20">
        <v>59.140999999999998</v>
      </c>
      <c r="O35" s="20">
        <v>62.084000000000003</v>
      </c>
      <c r="P35" s="20">
        <v>61.822000000000003</v>
      </c>
      <c r="Q35" s="546">
        <v>59.521999999999998</v>
      </c>
      <c r="R35" s="555">
        <f t="shared" si="4"/>
        <v>60.751381000000002</v>
      </c>
      <c r="S35" s="549">
        <f>66.416+6.146691</f>
        <v>72.562691000000001</v>
      </c>
      <c r="T35" s="20">
        <v>59</v>
      </c>
      <c r="U35" s="20">
        <v>63.779000000000003</v>
      </c>
      <c r="V35" s="20">
        <v>140.001</v>
      </c>
      <c r="W35" s="20">
        <v>104.541</v>
      </c>
      <c r="X35" s="20">
        <v>186.06800000000001</v>
      </c>
      <c r="Y35" s="20">
        <v>125.43600000000001</v>
      </c>
      <c r="Z35" s="20">
        <v>119.5</v>
      </c>
      <c r="AA35" s="20">
        <v>138.75700000000001</v>
      </c>
      <c r="AB35" s="20">
        <v>134.88300000000001</v>
      </c>
      <c r="AC35" s="20">
        <v>136.614</v>
      </c>
      <c r="AD35" s="20">
        <v>132.934</v>
      </c>
      <c r="AE35" s="20">
        <v>0</v>
      </c>
      <c r="AF35" s="554">
        <f t="shared" si="5"/>
        <v>1414.075691</v>
      </c>
      <c r="AG35" s="555">
        <f t="shared" si="6"/>
        <v>117.83964091666667</v>
      </c>
      <c r="AH35" s="549">
        <v>144.90199999999999</v>
      </c>
      <c r="AI35" s="20">
        <v>150.19999999999999</v>
      </c>
      <c r="AJ35" s="20">
        <v>178.80032</v>
      </c>
      <c r="AK35" s="20">
        <v>194.94200000000001</v>
      </c>
      <c r="AL35" s="20">
        <v>180.02500000000001</v>
      </c>
      <c r="AM35" s="20">
        <v>170.76599999999999</v>
      </c>
      <c r="AN35" s="20">
        <v>185.5025</v>
      </c>
      <c r="AO35" s="20">
        <v>181.62127799999999</v>
      </c>
      <c r="AP35" s="20">
        <v>185.69911200000001</v>
      </c>
      <c r="AQ35" s="20">
        <v>178.20511200000001</v>
      </c>
      <c r="AR35" s="20">
        <v>185.91900000000001</v>
      </c>
      <c r="AS35" s="20">
        <v>192.53299999999999</v>
      </c>
      <c r="AT35" s="20"/>
      <c r="AU35" s="555">
        <f t="shared" si="7"/>
        <v>177.42627683333333</v>
      </c>
      <c r="AV35" s="549">
        <v>184.973444</v>
      </c>
      <c r="AW35" s="20">
        <v>161.90299999999999</v>
      </c>
      <c r="AX35" s="20">
        <v>179.827</v>
      </c>
      <c r="AY35" s="20">
        <v>205.899778</v>
      </c>
      <c r="AZ35" s="20">
        <v>197.81899999999999</v>
      </c>
      <c r="BA35" s="20">
        <v>190.85499999999999</v>
      </c>
      <c r="BB35" s="20"/>
      <c r="BC35" s="20"/>
      <c r="BD35" s="20"/>
      <c r="BE35" s="20"/>
      <c r="BF35" s="20"/>
      <c r="BG35" s="20"/>
      <c r="BH35" s="20">
        <f t="shared" si="72"/>
        <v>186.879537</v>
      </c>
      <c r="BI35" s="41" cm="1">
        <f t="array" ref="BI35">INDEX(BL35:BW35,$BL$1)</f>
        <v>190</v>
      </c>
      <c r="BJ35" s="30"/>
      <c r="BK35" s="597"/>
      <c r="BL35" s="20">
        <v>190</v>
      </c>
      <c r="BM35" s="20">
        <v>190</v>
      </c>
      <c r="BN35" s="20">
        <v>190</v>
      </c>
      <c r="BO35" s="20">
        <v>190</v>
      </c>
      <c r="BP35" s="20">
        <v>190</v>
      </c>
      <c r="BQ35" s="20">
        <v>190</v>
      </c>
      <c r="BR35" s="20">
        <v>190</v>
      </c>
      <c r="BS35" s="20">
        <v>190</v>
      </c>
      <c r="BT35" s="20">
        <v>190</v>
      </c>
      <c r="BU35" s="20">
        <v>190</v>
      </c>
      <c r="BV35" s="20">
        <v>190</v>
      </c>
      <c r="BW35" s="20">
        <v>190</v>
      </c>
      <c r="BX35" s="28">
        <f t="shared" si="74"/>
        <v>2280</v>
      </c>
      <c r="BY35" s="927">
        <f t="shared" si="73"/>
        <v>0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8">
        <f t="shared" si="75"/>
        <v>0</v>
      </c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8">
        <f t="shared" si="76"/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8">
        <f t="shared" si="77"/>
        <v>0</v>
      </c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8">
        <f t="shared" si="78"/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8">
        <f t="shared" si="79"/>
        <v>0</v>
      </c>
      <c r="ER35" s="20">
        <v>190</v>
      </c>
      <c r="ES35" s="20">
        <v>190</v>
      </c>
      <c r="ET35" s="20">
        <v>190</v>
      </c>
      <c r="EU35" s="20">
        <v>190</v>
      </c>
      <c r="EV35" s="20">
        <v>190</v>
      </c>
      <c r="EW35" s="20">
        <v>190</v>
      </c>
      <c r="EX35" s="20">
        <v>190</v>
      </c>
      <c r="EY35" s="20">
        <v>190</v>
      </c>
      <c r="EZ35" s="20">
        <v>190</v>
      </c>
      <c r="FA35" s="20">
        <v>190</v>
      </c>
      <c r="FB35" s="20">
        <v>190</v>
      </c>
      <c r="FC35" s="20">
        <v>190</v>
      </c>
      <c r="FD35" s="28">
        <f t="shared" si="80"/>
        <v>2280</v>
      </c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8">
        <f t="shared" si="81"/>
        <v>0</v>
      </c>
    </row>
    <row r="36" spans="1:174" ht="14.9" customHeight="1" x14ac:dyDescent="0.3">
      <c r="A36" s="3">
        <f t="shared" si="82"/>
        <v>14</v>
      </c>
      <c r="B36" s="3" t="s">
        <v>97</v>
      </c>
      <c r="C36" s="3" t="s">
        <v>51</v>
      </c>
      <c r="D36" s="25" t="s">
        <v>34</v>
      </c>
      <c r="E36" s="26" t="s">
        <v>105</v>
      </c>
      <c r="F36" s="20">
        <v>17.148852999999999</v>
      </c>
      <c r="G36" s="20">
        <v>17.148852999999999</v>
      </c>
      <c r="H36" s="20">
        <v>20.330670999999999</v>
      </c>
      <c r="I36" s="20">
        <v>21.416183</v>
      </c>
      <c r="J36" s="20">
        <v>44.725482999999997</v>
      </c>
      <c r="K36" s="20">
        <v>31.054328000000002</v>
      </c>
      <c r="L36" s="20">
        <v>36.565251000000004</v>
      </c>
      <c r="M36" s="20">
        <v>63.233274000000002</v>
      </c>
      <c r="N36" s="20">
        <v>32.572085999999999</v>
      </c>
      <c r="O36" s="20">
        <v>65.930916999999994</v>
      </c>
      <c r="P36" s="20">
        <v>47.705022</v>
      </c>
      <c r="Q36" s="546">
        <v>56.032724000000002</v>
      </c>
      <c r="R36" s="555">
        <f t="shared" si="4"/>
        <v>37.821970416666666</v>
      </c>
      <c r="S36" s="549">
        <v>45.744788</v>
      </c>
      <c r="T36" s="20">
        <v>158.50536700000001</v>
      </c>
      <c r="U36" s="20">
        <v>120.441598</v>
      </c>
      <c r="V36" s="20">
        <v>86.955584999999999</v>
      </c>
      <c r="W36" s="20">
        <v>76.557472000000004</v>
      </c>
      <c r="X36" s="20">
        <v>102.91792</v>
      </c>
      <c r="Y36" s="20">
        <v>125.387483</v>
      </c>
      <c r="Z36" s="20">
        <v>181.946969</v>
      </c>
      <c r="AA36" s="20">
        <v>266.33763299999998</v>
      </c>
      <c r="AB36" s="20">
        <v>209.80821299999999</v>
      </c>
      <c r="AC36" s="20">
        <v>256.42154900000003</v>
      </c>
      <c r="AD36" s="20">
        <v>302.36698899999999</v>
      </c>
      <c r="AE36" s="20">
        <v>0</v>
      </c>
      <c r="AF36" s="554">
        <f t="shared" si="5"/>
        <v>1933.3915660000002</v>
      </c>
      <c r="AG36" s="555">
        <f t="shared" si="6"/>
        <v>161.11596383333335</v>
      </c>
      <c r="AH36" s="549">
        <v>213.88451599999999</v>
      </c>
      <c r="AI36" s="20">
        <v>226.49971199999999</v>
      </c>
      <c r="AJ36" s="20">
        <v>246.793733</v>
      </c>
      <c r="AK36" s="20">
        <v>282.06087400000001</v>
      </c>
      <c r="AL36" s="20">
        <v>206.58321100000001</v>
      </c>
      <c r="AM36" s="20">
        <v>213.75224700000001</v>
      </c>
      <c r="AN36" s="20">
        <v>211.103523</v>
      </c>
      <c r="AO36" s="20">
        <v>224.10028700000001</v>
      </c>
      <c r="AP36" s="20">
        <v>247.813142</v>
      </c>
      <c r="AQ36" s="20">
        <v>356.38480800000002</v>
      </c>
      <c r="AR36" s="20">
        <v>222.01250300000001</v>
      </c>
      <c r="AS36" s="20">
        <v>180.170264</v>
      </c>
      <c r="AT36" s="20"/>
      <c r="AU36" s="555">
        <f t="shared" si="7"/>
        <v>235.92990166666667</v>
      </c>
      <c r="AV36" s="549">
        <v>156.55246099999999</v>
      </c>
      <c r="AW36" s="20">
        <v>185.52972299999999</v>
      </c>
      <c r="AX36" s="20">
        <v>158.56320400000001</v>
      </c>
      <c r="AY36" s="20">
        <v>268.63570399999998</v>
      </c>
      <c r="AZ36" s="20">
        <v>384.06117999999998</v>
      </c>
      <c r="BA36" s="20">
        <v>232.22072600000001</v>
      </c>
      <c r="BB36" s="20"/>
      <c r="BC36" s="20"/>
      <c r="BD36" s="20"/>
      <c r="BE36" s="20"/>
      <c r="BF36" s="20"/>
      <c r="BG36" s="20"/>
      <c r="BH36" s="20">
        <f t="shared" si="72"/>
        <v>230.9271663333333</v>
      </c>
      <c r="BI36" s="41" cm="1">
        <f t="array" ref="BI36">INDEX(BL36:BW36,$BL$1)</f>
        <v>236.69208281944441</v>
      </c>
      <c r="BJ36" s="30"/>
      <c r="BK36" s="597"/>
      <c r="BL36" s="974">
        <f>318.191566334494-5</f>
        <v>313.19156633449398</v>
      </c>
      <c r="BM36" s="20">
        <v>182.98773233449427</v>
      </c>
      <c r="BN36" s="20">
        <v>346.09963081944437</v>
      </c>
      <c r="BO36" s="974">
        <f>229.823249819444-5</f>
        <v>224.82324981944399</v>
      </c>
      <c r="BP36" s="20">
        <v>200.66879748611103</v>
      </c>
      <c r="BQ36" s="20">
        <v>236.69208281944441</v>
      </c>
      <c r="BR36" s="974">
        <f>291.645794569444-5</f>
        <v>286.64579456944398</v>
      </c>
      <c r="BS36" s="20">
        <v>156.37783256944437</v>
      </c>
      <c r="BT36" s="20">
        <v>126.92033140277776</v>
      </c>
      <c r="BU36" s="974">
        <f>128.024936736111-5</f>
        <v>123.02493673611099</v>
      </c>
      <c r="BV36" s="20">
        <v>79.263049694444447</v>
      </c>
      <c r="BW36" s="974">
        <f>97.1871176944445-5</f>
        <v>92.187117694444495</v>
      </c>
      <c r="BX36" s="28">
        <f t="shared" si="74"/>
        <v>2368.8821222800984</v>
      </c>
      <c r="BY36" s="927">
        <f t="shared" si="73"/>
        <v>-25.000000000000909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8">
        <f t="shared" si="75"/>
        <v>0</v>
      </c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8">
        <f t="shared" si="76"/>
        <v>0</v>
      </c>
      <c r="DB36" s="20">
        <v>318.19156633449433</v>
      </c>
      <c r="DC36" s="20">
        <v>179.29273233449427</v>
      </c>
      <c r="DD36" s="20">
        <v>346.09963081944437</v>
      </c>
      <c r="DE36" s="20">
        <v>229.82324981944436</v>
      </c>
      <c r="DF36" s="20">
        <v>200.66879748611103</v>
      </c>
      <c r="DG36" s="20">
        <v>236.69208281944441</v>
      </c>
      <c r="DH36" s="20">
        <v>291.64579456944443</v>
      </c>
      <c r="DI36" s="20">
        <v>152.68283256944437</v>
      </c>
      <c r="DJ36" s="20">
        <v>126.92033140277776</v>
      </c>
      <c r="DK36" s="20">
        <v>128.0249367361111</v>
      </c>
      <c r="DL36" s="20">
        <v>79.263049694444447</v>
      </c>
      <c r="DM36" s="20">
        <v>97.187117694444453</v>
      </c>
      <c r="DN36" s="28">
        <f t="shared" si="77"/>
        <v>2386.4921222800995</v>
      </c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8">
        <f t="shared" si="78"/>
        <v>0</v>
      </c>
      <c r="ED36" s="20">
        <v>0</v>
      </c>
      <c r="EE36" s="20">
        <v>3.6949999999999998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3.6949999999999998</v>
      </c>
      <c r="EL36" s="20">
        <v>0</v>
      </c>
      <c r="EM36" s="20">
        <v>0</v>
      </c>
      <c r="EN36" s="20">
        <v>0</v>
      </c>
      <c r="EO36" s="20">
        <v>0</v>
      </c>
      <c r="EP36" s="28">
        <f t="shared" si="79"/>
        <v>7.39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8">
        <f t="shared" si="80"/>
        <v>0</v>
      </c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8">
        <f t="shared" si="81"/>
        <v>0</v>
      </c>
    </row>
    <row r="37" spans="1:174" ht="14.15" customHeight="1" x14ac:dyDescent="0.35">
      <c r="A37" s="3">
        <f t="shared" si="82"/>
        <v>15</v>
      </c>
      <c r="B37" s="3" t="s">
        <v>97</v>
      </c>
      <c r="C37" s="3" t="s">
        <v>36</v>
      </c>
      <c r="D37" s="25" t="s">
        <v>15</v>
      </c>
      <c r="E37" s="26" t="s">
        <v>105</v>
      </c>
      <c r="F37" s="20">
        <v>107.391811</v>
      </c>
      <c r="G37" s="20">
        <v>56.632618999999998</v>
      </c>
      <c r="H37" s="20">
        <v>70.524044000000004</v>
      </c>
      <c r="I37" s="20">
        <v>67.296808999999996</v>
      </c>
      <c r="J37" s="20">
        <v>75.924930000000003</v>
      </c>
      <c r="K37" s="20">
        <v>63.221738999999999</v>
      </c>
      <c r="L37" s="20">
        <v>65.248301999999995</v>
      </c>
      <c r="M37" s="20">
        <v>31.180275000000002</v>
      </c>
      <c r="N37" s="20">
        <v>35.936444000000002</v>
      </c>
      <c r="O37" s="20">
        <v>32.834833000000003</v>
      </c>
      <c r="P37" s="20">
        <v>16.389824000000001</v>
      </c>
      <c r="Q37" s="546">
        <v>11.674211</v>
      </c>
      <c r="R37" s="555">
        <f t="shared" si="4"/>
        <v>52.854653416666679</v>
      </c>
      <c r="S37" s="549">
        <v>15.036211</v>
      </c>
      <c r="T37" s="20">
        <v>7.9912109999999998</v>
      </c>
      <c r="U37" s="20">
        <v>31.867854999999999</v>
      </c>
      <c r="V37" s="20">
        <v>46.440044</v>
      </c>
      <c r="W37" s="20">
        <v>16.140360000000001</v>
      </c>
      <c r="X37" s="20">
        <v>95.683347999999995</v>
      </c>
      <c r="Y37" s="20">
        <v>19.168277</v>
      </c>
      <c r="Z37" s="20">
        <v>100.600061</v>
      </c>
      <c r="AA37" s="20">
        <v>104.158342</v>
      </c>
      <c r="AB37" s="20">
        <v>81.457378000000006</v>
      </c>
      <c r="AC37" s="20">
        <v>57.032802999999944</v>
      </c>
      <c r="AD37" s="20">
        <v>14.523502000000001</v>
      </c>
      <c r="AE37" s="569">
        <v>865.03441099999998</v>
      </c>
      <c r="AF37" s="554">
        <f t="shared" si="5"/>
        <v>1455.1338029999999</v>
      </c>
      <c r="AG37" s="555">
        <f t="shared" si="6"/>
        <v>121.26115025</v>
      </c>
      <c r="AH37" s="549">
        <v>53.975490000000001</v>
      </c>
      <c r="AI37" s="20">
        <v>22.717108</v>
      </c>
      <c r="AJ37" s="20">
        <v>12.577472999999999</v>
      </c>
      <c r="AK37" s="20">
        <v>24.451858999999999</v>
      </c>
      <c r="AL37" s="20">
        <v>5.9704800000000002</v>
      </c>
      <c r="AM37" s="20">
        <v>19.102816000000001</v>
      </c>
      <c r="AN37" s="20">
        <v>27.453105999999998</v>
      </c>
      <c r="AO37" s="20">
        <v>33.289932999999998</v>
      </c>
      <c r="AP37" s="20">
        <v>14.866414000000001</v>
      </c>
      <c r="AQ37" s="20">
        <v>112.731359</v>
      </c>
      <c r="AR37" s="20">
        <v>27.238719</v>
      </c>
      <c r="AS37" s="20">
        <v>1145.9834209999999</v>
      </c>
      <c r="AT37" s="20"/>
      <c r="AU37" s="555">
        <f t="shared" si="7"/>
        <v>125.02984816666667</v>
      </c>
      <c r="AV37" s="549">
        <v>21.542494999999999</v>
      </c>
      <c r="AW37" s="20">
        <v>11.940416000000001</v>
      </c>
      <c r="AX37" s="20">
        <v>42.815165999999998</v>
      </c>
      <c r="AY37" s="20">
        <v>45.739564999999999</v>
      </c>
      <c r="AZ37" s="20">
        <v>24.448626999999998</v>
      </c>
      <c r="BA37" s="20">
        <v>90.477862000000002</v>
      </c>
      <c r="BB37" s="20"/>
      <c r="BC37" s="20"/>
      <c r="BD37" s="20"/>
      <c r="BE37" s="20"/>
      <c r="BF37" s="20"/>
      <c r="BG37" s="20"/>
      <c r="BH37" s="20">
        <f t="shared" si="72"/>
        <v>39.494021833333335</v>
      </c>
      <c r="BI37" s="41" cm="1">
        <f t="array" ref="BI37">INDEX(BL37:BW37,$BL$1)</f>
        <v>19.025886787500003</v>
      </c>
      <c r="BJ37" s="27"/>
      <c r="BK37" s="597"/>
      <c r="BL37" s="20">
        <v>22.0758867875</v>
      </c>
      <c r="BM37" s="20">
        <v>15.525886787500001</v>
      </c>
      <c r="BN37" s="20">
        <v>20.125886787500001</v>
      </c>
      <c r="BO37" s="20">
        <v>15.525886787500001</v>
      </c>
      <c r="BP37" s="20">
        <v>21.125886787500001</v>
      </c>
      <c r="BQ37" s="20">
        <v>19.025886787500003</v>
      </c>
      <c r="BR37" s="20">
        <v>20.125886787500001</v>
      </c>
      <c r="BS37" s="20">
        <v>15.525886787500001</v>
      </c>
      <c r="BT37" s="20">
        <v>21.125886787500001</v>
      </c>
      <c r="BU37" s="20">
        <v>15.525886787500001</v>
      </c>
      <c r="BV37" s="20">
        <v>20.125886787500001</v>
      </c>
      <c r="BW37" s="20">
        <v>15.525886787500001</v>
      </c>
      <c r="BX37" s="28">
        <f t="shared" si="74"/>
        <v>221.36064145000006</v>
      </c>
      <c r="BY37" s="927">
        <f t="shared" si="73"/>
        <v>0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8">
        <f t="shared" si="75"/>
        <v>0</v>
      </c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8">
        <f t="shared" si="76"/>
        <v>0</v>
      </c>
      <c r="DB37" s="20">
        <v>2</v>
      </c>
      <c r="DC37" s="20">
        <v>0</v>
      </c>
      <c r="DD37" s="20">
        <v>1</v>
      </c>
      <c r="DE37" s="20">
        <v>0</v>
      </c>
      <c r="DF37" s="20">
        <v>2</v>
      </c>
      <c r="DG37" s="20">
        <v>0</v>
      </c>
      <c r="DH37" s="20">
        <v>1</v>
      </c>
      <c r="DI37" s="20">
        <v>0</v>
      </c>
      <c r="DJ37" s="20">
        <v>2</v>
      </c>
      <c r="DK37" s="20">
        <v>0</v>
      </c>
      <c r="DL37" s="20">
        <v>1</v>
      </c>
      <c r="DM37" s="20">
        <v>0</v>
      </c>
      <c r="DN37" s="28">
        <f t="shared" si="77"/>
        <v>9</v>
      </c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8">
        <f t="shared" si="78"/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8">
        <f t="shared" si="79"/>
        <v>0</v>
      </c>
      <c r="ER37" s="20">
        <v>20.0758867875</v>
      </c>
      <c r="ES37" s="20">
        <v>15.525886787500001</v>
      </c>
      <c r="ET37" s="20">
        <v>19.125886787500001</v>
      </c>
      <c r="EU37" s="20">
        <v>15.525886787500001</v>
      </c>
      <c r="EV37" s="20">
        <v>19.125886787500001</v>
      </c>
      <c r="EW37" s="20">
        <v>19.025886787500003</v>
      </c>
      <c r="EX37" s="20">
        <v>19.125886787500001</v>
      </c>
      <c r="EY37" s="20">
        <v>15.525886787500001</v>
      </c>
      <c r="EZ37" s="20">
        <v>19.125886787500001</v>
      </c>
      <c r="FA37" s="20">
        <v>15.525886787500001</v>
      </c>
      <c r="FB37" s="20">
        <v>19.125886787500001</v>
      </c>
      <c r="FC37" s="20">
        <v>15.525886787500001</v>
      </c>
      <c r="FD37" s="28">
        <f t="shared" si="80"/>
        <v>212.36064145000006</v>
      </c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8">
        <f t="shared" si="81"/>
        <v>0</v>
      </c>
    </row>
    <row r="38" spans="1:174" x14ac:dyDescent="0.3">
      <c r="A38" s="3">
        <f t="shared" si="82"/>
        <v>16</v>
      </c>
      <c r="B38" s="3" t="s">
        <v>97</v>
      </c>
      <c r="C38" s="3" t="s">
        <v>36</v>
      </c>
      <c r="D38" s="25" t="s">
        <v>10</v>
      </c>
      <c r="E38" s="26" t="s">
        <v>105</v>
      </c>
      <c r="F38" s="20">
        <v>0.48737200000000003</v>
      </c>
      <c r="G38" s="20">
        <v>159.05858000000001</v>
      </c>
      <c r="H38" s="20">
        <v>11.416361999999999</v>
      </c>
      <c r="I38" s="20">
        <v>11.237272000000001</v>
      </c>
      <c r="J38" s="20">
        <v>10.126725</v>
      </c>
      <c r="K38" s="20">
        <v>20.048984999999998</v>
      </c>
      <c r="L38" s="20">
        <v>19.422625</v>
      </c>
      <c r="M38" s="20">
        <v>19.422625</v>
      </c>
      <c r="N38" s="20">
        <v>44.476444999999998</v>
      </c>
      <c r="O38" s="20">
        <v>19.422625</v>
      </c>
      <c r="P38" s="20">
        <v>19.422625</v>
      </c>
      <c r="Q38" s="546">
        <v>32.352133000000002</v>
      </c>
      <c r="R38" s="555">
        <f t="shared" si="4"/>
        <v>30.574531166666659</v>
      </c>
      <c r="S38" s="549">
        <v>24.852132999999998</v>
      </c>
      <c r="T38" s="20">
        <v>134.642053</v>
      </c>
      <c r="U38" s="20">
        <v>41.004632999999998</v>
      </c>
      <c r="V38" s="20">
        <v>96.777911000000003</v>
      </c>
      <c r="W38" s="20">
        <v>110.45007099999999</v>
      </c>
      <c r="X38" s="20">
        <v>227.525903</v>
      </c>
      <c r="Y38" s="20">
        <v>190.913308</v>
      </c>
      <c r="Z38" s="20">
        <v>531.86428599999999</v>
      </c>
      <c r="AA38" s="20">
        <v>279.71376199999997</v>
      </c>
      <c r="AB38" s="20">
        <v>950.03396299999997</v>
      </c>
      <c r="AC38" s="20">
        <v>490.63671699999998</v>
      </c>
      <c r="AD38" s="20">
        <v>1360.637146</v>
      </c>
      <c r="AE38" s="569">
        <v>31.5</v>
      </c>
      <c r="AF38" s="554">
        <f t="shared" si="5"/>
        <v>4470.5518859999993</v>
      </c>
      <c r="AG38" s="555">
        <f t="shared" si="6"/>
        <v>372.54599049999996</v>
      </c>
      <c r="AH38" s="549">
        <v>920.06454499999995</v>
      </c>
      <c r="AI38" s="20">
        <v>338.68950699999999</v>
      </c>
      <c r="AJ38" s="20">
        <v>1118.520747</v>
      </c>
      <c r="AK38" s="20">
        <v>407.80866600000002</v>
      </c>
      <c r="AL38" s="20">
        <v>721.263058</v>
      </c>
      <c r="AM38" s="20">
        <v>79.766102000000004</v>
      </c>
      <c r="AN38" s="20">
        <v>98.237635999999995</v>
      </c>
      <c r="AO38" s="20">
        <v>333.843435</v>
      </c>
      <c r="AP38" s="20">
        <v>74.302695</v>
      </c>
      <c r="AQ38" s="20">
        <v>1622.618534</v>
      </c>
      <c r="AR38" s="20">
        <v>281.84333700000002</v>
      </c>
      <c r="AS38" s="20">
        <v>666.751937</v>
      </c>
      <c r="AT38" s="20"/>
      <c r="AU38" s="555">
        <f t="shared" si="7"/>
        <v>555.30918324999993</v>
      </c>
      <c r="AV38" s="549">
        <v>828.04827</v>
      </c>
      <c r="AW38" s="20">
        <v>270.101001</v>
      </c>
      <c r="AX38" s="20">
        <v>210.74891700000001</v>
      </c>
      <c r="AY38" s="20">
        <v>509.346879</v>
      </c>
      <c r="AZ38" s="20">
        <v>502.24632100000002</v>
      </c>
      <c r="BA38" s="20">
        <v>333.39388100000002</v>
      </c>
      <c r="BB38" s="20"/>
      <c r="BC38" s="20"/>
      <c r="BD38" s="20"/>
      <c r="BE38" s="20"/>
      <c r="BF38" s="20"/>
      <c r="BG38" s="20"/>
      <c r="BH38" s="20">
        <f t="shared" si="72"/>
        <v>442.3142115</v>
      </c>
      <c r="BI38" s="41" cm="1">
        <f t="array" ref="BI38">INDEX(BL38:BW38,$BL$1)</f>
        <v>70.652482000000006</v>
      </c>
      <c r="BJ38" s="30"/>
      <c r="BK38" s="597"/>
      <c r="BL38" s="20">
        <v>1697.862482</v>
      </c>
      <c r="BM38" s="20">
        <v>19.862482</v>
      </c>
      <c r="BN38" s="20">
        <v>188.362482</v>
      </c>
      <c r="BO38" s="20">
        <v>77.362482</v>
      </c>
      <c r="BP38" s="20">
        <v>1434.362482</v>
      </c>
      <c r="BQ38" s="20">
        <v>70.652482000000006</v>
      </c>
      <c r="BR38" s="20">
        <v>195.95507466666666</v>
      </c>
      <c r="BS38" s="20">
        <v>84.029148666666657</v>
      </c>
      <c r="BT38" s="20">
        <v>1304.0291486666667</v>
      </c>
      <c r="BU38" s="20">
        <v>100.02914866666666</v>
      </c>
      <c r="BV38" s="20">
        <v>99.029148666666657</v>
      </c>
      <c r="BW38" s="20">
        <v>84.029148666666657</v>
      </c>
      <c r="BX38" s="28">
        <f t="shared" si="74"/>
        <v>5355.5657099999999</v>
      </c>
      <c r="BY38" s="927">
        <f t="shared" si="73"/>
        <v>0</v>
      </c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8">
        <f t="shared" si="75"/>
        <v>0</v>
      </c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8">
        <f t="shared" si="76"/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8">
        <f t="shared" si="77"/>
        <v>0</v>
      </c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8">
        <f t="shared" si="78"/>
        <v>0</v>
      </c>
      <c r="ED38" s="20">
        <v>1200</v>
      </c>
      <c r="EE38" s="20">
        <v>0</v>
      </c>
      <c r="EF38" s="20">
        <v>0</v>
      </c>
      <c r="EG38" s="20">
        <v>0</v>
      </c>
      <c r="EH38" s="20">
        <v>1200</v>
      </c>
      <c r="EI38" s="20">
        <v>0</v>
      </c>
      <c r="EJ38" s="20">
        <v>0</v>
      </c>
      <c r="EK38" s="20">
        <v>0</v>
      </c>
      <c r="EL38" s="20">
        <v>1200</v>
      </c>
      <c r="EM38" s="20">
        <v>0</v>
      </c>
      <c r="EN38" s="20">
        <v>0</v>
      </c>
      <c r="EO38" s="20">
        <v>0</v>
      </c>
      <c r="EP38" s="28">
        <f t="shared" si="79"/>
        <v>3600</v>
      </c>
      <c r="ER38" s="20">
        <v>497.862482</v>
      </c>
      <c r="ES38" s="20">
        <v>19.862482</v>
      </c>
      <c r="ET38" s="20">
        <v>188.362482</v>
      </c>
      <c r="EU38" s="20">
        <v>77.362482</v>
      </c>
      <c r="EV38" s="20">
        <v>234.362482</v>
      </c>
      <c r="EW38" s="20">
        <v>70.652482000000006</v>
      </c>
      <c r="EX38" s="20">
        <v>195.95507466666666</v>
      </c>
      <c r="EY38" s="20">
        <v>84.029148666666657</v>
      </c>
      <c r="EZ38" s="20">
        <v>104.02914866666666</v>
      </c>
      <c r="FA38" s="20">
        <v>100.02914866666666</v>
      </c>
      <c r="FB38" s="20">
        <v>99.029148666666657</v>
      </c>
      <c r="FC38" s="20">
        <v>84.029148666666657</v>
      </c>
      <c r="FD38" s="28">
        <f t="shared" si="80"/>
        <v>1755.5657100000003</v>
      </c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8">
        <f t="shared" si="81"/>
        <v>0</v>
      </c>
    </row>
    <row r="39" spans="1:174" x14ac:dyDescent="0.3">
      <c r="A39" s="3">
        <f t="shared" si="82"/>
        <v>17</v>
      </c>
      <c r="B39" s="3" t="s">
        <v>97</v>
      </c>
      <c r="C39" s="3" t="s">
        <v>36</v>
      </c>
      <c r="D39" s="25" t="s">
        <v>13</v>
      </c>
      <c r="E39" s="26" t="s">
        <v>105</v>
      </c>
      <c r="F39" s="20">
        <v>30.688364</v>
      </c>
      <c r="G39" s="20">
        <v>23.871169999999999</v>
      </c>
      <c r="H39" s="20">
        <v>11.387449</v>
      </c>
      <c r="I39" s="20">
        <v>38.281322000000003</v>
      </c>
      <c r="J39" s="20">
        <v>26.012117</v>
      </c>
      <c r="K39" s="20">
        <v>23.753267000000001</v>
      </c>
      <c r="L39" s="20">
        <v>29.951115999999999</v>
      </c>
      <c r="M39" s="20">
        <v>47.348376000000002</v>
      </c>
      <c r="N39" s="20">
        <v>30.139887999999999</v>
      </c>
      <c r="O39" s="20">
        <v>41.096468999999999</v>
      </c>
      <c r="P39" s="20">
        <v>35.260089999999998</v>
      </c>
      <c r="Q39" s="546">
        <v>73.332016999999993</v>
      </c>
      <c r="R39" s="555">
        <f t="shared" si="4"/>
        <v>34.260137083333333</v>
      </c>
      <c r="S39" s="549">
        <v>56.605108000000001</v>
      </c>
      <c r="T39" s="20">
        <v>45.699261</v>
      </c>
      <c r="U39" s="20">
        <v>31.710654999999999</v>
      </c>
      <c r="V39" s="20">
        <v>89.527452999999994</v>
      </c>
      <c r="W39" s="20">
        <v>86.237708999999995</v>
      </c>
      <c r="X39" s="20">
        <v>57.660387</v>
      </c>
      <c r="Y39" s="20">
        <v>131.36801600000001</v>
      </c>
      <c r="Z39" s="20">
        <v>104.44671</v>
      </c>
      <c r="AA39" s="20">
        <v>102.467744</v>
      </c>
      <c r="AB39" s="20">
        <v>97.334404000000006</v>
      </c>
      <c r="AC39" s="20">
        <v>74.282861999999994</v>
      </c>
      <c r="AD39" s="20">
        <v>349.209543</v>
      </c>
      <c r="AE39" s="569">
        <v>11.126467</v>
      </c>
      <c r="AF39" s="554">
        <f>SUM(S39:AE39)</f>
        <v>1237.6763190000001</v>
      </c>
      <c r="AG39" s="555">
        <f t="shared" si="6"/>
        <v>103.13969325000001</v>
      </c>
      <c r="AH39" s="549">
        <v>92.334428000000003</v>
      </c>
      <c r="AI39" s="20">
        <v>92.649647999999999</v>
      </c>
      <c r="AJ39" s="20">
        <v>432.72103099999998</v>
      </c>
      <c r="AK39" s="20">
        <v>121.206699</v>
      </c>
      <c r="AL39" s="20">
        <v>55.532785000000004</v>
      </c>
      <c r="AM39" s="20">
        <v>237.24934300000001</v>
      </c>
      <c r="AN39" s="20">
        <v>482.26413000000002</v>
      </c>
      <c r="AO39" s="20">
        <v>153.56686199999999</v>
      </c>
      <c r="AP39" s="20">
        <v>209.503445</v>
      </c>
      <c r="AQ39" s="20">
        <v>786.14993100000004</v>
      </c>
      <c r="AR39" s="20">
        <v>440.95342599999998</v>
      </c>
      <c r="AS39" s="20">
        <v>263.37209799999999</v>
      </c>
      <c r="AT39" s="20"/>
      <c r="AU39" s="555">
        <f t="shared" si="7"/>
        <v>280.62531883333332</v>
      </c>
      <c r="AV39" s="549">
        <v>478.51530400000001</v>
      </c>
      <c r="AW39" s="20">
        <v>151.861324</v>
      </c>
      <c r="AX39" s="20">
        <v>367.14596699999998</v>
      </c>
      <c r="AY39" s="20">
        <v>279.56366700000001</v>
      </c>
      <c r="AZ39" s="20">
        <v>506.776321</v>
      </c>
      <c r="BA39" s="20">
        <v>120.92882</v>
      </c>
      <c r="BB39" s="20"/>
      <c r="BC39" s="20"/>
      <c r="BD39" s="20"/>
      <c r="BE39" s="20"/>
      <c r="BF39" s="20"/>
      <c r="BG39" s="20"/>
      <c r="BH39" s="20">
        <f t="shared" si="72"/>
        <v>317.46523383333334</v>
      </c>
      <c r="BI39" s="41" cm="1">
        <f t="array" ref="BI39">INDEX(BL39:BW39,$BL$1)</f>
        <v>265.7151235</v>
      </c>
      <c r="BJ39" s="30"/>
      <c r="BK39" s="597"/>
      <c r="BL39" s="20">
        <v>264.37512349999997</v>
      </c>
      <c r="BM39" s="20">
        <v>115.9401235</v>
      </c>
      <c r="BN39" s="20">
        <v>344.76512350000002</v>
      </c>
      <c r="BO39" s="20">
        <v>361.94512350000002</v>
      </c>
      <c r="BP39" s="20">
        <v>330.86512349999998</v>
      </c>
      <c r="BQ39" s="20">
        <v>265.7151235</v>
      </c>
      <c r="BR39" s="20">
        <v>173.44512349999999</v>
      </c>
      <c r="BS39" s="20">
        <v>168.89012349999999</v>
      </c>
      <c r="BT39" s="20">
        <v>296.0951235</v>
      </c>
      <c r="BU39" s="20">
        <v>325.44012350000003</v>
      </c>
      <c r="BV39" s="20">
        <v>156.39012349999999</v>
      </c>
      <c r="BW39" s="20">
        <v>188.54012349999999</v>
      </c>
      <c r="BX39" s="28">
        <f t="shared" si="74"/>
        <v>2992.4064819999994</v>
      </c>
      <c r="BY39" s="927">
        <f t="shared" si="73"/>
        <v>0</v>
      </c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8">
        <f t="shared" si="75"/>
        <v>0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8">
        <f t="shared" si="76"/>
        <v>0</v>
      </c>
      <c r="DB39" s="20">
        <v>182.46</v>
      </c>
      <c r="DC39" s="20">
        <v>65.099999999999994</v>
      </c>
      <c r="DD39" s="20">
        <v>161.4</v>
      </c>
      <c r="DE39" s="20">
        <v>229.33</v>
      </c>
      <c r="DF39" s="20">
        <v>200.125</v>
      </c>
      <c r="DG39" s="20">
        <v>54.35</v>
      </c>
      <c r="DH39" s="20">
        <v>98.83</v>
      </c>
      <c r="DI39" s="20">
        <v>85.65</v>
      </c>
      <c r="DJ39" s="20">
        <v>67.53</v>
      </c>
      <c r="DK39" s="20">
        <v>193.125</v>
      </c>
      <c r="DL39" s="20">
        <v>85.65</v>
      </c>
      <c r="DM39" s="20">
        <v>38.4</v>
      </c>
      <c r="DN39" s="28">
        <f t="shared" si="77"/>
        <v>1461.9500000000003</v>
      </c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8">
        <f t="shared" si="78"/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8">
        <f t="shared" si="79"/>
        <v>0</v>
      </c>
      <c r="ER39" s="20">
        <v>81.915123500000007</v>
      </c>
      <c r="ES39" s="20">
        <v>50.840123499999997</v>
      </c>
      <c r="ET39" s="20">
        <v>183.36512350000001</v>
      </c>
      <c r="EU39" s="20">
        <v>132.61512350000001</v>
      </c>
      <c r="EV39" s="20">
        <v>130.74012349999998</v>
      </c>
      <c r="EW39" s="20">
        <v>211.36512350000001</v>
      </c>
      <c r="EX39" s="20">
        <v>74.615123499999996</v>
      </c>
      <c r="EY39" s="20">
        <v>83.240123499999996</v>
      </c>
      <c r="EZ39" s="20">
        <v>228.5651235</v>
      </c>
      <c r="FA39" s="20">
        <v>132.3151235</v>
      </c>
      <c r="FB39" s="20">
        <v>70.740123499999996</v>
      </c>
      <c r="FC39" s="20">
        <v>150.14012349999999</v>
      </c>
      <c r="FD39" s="28">
        <f t="shared" si="80"/>
        <v>1530.4564820000001</v>
      </c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8">
        <f t="shared" si="81"/>
        <v>0</v>
      </c>
    </row>
    <row r="40" spans="1:174" x14ac:dyDescent="0.3">
      <c r="A40" s="3">
        <f t="shared" si="82"/>
        <v>18</v>
      </c>
      <c r="B40" s="3" t="s">
        <v>97</v>
      </c>
      <c r="C40" s="3" t="s">
        <v>36</v>
      </c>
      <c r="D40" s="25" t="s">
        <v>20</v>
      </c>
      <c r="E40" s="26" t="s">
        <v>105</v>
      </c>
      <c r="F40" s="20">
        <v>31.867025000000002</v>
      </c>
      <c r="G40" s="20">
        <v>55.964759999999998</v>
      </c>
      <c r="H40" s="20">
        <v>59.219191000000002</v>
      </c>
      <c r="I40" s="20">
        <v>48.797642000000003</v>
      </c>
      <c r="J40" s="20">
        <v>43.170045999999999</v>
      </c>
      <c r="K40" s="20">
        <v>17.060365999999998</v>
      </c>
      <c r="L40" s="20">
        <v>96.807282000000001</v>
      </c>
      <c r="M40" s="20">
        <v>32.778739000000002</v>
      </c>
      <c r="N40" s="20">
        <v>17.967147000000001</v>
      </c>
      <c r="O40" s="20">
        <v>22.060531999999998</v>
      </c>
      <c r="P40" s="20">
        <v>12.426568</v>
      </c>
      <c r="Q40" s="546">
        <v>17.859860000000001</v>
      </c>
      <c r="R40" s="555">
        <f t="shared" si="4"/>
        <v>37.998263166666668</v>
      </c>
      <c r="S40" s="549">
        <v>9.0001700000000007</v>
      </c>
      <c r="T40" s="20">
        <v>25.081537999999998</v>
      </c>
      <c r="U40" s="20">
        <v>37.398797000000002</v>
      </c>
      <c r="V40" s="20">
        <v>103.090616</v>
      </c>
      <c r="W40" s="20">
        <v>64.231199000000004</v>
      </c>
      <c r="X40" s="20">
        <v>22.892976999999998</v>
      </c>
      <c r="Y40" s="20">
        <v>103.91179200000001</v>
      </c>
      <c r="Z40" s="20">
        <v>19.727488000000001</v>
      </c>
      <c r="AA40" s="20">
        <v>29.950447</v>
      </c>
      <c r="AB40" s="20">
        <v>70.323029000000005</v>
      </c>
      <c r="AC40" s="20">
        <v>41.007446999999999</v>
      </c>
      <c r="AD40" s="20">
        <v>49.586906999999997</v>
      </c>
      <c r="AE40" s="20">
        <v>0</v>
      </c>
      <c r="AF40" s="554">
        <f t="shared" si="5"/>
        <v>576.20240699999999</v>
      </c>
      <c r="AG40" s="555">
        <f t="shared" si="6"/>
        <v>48.016867249999997</v>
      </c>
      <c r="AH40" s="549">
        <v>128.13036</v>
      </c>
      <c r="AI40" s="20">
        <v>42.628583999999996</v>
      </c>
      <c r="AJ40" s="20">
        <v>29.742234</v>
      </c>
      <c r="AK40" s="20">
        <v>64.502748999999994</v>
      </c>
      <c r="AL40" s="20">
        <v>42.881836</v>
      </c>
      <c r="AM40" s="20">
        <v>30.290482999999998</v>
      </c>
      <c r="AN40" s="20">
        <v>71.751638</v>
      </c>
      <c r="AO40" s="20">
        <v>34.589022999999997</v>
      </c>
      <c r="AP40" s="20">
        <v>80.062241999999998</v>
      </c>
      <c r="AQ40" s="20">
        <v>33.647562000000001</v>
      </c>
      <c r="AR40" s="20">
        <v>19.144444</v>
      </c>
      <c r="AS40" s="20">
        <v>26.030158</v>
      </c>
      <c r="AT40" s="20"/>
      <c r="AU40" s="555">
        <f t="shared" si="7"/>
        <v>50.283442750000006</v>
      </c>
      <c r="AV40" s="549">
        <v>20.444054999999999</v>
      </c>
      <c r="AW40" s="20">
        <v>12.750529</v>
      </c>
      <c r="AX40" s="20">
        <v>55.354216999999998</v>
      </c>
      <c r="AY40" s="20">
        <v>50.546880999999999</v>
      </c>
      <c r="AZ40" s="20">
        <v>19.672549</v>
      </c>
      <c r="BA40" s="20">
        <v>76.594735999999997</v>
      </c>
      <c r="BB40" s="20"/>
      <c r="BC40" s="20"/>
      <c r="BD40" s="20"/>
      <c r="BE40" s="20"/>
      <c r="BF40" s="20"/>
      <c r="BG40" s="20"/>
      <c r="BH40" s="20">
        <f t="shared" si="72"/>
        <v>39.227161166666669</v>
      </c>
      <c r="BI40" s="41" cm="1">
        <f t="array" ref="BI40">INDEX(BL40:BW40,$BL$1)</f>
        <v>84.271990307065593</v>
      </c>
      <c r="BJ40" s="30"/>
      <c r="BK40" s="597"/>
      <c r="BL40" s="20">
        <v>28.236673763481367</v>
      </c>
      <c r="BM40" s="20">
        <v>18.738793089046009</v>
      </c>
      <c r="BN40" s="20">
        <v>93.074561007065583</v>
      </c>
      <c r="BO40" s="20">
        <v>24.782627772524272</v>
      </c>
      <c r="BP40" s="20">
        <v>22.156548089046012</v>
      </c>
      <c r="BQ40" s="20">
        <v>84.271990307065593</v>
      </c>
      <c r="BR40" s="20">
        <v>94.812720772524273</v>
      </c>
      <c r="BS40" s="20">
        <v>20.974808089046011</v>
      </c>
      <c r="BT40" s="20">
        <v>76.810359990543844</v>
      </c>
      <c r="BU40" s="20">
        <v>16.054344772524271</v>
      </c>
      <c r="BV40" s="20">
        <v>16.809483089046008</v>
      </c>
      <c r="BW40" s="20">
        <v>73.395758280287438</v>
      </c>
      <c r="BX40" s="28">
        <f t="shared" si="74"/>
        <v>570.11866902220061</v>
      </c>
      <c r="BY40" s="927">
        <f t="shared" si="73"/>
        <v>0</v>
      </c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8">
        <f t="shared" si="75"/>
        <v>0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8">
        <f t="shared" si="76"/>
        <v>0</v>
      </c>
      <c r="DB40" s="20">
        <v>18.178705763481368</v>
      </c>
      <c r="DC40" s="20">
        <v>18.687665089046011</v>
      </c>
      <c r="DD40" s="20">
        <v>78.398543007065584</v>
      </c>
      <c r="DE40" s="20">
        <v>24.758499772524271</v>
      </c>
      <c r="DF40" s="20">
        <v>22.132420089046011</v>
      </c>
      <c r="DG40" s="20">
        <v>80.747862307065589</v>
      </c>
      <c r="DH40" s="20">
        <v>37.423631772524267</v>
      </c>
      <c r="DI40" s="20">
        <v>17.868680089046013</v>
      </c>
      <c r="DJ40" s="20">
        <v>76.78623199054384</v>
      </c>
      <c r="DK40" s="20">
        <v>16.03021677252427</v>
      </c>
      <c r="DL40" s="20">
        <v>16.785355089046011</v>
      </c>
      <c r="DM40" s="20">
        <v>73.371630280287448</v>
      </c>
      <c r="DN40" s="28">
        <f t="shared" si="77"/>
        <v>481.16944202220066</v>
      </c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8">
        <f t="shared" si="78"/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3.0550000000000002</v>
      </c>
      <c r="EL40" s="20">
        <v>0</v>
      </c>
      <c r="EM40" s="20">
        <v>0</v>
      </c>
      <c r="EN40" s="20">
        <v>0</v>
      </c>
      <c r="EO40" s="20">
        <v>0</v>
      </c>
      <c r="EP40" s="28">
        <f t="shared" si="79"/>
        <v>3.0550000000000002</v>
      </c>
      <c r="ER40" s="20">
        <v>10.057968000000001</v>
      </c>
      <c r="ES40" s="20">
        <v>5.1128E-2</v>
      </c>
      <c r="ET40" s="20">
        <v>14.676017999999999</v>
      </c>
      <c r="EU40" s="20">
        <v>2.4128E-2</v>
      </c>
      <c r="EV40" s="20">
        <v>2.4128E-2</v>
      </c>
      <c r="EW40" s="20">
        <v>3.5241280000000001</v>
      </c>
      <c r="EX40" s="20">
        <v>57.389088999999998</v>
      </c>
      <c r="EY40" s="20">
        <v>5.1128E-2</v>
      </c>
      <c r="EZ40" s="20">
        <v>2.4128E-2</v>
      </c>
      <c r="FA40" s="20">
        <v>2.4128E-2</v>
      </c>
      <c r="FB40" s="20">
        <v>2.4128E-2</v>
      </c>
      <c r="FC40" s="20">
        <v>2.4128E-2</v>
      </c>
      <c r="FD40" s="28">
        <f t="shared" si="80"/>
        <v>85.894227000000029</v>
      </c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8">
        <f t="shared" si="81"/>
        <v>0</v>
      </c>
    </row>
    <row r="41" spans="1:174" x14ac:dyDescent="0.3">
      <c r="A41" s="3">
        <f t="shared" si="82"/>
        <v>19</v>
      </c>
      <c r="B41" s="3" t="s">
        <v>97</v>
      </c>
      <c r="C41" s="3" t="s">
        <v>36</v>
      </c>
      <c r="D41" s="25" t="s">
        <v>19</v>
      </c>
      <c r="E41" s="26" t="s">
        <v>105</v>
      </c>
      <c r="F41" s="20">
        <v>14.902789</v>
      </c>
      <c r="G41" s="20">
        <v>32.796922000000002</v>
      </c>
      <c r="H41" s="20">
        <v>29.695512000000001</v>
      </c>
      <c r="I41" s="20">
        <v>42.775143</v>
      </c>
      <c r="J41" s="20">
        <v>24.245177999999999</v>
      </c>
      <c r="K41" s="20">
        <v>23.663377000000001</v>
      </c>
      <c r="L41" s="20">
        <v>21.186199999999999</v>
      </c>
      <c r="M41" s="20">
        <v>30.418555999999999</v>
      </c>
      <c r="N41" s="20">
        <v>12.573283999999999</v>
      </c>
      <c r="O41" s="20">
        <v>35.385041999999999</v>
      </c>
      <c r="P41" s="20">
        <v>26.851098</v>
      </c>
      <c r="Q41" s="546">
        <v>11.944687</v>
      </c>
      <c r="R41" s="555">
        <f t="shared" si="4"/>
        <v>25.536482333333336</v>
      </c>
      <c r="S41" s="549">
        <f>33.773772+10.6146</f>
        <v>44.388372000000004</v>
      </c>
      <c r="T41" s="20">
        <f>27.227336+6.9642</f>
        <v>34.191535999999999</v>
      </c>
      <c r="U41" s="20">
        <f>22.906742+11.0855</f>
        <v>33.992242000000005</v>
      </c>
      <c r="V41" s="20">
        <v>39.008340000000004</v>
      </c>
      <c r="W41" s="20">
        <v>43.710771000000001</v>
      </c>
      <c r="X41" s="20">
        <v>33.201211999999998</v>
      </c>
      <c r="Y41" s="20">
        <v>33.631901999999997</v>
      </c>
      <c r="Z41" s="20">
        <v>34.032521000000003</v>
      </c>
      <c r="AA41" s="20">
        <v>33.587733999999998</v>
      </c>
      <c r="AB41" s="20">
        <v>35.998179</v>
      </c>
      <c r="AC41" s="20">
        <v>47.978396000000004</v>
      </c>
      <c r="AD41" s="20">
        <v>43.856952999999997</v>
      </c>
      <c r="AE41" s="20">
        <v>0</v>
      </c>
      <c r="AF41" s="554">
        <f t="shared" si="5"/>
        <v>457.57815799999992</v>
      </c>
      <c r="AG41" s="555">
        <f t="shared" si="6"/>
        <v>38.131513166666657</v>
      </c>
      <c r="AH41" s="549">
        <v>27.167777000000001</v>
      </c>
      <c r="AI41" s="20">
        <v>49.904510000000002</v>
      </c>
      <c r="AJ41" s="20">
        <v>36.687182999999997</v>
      </c>
      <c r="AK41" s="20">
        <v>39.222298000000002</v>
      </c>
      <c r="AL41" s="20">
        <v>32.598101</v>
      </c>
      <c r="AM41" s="20">
        <v>35.293920999999997</v>
      </c>
      <c r="AN41" s="20">
        <v>34.367049000000002</v>
      </c>
      <c r="AO41" s="20">
        <v>41.756278999999999</v>
      </c>
      <c r="AP41" s="20">
        <v>34.755802000000003</v>
      </c>
      <c r="AQ41" s="20">
        <v>42.207104999999999</v>
      </c>
      <c r="AR41" s="20">
        <v>32.153771999999996</v>
      </c>
      <c r="AS41" s="20">
        <v>28.299986000000001</v>
      </c>
      <c r="AT41" s="20"/>
      <c r="AU41" s="555">
        <f t="shared" si="7"/>
        <v>36.201148583333335</v>
      </c>
      <c r="AV41" s="549">
        <v>31.554361</v>
      </c>
      <c r="AW41" s="20">
        <v>35.823087000000001</v>
      </c>
      <c r="AX41" s="20">
        <v>33.790357</v>
      </c>
      <c r="AY41" s="20">
        <v>30.648384</v>
      </c>
      <c r="AZ41" s="20">
        <v>33.565358000000003</v>
      </c>
      <c r="BA41" s="20">
        <v>41.063554000000003</v>
      </c>
      <c r="BB41" s="20"/>
      <c r="BC41" s="20"/>
      <c r="BD41" s="20"/>
      <c r="BE41" s="20"/>
      <c r="BF41" s="20"/>
      <c r="BG41" s="20"/>
      <c r="BH41" s="20">
        <f t="shared" si="72"/>
        <v>34.407516833333339</v>
      </c>
      <c r="BI41" s="41" cm="1">
        <f t="array" ref="BI41">INDEX(BL41:BW41,$BL$1)</f>
        <v>39.313982592136128</v>
      </c>
      <c r="BJ41" s="34"/>
      <c r="BK41" s="597"/>
      <c r="BL41" s="20">
        <v>54.873327607072312</v>
      </c>
      <c r="BM41" s="20">
        <v>32.113333797162262</v>
      </c>
      <c r="BN41" s="20">
        <v>38.088634541742799</v>
      </c>
      <c r="BO41" s="20">
        <v>40.332166865950924</v>
      </c>
      <c r="BP41" s="20">
        <v>38.104019740505066</v>
      </c>
      <c r="BQ41" s="20">
        <v>39.313982592136128</v>
      </c>
      <c r="BR41" s="20">
        <v>39.458675169574569</v>
      </c>
      <c r="BS41" s="20">
        <v>35.855789990609942</v>
      </c>
      <c r="BT41" s="20">
        <v>36.745908486499367</v>
      </c>
      <c r="BU41" s="20">
        <v>40.906340821148348</v>
      </c>
      <c r="BV41" s="20">
        <v>35.942688369850835</v>
      </c>
      <c r="BW41" s="20">
        <v>35.559358584970397</v>
      </c>
      <c r="BX41" s="28">
        <f t="shared" si="74"/>
        <v>467.29422656722306</v>
      </c>
      <c r="BY41" s="927">
        <f t="shared" si="73"/>
        <v>0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8">
        <f t="shared" si="75"/>
        <v>0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8">
        <f t="shared" si="76"/>
        <v>0</v>
      </c>
      <c r="DB41" s="20">
        <v>17.12840698272591</v>
      </c>
      <c r="DC41" s="20">
        <v>8.2930981775889627</v>
      </c>
      <c r="DD41" s="20">
        <v>10.587167701898148</v>
      </c>
      <c r="DE41" s="20">
        <v>12.552949419251778</v>
      </c>
      <c r="DF41" s="20">
        <v>9.6107098256691934</v>
      </c>
      <c r="DG41" s="20">
        <v>9.8293674654568903</v>
      </c>
      <c r="DH41" s="20">
        <v>12.59114579324093</v>
      </c>
      <c r="DI41" s="20">
        <v>9.3579816009729697</v>
      </c>
      <c r="DJ41" s="20">
        <v>10.259512719271887</v>
      </c>
      <c r="DK41" s="20">
        <v>10.584702753908049</v>
      </c>
      <c r="DL41" s="20">
        <v>9.3002366527399012</v>
      </c>
      <c r="DM41" s="20">
        <v>9.6881205718820613</v>
      </c>
      <c r="DN41" s="28">
        <f t="shared" si="77"/>
        <v>129.78339966460663</v>
      </c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8">
        <f t="shared" si="78"/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8">
        <f t="shared" si="79"/>
        <v>0</v>
      </c>
      <c r="ER41" s="20">
        <v>37.744920624346406</v>
      </c>
      <c r="ES41" s="20">
        <v>23.8202356195733</v>
      </c>
      <c r="ET41" s="20">
        <v>27.50146683984466</v>
      </c>
      <c r="EU41" s="20">
        <v>27.779217446699146</v>
      </c>
      <c r="EV41" s="20">
        <v>28.493309914835876</v>
      </c>
      <c r="EW41" s="20">
        <v>29.484615126679238</v>
      </c>
      <c r="EX41" s="20">
        <v>26.867529376333632</v>
      </c>
      <c r="EY41" s="20">
        <v>26.497808389636969</v>
      </c>
      <c r="EZ41" s="20">
        <v>26.486395767227481</v>
      </c>
      <c r="FA41" s="20">
        <v>30.321638067240301</v>
      </c>
      <c r="FB41" s="20">
        <v>26.642451717110937</v>
      </c>
      <c r="FC41" s="20">
        <v>25.871238013088337</v>
      </c>
      <c r="FD41" s="28">
        <f t="shared" si="80"/>
        <v>337.51082690261626</v>
      </c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8">
        <f t="shared" si="81"/>
        <v>0</v>
      </c>
    </row>
    <row r="42" spans="1:174" ht="14.15" customHeight="1" x14ac:dyDescent="0.3">
      <c r="A42" s="3">
        <f t="shared" si="82"/>
        <v>20</v>
      </c>
      <c r="B42" s="3" t="s">
        <v>97</v>
      </c>
      <c r="C42" s="3" t="s">
        <v>36</v>
      </c>
      <c r="D42" s="25" t="s">
        <v>6</v>
      </c>
      <c r="E42" s="26" t="s">
        <v>105</v>
      </c>
      <c r="F42" s="20">
        <v>3.900055</v>
      </c>
      <c r="G42" s="20">
        <v>25.839738000000001</v>
      </c>
      <c r="H42" s="20">
        <v>19.134971</v>
      </c>
      <c r="I42" s="20">
        <v>20.581887999999999</v>
      </c>
      <c r="J42" s="20">
        <v>13.083740000000001</v>
      </c>
      <c r="K42" s="20">
        <v>20.192288999999999</v>
      </c>
      <c r="L42" s="20">
        <v>17.991709</v>
      </c>
      <c r="M42" s="20">
        <v>12.646045000000001</v>
      </c>
      <c r="N42" s="20">
        <v>17.342427000000001</v>
      </c>
      <c r="O42" s="20">
        <v>29.264686999999999</v>
      </c>
      <c r="P42" s="20">
        <v>34.473452000000002</v>
      </c>
      <c r="Q42" s="546">
        <v>22.529751000000001</v>
      </c>
      <c r="R42" s="555">
        <f t="shared" si="4"/>
        <v>19.748396</v>
      </c>
      <c r="S42" s="549">
        <v>35.176611999999999</v>
      </c>
      <c r="T42" s="20">
        <f>24.714821</f>
        <v>24.714821000000001</v>
      </c>
      <c r="U42" s="20">
        <v>45.526432999999997</v>
      </c>
      <c r="V42" s="20">
        <v>57.321264999999997</v>
      </c>
      <c r="W42" s="20">
        <v>33.796748999999998</v>
      </c>
      <c r="X42" s="20">
        <v>39.515033000000003</v>
      </c>
      <c r="Y42" s="20">
        <v>36.550106999999997</v>
      </c>
      <c r="Z42" s="20">
        <v>51.494363</v>
      </c>
      <c r="AA42" s="20">
        <v>63.339232000000003</v>
      </c>
      <c r="AB42" s="20">
        <v>46.186079999999997</v>
      </c>
      <c r="AC42" s="20">
        <v>39.410212000000001</v>
      </c>
      <c r="AD42" s="20">
        <v>32.704628</v>
      </c>
      <c r="AE42" s="20">
        <v>0</v>
      </c>
      <c r="AF42" s="554">
        <f t="shared" si="5"/>
        <v>505.73553499999997</v>
      </c>
      <c r="AG42" s="555">
        <f t="shared" si="6"/>
        <v>42.144627916666664</v>
      </c>
      <c r="AH42" s="549">
        <v>12.987935999999999</v>
      </c>
      <c r="AI42" s="20">
        <v>34.928173999999999</v>
      </c>
      <c r="AJ42" s="20">
        <v>66.731050999999994</v>
      </c>
      <c r="AK42" s="20">
        <v>69.029410999999996</v>
      </c>
      <c r="AL42" s="20">
        <v>63.620043000000003</v>
      </c>
      <c r="AM42" s="20">
        <v>77.053933999999998</v>
      </c>
      <c r="AN42" s="20">
        <v>66.951458000000002</v>
      </c>
      <c r="AO42" s="20">
        <v>52.493482</v>
      </c>
      <c r="AP42" s="20">
        <v>56.293844999999997</v>
      </c>
      <c r="AQ42" s="20">
        <v>55.673859</v>
      </c>
      <c r="AR42" s="20">
        <v>32.716394999999999</v>
      </c>
      <c r="AS42" s="20">
        <v>35.851851000000003</v>
      </c>
      <c r="AT42" s="20"/>
      <c r="AU42" s="555">
        <f t="shared" si="7"/>
        <v>52.027619916666673</v>
      </c>
      <c r="AV42" s="549">
        <v>40.410780000000003</v>
      </c>
      <c r="AW42" s="20">
        <v>17.647026</v>
      </c>
      <c r="AX42" s="20">
        <v>50.694330999999998</v>
      </c>
      <c r="AY42" s="20">
        <v>74.426728999999995</v>
      </c>
      <c r="AZ42" s="20">
        <v>20.772565</v>
      </c>
      <c r="BA42" s="20">
        <v>22.52121</v>
      </c>
      <c r="BB42" s="20"/>
      <c r="BC42" s="20"/>
      <c r="BD42" s="20"/>
      <c r="BE42" s="20"/>
      <c r="BF42" s="20"/>
      <c r="BG42" s="20"/>
      <c r="BH42" s="20">
        <f t="shared" si="72"/>
        <v>37.745440166666668</v>
      </c>
      <c r="BI42" s="41" cm="1">
        <f t="array" ref="BI42">INDEX(BL42:BW42,$BL$1)</f>
        <v>59.033468525000004</v>
      </c>
      <c r="BJ42" s="30"/>
      <c r="BK42" s="597"/>
      <c r="BL42" s="20">
        <v>55.983018025000007</v>
      </c>
      <c r="BM42" s="20">
        <v>55.983018025000007</v>
      </c>
      <c r="BN42" s="20">
        <v>59.033468525000004</v>
      </c>
      <c r="BO42" s="20">
        <v>55.983018025000007</v>
      </c>
      <c r="BP42" s="20">
        <v>55.983018025000007</v>
      </c>
      <c r="BQ42" s="20">
        <v>59.033468525000004</v>
      </c>
      <c r="BR42" s="20">
        <v>55.983018025000007</v>
      </c>
      <c r="BS42" s="20">
        <v>55.983018025000007</v>
      </c>
      <c r="BT42" s="20">
        <v>59.033468525000004</v>
      </c>
      <c r="BU42" s="20">
        <v>55.983018025000007</v>
      </c>
      <c r="BV42" s="20">
        <v>55.983018025000007</v>
      </c>
      <c r="BW42" s="20">
        <v>55.983018025000007</v>
      </c>
      <c r="BX42" s="28">
        <f t="shared" si="74"/>
        <v>680.94756779999989</v>
      </c>
      <c r="BY42" s="927">
        <f t="shared" si="73"/>
        <v>0</v>
      </c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8">
        <f t="shared" si="75"/>
        <v>0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8">
        <f t="shared" si="76"/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8">
        <f t="shared" si="77"/>
        <v>0</v>
      </c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8">
        <f t="shared" si="78"/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8">
        <f t="shared" si="79"/>
        <v>0</v>
      </c>
      <c r="ER42" s="20">
        <v>55.983018025000007</v>
      </c>
      <c r="ES42" s="20">
        <v>55.983018025000007</v>
      </c>
      <c r="ET42" s="20">
        <v>59.033468525000004</v>
      </c>
      <c r="EU42" s="20">
        <v>55.983018025000007</v>
      </c>
      <c r="EV42" s="20">
        <v>55.983018025000007</v>
      </c>
      <c r="EW42" s="20">
        <v>59.033468525000004</v>
      </c>
      <c r="EX42" s="20">
        <v>55.983018025000007</v>
      </c>
      <c r="EY42" s="20">
        <v>55.983018025000007</v>
      </c>
      <c r="EZ42" s="20">
        <v>59.033468525000004</v>
      </c>
      <c r="FA42" s="20">
        <v>55.983018025000007</v>
      </c>
      <c r="FB42" s="20">
        <v>55.983018025000007</v>
      </c>
      <c r="FC42" s="20">
        <v>55.983018025000007</v>
      </c>
      <c r="FD42" s="28">
        <f t="shared" si="80"/>
        <v>680.94756779999989</v>
      </c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8">
        <f t="shared" si="81"/>
        <v>0</v>
      </c>
    </row>
    <row r="43" spans="1:174" x14ac:dyDescent="0.3">
      <c r="A43" s="3">
        <f t="shared" si="82"/>
        <v>21</v>
      </c>
      <c r="B43" s="3" t="s">
        <v>97</v>
      </c>
      <c r="C43" s="3" t="s">
        <v>36</v>
      </c>
      <c r="D43" s="25" t="s">
        <v>14</v>
      </c>
      <c r="E43" s="26" t="s">
        <v>105</v>
      </c>
      <c r="F43" s="20">
        <v>14.852086999999999</v>
      </c>
      <c r="G43" s="20">
        <v>14.452522999999999</v>
      </c>
      <c r="H43" s="20">
        <v>17.747572000000002</v>
      </c>
      <c r="I43" s="20">
        <v>16.079049999999999</v>
      </c>
      <c r="J43" s="20">
        <v>17.698176</v>
      </c>
      <c r="K43" s="20">
        <v>16.598043000000001</v>
      </c>
      <c r="L43" s="20">
        <v>18.297974</v>
      </c>
      <c r="M43" s="20">
        <v>18.633724000000001</v>
      </c>
      <c r="N43" s="20">
        <v>15.428998999999999</v>
      </c>
      <c r="O43" s="20">
        <v>16.325431999999999</v>
      </c>
      <c r="P43" s="20">
        <v>16.167007999999999</v>
      </c>
      <c r="Q43" s="546">
        <v>16.997128</v>
      </c>
      <c r="R43" s="555">
        <f t="shared" si="4"/>
        <v>16.606476333333337</v>
      </c>
      <c r="S43" s="549">
        <v>17.057953000000001</v>
      </c>
      <c r="T43" s="20">
        <v>16.805278000000001</v>
      </c>
      <c r="U43" s="20">
        <v>19.937936000000001</v>
      </c>
      <c r="V43" s="20">
        <v>18.346574</v>
      </c>
      <c r="W43" s="20">
        <v>19.751833000000001</v>
      </c>
      <c r="X43" s="20">
        <v>19.554998000000001</v>
      </c>
      <c r="Y43" s="20">
        <v>20.204713000000002</v>
      </c>
      <c r="Z43" s="20">
        <v>19.507752</v>
      </c>
      <c r="AA43" s="20">
        <v>21.620757000000001</v>
      </c>
      <c r="AB43" s="20">
        <v>20.415956000000001</v>
      </c>
      <c r="AC43" s="20">
        <v>20.376441</v>
      </c>
      <c r="AD43" s="20">
        <v>21.131751000000001</v>
      </c>
      <c r="AE43" s="20">
        <v>0</v>
      </c>
      <c r="AF43" s="554">
        <f t="shared" si="5"/>
        <v>234.71194200000002</v>
      </c>
      <c r="AG43" s="555">
        <f t="shared" si="6"/>
        <v>19.559328500000003</v>
      </c>
      <c r="AH43" s="549">
        <v>19.458721000000001</v>
      </c>
      <c r="AI43" s="20">
        <v>21.041729</v>
      </c>
      <c r="AJ43" s="20">
        <v>22.316302</v>
      </c>
      <c r="AK43" s="20">
        <v>32.307096999999999</v>
      </c>
      <c r="AL43" s="20">
        <v>21.730995</v>
      </c>
      <c r="AM43" s="20">
        <v>28.017543</v>
      </c>
      <c r="AN43" s="20">
        <v>20.167563000000001</v>
      </c>
      <c r="AO43" s="20">
        <v>32.372385000000001</v>
      </c>
      <c r="AP43" s="20">
        <v>23.161104999999999</v>
      </c>
      <c r="AQ43" s="20">
        <v>23.542577999999999</v>
      </c>
      <c r="AR43" s="20">
        <v>23.825256</v>
      </c>
      <c r="AS43" s="20">
        <v>24.390778000000001</v>
      </c>
      <c r="AT43" s="20"/>
      <c r="AU43" s="555">
        <f t="shared" si="7"/>
        <v>24.361004333333337</v>
      </c>
      <c r="AV43" s="549">
        <v>26.450624999999999</v>
      </c>
      <c r="AW43" s="20">
        <v>23.262432</v>
      </c>
      <c r="AX43" s="20">
        <v>25.829564999999999</v>
      </c>
      <c r="AY43" s="20">
        <v>46.097794</v>
      </c>
      <c r="AZ43" s="20">
        <v>48.728395999999996</v>
      </c>
      <c r="BA43" s="20">
        <v>27.803894</v>
      </c>
      <c r="BB43" s="20"/>
      <c r="BC43" s="20"/>
      <c r="BD43" s="20"/>
      <c r="BE43" s="20"/>
      <c r="BF43" s="20"/>
      <c r="BG43" s="20"/>
      <c r="BH43" s="20">
        <f t="shared" si="72"/>
        <v>33.028784333333334</v>
      </c>
      <c r="BI43" s="41" cm="1">
        <f t="array" ref="BI43">INDEX(BL43:BW43,$BL$1)</f>
        <v>24.767142857142858</v>
      </c>
      <c r="BJ43" s="30"/>
      <c r="BK43" s="597"/>
      <c r="BL43" s="20">
        <v>28.10972244047619</v>
      </c>
      <c r="BM43" s="20">
        <v>27.528656523809527</v>
      </c>
      <c r="BN43" s="20">
        <v>26.803142857142859</v>
      </c>
      <c r="BO43" s="20">
        <v>26.60314285714286</v>
      </c>
      <c r="BP43" s="20">
        <v>24.767142857142858</v>
      </c>
      <c r="BQ43" s="20">
        <v>24.767142857142858</v>
      </c>
      <c r="BR43" s="20">
        <v>24.767142857142858</v>
      </c>
      <c r="BS43" s="20">
        <v>27.87</v>
      </c>
      <c r="BT43" s="20">
        <v>27.87</v>
      </c>
      <c r="BU43" s="20">
        <v>27.87</v>
      </c>
      <c r="BV43" s="20">
        <v>27.87</v>
      </c>
      <c r="BW43" s="20">
        <v>27.87</v>
      </c>
      <c r="BX43" s="28">
        <f t="shared" si="74"/>
        <v>322.69609325000005</v>
      </c>
      <c r="BY43" s="927">
        <f t="shared" si="73"/>
        <v>0</v>
      </c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8">
        <f t="shared" si="75"/>
        <v>0</v>
      </c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8">
        <f t="shared" si="76"/>
        <v>0</v>
      </c>
      <c r="DB43" s="20">
        <v>2.4</v>
      </c>
      <c r="DC43" s="20">
        <v>2.4</v>
      </c>
      <c r="DD43" s="20">
        <v>2.4</v>
      </c>
      <c r="DE43" s="20">
        <v>2.4</v>
      </c>
      <c r="DF43" s="20">
        <v>2.4</v>
      </c>
      <c r="DG43" s="20">
        <v>2.4</v>
      </c>
      <c r="DH43" s="20">
        <v>2.4</v>
      </c>
      <c r="DI43" s="20">
        <v>2.4</v>
      </c>
      <c r="DJ43" s="20">
        <v>2.4</v>
      </c>
      <c r="DK43" s="20">
        <v>2.4</v>
      </c>
      <c r="DL43" s="20">
        <v>2.4</v>
      </c>
      <c r="DM43" s="20">
        <v>2.4</v>
      </c>
      <c r="DN43" s="28">
        <f t="shared" si="77"/>
        <v>28.799999999999994</v>
      </c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8">
        <f t="shared" si="78"/>
        <v>0</v>
      </c>
      <c r="ED43" s="20">
        <v>2.5</v>
      </c>
      <c r="EE43" s="20">
        <v>2.5</v>
      </c>
      <c r="EF43" s="20">
        <v>2.5</v>
      </c>
      <c r="EG43" s="20">
        <v>2.5</v>
      </c>
      <c r="EH43" s="20">
        <v>2.5</v>
      </c>
      <c r="EI43" s="20">
        <v>2.5</v>
      </c>
      <c r="EJ43" s="20">
        <v>2.5</v>
      </c>
      <c r="EK43" s="20">
        <v>2.5</v>
      </c>
      <c r="EL43" s="20">
        <v>2.5</v>
      </c>
      <c r="EM43" s="20">
        <v>2.5</v>
      </c>
      <c r="EN43" s="20">
        <v>2.5</v>
      </c>
      <c r="EO43" s="20">
        <v>2.5</v>
      </c>
      <c r="EP43" s="28">
        <f t="shared" si="79"/>
        <v>30</v>
      </c>
      <c r="ER43" s="20">
        <v>23.209722440476195</v>
      </c>
      <c r="ES43" s="20">
        <v>22.628656523809525</v>
      </c>
      <c r="ET43" s="20">
        <v>21.903142857142857</v>
      </c>
      <c r="EU43" s="20">
        <v>21.703142857142858</v>
      </c>
      <c r="EV43" s="20">
        <v>19.867142857142859</v>
      </c>
      <c r="EW43" s="20">
        <v>19.867142857142859</v>
      </c>
      <c r="EX43" s="20">
        <v>19.867142857142859</v>
      </c>
      <c r="EY43" s="20">
        <v>22.97</v>
      </c>
      <c r="EZ43" s="20">
        <v>22.97</v>
      </c>
      <c r="FA43" s="20">
        <v>22.97</v>
      </c>
      <c r="FB43" s="20">
        <v>22.97</v>
      </c>
      <c r="FC43" s="20">
        <v>22.97</v>
      </c>
      <c r="FD43" s="28">
        <f t="shared" si="80"/>
        <v>263.89609324999998</v>
      </c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8">
        <f t="shared" si="81"/>
        <v>0</v>
      </c>
    </row>
    <row r="44" spans="1:174" x14ac:dyDescent="0.3">
      <c r="A44" s="3">
        <f t="shared" si="82"/>
        <v>22</v>
      </c>
      <c r="B44" s="3" t="s">
        <v>97</v>
      </c>
      <c r="C44" s="3" t="s">
        <v>36</v>
      </c>
      <c r="D44" s="25" t="s">
        <v>4</v>
      </c>
      <c r="E44" s="26" t="s">
        <v>105</v>
      </c>
      <c r="F44" s="20">
        <v>13.295</v>
      </c>
      <c r="G44" s="20">
        <v>4.2290910000000004</v>
      </c>
      <c r="H44" s="20">
        <v>2.1549999999999998</v>
      </c>
      <c r="I44" s="20">
        <v>6.9763640000000002</v>
      </c>
      <c r="J44" s="20">
        <v>20.195</v>
      </c>
      <c r="K44" s="20">
        <v>0.92489900000000003</v>
      </c>
      <c r="L44" s="20">
        <v>0.83872500000000005</v>
      </c>
      <c r="M44" s="20">
        <v>9.0039230000000003</v>
      </c>
      <c r="N44" s="20">
        <v>5.1834189999999998</v>
      </c>
      <c r="O44" s="20">
        <v>62.280033000000003</v>
      </c>
      <c r="P44" s="20">
        <v>3.6966770000000002</v>
      </c>
      <c r="Q44" s="546">
        <v>11.589375</v>
      </c>
      <c r="R44" s="555">
        <f t="shared" si="4"/>
        <v>11.697292166666665</v>
      </c>
      <c r="S44" s="549">
        <v>4.2172830000000001</v>
      </c>
      <c r="T44" s="20">
        <v>12.421058</v>
      </c>
      <c r="U44" s="20">
        <v>51.562522000000001</v>
      </c>
      <c r="V44" s="20">
        <v>34.48507</v>
      </c>
      <c r="W44" s="20">
        <v>153.30958100000001</v>
      </c>
      <c r="X44" s="20">
        <v>17.177243000000001</v>
      </c>
      <c r="Y44" s="20">
        <v>10.484112</v>
      </c>
      <c r="Z44" s="20">
        <v>60.043438999999999</v>
      </c>
      <c r="AA44" s="20">
        <v>98.663909000000004</v>
      </c>
      <c r="AB44" s="20">
        <v>110.889121</v>
      </c>
      <c r="AC44" s="20">
        <v>134.01951500000001</v>
      </c>
      <c r="AD44" s="20">
        <v>65.946956</v>
      </c>
      <c r="AE44" s="569">
        <v>0.74037799999999998</v>
      </c>
      <c r="AF44" s="554">
        <f t="shared" si="5"/>
        <v>753.96018699999991</v>
      </c>
      <c r="AG44" s="555">
        <f t="shared" si="6"/>
        <v>62.830015583333328</v>
      </c>
      <c r="AH44" s="549">
        <v>126.061397</v>
      </c>
      <c r="AI44" s="20">
        <v>45.979889</v>
      </c>
      <c r="AJ44" s="20">
        <v>78.218783999999999</v>
      </c>
      <c r="AK44" s="20">
        <v>13.524540999999999</v>
      </c>
      <c r="AL44" s="20">
        <v>17.10031</v>
      </c>
      <c r="AM44" s="20">
        <v>92.607264000000001</v>
      </c>
      <c r="AN44" s="20">
        <v>76.397372000000004</v>
      </c>
      <c r="AO44" s="20">
        <v>86.746757000000002</v>
      </c>
      <c r="AP44" s="20">
        <v>29.584879000000001</v>
      </c>
      <c r="AQ44" s="20">
        <v>95.007823000000002</v>
      </c>
      <c r="AR44" s="20">
        <v>247.23207400000001</v>
      </c>
      <c r="AS44" s="20">
        <f>189.735664-35</f>
        <v>154.73566400000001</v>
      </c>
      <c r="AT44" s="20"/>
      <c r="AU44" s="555">
        <f t="shared" si="7"/>
        <v>88.599729500000009</v>
      </c>
      <c r="AV44" s="549">
        <v>92.283135999999999</v>
      </c>
      <c r="AW44" s="20">
        <v>220.19408899999999</v>
      </c>
      <c r="AX44" s="20">
        <v>114.525139</v>
      </c>
      <c r="AY44" s="20">
        <v>47.530028000000001</v>
      </c>
      <c r="AZ44" s="20">
        <v>79.103027999999995</v>
      </c>
      <c r="BA44" s="20">
        <v>54.572228000000003</v>
      </c>
      <c r="BB44" s="20"/>
      <c r="BC44" s="20"/>
      <c r="BD44" s="20"/>
      <c r="BE44" s="20"/>
      <c r="BF44" s="20"/>
      <c r="BG44" s="20"/>
      <c r="BH44" s="20">
        <f t="shared" si="72"/>
        <v>101.36794133333332</v>
      </c>
      <c r="BI44" s="41" cm="1">
        <f t="array" ref="BI44">INDEX(BL44:BW44,$BL$1)</f>
        <v>56.022814833333328</v>
      </c>
      <c r="BJ44" s="30"/>
      <c r="BK44" s="597"/>
      <c r="BL44" s="20">
        <v>123.90281483333332</v>
      </c>
      <c r="BM44" s="20">
        <v>39.402814833333331</v>
      </c>
      <c r="BN44" s="20">
        <v>73.902814833333323</v>
      </c>
      <c r="BO44" s="20">
        <v>64.402814833333323</v>
      </c>
      <c r="BP44" s="20">
        <v>82.522814833333328</v>
      </c>
      <c r="BQ44" s="20">
        <v>56.022814833333328</v>
      </c>
      <c r="BR44" s="20">
        <v>50.522814833333328</v>
      </c>
      <c r="BS44" s="20">
        <v>56.022814833333328</v>
      </c>
      <c r="BT44" s="20">
        <v>128.52281483333334</v>
      </c>
      <c r="BU44" s="20">
        <v>55.522814833333328</v>
      </c>
      <c r="BV44" s="20">
        <v>49.022814833333328</v>
      </c>
      <c r="BW44" s="20">
        <v>36.022814833333328</v>
      </c>
      <c r="BX44" s="28">
        <f t="shared" si="74"/>
        <v>815.79377799999986</v>
      </c>
      <c r="BY44" s="927">
        <f t="shared" si="73"/>
        <v>0</v>
      </c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8">
        <f t="shared" si="75"/>
        <v>0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8">
        <f t="shared" si="76"/>
        <v>0</v>
      </c>
      <c r="DB44" s="20">
        <v>1.9166666666666665</v>
      </c>
      <c r="DC44" s="20">
        <v>0.91666666666666663</v>
      </c>
      <c r="DD44" s="20">
        <v>1.9166666666666665</v>
      </c>
      <c r="DE44" s="20">
        <v>0.91666666666666663</v>
      </c>
      <c r="DF44" s="20">
        <v>6.916666666666667</v>
      </c>
      <c r="DG44" s="20">
        <v>0.91666666666666663</v>
      </c>
      <c r="DH44" s="20">
        <v>1.9166666666666665</v>
      </c>
      <c r="DI44" s="20">
        <v>0.91666666666666663</v>
      </c>
      <c r="DJ44" s="20">
        <v>1.9166666666666665</v>
      </c>
      <c r="DK44" s="20">
        <v>5.916666666666667</v>
      </c>
      <c r="DL44" s="20">
        <v>1.9166666666666665</v>
      </c>
      <c r="DM44" s="20">
        <v>0.91666666666666663</v>
      </c>
      <c r="DN44" s="28">
        <f t="shared" si="77"/>
        <v>27.000000000000004</v>
      </c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8">
        <f t="shared" si="78"/>
        <v>0</v>
      </c>
      <c r="ED44" s="20">
        <v>23</v>
      </c>
      <c r="EE44" s="20">
        <v>3</v>
      </c>
      <c r="EF44" s="20">
        <v>3</v>
      </c>
      <c r="EG44" s="20">
        <v>3</v>
      </c>
      <c r="EH44" s="20">
        <v>3</v>
      </c>
      <c r="EI44" s="20">
        <v>3</v>
      </c>
      <c r="EJ44" s="20">
        <v>8</v>
      </c>
      <c r="EK44" s="20">
        <v>3</v>
      </c>
      <c r="EL44" s="20">
        <v>23</v>
      </c>
      <c r="EM44" s="20">
        <v>3</v>
      </c>
      <c r="EN44" s="20">
        <v>3</v>
      </c>
      <c r="EO44" s="20">
        <v>3</v>
      </c>
      <c r="EP44" s="28">
        <f t="shared" si="79"/>
        <v>81</v>
      </c>
      <c r="ER44" s="20">
        <v>98.986148166666666</v>
      </c>
      <c r="ES44" s="20">
        <v>35.486148166666666</v>
      </c>
      <c r="ET44" s="20">
        <v>68.986148166666652</v>
      </c>
      <c r="EU44" s="20">
        <v>60.486148166666666</v>
      </c>
      <c r="EV44" s="20">
        <v>72.606148166666657</v>
      </c>
      <c r="EW44" s="20">
        <v>52.106148166666664</v>
      </c>
      <c r="EX44" s="20">
        <v>40.606148166666664</v>
      </c>
      <c r="EY44" s="20">
        <v>52.106148166666664</v>
      </c>
      <c r="EZ44" s="20">
        <v>103.60614816666666</v>
      </c>
      <c r="FA44" s="20">
        <v>46.606148166666664</v>
      </c>
      <c r="FB44" s="20">
        <v>44.106148166666664</v>
      </c>
      <c r="FC44" s="20">
        <v>32.106148166666664</v>
      </c>
      <c r="FD44" s="28">
        <f t="shared" si="80"/>
        <v>707.79377800000009</v>
      </c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8">
        <f t="shared" si="81"/>
        <v>0</v>
      </c>
    </row>
    <row r="45" spans="1:174" x14ac:dyDescent="0.3">
      <c r="A45" s="3">
        <f t="shared" si="82"/>
        <v>23</v>
      </c>
      <c r="B45" s="3" t="s">
        <v>97</v>
      </c>
      <c r="C45" s="3" t="s">
        <v>51</v>
      </c>
      <c r="D45" s="25" t="s">
        <v>2</v>
      </c>
      <c r="E45" s="26" t="s">
        <v>105</v>
      </c>
      <c r="F45" s="20">
        <v>0.65749999999999997</v>
      </c>
      <c r="G45" s="20">
        <v>24.825189999999999</v>
      </c>
      <c r="H45" s="20">
        <v>3.3308330000000002</v>
      </c>
      <c r="I45" s="20">
        <v>18.234473999999999</v>
      </c>
      <c r="J45" s="20">
        <v>30.550239999999999</v>
      </c>
      <c r="K45" s="20">
        <v>43.027766999999997</v>
      </c>
      <c r="L45" s="20">
        <v>0.03</v>
      </c>
      <c r="M45" s="20">
        <v>7.2750750000000002</v>
      </c>
      <c r="N45" s="20">
        <v>0</v>
      </c>
      <c r="O45" s="20">
        <v>2.098004</v>
      </c>
      <c r="P45" s="20">
        <v>3.5877189999999999</v>
      </c>
      <c r="Q45" s="546">
        <v>2.7735690000000002</v>
      </c>
      <c r="R45" s="555">
        <f t="shared" si="4"/>
        <v>11.36586425</v>
      </c>
      <c r="S45" s="549">
        <v>2.8209659999999999</v>
      </c>
      <c r="T45" s="20">
        <v>7.6574920000000004</v>
      </c>
      <c r="U45" s="20">
        <v>-0.97659399999999996</v>
      </c>
      <c r="V45" s="20">
        <v>3.7606760000000001</v>
      </c>
      <c r="W45" s="20">
        <v>1.451579</v>
      </c>
      <c r="X45" s="20">
        <v>9.8274989999999995</v>
      </c>
      <c r="Y45" s="20">
        <v>1.843011</v>
      </c>
      <c r="Z45" s="20">
        <v>5.1319100000000004</v>
      </c>
      <c r="AA45" s="20">
        <v>3.975498</v>
      </c>
      <c r="AB45" s="20">
        <v>1.804932</v>
      </c>
      <c r="AC45" s="20">
        <v>4.5161129999999998</v>
      </c>
      <c r="AD45" s="20">
        <v>9.8617539999999995</v>
      </c>
      <c r="AE45" s="569">
        <v>-3.36313</v>
      </c>
      <c r="AF45" s="554">
        <f t="shared" si="5"/>
        <v>48.311706000000001</v>
      </c>
      <c r="AG45" s="555">
        <f t="shared" si="6"/>
        <v>4.0259755000000004</v>
      </c>
      <c r="AH45" s="549">
        <v>1.121111</v>
      </c>
      <c r="AI45" s="20">
        <v>1.5145789999999999</v>
      </c>
      <c r="AJ45" s="20">
        <v>6.9200480000000004</v>
      </c>
      <c r="AK45" s="20">
        <v>4.5740740000000004</v>
      </c>
      <c r="AL45" s="20">
        <v>4.2530109999999999</v>
      </c>
      <c r="AM45" s="20">
        <v>3.7258559999999998</v>
      </c>
      <c r="AN45" s="20">
        <v>4.5115780000000001</v>
      </c>
      <c r="AO45" s="20">
        <v>1.9074070000000001</v>
      </c>
      <c r="AP45" s="20">
        <v>7.8541040000000004</v>
      </c>
      <c r="AQ45" s="20">
        <v>5.0715669999999999</v>
      </c>
      <c r="AR45" s="20">
        <v>4.629372</v>
      </c>
      <c r="AS45" s="20">
        <v>4.4369740000000002</v>
      </c>
      <c r="AT45" s="20"/>
      <c r="AU45" s="555">
        <f t="shared" si="7"/>
        <v>4.2099734166666662</v>
      </c>
      <c r="AV45" s="549">
        <v>4.1496360000000001</v>
      </c>
      <c r="AW45" s="20">
        <v>3.7029390000000002</v>
      </c>
      <c r="AX45" s="20">
        <v>5.241206</v>
      </c>
      <c r="AY45" s="20">
        <v>3.6619709999999999</v>
      </c>
      <c r="AZ45" s="20">
        <v>3.261644</v>
      </c>
      <c r="BA45" s="20">
        <v>2.931108</v>
      </c>
      <c r="BB45" s="20"/>
      <c r="BC45" s="20"/>
      <c r="BD45" s="20"/>
      <c r="BE45" s="20"/>
      <c r="BF45" s="20"/>
      <c r="BG45" s="20"/>
      <c r="BH45" s="20">
        <f t="shared" si="72"/>
        <v>3.8247506666666666</v>
      </c>
      <c r="BI45" s="41" cm="1">
        <f t="array" ref="BI45">INDEX(BL45:BW45,$BL$1)</f>
        <v>8</v>
      </c>
      <c r="BJ45" s="30"/>
      <c r="BK45" s="597"/>
      <c r="BL45" s="20">
        <v>8</v>
      </c>
      <c r="BM45" s="20">
        <v>8</v>
      </c>
      <c r="BN45" s="20">
        <v>8</v>
      </c>
      <c r="BO45" s="20">
        <v>8</v>
      </c>
      <c r="BP45" s="20">
        <v>8</v>
      </c>
      <c r="BQ45" s="20">
        <v>8</v>
      </c>
      <c r="BR45" s="20">
        <v>8</v>
      </c>
      <c r="BS45" s="20">
        <v>8</v>
      </c>
      <c r="BT45" s="20">
        <v>8</v>
      </c>
      <c r="BU45" s="20">
        <v>8</v>
      </c>
      <c r="BV45" s="20">
        <v>8</v>
      </c>
      <c r="BW45" s="20">
        <v>8</v>
      </c>
      <c r="BX45" s="28">
        <f t="shared" si="74"/>
        <v>96</v>
      </c>
      <c r="BY45" s="927">
        <f t="shared" si="73"/>
        <v>0</v>
      </c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8">
        <f t="shared" si="75"/>
        <v>0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8">
        <f t="shared" si="76"/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8">
        <f t="shared" si="77"/>
        <v>0</v>
      </c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8">
        <f t="shared" si="78"/>
        <v>0</v>
      </c>
      <c r="ED45" s="20">
        <v>2</v>
      </c>
      <c r="EE45" s="20">
        <v>2</v>
      </c>
      <c r="EF45" s="20">
        <v>2</v>
      </c>
      <c r="EG45" s="20">
        <v>2</v>
      </c>
      <c r="EH45" s="20">
        <v>2</v>
      </c>
      <c r="EI45" s="20">
        <v>2</v>
      </c>
      <c r="EJ45" s="20">
        <v>2</v>
      </c>
      <c r="EK45" s="20">
        <v>2</v>
      </c>
      <c r="EL45" s="20">
        <v>2</v>
      </c>
      <c r="EM45" s="20">
        <v>2</v>
      </c>
      <c r="EN45" s="20">
        <v>2</v>
      </c>
      <c r="EO45" s="20">
        <v>2</v>
      </c>
      <c r="EP45" s="28">
        <f t="shared" si="79"/>
        <v>24</v>
      </c>
      <c r="ER45" s="20">
        <v>6</v>
      </c>
      <c r="ES45" s="20">
        <v>6</v>
      </c>
      <c r="ET45" s="20">
        <v>6</v>
      </c>
      <c r="EU45" s="20">
        <v>6</v>
      </c>
      <c r="EV45" s="20">
        <v>6</v>
      </c>
      <c r="EW45" s="20">
        <v>6</v>
      </c>
      <c r="EX45" s="20">
        <v>6</v>
      </c>
      <c r="EY45" s="20">
        <v>6</v>
      </c>
      <c r="EZ45" s="20">
        <v>6</v>
      </c>
      <c r="FA45" s="20">
        <v>6</v>
      </c>
      <c r="FB45" s="20">
        <v>6</v>
      </c>
      <c r="FC45" s="20">
        <v>6</v>
      </c>
      <c r="FD45" s="28">
        <f t="shared" si="80"/>
        <v>72</v>
      </c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8">
        <f t="shared" si="81"/>
        <v>0</v>
      </c>
    </row>
    <row r="46" spans="1:174" x14ac:dyDescent="0.3">
      <c r="A46" s="3">
        <f t="shared" si="82"/>
        <v>24</v>
      </c>
      <c r="B46" s="3" t="s">
        <v>97</v>
      </c>
      <c r="C46" s="3" t="s">
        <v>36</v>
      </c>
      <c r="D46" s="25" t="s">
        <v>5</v>
      </c>
      <c r="E46" s="26" t="s">
        <v>105</v>
      </c>
      <c r="F46" s="20">
        <v>4.983333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71.5</v>
      </c>
      <c r="M46" s="20">
        <v>0</v>
      </c>
      <c r="N46" s="20">
        <v>0</v>
      </c>
      <c r="O46" s="20">
        <v>34.5</v>
      </c>
      <c r="P46" s="20">
        <v>0</v>
      </c>
      <c r="Q46" s="546">
        <v>0</v>
      </c>
      <c r="R46" s="555">
        <f t="shared" si="4"/>
        <v>9.2486110833333335</v>
      </c>
      <c r="S46" s="549">
        <v>9.2616669999999992</v>
      </c>
      <c r="T46" s="20">
        <v>9.2616669999999992</v>
      </c>
      <c r="U46" s="20">
        <v>9.2616669999999992</v>
      </c>
      <c r="V46" s="20">
        <v>9.2616669999999992</v>
      </c>
      <c r="W46" s="20">
        <v>9.2616669999999992</v>
      </c>
      <c r="X46" s="20">
        <v>47.540225</v>
      </c>
      <c r="Y46" s="20">
        <v>12.3675</v>
      </c>
      <c r="Z46" s="20">
        <v>14.352499999999999</v>
      </c>
      <c r="AA46" s="20">
        <v>15.459908</v>
      </c>
      <c r="AB46" s="20">
        <v>14.352499999999999</v>
      </c>
      <c r="AC46" s="20">
        <v>57.879353000000002</v>
      </c>
      <c r="AD46" s="20">
        <v>14.352499999999999</v>
      </c>
      <c r="AE46" s="20">
        <v>0</v>
      </c>
      <c r="AF46" s="554">
        <f t="shared" si="5"/>
        <v>222.612821</v>
      </c>
      <c r="AG46" s="555">
        <f t="shared" si="6"/>
        <v>18.551068416666666</v>
      </c>
      <c r="AH46" s="549">
        <v>3.8558330000000001</v>
      </c>
      <c r="AI46" s="20">
        <v>189.65363300000001</v>
      </c>
      <c r="AJ46" s="20">
        <v>4.6058329999999996</v>
      </c>
      <c r="AK46" s="20">
        <v>3.1058330000000001</v>
      </c>
      <c r="AL46" s="20">
        <v>3.1058330000000001</v>
      </c>
      <c r="AM46" s="20">
        <v>0</v>
      </c>
      <c r="AN46" s="20">
        <v>20</v>
      </c>
      <c r="AO46" s="20">
        <v>14.947072</v>
      </c>
      <c r="AP46" s="20">
        <v>58.925150000000002</v>
      </c>
      <c r="AQ46" s="20">
        <v>41.1</v>
      </c>
      <c r="AR46" s="20">
        <v>0</v>
      </c>
      <c r="AS46" s="20">
        <v>0</v>
      </c>
      <c r="AT46" s="20"/>
      <c r="AU46" s="555">
        <f t="shared" si="7"/>
        <v>28.274932249999996</v>
      </c>
      <c r="AV46" s="549">
        <v>0</v>
      </c>
      <c r="AW46" s="20">
        <v>0</v>
      </c>
      <c r="AX46" s="20">
        <v>7</v>
      </c>
      <c r="AY46" s="20">
        <v>89.995999999999995</v>
      </c>
      <c r="AZ46" s="20">
        <v>28.625146000000001</v>
      </c>
      <c r="BA46" s="20">
        <v>27.25245</v>
      </c>
      <c r="BB46" s="20"/>
      <c r="BC46" s="20"/>
      <c r="BD46" s="20"/>
      <c r="BE46" s="20"/>
      <c r="BF46" s="20"/>
      <c r="BG46" s="20"/>
      <c r="BH46" s="20">
        <f t="shared" si="72"/>
        <v>25.478932666666665</v>
      </c>
      <c r="BI46" s="41" cm="1">
        <f t="array" ref="BI46">INDEX(BL46:BW46,$BL$1)</f>
        <v>20.833333333333336</v>
      </c>
      <c r="BJ46" s="30"/>
      <c r="BK46" s="597"/>
      <c r="BL46" s="20">
        <v>27.512233333333334</v>
      </c>
      <c r="BM46" s="20">
        <v>66.36333333333333</v>
      </c>
      <c r="BN46" s="20">
        <v>80.833333333333343</v>
      </c>
      <c r="BO46" s="20">
        <v>80.833333333333343</v>
      </c>
      <c r="BP46" s="20">
        <v>20.833333333333336</v>
      </c>
      <c r="BQ46" s="20">
        <v>20.833333333333336</v>
      </c>
      <c r="BR46" s="20">
        <v>20.833333333333336</v>
      </c>
      <c r="BS46" s="20">
        <v>20.833333333333336</v>
      </c>
      <c r="BT46" s="20">
        <v>20.833333333333336</v>
      </c>
      <c r="BU46" s="20">
        <v>20.833333333333336</v>
      </c>
      <c r="BV46" s="20">
        <v>20.833333333333336</v>
      </c>
      <c r="BW46" s="20">
        <v>20.833333333333336</v>
      </c>
      <c r="BX46" s="28">
        <f t="shared" si="74"/>
        <v>422.20889999999986</v>
      </c>
      <c r="BY46" s="927">
        <f t="shared" si="73"/>
        <v>0</v>
      </c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8">
        <f t="shared" si="75"/>
        <v>0</v>
      </c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8">
        <f t="shared" si="76"/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8">
        <f t="shared" si="77"/>
        <v>0</v>
      </c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8">
        <f t="shared" si="78"/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8">
        <f t="shared" si="79"/>
        <v>0</v>
      </c>
      <c r="ER46" s="20">
        <v>27.512233333333334</v>
      </c>
      <c r="ES46" s="20">
        <v>66.36333333333333</v>
      </c>
      <c r="ET46" s="20">
        <v>80.833333333333343</v>
      </c>
      <c r="EU46" s="20">
        <v>80.833333333333343</v>
      </c>
      <c r="EV46" s="20">
        <v>20.833333333333336</v>
      </c>
      <c r="EW46" s="20">
        <v>20.833333333333336</v>
      </c>
      <c r="EX46" s="20">
        <v>20.833333333333336</v>
      </c>
      <c r="EY46" s="20">
        <v>20.833333333333336</v>
      </c>
      <c r="EZ46" s="20">
        <v>20.833333333333336</v>
      </c>
      <c r="FA46" s="20">
        <v>20.833333333333336</v>
      </c>
      <c r="FB46" s="20">
        <v>20.833333333333336</v>
      </c>
      <c r="FC46" s="20">
        <v>20.833333333333336</v>
      </c>
      <c r="FD46" s="28">
        <f t="shared" si="80"/>
        <v>422.20889999999986</v>
      </c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8">
        <f t="shared" si="81"/>
        <v>0</v>
      </c>
    </row>
    <row r="47" spans="1:174" x14ac:dyDescent="0.3">
      <c r="A47" s="3">
        <f t="shared" si="82"/>
        <v>25</v>
      </c>
      <c r="B47" s="3" t="s">
        <v>97</v>
      </c>
      <c r="C47" s="3" t="s">
        <v>36</v>
      </c>
      <c r="D47" s="25" t="s">
        <v>1</v>
      </c>
      <c r="E47" s="26" t="s">
        <v>105</v>
      </c>
      <c r="F47" s="20">
        <v>0</v>
      </c>
      <c r="G47" s="20">
        <v>3.2</v>
      </c>
      <c r="H47" s="20">
        <v>7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2.2000000000000002</v>
      </c>
      <c r="P47" s="20">
        <v>3</v>
      </c>
      <c r="Q47" s="546">
        <v>6.08</v>
      </c>
      <c r="R47" s="555">
        <f t="shared" si="4"/>
        <v>1.7899999999999998</v>
      </c>
      <c r="S47" s="549">
        <v>0</v>
      </c>
      <c r="T47" s="20">
        <v>0</v>
      </c>
      <c r="U47" s="20">
        <v>69.69</v>
      </c>
      <c r="V47" s="20">
        <v>28.833333</v>
      </c>
      <c r="W47" s="20">
        <v>17.333333</v>
      </c>
      <c r="X47" s="20">
        <v>42.17474</v>
      </c>
      <c r="Y47" s="20">
        <v>18.17474</v>
      </c>
      <c r="Z47" s="20">
        <v>20.67474</v>
      </c>
      <c r="AA47" s="20">
        <v>66.441980000000001</v>
      </c>
      <c r="AB47" s="20">
        <v>5.8333329999999997</v>
      </c>
      <c r="AC47" s="20">
        <v>5.8333329999999997</v>
      </c>
      <c r="AD47" s="20">
        <v>5.8333329999999997</v>
      </c>
      <c r="AE47" s="20">
        <v>0</v>
      </c>
      <c r="AF47" s="554">
        <f t="shared" si="5"/>
        <v>280.82286499999992</v>
      </c>
      <c r="AG47" s="555">
        <f t="shared" si="6"/>
        <v>23.401905416666661</v>
      </c>
      <c r="AH47" s="549">
        <v>43.533332999999999</v>
      </c>
      <c r="AI47" s="20">
        <v>3.3333330000000001</v>
      </c>
      <c r="AJ47" s="20">
        <v>7.6833330000000002</v>
      </c>
      <c r="AK47" s="20">
        <v>48.075000000000003</v>
      </c>
      <c r="AL47" s="20">
        <v>10.455</v>
      </c>
      <c r="AM47" s="20">
        <v>6.7296459999999998</v>
      </c>
      <c r="AN47" s="20">
        <v>6.9727509999999997</v>
      </c>
      <c r="AO47" s="20">
        <v>45.516109</v>
      </c>
      <c r="AP47" s="20">
        <v>39.393518999999998</v>
      </c>
      <c r="AQ47" s="20">
        <v>123.204628</v>
      </c>
      <c r="AR47" s="20">
        <v>17.454999999999998</v>
      </c>
      <c r="AS47" s="20">
        <v>134.41388900000001</v>
      </c>
      <c r="AT47" s="20"/>
      <c r="AU47" s="555">
        <f t="shared" si="7"/>
        <v>40.563795083333332</v>
      </c>
      <c r="AV47" s="549">
        <v>41.041666999999997</v>
      </c>
      <c r="AW47" s="20">
        <v>5.0416670000000003</v>
      </c>
      <c r="AX47" s="20">
        <v>20.912666999999999</v>
      </c>
      <c r="AY47" s="20">
        <v>1.1666669999999999</v>
      </c>
      <c r="AZ47" s="20">
        <v>24.166667</v>
      </c>
      <c r="BA47" s="20">
        <v>34.572667000000003</v>
      </c>
      <c r="BB47" s="20"/>
      <c r="BC47" s="20"/>
      <c r="BD47" s="20"/>
      <c r="BE47" s="20"/>
      <c r="BF47" s="20"/>
      <c r="BG47" s="20"/>
      <c r="BH47" s="20">
        <f t="shared" si="72"/>
        <v>21.150333666666668</v>
      </c>
      <c r="BI47" s="41" cm="1">
        <f t="array" ref="BI47">INDEX(BL47:BW47,$BL$1)</f>
        <v>52.333333333333329</v>
      </c>
      <c r="BJ47" s="30"/>
      <c r="BK47" s="597"/>
      <c r="BL47" s="20">
        <v>34.208333333333329</v>
      </c>
      <c r="BM47" s="20">
        <v>42.398333333333326</v>
      </c>
      <c r="BN47" s="20">
        <v>99.208333333333329</v>
      </c>
      <c r="BO47" s="20">
        <v>30.333333333333332</v>
      </c>
      <c r="BP47" s="20">
        <v>55.733333333333327</v>
      </c>
      <c r="BQ47" s="20">
        <v>52.333333333333329</v>
      </c>
      <c r="BR47" s="20">
        <v>48.833333333333329</v>
      </c>
      <c r="BS47" s="20">
        <v>42.333333333333329</v>
      </c>
      <c r="BT47" s="20">
        <v>56.333333333333329</v>
      </c>
      <c r="BU47" s="20">
        <v>40.333333333333329</v>
      </c>
      <c r="BV47" s="20">
        <v>30.333333333333332</v>
      </c>
      <c r="BW47" s="20">
        <v>30.333333333333332</v>
      </c>
      <c r="BX47" s="28">
        <f t="shared" si="74"/>
        <v>562.71499999999992</v>
      </c>
      <c r="BY47" s="927">
        <f t="shared" si="73"/>
        <v>0</v>
      </c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8">
        <f t="shared" si="75"/>
        <v>0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8">
        <f t="shared" si="76"/>
        <v>0</v>
      </c>
      <c r="DB47" s="20">
        <v>3.875</v>
      </c>
      <c r="DC47" s="20">
        <v>6.875</v>
      </c>
      <c r="DD47" s="20">
        <v>68.875</v>
      </c>
      <c r="DE47" s="20">
        <v>0</v>
      </c>
      <c r="DF47" s="20">
        <v>20.399999999999999</v>
      </c>
      <c r="DG47" s="20">
        <v>19</v>
      </c>
      <c r="DH47" s="20">
        <v>18.5</v>
      </c>
      <c r="DI47" s="20">
        <v>2</v>
      </c>
      <c r="DJ47" s="20">
        <v>16</v>
      </c>
      <c r="DK47" s="20">
        <v>0</v>
      </c>
      <c r="DL47" s="20">
        <v>0</v>
      </c>
      <c r="DM47" s="20">
        <v>0</v>
      </c>
      <c r="DN47" s="28">
        <f t="shared" si="77"/>
        <v>155.52500000000001</v>
      </c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8">
        <f t="shared" si="78"/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8">
        <f t="shared" si="79"/>
        <v>0</v>
      </c>
      <c r="ER47" s="20">
        <v>30.333333333333332</v>
      </c>
      <c r="ES47" s="20">
        <v>35.523333333333326</v>
      </c>
      <c r="ET47" s="20">
        <v>30.333333333333332</v>
      </c>
      <c r="EU47" s="20">
        <v>30.333333333333332</v>
      </c>
      <c r="EV47" s="20">
        <v>35.333333333333329</v>
      </c>
      <c r="EW47" s="20">
        <v>33.333333333333329</v>
      </c>
      <c r="EX47" s="20">
        <v>30.333333333333332</v>
      </c>
      <c r="EY47" s="20">
        <v>40.333333333333329</v>
      </c>
      <c r="EZ47" s="20">
        <v>40.333333333333329</v>
      </c>
      <c r="FA47" s="20">
        <v>40.333333333333329</v>
      </c>
      <c r="FB47" s="20">
        <v>30.333333333333332</v>
      </c>
      <c r="FC47" s="20">
        <v>30.333333333333332</v>
      </c>
      <c r="FD47" s="28">
        <f t="shared" si="80"/>
        <v>407.18999999999988</v>
      </c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8">
        <f t="shared" si="81"/>
        <v>0</v>
      </c>
    </row>
    <row r="48" spans="1:174" ht="14.15" customHeight="1" x14ac:dyDescent="0.3">
      <c r="A48" s="3">
        <f t="shared" si="82"/>
        <v>26</v>
      </c>
      <c r="B48" s="3" t="s">
        <v>97</v>
      </c>
      <c r="C48" s="35" t="s">
        <v>36</v>
      </c>
      <c r="D48" s="36" t="s">
        <v>23</v>
      </c>
      <c r="E48" s="37" t="s">
        <v>105</v>
      </c>
      <c r="F48" s="20">
        <v>0.2</v>
      </c>
      <c r="G48" s="20">
        <v>12.983599999999999</v>
      </c>
      <c r="H48" s="20">
        <v>6.1733349999999998</v>
      </c>
      <c r="I48" s="20">
        <v>6.8479999999999999</v>
      </c>
      <c r="J48" s="20">
        <v>5.9101999999999997</v>
      </c>
      <c r="K48" s="20">
        <v>0</v>
      </c>
      <c r="L48" s="20">
        <v>12.211333</v>
      </c>
      <c r="M48" s="20">
        <v>8.2653999999999996</v>
      </c>
      <c r="N48" s="20">
        <v>10.46</v>
      </c>
      <c r="O48" s="20">
        <v>8.8777000000000008</v>
      </c>
      <c r="P48" s="20">
        <v>9.8262999999999998</v>
      </c>
      <c r="Q48" s="546">
        <v>8.9922000000000004</v>
      </c>
      <c r="R48" s="555">
        <f t="shared" si="4"/>
        <v>7.5623389999999988</v>
      </c>
      <c r="S48" s="549"/>
      <c r="T48" s="20"/>
      <c r="U48" s="20">
        <f>0.79</f>
        <v>0.79</v>
      </c>
      <c r="V48" s="20">
        <v>0</v>
      </c>
      <c r="W48" s="20">
        <v>1.1399999999999999</v>
      </c>
      <c r="X48" s="20">
        <v>0</v>
      </c>
      <c r="Y48" s="20">
        <v>0.84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554">
        <f t="shared" si="5"/>
        <v>2.77</v>
      </c>
      <c r="AG48" s="555">
        <f t="shared" si="6"/>
        <v>0.23083333333333333</v>
      </c>
      <c r="AH48" s="549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/>
      <c r="AU48" s="555">
        <f t="shared" si="7"/>
        <v>0</v>
      </c>
      <c r="AV48" s="549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/>
      <c r="BC48" s="20"/>
      <c r="BD48" s="20"/>
      <c r="BE48" s="20"/>
      <c r="BF48" s="20"/>
      <c r="BG48" s="20"/>
      <c r="BH48" s="20">
        <f t="shared" si="72"/>
        <v>0</v>
      </c>
      <c r="BI48" s="41" cm="1">
        <f t="array" ref="BI48">INDEX(BL48:BW48,$BL$1)</f>
        <v>0</v>
      </c>
      <c r="BJ48" s="38"/>
      <c r="BK48" s="597"/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8">
        <f t="shared" si="74"/>
        <v>0</v>
      </c>
      <c r="BY48" s="927">
        <f t="shared" si="73"/>
        <v>0</v>
      </c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8">
        <f t="shared" si="75"/>
        <v>0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8">
        <f t="shared" si="76"/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8">
        <f t="shared" si="77"/>
        <v>0</v>
      </c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8">
        <f t="shared" si="78"/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8">
        <f t="shared" si="79"/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20">
        <v>0</v>
      </c>
      <c r="EY48" s="20">
        <v>0</v>
      </c>
      <c r="EZ48" s="20">
        <v>0</v>
      </c>
      <c r="FA48" s="20">
        <v>0</v>
      </c>
      <c r="FB48" s="20">
        <v>0</v>
      </c>
      <c r="FC48" s="20">
        <v>0</v>
      </c>
      <c r="FD48" s="28">
        <f t="shared" si="80"/>
        <v>0</v>
      </c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8">
        <f t="shared" si="81"/>
        <v>0</v>
      </c>
    </row>
    <row r="49" spans="1:174" ht="14.15" customHeight="1" x14ac:dyDescent="0.3">
      <c r="A49" s="3">
        <v>27</v>
      </c>
      <c r="B49" s="3" t="s">
        <v>97</v>
      </c>
      <c r="C49" s="35" t="s">
        <v>36</v>
      </c>
      <c r="D49" s="321" t="s">
        <v>213</v>
      </c>
      <c r="E49" s="37" t="s">
        <v>105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546"/>
      <c r="R49" s="555"/>
      <c r="S49" s="549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>
        <v>145</v>
      </c>
      <c r="AE49" s="20">
        <v>0</v>
      </c>
      <c r="AF49" s="554">
        <f t="shared" si="5"/>
        <v>145</v>
      </c>
      <c r="AG49" s="555">
        <f t="shared" si="6"/>
        <v>12.083333333333334</v>
      </c>
      <c r="AH49" s="549">
        <v>0</v>
      </c>
      <c r="AI49" s="20">
        <v>145</v>
      </c>
      <c r="AJ49" s="20">
        <v>132.69999999999999</v>
      </c>
      <c r="AK49" s="20">
        <v>97.1</v>
      </c>
      <c r="AL49" s="20">
        <v>152</v>
      </c>
      <c r="AM49" s="20">
        <v>162.01666700000001</v>
      </c>
      <c r="AN49" s="20">
        <v>175.40322599999999</v>
      </c>
      <c r="AO49" s="20">
        <v>192</v>
      </c>
      <c r="AP49" s="20">
        <v>212.94399999999999</v>
      </c>
      <c r="AQ49" s="20">
        <v>207.708</v>
      </c>
      <c r="AR49" s="20">
        <v>197</v>
      </c>
      <c r="AS49" s="20">
        <v>193</v>
      </c>
      <c r="AT49" s="20"/>
      <c r="AU49" s="555">
        <f t="shared" si="7"/>
        <v>155.57265774999999</v>
      </c>
      <c r="AV49" s="549">
        <v>180.129032</v>
      </c>
      <c r="AW49" s="20">
        <v>224</v>
      </c>
      <c r="AX49" s="20">
        <v>214.064516</v>
      </c>
      <c r="AY49" s="20">
        <v>238.433333</v>
      </c>
      <c r="AZ49" s="20">
        <v>238.433333</v>
      </c>
      <c r="BA49" s="20">
        <v>314.02748300000002</v>
      </c>
      <c r="BB49" s="20"/>
      <c r="BC49" s="20"/>
      <c r="BD49" s="20"/>
      <c r="BE49" s="20"/>
      <c r="BF49" s="20"/>
      <c r="BG49" s="20"/>
      <c r="BH49" s="20">
        <f t="shared" si="72"/>
        <v>234.8479495</v>
      </c>
      <c r="BI49" s="41" cm="1">
        <f t="array" ref="BI49">INDEX(BL49:BW49,$BL$1)</f>
        <v>294.5</v>
      </c>
      <c r="BJ49" s="38"/>
      <c r="BK49" s="597"/>
      <c r="BL49" s="20">
        <v>294.5</v>
      </c>
      <c r="BM49" s="20">
        <v>294.5</v>
      </c>
      <c r="BN49" s="20">
        <v>344.5</v>
      </c>
      <c r="BO49" s="20">
        <v>294.5</v>
      </c>
      <c r="BP49" s="20">
        <v>294.5</v>
      </c>
      <c r="BQ49" s="20">
        <v>294.5</v>
      </c>
      <c r="BR49" s="20">
        <v>294.5</v>
      </c>
      <c r="BS49" s="20">
        <v>294.5</v>
      </c>
      <c r="BT49" s="20">
        <v>294.5</v>
      </c>
      <c r="BU49" s="20">
        <v>294.5</v>
      </c>
      <c r="BV49" s="20">
        <v>294.5</v>
      </c>
      <c r="BW49" s="20">
        <v>294.5</v>
      </c>
      <c r="BX49" s="28">
        <f t="shared" ref="BX49" si="83">SUM(BL49:BW49)</f>
        <v>3584</v>
      </c>
      <c r="BY49" s="927">
        <f t="shared" si="73"/>
        <v>0</v>
      </c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8">
        <f t="shared" si="75"/>
        <v>0</v>
      </c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8">
        <f t="shared" si="76"/>
        <v>0</v>
      </c>
      <c r="DB49" s="20">
        <v>294.5</v>
      </c>
      <c r="DC49" s="20">
        <v>294.5</v>
      </c>
      <c r="DD49" s="20">
        <v>344.5</v>
      </c>
      <c r="DE49" s="20">
        <v>294.5</v>
      </c>
      <c r="DF49" s="20">
        <v>294.5</v>
      </c>
      <c r="DG49" s="20">
        <v>294.5</v>
      </c>
      <c r="DH49" s="20">
        <v>294.5</v>
      </c>
      <c r="DI49" s="20">
        <v>294.5</v>
      </c>
      <c r="DJ49" s="20">
        <v>294.5</v>
      </c>
      <c r="DK49" s="20">
        <v>294.5</v>
      </c>
      <c r="DL49" s="20">
        <v>294.5</v>
      </c>
      <c r="DM49" s="20">
        <v>294.5</v>
      </c>
      <c r="DN49" s="28">
        <f t="shared" si="77"/>
        <v>3584</v>
      </c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8">
        <f t="shared" si="78"/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8">
        <f t="shared" si="79"/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20">
        <v>0</v>
      </c>
      <c r="EY49" s="20">
        <v>0</v>
      </c>
      <c r="EZ49" s="20">
        <v>0</v>
      </c>
      <c r="FA49" s="20">
        <v>0</v>
      </c>
      <c r="FB49" s="20">
        <v>0</v>
      </c>
      <c r="FC49" s="20">
        <v>0</v>
      </c>
      <c r="FD49" s="28">
        <f t="shared" si="80"/>
        <v>0</v>
      </c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8">
        <f t="shared" si="81"/>
        <v>0</v>
      </c>
    </row>
    <row r="50" spans="1:174" s="43" customFormat="1" ht="14.15" customHeight="1" thickBot="1" x14ac:dyDescent="0.35">
      <c r="A50" s="82"/>
      <c r="B50" s="83"/>
      <c r="C50" s="83"/>
      <c r="D50" s="82" t="s">
        <v>106</v>
      </c>
      <c r="E50" s="39"/>
      <c r="F50" s="40">
        <f t="shared" ref="F50:V50" si="84">SUM(F4:F48)</f>
        <v>34705.756335089281</v>
      </c>
      <c r="G50" s="40">
        <f t="shared" si="84"/>
        <v>46830.567915292297</v>
      </c>
      <c r="H50" s="40">
        <f t="shared" si="84"/>
        <v>57032.908285049292</v>
      </c>
      <c r="I50" s="40">
        <f t="shared" si="84"/>
        <v>49216.549124914287</v>
      </c>
      <c r="J50" s="40">
        <f t="shared" si="84"/>
        <v>59773.187487103271</v>
      </c>
      <c r="K50" s="40">
        <f t="shared" si="84"/>
        <v>52501.971580714264</v>
      </c>
      <c r="L50" s="40">
        <f t="shared" si="84"/>
        <v>60631.468516214278</v>
      </c>
      <c r="M50" s="40">
        <f t="shared" si="84"/>
        <v>63732.915281499983</v>
      </c>
      <c r="N50" s="40">
        <f t="shared" si="84"/>
        <v>55971.92156556002</v>
      </c>
      <c r="O50" s="40">
        <f t="shared" si="84"/>
        <v>63770.502859999979</v>
      </c>
      <c r="P50" s="40">
        <f t="shared" si="84"/>
        <v>51999.252872000005</v>
      </c>
      <c r="Q50" s="547">
        <f t="shared" si="84"/>
        <v>98701.753947917518</v>
      </c>
      <c r="R50" s="553">
        <f t="shared" si="84"/>
        <v>57905.729647612927</v>
      </c>
      <c r="S50" s="550">
        <f t="shared" si="84"/>
        <v>115228.39517860064</v>
      </c>
      <c r="T50" s="40">
        <f t="shared" si="84"/>
        <v>82308.467316309761</v>
      </c>
      <c r="U50" s="40">
        <f t="shared" si="84"/>
        <v>128217.74905364485</v>
      </c>
      <c r="V50" s="40">
        <f t="shared" si="84"/>
        <v>121555.08469479335</v>
      </c>
      <c r="W50" s="40">
        <f t="shared" ref="W50:AE50" si="85">SUM(W4:W48)</f>
        <v>121347.51978554096</v>
      </c>
      <c r="X50" s="40">
        <f t="shared" si="85"/>
        <v>97496.107456854821</v>
      </c>
      <c r="Y50" s="40">
        <f t="shared" si="85"/>
        <v>64877.739682960215</v>
      </c>
      <c r="Z50" s="40">
        <f t="shared" si="85"/>
        <v>77688.687926751358</v>
      </c>
      <c r="AA50" s="40">
        <f t="shared" si="85"/>
        <v>93763.659360791935</v>
      </c>
      <c r="AB50" s="40">
        <f t="shared" si="85"/>
        <v>119614.09176392519</v>
      </c>
      <c r="AC50" s="40">
        <f t="shared" si="85"/>
        <v>125598.03056838282</v>
      </c>
      <c r="AD50" s="40">
        <f>SUM(AD4:AD49)</f>
        <v>100294.66443034637</v>
      </c>
      <c r="AE50" s="40">
        <f t="shared" si="85"/>
        <v>3756.3801549999998</v>
      </c>
      <c r="AF50" s="547">
        <f>SUM(AF4:AF48)</f>
        <v>1251601.5773739018</v>
      </c>
      <c r="AG50" s="553">
        <f>SUM(AG4:AG48)</f>
        <v>104300.13144782519</v>
      </c>
      <c r="AH50" s="40">
        <f t="shared" ref="AH50:AI50" si="86">SUM(AH4:AH49)</f>
        <v>70014.277274729946</v>
      </c>
      <c r="AI50" s="40">
        <f t="shared" si="86"/>
        <v>94604.468298730208</v>
      </c>
      <c r="AJ50" s="40">
        <f>SUM(AJ4:AJ49)</f>
        <v>135464.00962234999</v>
      </c>
      <c r="AK50" s="40">
        <f t="shared" ref="AK50:BI50" si="87">SUM(AK4:AK49)</f>
        <v>123357.30299051284</v>
      </c>
      <c r="AL50" s="40">
        <f t="shared" si="87"/>
        <v>141736.63236089979</v>
      </c>
      <c r="AM50" s="40">
        <f t="shared" si="87"/>
        <v>127841.21378199873</v>
      </c>
      <c r="AN50" s="40">
        <f t="shared" si="87"/>
        <v>139252.49948994356</v>
      </c>
      <c r="AO50" s="40">
        <f t="shared" si="87"/>
        <v>140349.22763938981</v>
      </c>
      <c r="AP50" s="40">
        <f t="shared" si="87"/>
        <v>139368.91138751016</v>
      </c>
      <c r="AQ50" s="40">
        <f>SUM(AQ4:AQ49)</f>
        <v>105197.67820408293</v>
      </c>
      <c r="AR50" s="40">
        <f t="shared" si="87"/>
        <v>83291.550956523977</v>
      </c>
      <c r="AS50" s="40">
        <f t="shared" si="87"/>
        <v>111888.34297518275</v>
      </c>
      <c r="AT50" s="40">
        <f t="shared" si="87"/>
        <v>5839.8093530000006</v>
      </c>
      <c r="AU50" s="553">
        <f>SUM(AU4:AU49)</f>
        <v>118183.82702790455</v>
      </c>
      <c r="AV50" s="40">
        <f t="shared" ref="AV50:AW50" si="88">SUM(AV4:AV49)</f>
        <v>96232.580259348615</v>
      </c>
      <c r="AW50" s="40">
        <f t="shared" si="88"/>
        <v>68966.268484026281</v>
      </c>
      <c r="AX50" s="40">
        <f>SUM(AX4:AX49)</f>
        <v>124440.21239328403</v>
      </c>
      <c r="AY50" s="40">
        <f t="shared" ref="AY50:BD50" si="89">SUM(AY4:AY49)</f>
        <v>124796.66228645046</v>
      </c>
      <c r="AZ50" s="40">
        <f t="shared" si="89"/>
        <v>114318.49041836834</v>
      </c>
      <c r="BA50" s="40">
        <f t="shared" si="89"/>
        <v>121366.36186567812</v>
      </c>
      <c r="BB50" s="40">
        <f t="shared" si="89"/>
        <v>0</v>
      </c>
      <c r="BC50" s="40">
        <f t="shared" si="89"/>
        <v>0</v>
      </c>
      <c r="BD50" s="40">
        <f t="shared" si="89"/>
        <v>0</v>
      </c>
      <c r="BE50" s="40">
        <f>SUM(BE4:BE49)</f>
        <v>0</v>
      </c>
      <c r="BF50" s="40">
        <f t="shared" ref="BF50:BG50" si="90">SUM(BF4:BF49)</f>
        <v>0</v>
      </c>
      <c r="BG50" s="40">
        <f t="shared" si="90"/>
        <v>0</v>
      </c>
      <c r="BH50" s="40">
        <f>SUM(BH4:BH49)</f>
        <v>108353.42928452595</v>
      </c>
      <c r="BI50" s="40">
        <f t="shared" si="87"/>
        <v>125329.36028888382</v>
      </c>
      <c r="BJ50" s="42"/>
      <c r="BK50" s="597"/>
      <c r="BL50" s="19">
        <f t="shared" ref="BL50:BW50" si="91">SUM(BL4:BL49)</f>
        <v>118106.03307548947</v>
      </c>
      <c r="BM50" s="19">
        <f t="shared" si="91"/>
        <v>101903.70634678968</v>
      </c>
      <c r="BN50" s="19">
        <f t="shared" si="91"/>
        <v>121400.51430197207</v>
      </c>
      <c r="BO50" s="19">
        <f t="shared" si="91"/>
        <v>121634.07162660011</v>
      </c>
      <c r="BP50" s="19">
        <f t="shared" si="91"/>
        <v>122863.18238057743</v>
      </c>
      <c r="BQ50" s="19">
        <f t="shared" si="91"/>
        <v>125329.36028888382</v>
      </c>
      <c r="BR50" s="19">
        <f t="shared" si="91"/>
        <v>127061.64916469138</v>
      </c>
      <c r="BS50" s="19">
        <f t="shared" si="91"/>
        <v>127935.56868398622</v>
      </c>
      <c r="BT50" s="19">
        <f t="shared" si="91"/>
        <v>129376.51366167335</v>
      </c>
      <c r="BU50" s="19">
        <f t="shared" si="91"/>
        <v>127281.22757626731</v>
      </c>
      <c r="BV50" s="19">
        <f t="shared" si="91"/>
        <v>126745.55968199352</v>
      </c>
      <c r="BW50" s="19">
        <f t="shared" si="91"/>
        <v>129783.4305930009</v>
      </c>
      <c r="BX50" s="19">
        <f>SUM(BX4:BX49)</f>
        <v>1479420.8173819259</v>
      </c>
      <c r="BY50" s="928">
        <f t="shared" si="73"/>
        <v>0</v>
      </c>
      <c r="BZ50" s="19">
        <f t="shared" ref="BZ50:CK50" si="92">SUM(BZ4:BZ49)</f>
        <v>72897.478190204987</v>
      </c>
      <c r="CA50" s="19">
        <f t="shared" si="92"/>
        <v>59875.033941768925</v>
      </c>
      <c r="CB50" s="19">
        <f t="shared" si="92"/>
        <v>76428.141214605217</v>
      </c>
      <c r="CC50" s="19">
        <f t="shared" si="92"/>
        <v>76609.017812741295</v>
      </c>
      <c r="CD50" s="19">
        <f t="shared" si="92"/>
        <v>76428.141214605217</v>
      </c>
      <c r="CE50" s="19">
        <f t="shared" si="92"/>
        <v>78020.98443412497</v>
      </c>
      <c r="CF50" s="19">
        <f t="shared" si="92"/>
        <v>79858.023199772404</v>
      </c>
      <c r="CG50" s="19">
        <f t="shared" si="92"/>
        <v>80636.921727679801</v>
      </c>
      <c r="CH50" s="19">
        <f t="shared" si="92"/>
        <v>80310.214695112605</v>
      </c>
      <c r="CI50" s="19">
        <f t="shared" si="92"/>
        <v>80817.798325815878</v>
      </c>
      <c r="CJ50" s="19">
        <f t="shared" si="92"/>
        <v>79677.146601636327</v>
      </c>
      <c r="CK50" s="19">
        <f t="shared" si="92"/>
        <v>80636.921727679801</v>
      </c>
      <c r="CL50" s="19">
        <f>SUM(CL4:CL49)</f>
        <v>922195.82308574743</v>
      </c>
      <c r="CN50" s="19">
        <f t="shared" ref="CN50:CY50" si="93">SUM(CN4:CN49)</f>
        <v>3897.2468261153845</v>
      </c>
      <c r="CO50" s="19">
        <f t="shared" si="93"/>
        <v>3657.4129616923074</v>
      </c>
      <c r="CP50" s="19">
        <f t="shared" si="93"/>
        <v>3561.7950848461537</v>
      </c>
      <c r="CQ50" s="19">
        <f t="shared" si="93"/>
        <v>3875.3872236923075</v>
      </c>
      <c r="CR50" s="19">
        <f t="shared" si="93"/>
        <v>3716.3069672307693</v>
      </c>
      <c r="CS50" s="19">
        <f t="shared" si="93"/>
        <v>3875.3872236923075</v>
      </c>
      <c r="CT50" s="19">
        <f t="shared" si="93"/>
        <v>3788.2974989999998</v>
      </c>
      <c r="CU50" s="19">
        <f t="shared" si="93"/>
        <v>3788.2974989999998</v>
      </c>
      <c r="CV50" s="19">
        <f t="shared" si="93"/>
        <v>3867.8532653076927</v>
      </c>
      <c r="CW50" s="19">
        <f t="shared" si="93"/>
        <v>3701.2077533076927</v>
      </c>
      <c r="CX50" s="19">
        <f t="shared" si="93"/>
        <v>3875.3872236923075</v>
      </c>
      <c r="CY50" s="19">
        <f t="shared" si="93"/>
        <v>3788.2974989999998</v>
      </c>
      <c r="CZ50" s="19">
        <f>SUM(CZ4:CZ49)</f>
        <v>45392.877026576927</v>
      </c>
      <c r="DB50" s="19">
        <f t="shared" ref="DB50:DM50" si="94">SUM(DB4:DB49)</f>
        <v>25280.489109824051</v>
      </c>
      <c r="DC50" s="19">
        <f t="shared" si="94"/>
        <v>24013.937529578026</v>
      </c>
      <c r="DD50" s="19">
        <f t="shared" si="94"/>
        <v>26022.973355668146</v>
      </c>
      <c r="DE50" s="19">
        <f t="shared" si="94"/>
        <v>26400.015472723768</v>
      </c>
      <c r="DF50" s="19">
        <f t="shared" si="94"/>
        <v>25903.095987695382</v>
      </c>
      <c r="DG50" s="19">
        <f t="shared" si="94"/>
        <v>26883.461235133709</v>
      </c>
      <c r="DH50" s="19">
        <f t="shared" si="94"/>
        <v>26862.221748389045</v>
      </c>
      <c r="DI50" s="19">
        <f t="shared" si="94"/>
        <v>26702.391693773938</v>
      </c>
      <c r="DJ50" s="19">
        <f t="shared" si="94"/>
        <v>27125.702861694914</v>
      </c>
      <c r="DK50" s="19">
        <f t="shared" si="94"/>
        <v>26936.76379258656</v>
      </c>
      <c r="DL50" s="19">
        <f t="shared" si="94"/>
        <v>26894.187000092836</v>
      </c>
      <c r="DM50" s="19">
        <f t="shared" si="94"/>
        <v>26939.912313012344</v>
      </c>
      <c r="DN50" s="19">
        <f>SUM(DN4:DN49)</f>
        <v>315965.15210017271</v>
      </c>
      <c r="DP50" s="19">
        <f t="shared" ref="DP50:EA50" si="95">SUM(DP4:DP49)</f>
        <v>1440.7291910893346</v>
      </c>
      <c r="DQ50" s="19">
        <f t="shared" si="95"/>
        <v>2314.4014916227866</v>
      </c>
      <c r="DR50" s="19">
        <f t="shared" si="95"/>
        <v>2754.8451088531456</v>
      </c>
      <c r="DS50" s="19">
        <f t="shared" si="95"/>
        <v>2658.9739779450151</v>
      </c>
      <c r="DT50" s="19">
        <f t="shared" si="95"/>
        <v>2984.5638576971396</v>
      </c>
      <c r="DU50" s="19">
        <f t="shared" si="95"/>
        <v>3083.7658926644508</v>
      </c>
      <c r="DV50" s="19">
        <f t="shared" si="95"/>
        <v>3139.6191586549103</v>
      </c>
      <c r="DW50" s="19">
        <f t="shared" si="95"/>
        <v>3321.5810537279758</v>
      </c>
      <c r="DX50" s="19">
        <f t="shared" si="95"/>
        <v>3248.3418835147654</v>
      </c>
      <c r="DY50" s="19">
        <f t="shared" si="95"/>
        <v>3254.7331846761322</v>
      </c>
      <c r="DZ50" s="19">
        <f t="shared" si="95"/>
        <v>3261.9944609206568</v>
      </c>
      <c r="EA50" s="19">
        <f t="shared" si="95"/>
        <v>3102.3550620342407</v>
      </c>
      <c r="EB50" s="19">
        <f>SUM(EB4:EB49)</f>
        <v>34565.904323400558</v>
      </c>
      <c r="ED50" s="19">
        <f t="shared" ref="ED50:EO50" si="96">SUM(ED4:ED49)</f>
        <v>5085.051683268488</v>
      </c>
      <c r="EE50" s="19">
        <f t="shared" si="96"/>
        <v>4093.1969817930785</v>
      </c>
      <c r="EF50" s="19">
        <f t="shared" si="96"/>
        <v>4600.8648657930771</v>
      </c>
      <c r="EG50" s="19">
        <f t="shared" si="96"/>
        <v>3968.8609187165757</v>
      </c>
      <c r="EH50" s="19">
        <f t="shared" si="96"/>
        <v>5549.0188261701269</v>
      </c>
      <c r="EI50" s="19">
        <f t="shared" si="96"/>
        <v>4908.2808702522898</v>
      </c>
      <c r="EJ50" s="19">
        <f t="shared" si="96"/>
        <v>4272.0471088742461</v>
      </c>
      <c r="EK50" s="19">
        <f t="shared" si="96"/>
        <v>4169.3822236283459</v>
      </c>
      <c r="EL50" s="19">
        <f t="shared" si="96"/>
        <v>6178.6846668742464</v>
      </c>
      <c r="EM50" s="19">
        <f t="shared" si="96"/>
        <v>4321.8674913478353</v>
      </c>
      <c r="EN50" s="19">
        <f t="shared" si="96"/>
        <v>4663.0392557631358</v>
      </c>
      <c r="EO50" s="19">
        <f t="shared" si="96"/>
        <v>4745.4802467248846</v>
      </c>
      <c r="EP50" s="19">
        <f>SUM(EP4:EP49)</f>
        <v>56555.775139206329</v>
      </c>
      <c r="ER50" s="19">
        <f t="shared" ref="ER50:FC50" si="97">SUM(ER4:ER49)</f>
        <v>9071.4130749872184</v>
      </c>
      <c r="ES50" s="19">
        <f t="shared" si="97"/>
        <v>7516.0984403346129</v>
      </c>
      <c r="ET50" s="19">
        <f t="shared" si="97"/>
        <v>7598.2696722063793</v>
      </c>
      <c r="EU50" s="19">
        <f t="shared" si="97"/>
        <v>7688.191220781182</v>
      </c>
      <c r="EV50" s="19">
        <f t="shared" si="97"/>
        <v>7848.4305271788044</v>
      </c>
      <c r="EW50" s="19">
        <f t="shared" si="97"/>
        <v>8123.8556330161073</v>
      </c>
      <c r="EX50" s="19">
        <f t="shared" si="97"/>
        <v>8707.8154500008077</v>
      </c>
      <c r="EY50" s="19">
        <f t="shared" si="97"/>
        <v>8883.369486176196</v>
      </c>
      <c r="EZ50" s="19">
        <f t="shared" si="97"/>
        <v>8212.0912891691733</v>
      </c>
      <c r="FA50" s="19">
        <f t="shared" si="97"/>
        <v>7815.2320285332862</v>
      </c>
      <c r="FB50" s="19">
        <f t="shared" si="97"/>
        <v>7940.1801398882853</v>
      </c>
      <c r="FC50" s="19">
        <f t="shared" si="97"/>
        <v>10136.838744549648</v>
      </c>
      <c r="FD50" s="19">
        <f>SUM(FD4:FD49)</f>
        <v>99541.785706821684</v>
      </c>
      <c r="FF50" s="19">
        <f t="shared" ref="FF50:FQ50" si="98">SUM(FF4:FF49)</f>
        <v>433.62499999999994</v>
      </c>
      <c r="FG50" s="19">
        <f t="shared" si="98"/>
        <v>433.62499999999994</v>
      </c>
      <c r="FH50" s="19">
        <f t="shared" si="98"/>
        <v>433.62499999999994</v>
      </c>
      <c r="FI50" s="19">
        <f t="shared" si="98"/>
        <v>433.62499999999994</v>
      </c>
      <c r="FJ50" s="19">
        <f t="shared" si="98"/>
        <v>433.62499999999994</v>
      </c>
      <c r="FK50" s="19">
        <f t="shared" si="98"/>
        <v>433.62499999999994</v>
      </c>
      <c r="FL50" s="19">
        <f t="shared" si="98"/>
        <v>433.62499999999994</v>
      </c>
      <c r="FM50" s="19">
        <f t="shared" si="98"/>
        <v>433.62499999999994</v>
      </c>
      <c r="FN50" s="19">
        <f t="shared" si="98"/>
        <v>433.62499999999994</v>
      </c>
      <c r="FO50" s="19">
        <f t="shared" si="98"/>
        <v>433.62499999999994</v>
      </c>
      <c r="FP50" s="19">
        <f t="shared" si="98"/>
        <v>433.62499999999994</v>
      </c>
      <c r="FQ50" s="19">
        <f t="shared" si="98"/>
        <v>433.62499999999994</v>
      </c>
      <c r="FR50" s="19">
        <f>SUM(FR4:FR49)</f>
        <v>5203.4999999999991</v>
      </c>
    </row>
    <row r="51" spans="1:174" ht="17.149999999999999" customHeight="1" thickTop="1" x14ac:dyDescent="0.3">
      <c r="A51" s="3">
        <f>A6+1</f>
        <v>4</v>
      </c>
      <c r="B51" s="3" t="s">
        <v>97</v>
      </c>
      <c r="C51" s="3" t="s">
        <v>44</v>
      </c>
      <c r="D51" s="25" t="s">
        <v>44</v>
      </c>
      <c r="E51" s="26" t="s">
        <v>105</v>
      </c>
      <c r="F51" s="4">
        <v>144.99251699999999</v>
      </c>
      <c r="G51" s="4">
        <v>0</v>
      </c>
      <c r="H51" s="4">
        <v>0</v>
      </c>
      <c r="I51" s="4">
        <v>0</v>
      </c>
      <c r="J51" s="4">
        <v>0</v>
      </c>
      <c r="K51" s="20">
        <v>5795.5619790000001</v>
      </c>
      <c r="L51" s="20">
        <v>885.79427199999998</v>
      </c>
      <c r="M51" s="20">
        <v>2481.6058050000001</v>
      </c>
      <c r="N51" s="20">
        <v>4580.2871949999999</v>
      </c>
      <c r="O51" s="20">
        <v>0</v>
      </c>
      <c r="P51" s="20">
        <v>0</v>
      </c>
      <c r="Q51" s="20">
        <v>0</v>
      </c>
      <c r="R51" s="551"/>
      <c r="S51" s="20">
        <v>0</v>
      </c>
      <c r="T51" s="20">
        <v>0</v>
      </c>
      <c r="U51" s="20">
        <v>0</v>
      </c>
      <c r="V51" s="20">
        <v>0</v>
      </c>
      <c r="W51" s="20"/>
      <c r="X51" s="20"/>
      <c r="Y51" s="20"/>
      <c r="Z51" s="20"/>
      <c r="AA51" s="20"/>
      <c r="AB51" s="20"/>
      <c r="AC51" s="20"/>
      <c r="AD51" s="20"/>
      <c r="AE51" s="20"/>
      <c r="AF51" s="20">
        <f>SUM(F51:AD51)</f>
        <v>13888.241768</v>
      </c>
      <c r="AG51" s="551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551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44" t="s">
        <v>107</v>
      </c>
      <c r="BK51" s="597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29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29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29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29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29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29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29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29"/>
    </row>
    <row r="52" spans="1:174" ht="17.149999999999999" customHeight="1" x14ac:dyDescent="0.3">
      <c r="A52" s="3">
        <f>A48+1</f>
        <v>27</v>
      </c>
      <c r="B52" s="3" t="s">
        <v>97</v>
      </c>
      <c r="C52" s="3"/>
      <c r="D52" s="25" t="s">
        <v>43</v>
      </c>
      <c r="E52" s="26" t="s">
        <v>105</v>
      </c>
      <c r="F52" s="4">
        <v>-5.5565300000000004</v>
      </c>
      <c r="G52" s="4">
        <v>160.116297</v>
      </c>
      <c r="H52" s="4">
        <v>-155.217794</v>
      </c>
      <c r="I52" s="4">
        <v>967.21512299999995</v>
      </c>
      <c r="J52" s="4">
        <v>883.68432499999994</v>
      </c>
      <c r="K52" s="20">
        <v>770.03358600000001</v>
      </c>
      <c r="L52" s="20">
        <v>590.11258299999997</v>
      </c>
      <c r="M52" s="20">
        <v>-2459.193479</v>
      </c>
      <c r="N52" s="20">
        <v>-826.644319</v>
      </c>
      <c r="O52" s="20">
        <v>-800.77633500000002</v>
      </c>
      <c r="P52" s="20">
        <v>-1017.852556</v>
      </c>
      <c r="Q52" s="20">
        <v>-672.57486300000005</v>
      </c>
      <c r="R52" s="20"/>
      <c r="S52" s="20">
        <v>-361.85201699999999</v>
      </c>
      <c r="T52" s="20">
        <v>-969.27241400000003</v>
      </c>
      <c r="U52" s="20">
        <v>-896.72884199999999</v>
      </c>
      <c r="V52" s="20">
        <v>-1085.4048929999999</v>
      </c>
      <c r="W52" s="20"/>
      <c r="X52" s="20"/>
      <c r="Y52" s="20"/>
      <c r="Z52" s="20"/>
      <c r="AA52" s="20"/>
      <c r="AB52" s="20"/>
      <c r="AC52" s="20"/>
      <c r="AD52" s="20"/>
      <c r="AE52" s="20"/>
      <c r="AF52" s="20">
        <f>SUM(F52:AD52)</f>
        <v>-5879.9121279999999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44" t="s">
        <v>108</v>
      </c>
      <c r="BK52" s="597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28">
        <f>SUM(BL52:BW52)</f>
        <v>0</v>
      </c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28">
        <f>SUM(BZ52:CK52)</f>
        <v>0</v>
      </c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28">
        <f>SUM(CN52:CY52)</f>
        <v>0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28">
        <f>SUM(DB52:DM52)</f>
        <v>0</v>
      </c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28">
        <f>SUM(DP52:EA52)</f>
        <v>0</v>
      </c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28">
        <f>SUM(ED52:EO52)</f>
        <v>0</v>
      </c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28">
        <f>SUM(ER52:FC52)</f>
        <v>0</v>
      </c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28">
        <f>SUM(FF52:FQ52)</f>
        <v>0</v>
      </c>
    </row>
    <row r="53" spans="1:174" s="16" customFormat="1" ht="15" customHeight="1" x14ac:dyDescent="0.3">
      <c r="A53" s="3">
        <f>A52+1</f>
        <v>28</v>
      </c>
      <c r="B53" s="3"/>
      <c r="C53" s="11" t="s">
        <v>109</v>
      </c>
      <c r="D53" s="45" t="s">
        <v>109</v>
      </c>
      <c r="E53" s="46" t="s">
        <v>105</v>
      </c>
      <c r="F53" s="47">
        <v>579.97006699999997</v>
      </c>
      <c r="G53" s="47">
        <v>-2654.7858190000002</v>
      </c>
      <c r="H53" s="47">
        <v>-7224.6203409999998</v>
      </c>
      <c r="I53" s="47">
        <v>-2945.8157729999998</v>
      </c>
      <c r="J53" s="19">
        <v>2782.8241240000002</v>
      </c>
      <c r="K53" s="19">
        <v>33224.645724000002</v>
      </c>
      <c r="L53" s="19">
        <v>3543.1770889999998</v>
      </c>
      <c r="M53" s="19">
        <f>9926423222/10^6</f>
        <v>9926.4232219999994</v>
      </c>
      <c r="N53" s="19">
        <v>18321.148781</v>
      </c>
      <c r="O53" s="19">
        <v>14008.554587000001</v>
      </c>
      <c r="P53" s="19">
        <v>7360.0907479999996</v>
      </c>
      <c r="Q53" s="19">
        <v>17436.5677192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20">
        <f>SUM(F53:AD53)</f>
        <v>94358.180128200009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48"/>
      <c r="BK53" s="597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29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29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29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29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29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29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29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29"/>
    </row>
    <row r="54" spans="1:174" x14ac:dyDescent="0.3"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Z54" s="927">
        <f>BZ50/'18 KMP- Tháng'!BH26</f>
        <v>18.4317264703426</v>
      </c>
      <c r="CA54" s="927">
        <f>CA50/'18 KMP- Tháng'!BI26</f>
        <v>18.451474250159915</v>
      </c>
      <c r="CB54" s="927">
        <f>CB50/'18 KMP- Tháng'!BJ26</f>
        <v>18.438634792425866</v>
      </c>
      <c r="CC54" s="927">
        <f>CC50/'18 KMP- Tháng'!BK26</f>
        <v>18.437790087302357</v>
      </c>
      <c r="CD54" s="927">
        <f>CD50/'18 KMP- Tháng'!BL26</f>
        <v>18.438634792425866</v>
      </c>
      <c r="CE54" s="927">
        <f>CE50/'18 KMP- Tháng'!BM26</f>
        <v>18.444677171187937</v>
      </c>
      <c r="CF54" s="927">
        <f>CF50/'18 KMP- Tháng'!BN26</f>
        <v>18.442961478007483</v>
      </c>
      <c r="CG54" s="927">
        <f>CG50/'18 KMP- Tháng'!BO26</f>
        <v>18.452384834709335</v>
      </c>
      <c r="CH54" s="927">
        <f>CH50/'18 KMP- Tháng'!BP26</f>
        <v>18.440921858808863</v>
      </c>
      <c r="CI54" s="927">
        <f>CI50/'18 KMP- Tháng'!BQ26</f>
        <v>18.451552129181707</v>
      </c>
      <c r="CJ54" s="927">
        <f>CJ50/'18 KMP- Tháng'!BR26</f>
        <v>18.443783935563964</v>
      </c>
      <c r="CK54" s="927">
        <f>CK50/'18 KMP- Tháng'!BS26</f>
        <v>18.452384834709335</v>
      </c>
      <c r="CL54" s="927">
        <f>CL50/'18 KMP- Tháng'!BT26</f>
        <v>18.443916461714949</v>
      </c>
      <c r="CN54" s="927">
        <f>CN50/'18 KMP- Tháng'!BH26</f>
        <v>0.98539742758922488</v>
      </c>
      <c r="CO54" s="927">
        <f>CO50/'18 KMP- Tháng'!BI26</f>
        <v>1.1270918217849946</v>
      </c>
      <c r="CP54" s="927">
        <f>CP50/'18 KMP- Tháng'!BJ26</f>
        <v>0.85929917607868611</v>
      </c>
      <c r="CQ54" s="927">
        <f>CQ50/'18 KMP- Tháng'!BK26</f>
        <v>0.93270450630380441</v>
      </c>
      <c r="CR54" s="927">
        <f>CR50/'18 KMP- Tháng'!BL26</f>
        <v>0.89657586664192257</v>
      </c>
      <c r="CS54" s="927">
        <f>CS50/'18 KMP- Tháng'!BM26</f>
        <v>0.91616719236224764</v>
      </c>
      <c r="CT54" s="927">
        <f>CT50/'18 KMP- Tháng'!BN26</f>
        <v>0.87489549630484986</v>
      </c>
      <c r="CU54" s="927">
        <f>CU50/'18 KMP- Tháng'!BO26</f>
        <v>0.86688729954233401</v>
      </c>
      <c r="CV54" s="927">
        <f>CV50/'18 KMP- Tháng'!BP26</f>
        <v>0.88814081866996386</v>
      </c>
      <c r="CW54" s="927">
        <f>CW50/'18 KMP- Tháng'!BQ26</f>
        <v>0.84502460121180201</v>
      </c>
      <c r="CX54" s="927">
        <f>CX50/'18 KMP- Tháng'!BR26</f>
        <v>0.8970803758547008</v>
      </c>
      <c r="CY54" s="927">
        <f>CY50/'18 KMP- Tháng'!BS26</f>
        <v>0.86688729954233401</v>
      </c>
      <c r="CZ54" s="927">
        <f>CZ50/'18 KMP- Tháng'!BT26</f>
        <v>0.90785754053153855</v>
      </c>
      <c r="DB54" s="927">
        <f>DB50/'18 KMP- Tháng'!BH26</f>
        <v>6.3920326447089888</v>
      </c>
      <c r="DC54" s="927">
        <f>DC50/'18 KMP- Tháng'!BI26</f>
        <v>7.4002889151241993</v>
      </c>
      <c r="DD54" s="927">
        <f>DD50/'18 KMP- Tháng'!BJ26</f>
        <v>6.2781600375556446</v>
      </c>
      <c r="DE54" s="927">
        <f>DE50/'18 KMP- Tháng'!BK26</f>
        <v>6.3537943375989814</v>
      </c>
      <c r="DF54" s="927">
        <f>DF50/'18 KMP- Tháng'!BL26</f>
        <v>6.2492390802642657</v>
      </c>
      <c r="DG54" s="927">
        <f>DG50/'18 KMP- Tháng'!BM26</f>
        <v>6.355428187974872</v>
      </c>
      <c r="DH54" s="927">
        <f>DH50/'18 KMP- Tháng'!BN26</f>
        <v>6.2037463622145603</v>
      </c>
      <c r="DI54" s="927">
        <f>DI50/'18 KMP- Tháng'!BO26</f>
        <v>6.1103871152800773</v>
      </c>
      <c r="DJ54" s="927">
        <f>DJ50/'18 KMP- Tháng'!BP26</f>
        <v>6.2286344114110017</v>
      </c>
      <c r="DK54" s="927">
        <f>DK50/'18 KMP- Tháng'!BQ26</f>
        <v>6.1499460713667942</v>
      </c>
      <c r="DL54" s="927">
        <f>DL50/'18 KMP- Tháng'!BR26</f>
        <v>6.2255062500214899</v>
      </c>
      <c r="DM54" s="927">
        <f>DM50/'18 KMP- Tháng'!BS26</f>
        <v>6.1647396597282249</v>
      </c>
      <c r="DN54" s="927">
        <f>DN50/'18 KMP- Tháng'!BT26</f>
        <v>6.3193030420034546</v>
      </c>
    </row>
    <row r="55" spans="1:174" ht="15.5" x14ac:dyDescent="0.3">
      <c r="C55" s="309"/>
      <c r="D55" s="21" t="s">
        <v>307</v>
      </c>
      <c r="R55" s="23">
        <f>'18 KMP- Tháng (Tâm)'!Q31</f>
        <v>1954.7762499999999</v>
      </c>
      <c r="AG55" s="23">
        <f>'18 KMP- Tháng (Tâm)'!AD31</f>
        <v>3688.0240250000002</v>
      </c>
      <c r="AH55" s="23">
        <f t="shared" ref="AH55:AR55" si="99">AH50-AH4-AH7-AH8-AH13-AH21</f>
        <v>35410.467156000013</v>
      </c>
      <c r="AI55" s="23">
        <f t="shared" si="99"/>
        <v>38017.993829999934</v>
      </c>
      <c r="AJ55" s="23">
        <f t="shared" si="99"/>
        <v>39299.999739000094</v>
      </c>
      <c r="AK55" s="23">
        <f t="shared" si="99"/>
        <v>39008.010991000025</v>
      </c>
      <c r="AL55" s="23">
        <f t="shared" si="99"/>
        <v>41206.700700999951</v>
      </c>
      <c r="AM55" s="23">
        <f t="shared" si="99"/>
        <v>40010.871226000025</v>
      </c>
      <c r="AN55" s="23">
        <f t="shared" si="99"/>
        <v>41768.643398999993</v>
      </c>
      <c r="AO55" s="23">
        <f t="shared" si="99"/>
        <v>43125.183193000012</v>
      </c>
      <c r="AP55" s="23">
        <f t="shared" si="99"/>
        <v>43742.377326999951</v>
      </c>
      <c r="AQ55" s="23">
        <f t="shared" si="99"/>
        <v>42736.352284000022</v>
      </c>
      <c r="AR55" s="23">
        <f t="shared" si="99"/>
        <v>40111.133621999972</v>
      </c>
      <c r="AU55" s="23">
        <f>'18 KMP- Tháng (Tâm)'!AQ31</f>
        <v>3792.1955249999996</v>
      </c>
      <c r="AV55" s="23">
        <f>'18 KMP- Tháng (Tâm)'!BF31</f>
        <v>2868.56925</v>
      </c>
      <c r="AW55" s="23">
        <f>'18 KMP- Tháng (Tâm)'!BG31</f>
        <v>1811.1000000000001</v>
      </c>
      <c r="AX55" s="23">
        <f>'18 KMP- Tháng (Tâm)'!BH31</f>
        <v>4279.4889999999996</v>
      </c>
      <c r="AY55" s="23">
        <f>'18 KMP- Tháng (Tâm)'!BI31</f>
        <v>4370.2853999999998</v>
      </c>
      <c r="AZ55" s="23">
        <f>'18 KMP- Tháng (Tâm)'!BJ31</f>
        <v>3592.6819999999998</v>
      </c>
      <c r="BA55" s="23">
        <f>'18 KMP- Tháng (Tâm)'!BK31</f>
        <v>3923.3257999999996</v>
      </c>
      <c r="BH55" s="23">
        <f>AVERAGE(AV55:BG55)</f>
        <v>3474.2419083333334</v>
      </c>
      <c r="BI55" s="23" cm="1">
        <f t="array" ref="BI55">INDEX(BL55:BW55,$BL$1)</f>
        <v>4230</v>
      </c>
      <c r="BL55" s="574">
        <f>'18 KMP- Tháng (Tâm)'!AS31</f>
        <v>3955</v>
      </c>
      <c r="BM55" s="574">
        <f>'18 KMP- Tháng (Tâm)'!AT31</f>
        <v>3245</v>
      </c>
      <c r="BN55" s="574">
        <f>'18 KMP- Tháng (Tâm)'!AU31</f>
        <v>4145</v>
      </c>
      <c r="BO55" s="574">
        <f>'18 KMP- Tháng (Tâm)'!AV31</f>
        <v>4155</v>
      </c>
      <c r="BP55" s="574">
        <f>'18 KMP- Tháng (Tâm)'!AW31</f>
        <v>4145</v>
      </c>
      <c r="BQ55" s="574">
        <f>'18 KMP- Tháng (Tâm)'!AX31</f>
        <v>4230</v>
      </c>
      <c r="BR55" s="574">
        <f>'18 KMP- Tháng (Tâm)'!AY31</f>
        <v>4330</v>
      </c>
      <c r="BS55" s="574">
        <f>'18 KMP- Tháng (Tâm)'!AZ31</f>
        <v>4370</v>
      </c>
      <c r="BT55" s="574">
        <f>'18 KMP- Tháng (Tâm)'!BA31</f>
        <v>4355</v>
      </c>
      <c r="BU55" s="574">
        <f>'18 KMP- Tháng (Tâm)'!BB31</f>
        <v>4380</v>
      </c>
      <c r="BV55" s="574">
        <f>'18 KMP- Tháng (Tâm)'!BC31</f>
        <v>4320</v>
      </c>
      <c r="BW55" s="574">
        <f>'18 KMP- Tháng (Tâm)'!BD31</f>
        <v>4370</v>
      </c>
      <c r="BX55" s="574">
        <f t="shared" ref="BX55:BX59" si="100">SUM(BL55:BW55)</f>
        <v>50000</v>
      </c>
      <c r="BZ55" s="929">
        <f t="shared" ref="BZ55:CL55" si="101">BZ54+CN54+DB54</f>
        <v>25.809156542640814</v>
      </c>
      <c r="CA55" s="929">
        <f t="shared" si="101"/>
        <v>26.978854987069109</v>
      </c>
      <c r="CB55" s="929">
        <f t="shared" si="101"/>
        <v>25.576094006060195</v>
      </c>
      <c r="CC55" s="929">
        <f t="shared" si="101"/>
        <v>25.724288931205141</v>
      </c>
      <c r="CD55" s="929">
        <f t="shared" si="101"/>
        <v>25.584449739332051</v>
      </c>
      <c r="CE55" s="929">
        <f t="shared" si="101"/>
        <v>25.716272551525059</v>
      </c>
      <c r="CF55" s="929">
        <f t="shared" si="101"/>
        <v>25.521603336526891</v>
      </c>
      <c r="CG55" s="929">
        <f t="shared" si="101"/>
        <v>25.429659249531746</v>
      </c>
      <c r="CH55" s="929">
        <f t="shared" si="101"/>
        <v>25.557697088889828</v>
      </c>
      <c r="CI55" s="929">
        <f t="shared" si="101"/>
        <v>25.446522801760302</v>
      </c>
      <c r="CJ55" s="929">
        <f t="shared" si="101"/>
        <v>25.566370561440152</v>
      </c>
      <c r="CK55" s="929">
        <f t="shared" si="101"/>
        <v>25.484011793979896</v>
      </c>
      <c r="CL55" s="929">
        <f t="shared" si="101"/>
        <v>25.671077044249941</v>
      </c>
      <c r="CN55" s="927"/>
      <c r="CO55" s="927"/>
      <c r="CP55" s="927"/>
      <c r="CQ55" s="927"/>
      <c r="CR55" s="927"/>
      <c r="CS55" s="927"/>
      <c r="CT55" s="927"/>
      <c r="CU55" s="927"/>
      <c r="CV55" s="927"/>
      <c r="CW55" s="927"/>
      <c r="CX55" s="927"/>
      <c r="CY55" s="927"/>
      <c r="CZ55" s="927"/>
      <c r="DB55" s="927"/>
      <c r="DC55" s="927"/>
      <c r="DD55" s="927"/>
      <c r="DE55" s="927"/>
      <c r="DF55" s="927"/>
      <c r="DG55" s="927"/>
      <c r="DH55" s="927"/>
      <c r="DI55" s="927"/>
      <c r="DJ55" s="927"/>
      <c r="DK55" s="927"/>
      <c r="DL55" s="927"/>
      <c r="DM55" s="927"/>
      <c r="DN55" s="927"/>
      <c r="DP55" s="927"/>
      <c r="DQ55" s="927"/>
      <c r="DR55" s="927"/>
      <c r="DS55" s="927"/>
      <c r="DT55" s="927"/>
      <c r="DU55" s="927"/>
      <c r="DV55" s="927"/>
      <c r="DW55" s="927"/>
      <c r="DX55" s="927"/>
      <c r="DY55" s="927"/>
      <c r="DZ55" s="927"/>
      <c r="EA55" s="927"/>
      <c r="EB55" s="927"/>
      <c r="ED55" s="927"/>
      <c r="EE55" s="927"/>
      <c r="EF55" s="927"/>
      <c r="EG55" s="927"/>
      <c r="EH55" s="927"/>
      <c r="EI55" s="927"/>
      <c r="EJ55" s="927"/>
      <c r="EK55" s="927"/>
      <c r="EL55" s="927"/>
      <c r="EM55" s="927"/>
      <c r="EN55" s="927"/>
      <c r="EO55" s="927"/>
      <c r="EP55" s="927"/>
    </row>
    <row r="56" spans="1:174" x14ac:dyDescent="0.3">
      <c r="D56" s="21" t="s">
        <v>363</v>
      </c>
      <c r="R56" s="23">
        <f>'18 KMP- Tháng (Tâm)'!Q37</f>
        <v>1814.0833333333333</v>
      </c>
      <c r="AG56" s="23">
        <f>'18 KMP- Tháng (Tâm)'!AD37</f>
        <v>2914.2000000000003</v>
      </c>
      <c r="AU56" s="23">
        <f>'18 KMP- Tháng (Tâm)'!AQ37</f>
        <v>3880.7614749999993</v>
      </c>
      <c r="AV56" s="23">
        <f>'18 KMP- Tháng (Tâm)'!BF37</f>
        <v>4106.8499999999995</v>
      </c>
      <c r="AW56" s="23">
        <f>'18 KMP- Tháng (Tâm)'!BG37</f>
        <v>3166.7500000000005</v>
      </c>
      <c r="AX56" s="23">
        <f>'18 KMP- Tháng (Tâm)'!BH37</f>
        <v>5734.1250000000009</v>
      </c>
      <c r="AY56" s="23">
        <f>'18 KMP- Tháng (Tâm)'!BI37</f>
        <v>5105.2749999999996</v>
      </c>
      <c r="AZ56" s="23">
        <f>'18 KMP- Tháng (Tâm)'!BJ37</f>
        <v>4987.1499999999996</v>
      </c>
      <c r="BA56" s="23">
        <f>'18 KMP- Tháng (Tâm)'!BK37</f>
        <v>3754.7984999999999</v>
      </c>
      <c r="BH56" s="23">
        <f t="shared" ref="BH56:BH59" si="102">AVERAGE(AV56:BG56)</f>
        <v>4475.8247500000007</v>
      </c>
      <c r="BI56" s="23" cm="1">
        <f t="array" ref="BI56">INDEX(BL56:BW56,$BL$1)</f>
        <v>4680.9521822275929</v>
      </c>
      <c r="BL56" s="574">
        <f>'18 KMP- Tháng (Tâm)'!AS37</f>
        <v>4307.222932676138</v>
      </c>
      <c r="BM56" s="574">
        <f>'18 KMP- Tháng (Tâm)'!AT37</f>
        <v>4242.3145678240326</v>
      </c>
      <c r="BN56" s="574">
        <f>'18 KMP- Tháng (Tâm)'!AU37</f>
        <v>4667.5574034757401</v>
      </c>
      <c r="BO56" s="574">
        <f>'18 KMP- Tháng (Tâm)'!AV37</f>
        <v>4383.231518676721</v>
      </c>
      <c r="BP56" s="574">
        <f>'18 KMP- Tháng (Tâm)'!AW37</f>
        <v>4652.4364391825347</v>
      </c>
      <c r="BQ56" s="574">
        <f>'18 KMP- Tháng (Tâm)'!AX37</f>
        <v>4680.9521822275929</v>
      </c>
      <c r="BR56" s="574">
        <f>'18 KMP- Tháng (Tâm)'!AY37</f>
        <v>4678.4225169732681</v>
      </c>
      <c r="BS56" s="574">
        <f>'18 KMP- Tháng (Tâm)'!AZ37</f>
        <v>4551.8494989087394</v>
      </c>
      <c r="BT56" s="574">
        <f>'18 KMP- Tháng (Tâm)'!BA37</f>
        <v>4763.6231018888839</v>
      </c>
      <c r="BU56" s="574">
        <f>'18 KMP- Tháng (Tâm)'!BB37</f>
        <v>4457.6262974285746</v>
      </c>
      <c r="BV56" s="574">
        <f>'18 KMP- Tháng (Tâm)'!BC37</f>
        <v>4709.2431243544625</v>
      </c>
      <c r="BW56" s="574">
        <f>'18 KMP- Tháng (Tâm)'!BD37</f>
        <v>4773.5204185700304</v>
      </c>
      <c r="BX56" s="574">
        <f t="shared" si="100"/>
        <v>54868.000002186724</v>
      </c>
    </row>
    <row r="57" spans="1:174" hidden="1" x14ac:dyDescent="0.3">
      <c r="D57" s="574">
        <f>5498.752515*10^6</f>
        <v>5498752515</v>
      </c>
      <c r="E57" s="21">
        <v>627</v>
      </c>
      <c r="BH57" s="23" t="e">
        <f t="shared" si="102"/>
        <v>#DIV/0!</v>
      </c>
      <c r="BX57" s="574">
        <f t="shared" si="100"/>
        <v>0</v>
      </c>
    </row>
    <row r="58" spans="1:174" hidden="1" x14ac:dyDescent="0.3">
      <c r="D58" s="574">
        <f>2767.991924*10^6</f>
        <v>2767991924</v>
      </c>
      <c r="E58" s="21">
        <v>632</v>
      </c>
      <c r="M58" s="23" t="s">
        <v>110</v>
      </c>
      <c r="BH58" s="23" t="e">
        <f t="shared" si="102"/>
        <v>#DIV/0!</v>
      </c>
      <c r="BX58" s="574">
        <f t="shared" si="100"/>
        <v>0</v>
      </c>
    </row>
    <row r="59" spans="1:174" hidden="1" x14ac:dyDescent="0.3">
      <c r="D59" s="575">
        <f>+D57+D58</f>
        <v>8266744439</v>
      </c>
      <c r="E59" s="576" t="s">
        <v>98</v>
      </c>
      <c r="BH59" s="23" t="e">
        <f t="shared" si="102"/>
        <v>#DIV/0!</v>
      </c>
      <c r="BX59" s="574">
        <f t="shared" si="100"/>
        <v>0</v>
      </c>
    </row>
    <row r="60" spans="1:174" x14ac:dyDescent="0.3">
      <c r="F60" s="49"/>
      <c r="G60" s="49"/>
      <c r="H60" s="49"/>
      <c r="I60" s="49"/>
      <c r="J60" s="49"/>
      <c r="K60" s="49"/>
    </row>
    <row r="61" spans="1:174" ht="14.9" customHeight="1" x14ac:dyDescent="0.3">
      <c r="A61" s="66" t="s">
        <v>362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</row>
    <row r="62" spans="1:174" s="50" customFormat="1" x14ac:dyDescent="0.35">
      <c r="A62" s="74" t="s">
        <v>57</v>
      </c>
      <c r="B62" s="74" t="s">
        <v>58</v>
      </c>
      <c r="C62" s="71" t="s">
        <v>45</v>
      </c>
      <c r="D62" s="74" t="s">
        <v>59</v>
      </c>
      <c r="E62" s="74" t="s">
        <v>103</v>
      </c>
      <c r="F62" s="75" t="s">
        <v>60</v>
      </c>
      <c r="G62" s="75" t="s">
        <v>61</v>
      </c>
      <c r="H62" s="76" t="s">
        <v>62</v>
      </c>
      <c r="I62" s="76" t="s">
        <v>63</v>
      </c>
      <c r="J62" s="76" t="s">
        <v>64</v>
      </c>
      <c r="K62" s="76" t="s">
        <v>65</v>
      </c>
      <c r="L62" s="76" t="s">
        <v>66</v>
      </c>
      <c r="M62" s="76" t="s">
        <v>67</v>
      </c>
      <c r="N62" s="76" t="s">
        <v>68</v>
      </c>
      <c r="O62" s="76" t="s">
        <v>111</v>
      </c>
      <c r="P62" s="76" t="s">
        <v>112</v>
      </c>
      <c r="Q62" s="76" t="s">
        <v>113</v>
      </c>
      <c r="R62" s="72" t="s">
        <v>170</v>
      </c>
      <c r="S62" s="70" t="s">
        <v>84</v>
      </c>
      <c r="T62" s="70" t="s">
        <v>85</v>
      </c>
      <c r="U62" s="70" t="s">
        <v>86</v>
      </c>
      <c r="V62" s="70" t="s">
        <v>87</v>
      </c>
      <c r="W62" s="70" t="s">
        <v>88</v>
      </c>
      <c r="X62" s="70" t="s">
        <v>89</v>
      </c>
      <c r="Y62" s="70" t="s">
        <v>90</v>
      </c>
      <c r="Z62" s="70" t="s">
        <v>91</v>
      </c>
      <c r="AA62" s="70" t="s">
        <v>92</v>
      </c>
      <c r="AB62" s="70" t="s">
        <v>93</v>
      </c>
      <c r="AC62" s="70" t="s">
        <v>94</v>
      </c>
      <c r="AD62" s="70"/>
      <c r="AE62" s="70"/>
      <c r="AF62" s="73" t="str">
        <f>AF2</f>
        <v>Lũy kế TT 2024</v>
      </c>
      <c r="AG62" s="72" t="s">
        <v>184</v>
      </c>
      <c r="AH62" s="70" t="s">
        <v>228</v>
      </c>
      <c r="AI62" s="70" t="s">
        <v>229</v>
      </c>
      <c r="AJ62" s="70" t="s">
        <v>230</v>
      </c>
      <c r="AK62" s="70" t="s">
        <v>231</v>
      </c>
      <c r="AL62" s="70" t="s">
        <v>232</v>
      </c>
      <c r="AM62" s="70" t="s">
        <v>233</v>
      </c>
      <c r="AN62" s="70" t="s">
        <v>234</v>
      </c>
      <c r="AO62" s="70" t="s">
        <v>235</v>
      </c>
      <c r="AP62" s="70" t="s">
        <v>236</v>
      </c>
      <c r="AQ62" s="70" t="s">
        <v>237</v>
      </c>
      <c r="AR62" s="70" t="s">
        <v>238</v>
      </c>
      <c r="AS62" s="70" t="s">
        <v>239</v>
      </c>
      <c r="AT62" s="70"/>
      <c r="AU62" s="70" t="s">
        <v>249</v>
      </c>
      <c r="AV62" s="70" t="str">
        <f>AV2</f>
        <v>T1.26</v>
      </c>
      <c r="AW62" s="70" t="str">
        <f t="shared" ref="AW62:BG62" si="103">AW2</f>
        <v>T2.26</v>
      </c>
      <c r="AX62" s="70" t="str">
        <f t="shared" si="103"/>
        <v>T3.26</v>
      </c>
      <c r="AY62" s="70" t="str">
        <f t="shared" si="103"/>
        <v>T4.26</v>
      </c>
      <c r="AZ62" s="70" t="str">
        <f t="shared" si="103"/>
        <v>T5.26</v>
      </c>
      <c r="BA62" s="70" t="str">
        <f t="shared" si="103"/>
        <v>T6.26</v>
      </c>
      <c r="BB62" s="70" t="str">
        <f t="shared" si="103"/>
        <v>T7.26</v>
      </c>
      <c r="BC62" s="70" t="str">
        <f t="shared" si="103"/>
        <v>T8.26</v>
      </c>
      <c r="BD62" s="70" t="str">
        <f t="shared" si="103"/>
        <v>T9.26</v>
      </c>
      <c r="BE62" s="70" t="str">
        <f t="shared" si="103"/>
        <v>T10.26</v>
      </c>
      <c r="BF62" s="70" t="str">
        <f t="shared" si="103"/>
        <v>T11.26</v>
      </c>
      <c r="BG62" s="70" t="str">
        <f t="shared" si="103"/>
        <v>T12.26</v>
      </c>
      <c r="BH62" s="70" t="s">
        <v>306</v>
      </c>
      <c r="BI62" s="73" t="str">
        <f>BI2</f>
        <v>KH T6.2026</v>
      </c>
      <c r="BJ62" s="76"/>
      <c r="BK62" s="599"/>
      <c r="BL62" s="70" t="str">
        <f>BL2</f>
        <v>NS1.2026</v>
      </c>
      <c r="BM62" s="70" t="str">
        <f t="shared" ref="BM62:BW62" si="104">BM2</f>
        <v>NS2.2026</v>
      </c>
      <c r="BN62" s="70" t="str">
        <f t="shared" si="104"/>
        <v>NS3.2026</v>
      </c>
      <c r="BO62" s="70" t="str">
        <f t="shared" si="104"/>
        <v>NS4.2026</v>
      </c>
      <c r="BP62" s="70" t="str">
        <f t="shared" si="104"/>
        <v>NS5.2026</v>
      </c>
      <c r="BQ62" s="70" t="str">
        <f t="shared" si="104"/>
        <v>NS6.2026</v>
      </c>
      <c r="BR62" s="70" t="str">
        <f t="shared" si="104"/>
        <v>NS7.2026</v>
      </c>
      <c r="BS62" s="70" t="str">
        <f t="shared" si="104"/>
        <v>NS8.2026</v>
      </c>
      <c r="BT62" s="70" t="str">
        <f t="shared" si="104"/>
        <v>NS9.2026</v>
      </c>
      <c r="BU62" s="70" t="str">
        <f t="shared" si="104"/>
        <v>NS10.2026</v>
      </c>
      <c r="BV62" s="70" t="str">
        <f t="shared" si="104"/>
        <v>NS11.2026</v>
      </c>
      <c r="BW62" s="70" t="str">
        <f t="shared" si="104"/>
        <v>NS12.2026</v>
      </c>
      <c r="BX62" s="70" t="s">
        <v>306</v>
      </c>
    </row>
    <row r="63" spans="1:174" s="24" customFormat="1" x14ac:dyDescent="0.3">
      <c r="A63" s="81" t="s">
        <v>161</v>
      </c>
      <c r="B63" s="77" t="s">
        <v>162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596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602"/>
    </row>
    <row r="64" spans="1:174" s="16" customFormat="1" x14ac:dyDescent="0.3">
      <c r="A64" s="3">
        <v>1</v>
      </c>
      <c r="B64" s="3" t="s">
        <v>96</v>
      </c>
      <c r="C64" s="3" t="s">
        <v>47</v>
      </c>
      <c r="D64" s="25" t="s">
        <v>47</v>
      </c>
      <c r="E64" s="3" t="s">
        <v>114</v>
      </c>
      <c r="F64" s="15">
        <f t="shared" ref="F64:F69" si="105">F4/$F$50</f>
        <v>0.55278401877034467</v>
      </c>
      <c r="G64" s="15">
        <f t="shared" ref="G64:G69" si="106">G4/$G$50</f>
        <v>0.62807295119249074</v>
      </c>
      <c r="H64" s="15">
        <f t="shared" ref="H64:H69" si="107">H4/$H$50</f>
        <v>0.64709563934353198</v>
      </c>
      <c r="I64" s="15">
        <f t="shared" ref="I64:I69" si="108">I4/$I$50</f>
        <v>0.63935691241446424</v>
      </c>
      <c r="J64" s="15">
        <f t="shared" ref="J64:J69" si="109">J4/$J$50</f>
        <v>0.66119492369243738</v>
      </c>
      <c r="K64" s="15">
        <f t="shared" ref="K64:K69" si="110">K4/$K$50</f>
        <v>0.62898019650999815</v>
      </c>
      <c r="L64" s="15">
        <f t="shared" ref="L64:L69" si="111">L4/$L$50</f>
        <v>0.66083035450122918</v>
      </c>
      <c r="M64" s="15">
        <f t="shared" ref="M64:M69" si="112">M4/$M$50</f>
        <v>0.65446380819500327</v>
      </c>
      <c r="N64" s="15">
        <f t="shared" ref="N64:N69" si="113">N4/$N$50</f>
        <v>0.65831216011408578</v>
      </c>
      <c r="O64" s="15">
        <f t="shared" ref="O64:O69" si="114">O4/$O$50</f>
        <v>0.66024575552484543</v>
      </c>
      <c r="P64" s="15">
        <f t="shared" ref="P64:P69" si="115">P4/$P$50</f>
        <v>0.60251016075406494</v>
      </c>
      <c r="Q64" s="15">
        <f t="shared" ref="Q64:Q69" si="116">Q4/$Q$50</f>
        <v>0.72711099869481288</v>
      </c>
      <c r="R64" s="936">
        <f>R4/R$55</f>
        <v>19.326224119829444</v>
      </c>
      <c r="S64" s="15">
        <f t="shared" ref="S64:AC64" si="117">S4/S$50</f>
        <v>0.71499749158109016</v>
      </c>
      <c r="T64" s="15">
        <f t="shared" si="117"/>
        <v>0.66432216624216189</v>
      </c>
      <c r="U64" s="15">
        <f t="shared" si="117"/>
        <v>0.71928428838968517</v>
      </c>
      <c r="V64" s="15">
        <f t="shared" si="117"/>
        <v>0.69766810210415797</v>
      </c>
      <c r="W64" s="15">
        <f t="shared" si="117"/>
        <v>0.70881392091808593</v>
      </c>
      <c r="X64" s="15">
        <f t="shared" si="117"/>
        <v>0.65058122578132249</v>
      </c>
      <c r="Y64" s="15">
        <f t="shared" si="117"/>
        <v>0.52598839384360074</v>
      </c>
      <c r="Z64" s="15">
        <f t="shared" si="117"/>
        <v>0.51255911999542347</v>
      </c>
      <c r="AA64" s="15">
        <f t="shared" si="117"/>
        <v>0.56717867885778417</v>
      </c>
      <c r="AB64" s="15">
        <f t="shared" si="117"/>
        <v>0.67084776223213538</v>
      </c>
      <c r="AC64" s="15">
        <f t="shared" si="117"/>
        <v>0.69651190759783965</v>
      </c>
      <c r="AD64" s="15"/>
      <c r="AE64" s="15"/>
      <c r="AF64" s="15">
        <f t="shared" ref="AF64:AF69" si="118">AF4/AF$50</f>
        <v>0.65441580839738334</v>
      </c>
      <c r="AG64" s="936">
        <f>AG4/AG$55</f>
        <v>18.507378036232243</v>
      </c>
      <c r="AH64" s="936">
        <f t="shared" ref="AH64:AH69" si="119">AH4/AH$50</f>
        <v>0.48118976576067057</v>
      </c>
      <c r="AI64" s="936">
        <f t="shared" ref="AI64:AO64" si="120">AI4/AI$50</f>
        <v>0.58120682834035109</v>
      </c>
      <c r="AJ64" s="936">
        <f t="shared" si="120"/>
        <v>0.69017273205623864</v>
      </c>
      <c r="AK64" s="936">
        <f t="shared" si="120"/>
        <v>0.66306712029691051</v>
      </c>
      <c r="AL64" s="936">
        <f t="shared" si="120"/>
        <v>0.68615867572798905</v>
      </c>
      <c r="AM64" s="936">
        <f t="shared" si="120"/>
        <v>0.66290393605392861</v>
      </c>
      <c r="AN64" s="936">
        <f t="shared" si="120"/>
        <v>0.67220872175226987</v>
      </c>
      <c r="AO64" s="936">
        <f t="shared" si="120"/>
        <v>0.66692347464774937</v>
      </c>
      <c r="AP64" s="936">
        <f>AP4/AP$50</f>
        <v>0.6617375399602583</v>
      </c>
      <c r="AQ64" s="936">
        <f t="shared" ref="AQ64:AR64" si="121">AQ4/AQ$50</f>
        <v>0.57596167538544873</v>
      </c>
      <c r="AR64" s="936">
        <f t="shared" si="121"/>
        <v>0.50167918512329079</v>
      </c>
      <c r="AS64" s="936">
        <f t="shared" ref="AS64" si="122">AS4/AS$50</f>
        <v>0.5932965348580298</v>
      </c>
      <c r="AT64" s="936"/>
      <c r="AU64" s="936">
        <f t="shared" ref="AU64:BI64" si="123">AU4/AU$55</f>
        <v>19.649038096535882</v>
      </c>
      <c r="AV64" s="936">
        <f t="shared" si="123"/>
        <v>18.923355557251615</v>
      </c>
      <c r="AW64" s="936">
        <f t="shared" si="123"/>
        <v>18.104205808086963</v>
      </c>
      <c r="AX64" s="936">
        <f t="shared" si="123"/>
        <v>18.460638735672415</v>
      </c>
      <c r="AY64" s="936">
        <f t="shared" si="123"/>
        <v>17.780534371153539</v>
      </c>
      <c r="AZ64" s="936">
        <f t="shared" si="123"/>
        <v>18.757434115061756</v>
      </c>
      <c r="BA64" s="936">
        <f t="shared" si="123"/>
        <v>19.22237794033779</v>
      </c>
      <c r="BB64" s="936" t="e">
        <f t="shared" si="123"/>
        <v>#DIV/0!</v>
      </c>
      <c r="BC64" s="936" t="e">
        <f t="shared" si="123"/>
        <v>#DIV/0!</v>
      </c>
      <c r="BD64" s="936" t="e">
        <f t="shared" si="123"/>
        <v>#DIV/0!</v>
      </c>
      <c r="BE64" s="936" t="e">
        <f t="shared" si="123"/>
        <v>#DIV/0!</v>
      </c>
      <c r="BF64" s="936" t="e">
        <f t="shared" si="123"/>
        <v>#DIV/0!</v>
      </c>
      <c r="BG64" s="936" t="e">
        <f t="shared" si="123"/>
        <v>#DIV/0!</v>
      </c>
      <c r="BH64" s="936">
        <f t="shared" si="123"/>
        <v>18.545280312850014</v>
      </c>
      <c r="BI64" s="936">
        <f t="shared" si="123"/>
        <v>17.816918280639356</v>
      </c>
      <c r="BJ64" s="19"/>
      <c r="BK64" s="598"/>
      <c r="BL64" s="936">
        <f>BL4/BL$55</f>
        <v>17.812843069157459</v>
      </c>
      <c r="BM64" s="936">
        <f>BM4/BM$55</f>
        <v>17.824923409943459</v>
      </c>
      <c r="BN64" s="936">
        <f t="shared" ref="BN64:BX64" si="124">BN4/BN$55</f>
        <v>17.818768695321094</v>
      </c>
      <c r="BO64" s="936">
        <f t="shared" si="124"/>
        <v>17.816697779741421</v>
      </c>
      <c r="BP64" s="936">
        <f t="shared" si="124"/>
        <v>17.818768695321094</v>
      </c>
      <c r="BQ64" s="936">
        <f t="shared" si="124"/>
        <v>17.816918280639356</v>
      </c>
      <c r="BR64" s="936">
        <f t="shared" si="124"/>
        <v>17.823654708306016</v>
      </c>
      <c r="BS64" s="936">
        <f t="shared" si="124"/>
        <v>17.83067947934212</v>
      </c>
      <c r="BT64" s="936">
        <f t="shared" si="124"/>
        <v>17.818687134044602</v>
      </c>
      <c r="BU64" s="936">
        <f t="shared" si="124"/>
        <v>17.828687752841265</v>
      </c>
      <c r="BV64" s="936">
        <f t="shared" si="124"/>
        <v>17.825657836630874</v>
      </c>
      <c r="BW64" s="936">
        <f t="shared" si="124"/>
        <v>17.83067947934212</v>
      </c>
      <c r="BX64" s="936">
        <f t="shared" si="124"/>
        <v>17.822332942135915</v>
      </c>
    </row>
    <row r="65" spans="1:76" x14ac:dyDescent="0.3">
      <c r="A65" s="3">
        <f t="shared" ref="A65:A81" si="125">A64+1</f>
        <v>2</v>
      </c>
      <c r="B65" s="3" t="s">
        <v>96</v>
      </c>
      <c r="C65" s="3" t="s">
        <v>25</v>
      </c>
      <c r="D65" s="25" t="s">
        <v>25</v>
      </c>
      <c r="E65" s="3" t="s">
        <v>114</v>
      </c>
      <c r="F65" s="15">
        <f t="shared" si="105"/>
        <v>3.9675182027594263E-2</v>
      </c>
      <c r="G65" s="15">
        <f t="shared" si="106"/>
        <v>4.7370587177431922E-2</v>
      </c>
      <c r="H65" s="15">
        <f t="shared" si="107"/>
        <v>4.5148195619457779E-2</v>
      </c>
      <c r="I65" s="15">
        <f t="shared" si="108"/>
        <v>4.8534157523669332E-2</v>
      </c>
      <c r="J65" s="15">
        <f t="shared" si="109"/>
        <v>4.663502512061013E-2</v>
      </c>
      <c r="K65" s="15">
        <f t="shared" si="110"/>
        <v>5.0585267944024681E-2</v>
      </c>
      <c r="L65" s="15">
        <f t="shared" si="111"/>
        <v>5.1710129504146149E-2</v>
      </c>
      <c r="M65" s="15">
        <f t="shared" si="112"/>
        <v>4.6739741887575098E-2</v>
      </c>
      <c r="N65" s="15">
        <f t="shared" si="113"/>
        <v>5.2088753493750618E-2</v>
      </c>
      <c r="O65" s="15">
        <f t="shared" si="114"/>
        <v>5.2330589384347238E-2</v>
      </c>
      <c r="P65" s="15">
        <f t="shared" si="115"/>
        <v>5.4092604367294531E-2</v>
      </c>
      <c r="Q65" s="15">
        <f t="shared" si="116"/>
        <v>5.2919642165185694E-2</v>
      </c>
      <c r="R65" s="936">
        <f>R5/R$55</f>
        <v>1.4667121529041156</v>
      </c>
      <c r="S65" s="15">
        <f t="shared" ref="S65:AC65" si="126">S5/S$50</f>
        <v>4.7895339438216271E-2</v>
      </c>
      <c r="T65" s="15">
        <f t="shared" si="126"/>
        <v>5.0424277541827003E-2</v>
      </c>
      <c r="U65" s="15">
        <f t="shared" si="126"/>
        <v>3.9917202866029476E-2</v>
      </c>
      <c r="V65" s="15">
        <f t="shared" si="126"/>
        <v>4.5606093557659752E-2</v>
      </c>
      <c r="W65" s="15">
        <f t="shared" si="126"/>
        <v>4.9614242719094898E-2</v>
      </c>
      <c r="X65" s="15">
        <f t="shared" si="126"/>
        <v>4.9673725714056649E-2</v>
      </c>
      <c r="Y65" s="15">
        <f t="shared" si="126"/>
        <v>4.7204195382971229E-2</v>
      </c>
      <c r="Z65" s="15">
        <f t="shared" si="126"/>
        <v>4.5631124615496371E-2</v>
      </c>
      <c r="AA65" s="15">
        <f t="shared" si="126"/>
        <v>4.9795315560736082E-2</v>
      </c>
      <c r="AB65" s="15">
        <f t="shared" si="126"/>
        <v>4.6583127605040908E-2</v>
      </c>
      <c r="AC65" s="15">
        <f t="shared" si="126"/>
        <v>5.1238058995648005E-2</v>
      </c>
      <c r="AD65" s="15"/>
      <c r="AE65" s="15"/>
      <c r="AF65" s="15">
        <f t="shared" si="118"/>
        <v>4.743153541365764E-2</v>
      </c>
      <c r="AG65" s="936">
        <f>AG5/AG$55</f>
        <v>1.3413999867901256</v>
      </c>
      <c r="AH65" s="936">
        <f t="shared" si="119"/>
        <v>4.5997575642509149E-2</v>
      </c>
      <c r="AI65" s="936">
        <f t="shared" ref="AI65:AO68" si="127">AI5/AI$50</f>
        <v>4.4437627720977597E-2</v>
      </c>
      <c r="AJ65" s="936">
        <f t="shared" si="127"/>
        <v>4.8437853170687592E-2</v>
      </c>
      <c r="AK65" s="936">
        <f t="shared" si="127"/>
        <v>5.022048249122673E-2</v>
      </c>
      <c r="AL65" s="936">
        <f t="shared" si="127"/>
        <v>4.6773133258306759E-2</v>
      </c>
      <c r="AM65" s="936">
        <f t="shared" si="127"/>
        <v>5.0274681613708266E-2</v>
      </c>
      <c r="AN65" s="936">
        <f t="shared" si="127"/>
        <v>5.122834638609252E-2</v>
      </c>
      <c r="AO65" s="936">
        <f t="shared" si="127"/>
        <v>5.1896854001324003E-2</v>
      </c>
      <c r="AP65" s="936">
        <f>AP5/AP$50</f>
        <v>5.0814969540148615E-2</v>
      </c>
      <c r="AQ65" s="936">
        <f>AQ5/AQ$50</f>
        <v>5.9555908504422085E-2</v>
      </c>
      <c r="AR65" s="936">
        <f t="shared" ref="AR65:AS65" si="128">AR5/AR$50</f>
        <v>5.2262529284298802E-2</v>
      </c>
      <c r="AS65" s="936">
        <f t="shared" si="128"/>
        <v>4.4107072209431289E-2</v>
      </c>
      <c r="AT65" s="936"/>
      <c r="AU65" s="936">
        <f t="shared" ref="AU65:BI65" si="129">AU5/AU$55</f>
        <v>1.5446285178469712</v>
      </c>
      <c r="AV65" s="936">
        <f t="shared" si="129"/>
        <v>1.4296972387889886</v>
      </c>
      <c r="AW65" s="936">
        <f t="shared" si="129"/>
        <v>1.3841663171553198</v>
      </c>
      <c r="AX65" s="936">
        <f t="shared" si="129"/>
        <v>1.3377107135922071</v>
      </c>
      <c r="AY65" s="936">
        <f t="shared" si="129"/>
        <v>1.3171969173912532</v>
      </c>
      <c r="AZ65" s="936">
        <f t="shared" si="129"/>
        <v>1.6388900857353923</v>
      </c>
      <c r="BA65" s="936">
        <f t="shared" si="129"/>
        <v>1.5572081459561684</v>
      </c>
      <c r="BB65" s="936" t="e">
        <f t="shared" si="129"/>
        <v>#DIV/0!</v>
      </c>
      <c r="BC65" s="936" t="e">
        <f t="shared" si="129"/>
        <v>#DIV/0!</v>
      </c>
      <c r="BD65" s="936" t="e">
        <f t="shared" si="129"/>
        <v>#DIV/0!</v>
      </c>
      <c r="BE65" s="936" t="e">
        <f t="shared" si="129"/>
        <v>#DIV/0!</v>
      </c>
      <c r="BF65" s="936" t="e">
        <f t="shared" si="129"/>
        <v>#DIV/0!</v>
      </c>
      <c r="BG65" s="936" t="e">
        <f t="shared" si="129"/>
        <v>#DIV/0!</v>
      </c>
      <c r="BH65" s="936">
        <f t="shared" si="129"/>
        <v>1.4433239679249066</v>
      </c>
      <c r="BI65" s="936">
        <f t="shared" si="129"/>
        <v>1.1857427751143095</v>
      </c>
      <c r="BJ65" s="4"/>
      <c r="BL65" s="936">
        <f>BL5/BL$55</f>
        <v>1.1876964859025252</v>
      </c>
      <c r="BM65" s="936">
        <f t="shared" ref="BM65:BX65" si="130">BM5/BM$55</f>
        <v>1.1999991367516889</v>
      </c>
      <c r="BN65" s="936">
        <f t="shared" si="130"/>
        <v>1.1682459895644122</v>
      </c>
      <c r="BO65" s="936">
        <f t="shared" si="130"/>
        <v>1.1759953522824378</v>
      </c>
      <c r="BP65" s="936">
        <f t="shared" si="130"/>
        <v>1.1702205199797147</v>
      </c>
      <c r="BQ65" s="936">
        <f t="shared" si="130"/>
        <v>1.1857427751143095</v>
      </c>
      <c r="BR65" s="936">
        <f t="shared" si="130"/>
        <v>1.2369834741891641</v>
      </c>
      <c r="BS65" s="936">
        <f t="shared" si="130"/>
        <v>1.2409797872400641</v>
      </c>
      <c r="BT65" s="936">
        <f t="shared" si="130"/>
        <v>1.2472029766253954</v>
      </c>
      <c r="BU65" s="936">
        <f t="shared" si="130"/>
        <v>1.2743256393367179</v>
      </c>
      <c r="BV65" s="936">
        <f t="shared" si="130"/>
        <v>1.2794990591870163</v>
      </c>
      <c r="BW65" s="936">
        <f t="shared" si="130"/>
        <v>1.2727500051017904</v>
      </c>
      <c r="BX65" s="936">
        <f t="shared" si="130"/>
        <v>1.2213584388998098</v>
      </c>
    </row>
    <row r="66" spans="1:76" x14ac:dyDescent="0.3">
      <c r="A66" s="3">
        <f t="shared" si="125"/>
        <v>3</v>
      </c>
      <c r="B66" s="3" t="s">
        <v>96</v>
      </c>
      <c r="C66" s="3" t="s">
        <v>165</v>
      </c>
      <c r="D66" s="25" t="s">
        <v>3</v>
      </c>
      <c r="E66" s="3" t="s">
        <v>114</v>
      </c>
      <c r="F66" s="15">
        <f t="shared" si="105"/>
        <v>7.6311439936039846E-3</v>
      </c>
      <c r="G66" s="15">
        <f t="shared" si="106"/>
        <v>1.0964579586751635E-2</v>
      </c>
      <c r="H66" s="15">
        <f t="shared" si="107"/>
        <v>1.8160938888531465E-2</v>
      </c>
      <c r="I66" s="15">
        <f t="shared" si="108"/>
        <v>5.4669808384390376E-3</v>
      </c>
      <c r="J66" s="15">
        <f t="shared" si="109"/>
        <v>1.9636515105593905E-2</v>
      </c>
      <c r="K66" s="15">
        <f t="shared" si="110"/>
        <v>8.2069001987398905E-3</v>
      </c>
      <c r="L66" s="15">
        <f t="shared" si="111"/>
        <v>9.8333095270578836E-3</v>
      </c>
      <c r="M66" s="15">
        <f t="shared" si="112"/>
        <v>2.0569014993427219E-2</v>
      </c>
      <c r="N66" s="15">
        <f t="shared" si="113"/>
        <v>1.3265637166490783E-2</v>
      </c>
      <c r="O66" s="15">
        <f t="shared" si="114"/>
        <v>2.0354866870811443E-2</v>
      </c>
      <c r="P66" s="15">
        <f t="shared" si="115"/>
        <v>1.8128676989272723E-2</v>
      </c>
      <c r="Q66" s="15">
        <f t="shared" si="116"/>
        <v>2.3707699006390057E-2</v>
      </c>
      <c r="R66" s="936">
        <f>R6/R$56</f>
        <v>0.50154432748403688</v>
      </c>
      <c r="S66" s="15">
        <f t="shared" ref="S66:AC66" si="131">S6/S$50</f>
        <v>1.6181861563809071E-2</v>
      </c>
      <c r="T66" s="15">
        <f t="shared" si="131"/>
        <v>5.3673954017663872E-3</v>
      </c>
      <c r="U66" s="15">
        <f t="shared" si="131"/>
        <v>2.0831783108924196E-2</v>
      </c>
      <c r="V66" s="15">
        <f t="shared" si="131"/>
        <v>2.4962128434352273E-2</v>
      </c>
      <c r="W66" s="15">
        <f t="shared" si="131"/>
        <v>2.3061858577297866E-3</v>
      </c>
      <c r="X66" s="15">
        <f t="shared" si="131"/>
        <v>3.2825251012367353E-3</v>
      </c>
      <c r="Y66" s="15">
        <f t="shared" si="131"/>
        <v>9.6494208346229425E-3</v>
      </c>
      <c r="Z66" s="15">
        <f t="shared" si="131"/>
        <v>6.7149969541494173E-2</v>
      </c>
      <c r="AA66" s="15">
        <f t="shared" si="131"/>
        <v>5.3535163369477133E-2</v>
      </c>
      <c r="AB66" s="15">
        <f t="shared" si="131"/>
        <v>1.9364580576103775E-2</v>
      </c>
      <c r="AC66" s="15">
        <f t="shared" si="131"/>
        <v>3.2184898216211324E-3</v>
      </c>
      <c r="AD66" s="15"/>
      <c r="AE66" s="15"/>
      <c r="AF66" s="15">
        <f t="shared" si="118"/>
        <v>1.8785841494649968E-2</v>
      </c>
      <c r="AG66" s="936">
        <f>AG6/AG$56</f>
        <v>0.67235115546290569</v>
      </c>
      <c r="AH66" s="936">
        <f t="shared" si="119"/>
        <v>2.0605752985765783E-2</v>
      </c>
      <c r="AI66" s="936">
        <f t="shared" si="127"/>
        <v>3.7787198916565144E-2</v>
      </c>
      <c r="AJ66" s="936">
        <f t="shared" si="127"/>
        <v>1.4541558030739084E-2</v>
      </c>
      <c r="AK66" s="936">
        <f t="shared" si="127"/>
        <v>1.2192099028913338E-2</v>
      </c>
      <c r="AL66" s="936">
        <f t="shared" si="127"/>
        <v>1.7375266308919137E-2</v>
      </c>
      <c r="AM66" s="936">
        <f t="shared" si="127"/>
        <v>9.2799010264642059E-3</v>
      </c>
      <c r="AN66" s="936">
        <f t="shared" si="127"/>
        <v>9.4148208240576667E-3</v>
      </c>
      <c r="AO66" s="936">
        <f t="shared" si="127"/>
        <v>1.1706567322347561E-2</v>
      </c>
      <c r="AP66" s="936">
        <f>AP6/AP$50</f>
        <v>3.137037497439914E-3</v>
      </c>
      <c r="AQ66" s="936">
        <f>AQ6/AQ$50</f>
        <v>4.6798799213507011E-3</v>
      </c>
      <c r="AR66" s="936">
        <f t="shared" ref="AR66:AS66" si="132">AR6/AR$50</f>
        <v>7.8428899389924641E-3</v>
      </c>
      <c r="AS66" s="936">
        <f t="shared" si="132"/>
        <v>8.2391421794893588E-3</v>
      </c>
      <c r="AT66" s="936"/>
      <c r="AU66" s="936">
        <f>AU6/AU$56</f>
        <v>0.37298037388826299</v>
      </c>
      <c r="AV66" s="936">
        <f>AV6/AV$56</f>
        <v>0.26606406102000318</v>
      </c>
      <c r="AW66" s="936">
        <f t="shared" ref="AW66:BH66" si="133">AW6/AW$56</f>
        <v>0.37673540380516296</v>
      </c>
      <c r="AX66" s="936">
        <f t="shared" si="133"/>
        <v>0.31488713709589511</v>
      </c>
      <c r="AY66" s="936">
        <f t="shared" si="133"/>
        <v>0.24237235917751737</v>
      </c>
      <c r="AZ66" s="936">
        <f t="shared" si="133"/>
        <v>0.33043559507935399</v>
      </c>
      <c r="BA66" s="936">
        <f>BA6/BA$56</f>
        <v>0.28871255221818165</v>
      </c>
      <c r="BB66" s="936" t="e">
        <f t="shared" si="133"/>
        <v>#DIV/0!</v>
      </c>
      <c r="BC66" s="936" t="e">
        <f t="shared" si="133"/>
        <v>#DIV/0!</v>
      </c>
      <c r="BD66" s="936" t="e">
        <f t="shared" si="133"/>
        <v>#DIV/0!</v>
      </c>
      <c r="BE66" s="936" t="e">
        <f t="shared" si="133"/>
        <v>#DIV/0!</v>
      </c>
      <c r="BF66" s="936" t="e">
        <f t="shared" si="133"/>
        <v>#DIV/0!</v>
      </c>
      <c r="BG66" s="936" t="e">
        <f t="shared" si="133"/>
        <v>#DIV/0!</v>
      </c>
      <c r="BH66" s="936">
        <f t="shared" si="133"/>
        <v>0.3001562678848555</v>
      </c>
      <c r="BI66" s="936">
        <f>BI6/BI$56</f>
        <v>0.6294785710686045</v>
      </c>
      <c r="BJ66" s="4"/>
      <c r="BL66" s="936">
        <f>BL6/BL$56</f>
        <v>0.50542986163859671</v>
      </c>
      <c r="BM66" s="936">
        <f t="shared" ref="BM66:BX66" si="134">BM6/BM$56</f>
        <v>0.5710064758709259</v>
      </c>
      <c r="BN66" s="936">
        <f t="shared" si="134"/>
        <v>0.62969532816467</v>
      </c>
      <c r="BO66" s="936">
        <f t="shared" si="134"/>
        <v>0.46837112805049297</v>
      </c>
      <c r="BP66" s="936">
        <f t="shared" si="134"/>
        <v>0.53661970959623873</v>
      </c>
      <c r="BQ66" s="936">
        <f t="shared" si="134"/>
        <v>0.6294785710686045</v>
      </c>
      <c r="BR66" s="936">
        <f t="shared" si="134"/>
        <v>0.54651146538784379</v>
      </c>
      <c r="BS66" s="936">
        <f t="shared" si="134"/>
        <v>0.51584406426826412</v>
      </c>
      <c r="BT66" s="936">
        <f t="shared" si="134"/>
        <v>0.67726906105885309</v>
      </c>
      <c r="BU66" s="936">
        <f t="shared" si="134"/>
        <v>0.54172880011219438</v>
      </c>
      <c r="BV66" s="936">
        <f t="shared" si="134"/>
        <v>0.5792978772631332</v>
      </c>
      <c r="BW66" s="936">
        <f t="shared" si="134"/>
        <v>0.60114219566157434</v>
      </c>
      <c r="BX66" s="936">
        <f t="shared" si="134"/>
        <v>0.56824030066594799</v>
      </c>
    </row>
    <row r="67" spans="1:76" x14ac:dyDescent="0.3">
      <c r="A67" s="3">
        <f t="shared" si="125"/>
        <v>4</v>
      </c>
      <c r="B67" s="3" t="s">
        <v>96</v>
      </c>
      <c r="C67" s="3" t="s">
        <v>54</v>
      </c>
      <c r="D67" s="25" t="s">
        <v>54</v>
      </c>
      <c r="E67" s="3" t="s">
        <v>114</v>
      </c>
      <c r="F67" s="15">
        <f t="shared" si="105"/>
        <v>1.9451979478039615E-3</v>
      </c>
      <c r="G67" s="15">
        <f t="shared" si="106"/>
        <v>3.1298914048005127E-3</v>
      </c>
      <c r="H67" s="15">
        <f t="shared" si="107"/>
        <v>8.9875920308691484E-3</v>
      </c>
      <c r="I67" s="15">
        <f t="shared" si="108"/>
        <v>1.3597847144899058E-2</v>
      </c>
      <c r="J67" s="15">
        <f t="shared" si="109"/>
        <v>1.6497893026246404E-2</v>
      </c>
      <c r="K67" s="15">
        <f t="shared" si="110"/>
        <v>8.7034232094981342E-3</v>
      </c>
      <c r="L67" s="15">
        <f t="shared" si="111"/>
        <v>1.7394911863596939E-2</v>
      </c>
      <c r="M67" s="15">
        <f t="shared" si="112"/>
        <v>1.8508943656346689E-2</v>
      </c>
      <c r="N67" s="15">
        <f t="shared" si="113"/>
        <v>2.0591234618415565E-2</v>
      </c>
      <c r="O67" s="15">
        <f t="shared" si="114"/>
        <v>2.7900053758490945E-2</v>
      </c>
      <c r="P67" s="15">
        <f t="shared" si="115"/>
        <v>2.9877107827381091E-2</v>
      </c>
      <c r="Q67" s="15">
        <f t="shared" si="116"/>
        <v>2.0699982879693268E-2</v>
      </c>
      <c r="R67" s="936">
        <f>R7/R$55</f>
        <v>0.49458949717465928</v>
      </c>
      <c r="S67" s="15">
        <f t="shared" ref="S67:AC67" si="135">S7/S$50</f>
        <v>1.5010340954928196E-2</v>
      </c>
      <c r="T67" s="15">
        <f t="shared" si="135"/>
        <v>1.843614313905844E-2</v>
      </c>
      <c r="U67" s="15">
        <f t="shared" si="135"/>
        <v>1.3787426585225542E-2</v>
      </c>
      <c r="V67" s="15">
        <f t="shared" si="135"/>
        <v>8.6039428924423907E-3</v>
      </c>
      <c r="W67" s="15">
        <f t="shared" si="135"/>
        <v>8.0102520984184182E-3</v>
      </c>
      <c r="X67" s="15">
        <f t="shared" si="135"/>
        <v>6.0637859133158018E-3</v>
      </c>
      <c r="Y67" s="15">
        <f t="shared" si="135"/>
        <v>1.6604953941282266E-2</v>
      </c>
      <c r="Z67" s="15">
        <f t="shared" si="135"/>
        <v>7.070534094588546E-3</v>
      </c>
      <c r="AA67" s="15">
        <f t="shared" si="135"/>
        <v>1.1431883219014187E-2</v>
      </c>
      <c r="AB67" s="15">
        <f t="shared" si="135"/>
        <v>1.5830114036539202E-2</v>
      </c>
      <c r="AC67" s="15">
        <f t="shared" si="135"/>
        <v>1.3699858510625013E-2</v>
      </c>
      <c r="AD67" s="15"/>
      <c r="AE67" s="15"/>
      <c r="AF67" s="15">
        <f t="shared" si="118"/>
        <v>1.1392006723286916E-2</v>
      </c>
      <c r="AG67" s="936">
        <f>AG7/AG$55</f>
        <v>0.32217463623852971</v>
      </c>
      <c r="AH67" s="936">
        <f t="shared" si="119"/>
        <v>4.7561956641119152E-3</v>
      </c>
      <c r="AI67" s="936">
        <f t="shared" si="127"/>
        <v>9.3118953559176033E-3</v>
      </c>
      <c r="AJ67" s="936">
        <f t="shared" si="127"/>
        <v>1.1593057922750984E-2</v>
      </c>
      <c r="AK67" s="936">
        <f t="shared" si="127"/>
        <v>1.32754393805606E-2</v>
      </c>
      <c r="AL67" s="936">
        <f t="shared" si="127"/>
        <v>1.3835323884419904E-2</v>
      </c>
      <c r="AM67" s="936">
        <f t="shared" si="127"/>
        <v>1.5377464260878396E-2</v>
      </c>
      <c r="AN67" s="936">
        <f t="shared" si="127"/>
        <v>1.829132032336659E-2</v>
      </c>
      <c r="AO67" s="936">
        <f t="shared" si="127"/>
        <v>1.6305849718532515E-2</v>
      </c>
      <c r="AP67" s="936">
        <f>AP7/AP$50</f>
        <v>1.4081069762706564E-2</v>
      </c>
      <c r="AQ67" s="936">
        <f>AQ7/AQ$50</f>
        <v>5.9066646394471799E-3</v>
      </c>
      <c r="AR67" s="936">
        <f t="shared" ref="AR67:AS67" si="136">AR7/AR$50</f>
        <v>6.9472300534064732E-3</v>
      </c>
      <c r="AS67" s="936">
        <f t="shared" si="136"/>
        <v>1.0217981968448512E-2</v>
      </c>
      <c r="AT67" s="936"/>
      <c r="AU67" s="936">
        <f t="shared" ref="AU67:BG67" si="137">AU7/AU$55</f>
        <v>0.38434713500609036</v>
      </c>
      <c r="AV67" s="936">
        <f t="shared" si="137"/>
        <v>0.31066962702748069</v>
      </c>
      <c r="AW67" s="936">
        <f t="shared" si="137"/>
        <v>0.15932930042515597</v>
      </c>
      <c r="AX67" s="936">
        <f t="shared" si="137"/>
        <v>0.41204349514626631</v>
      </c>
      <c r="AY67" s="936">
        <f t="shared" si="137"/>
        <v>0.3172782155142545</v>
      </c>
      <c r="AZ67" s="936">
        <f t="shared" si="137"/>
        <v>0.50520515119345388</v>
      </c>
      <c r="BA67" s="936">
        <f t="shared" si="137"/>
        <v>0.43635774500297686</v>
      </c>
      <c r="BB67" s="936" t="e">
        <f t="shared" si="137"/>
        <v>#DIV/0!</v>
      </c>
      <c r="BC67" s="936" t="e">
        <f t="shared" si="137"/>
        <v>#DIV/0!</v>
      </c>
      <c r="BD67" s="936" t="e">
        <f t="shared" si="137"/>
        <v>#DIV/0!</v>
      </c>
      <c r="BE67" s="936" t="e">
        <f t="shared" si="137"/>
        <v>#DIV/0!</v>
      </c>
      <c r="BF67" s="936" t="e">
        <f t="shared" si="137"/>
        <v>#DIV/0!</v>
      </c>
      <c r="BG67" s="936" t="e">
        <f t="shared" si="137"/>
        <v>#DIV/0!</v>
      </c>
      <c r="BH67" s="936">
        <f t="shared" ref="BH67:BI68" si="138">BH7/BH$55</f>
        <v>0.37690167871130464</v>
      </c>
      <c r="BI67" s="936">
        <f t="shared" si="138"/>
        <v>0.32329927126707048</v>
      </c>
      <c r="BJ67" s="4"/>
      <c r="BL67" s="936">
        <f t="shared" ref="BL67:BX67" si="139">BL7/BL$55</f>
        <v>0.31886622544462456</v>
      </c>
      <c r="BM67" s="936">
        <f t="shared" si="139"/>
        <v>0.32720666102440171</v>
      </c>
      <c r="BN67" s="936">
        <f t="shared" si="139"/>
        <v>0.32224191510539973</v>
      </c>
      <c r="BO67" s="936">
        <f t="shared" si="139"/>
        <v>0.32146636296314846</v>
      </c>
      <c r="BP67" s="936">
        <f t="shared" si="139"/>
        <v>0.32224191510539973</v>
      </c>
      <c r="BQ67" s="936">
        <f t="shared" si="139"/>
        <v>0.32329927126707048</v>
      </c>
      <c r="BR67" s="936">
        <f t="shared" si="139"/>
        <v>0.31872981197987044</v>
      </c>
      <c r="BS67" s="936">
        <f t="shared" si="139"/>
        <v>0.32310372201845883</v>
      </c>
      <c r="BT67" s="936">
        <f t="shared" si="139"/>
        <v>0.31690013452878046</v>
      </c>
      <c r="BU67" s="936">
        <f t="shared" si="139"/>
        <v>0.32236604228782306</v>
      </c>
      <c r="BV67" s="936">
        <f t="shared" si="139"/>
        <v>0.31946761247056454</v>
      </c>
      <c r="BW67" s="936">
        <f t="shared" si="139"/>
        <v>0.32310372201845883</v>
      </c>
      <c r="BX67" s="936">
        <f t="shared" si="139"/>
        <v>0.32147451443467084</v>
      </c>
    </row>
    <row r="68" spans="1:76" x14ac:dyDescent="0.3">
      <c r="A68" s="3">
        <f t="shared" si="125"/>
        <v>5</v>
      </c>
      <c r="B68" s="3" t="s">
        <v>96</v>
      </c>
      <c r="C68" s="3" t="s">
        <v>56</v>
      </c>
      <c r="D68" s="25" t="s">
        <v>56</v>
      </c>
      <c r="E68" s="3" t="s">
        <v>114</v>
      </c>
      <c r="F68" s="15">
        <f t="shared" si="105"/>
        <v>4.3811795234172017E-3</v>
      </c>
      <c r="G68" s="15">
        <f t="shared" si="106"/>
        <v>6.3113710799882197E-3</v>
      </c>
      <c r="H68" s="15">
        <f t="shared" si="107"/>
        <v>5.3607615181031753E-3</v>
      </c>
      <c r="I68" s="15">
        <f t="shared" si="108"/>
        <v>5.6484378312349646E-3</v>
      </c>
      <c r="J68" s="15">
        <f t="shared" si="109"/>
        <v>6.2840295589229435E-3</v>
      </c>
      <c r="K68" s="15">
        <f t="shared" si="110"/>
        <v>7.0451852923533176E-3</v>
      </c>
      <c r="L68" s="15">
        <f t="shared" si="111"/>
        <v>6.3856513205920659E-3</v>
      </c>
      <c r="M68" s="15">
        <f t="shared" si="112"/>
        <v>6.1414729621448415E-3</v>
      </c>
      <c r="N68" s="15">
        <f t="shared" si="113"/>
        <v>6.8064949057317255E-3</v>
      </c>
      <c r="O68" s="15">
        <f t="shared" si="114"/>
        <v>6.5759098202601216E-3</v>
      </c>
      <c r="P68" s="15">
        <f t="shared" si="115"/>
        <v>6.1675648261610271E-3</v>
      </c>
      <c r="Q68" s="15">
        <f t="shared" si="116"/>
        <v>6.9398140418197914E-3</v>
      </c>
      <c r="R68" s="936">
        <f>R8/R$55</f>
        <v>0.18593108047532295</v>
      </c>
      <c r="S68" s="15">
        <f t="shared" ref="S68:AC68" si="140">S8/S$50</f>
        <v>7.9323345915152249E-3</v>
      </c>
      <c r="T68" s="15">
        <f t="shared" si="140"/>
        <v>5.1917586116358621E-3</v>
      </c>
      <c r="U68" s="15">
        <f t="shared" si="140"/>
        <v>5.9362230940550381E-3</v>
      </c>
      <c r="V68" s="15">
        <f t="shared" si="140"/>
        <v>5.5623348928402422E-3</v>
      </c>
      <c r="W68" s="15">
        <f t="shared" si="140"/>
        <v>5.7111628422633655E-3</v>
      </c>
      <c r="X68" s="15">
        <f t="shared" si="140"/>
        <v>8.0307954791578717E-3</v>
      </c>
      <c r="Y68" s="15">
        <f t="shared" si="140"/>
        <v>4.9547154011659765E-3</v>
      </c>
      <c r="Z68" s="15">
        <f t="shared" si="140"/>
        <v>4.6529591713638284E-3</v>
      </c>
      <c r="AA68" s="15">
        <f t="shared" si="140"/>
        <v>5.5073278125057018E-3</v>
      </c>
      <c r="AB68" s="15">
        <f t="shared" si="140"/>
        <v>5.9124985992101333E-3</v>
      </c>
      <c r="AC68" s="15">
        <f t="shared" si="140"/>
        <v>6.5647586372867793E-3</v>
      </c>
      <c r="AD68" s="15"/>
      <c r="AE68" s="15"/>
      <c r="AF68" s="15">
        <f t="shared" si="118"/>
        <v>6.0705547151369624E-3</v>
      </c>
      <c r="AG68" s="936">
        <f>AG8/AG$55</f>
        <v>0.17167991598156684</v>
      </c>
      <c r="AH68" s="936">
        <f t="shared" si="119"/>
        <v>4.2925676261814875E-3</v>
      </c>
      <c r="AI68" s="936">
        <f t="shared" si="127"/>
        <v>5.3657210608392941E-3</v>
      </c>
      <c r="AJ68" s="936">
        <f t="shared" si="127"/>
        <v>5.8321436387606508E-3</v>
      </c>
      <c r="AK68" s="936">
        <f t="shared" si="127"/>
        <v>5.3699444211336685E-3</v>
      </c>
      <c r="AL68" s="936">
        <f t="shared" si="127"/>
        <v>6.7434628019543011E-3</v>
      </c>
      <c r="AM68" s="936">
        <f t="shared" si="127"/>
        <v>5.9137168103644408E-3</v>
      </c>
      <c r="AN68" s="936">
        <f t="shared" si="127"/>
        <v>6.1473766943897527E-3</v>
      </c>
      <c r="AO68" s="936">
        <f t="shared" si="127"/>
        <v>6.2039162426828264E-3</v>
      </c>
      <c r="AP68" s="936">
        <f>AP8/AP$50</f>
        <v>6.3601181294685553E-3</v>
      </c>
      <c r="AQ68" s="936">
        <f>AQ8/AQ$50</f>
        <v>6.0434340268103477E-3</v>
      </c>
      <c r="AR68" s="936">
        <f t="shared" ref="AR68:AS68" si="141">AR8/AR$50</f>
        <v>6.4108378805278546E-3</v>
      </c>
      <c r="AS68" s="936">
        <f t="shared" si="141"/>
        <v>6.5722736385782901E-3</v>
      </c>
      <c r="AT68" s="936"/>
      <c r="AU68" s="936">
        <f t="shared" ref="AU68:BG68" si="142">AU8/AU$55</f>
        <v>0.18658236910573509</v>
      </c>
      <c r="AV68" s="936">
        <f t="shared" si="142"/>
        <v>0.21148088999420181</v>
      </c>
      <c r="AW68" s="936">
        <f t="shared" si="142"/>
        <v>0.19195791673568549</v>
      </c>
      <c r="AX68" s="936">
        <f t="shared" si="142"/>
        <v>0.19018723917738778</v>
      </c>
      <c r="AY68" s="936">
        <f t="shared" si="142"/>
        <v>0.23440053869250738</v>
      </c>
      <c r="AZ68" s="936">
        <f t="shared" si="142"/>
        <v>0.21860373559363172</v>
      </c>
      <c r="BA68" s="936">
        <f t="shared" si="142"/>
        <v>0.2217302990743211</v>
      </c>
      <c r="BB68" s="936" t="e">
        <f t="shared" si="142"/>
        <v>#DIV/0!</v>
      </c>
      <c r="BC68" s="936" t="e">
        <f t="shared" si="142"/>
        <v>#DIV/0!</v>
      </c>
      <c r="BD68" s="936" t="e">
        <f t="shared" si="142"/>
        <v>#DIV/0!</v>
      </c>
      <c r="BE68" s="936" t="e">
        <f t="shared" si="142"/>
        <v>#DIV/0!</v>
      </c>
      <c r="BF68" s="936" t="e">
        <f t="shared" si="142"/>
        <v>#DIV/0!</v>
      </c>
      <c r="BG68" s="936" t="e">
        <f t="shared" si="142"/>
        <v>#DIV/0!</v>
      </c>
      <c r="BH68" s="936">
        <f t="shared" si="138"/>
        <v>0.21337498641700078</v>
      </c>
      <c r="BI68" s="936">
        <f t="shared" si="138"/>
        <v>0.1738441984748357</v>
      </c>
      <c r="BJ68" s="4"/>
      <c r="BL68" s="936">
        <f t="shared" ref="BL68:BX68" si="143">BL8/BL$55</f>
        <v>0.17168348253330823</v>
      </c>
      <c r="BM68" s="936">
        <f t="shared" si="143"/>
        <v>0.17328352155292137</v>
      </c>
      <c r="BN68" s="936">
        <f t="shared" si="143"/>
        <v>0.17175222641212443</v>
      </c>
      <c r="BO68" s="936">
        <f t="shared" si="143"/>
        <v>0.17213277351734957</v>
      </c>
      <c r="BP68" s="936">
        <f t="shared" si="143"/>
        <v>0.17175222641212443</v>
      </c>
      <c r="BQ68" s="936">
        <f t="shared" si="143"/>
        <v>0.1738441984748357</v>
      </c>
      <c r="BR68" s="936">
        <f t="shared" si="143"/>
        <v>0.1721393956543803</v>
      </c>
      <c r="BS68" s="936">
        <f t="shared" si="143"/>
        <v>0.17253259372203042</v>
      </c>
      <c r="BT68" s="936">
        <f t="shared" si="143"/>
        <v>0.17304485003428161</v>
      </c>
      <c r="BU68" s="936">
        <f t="shared" si="143"/>
        <v>0.17289181051406499</v>
      </c>
      <c r="BV68" s="936">
        <f t="shared" si="143"/>
        <v>0.17177427955952199</v>
      </c>
      <c r="BW68" s="936">
        <f t="shared" si="143"/>
        <v>0.17253259372203042</v>
      </c>
      <c r="BX68" s="936">
        <f t="shared" si="143"/>
        <v>0.17243903166580335</v>
      </c>
    </row>
    <row r="69" spans="1:76" x14ac:dyDescent="0.3">
      <c r="A69" s="3">
        <f t="shared" si="125"/>
        <v>6</v>
      </c>
      <c r="B69" s="3" t="s">
        <v>96</v>
      </c>
      <c r="C69" s="3" t="s">
        <v>165</v>
      </c>
      <c r="D69" s="25" t="s">
        <v>29</v>
      </c>
      <c r="E69" s="3" t="s">
        <v>114</v>
      </c>
      <c r="F69" s="15">
        <f t="shared" si="105"/>
        <v>0</v>
      </c>
      <c r="G69" s="15">
        <f t="shared" si="106"/>
        <v>0</v>
      </c>
      <c r="H69" s="15">
        <f t="shared" si="107"/>
        <v>7.4825810717401176E-3</v>
      </c>
      <c r="I69" s="15">
        <f t="shared" si="108"/>
        <v>6.3808585848418508E-3</v>
      </c>
      <c r="J69" s="15">
        <f t="shared" si="109"/>
        <v>5.2974908870021412E-3</v>
      </c>
      <c r="K69" s="15">
        <f t="shared" si="110"/>
        <v>7.185928273569557E-3</v>
      </c>
      <c r="L69" s="15">
        <f t="shared" si="111"/>
        <v>5.6066492585297055E-3</v>
      </c>
      <c r="M69" s="15">
        <f t="shared" si="112"/>
        <v>9.6217014754697971E-3</v>
      </c>
      <c r="N69" s="15">
        <f t="shared" si="113"/>
        <v>6.6584721334512417E-3</v>
      </c>
      <c r="O69" s="15">
        <f t="shared" si="114"/>
        <v>7.8428743316953705E-3</v>
      </c>
      <c r="P69" s="15">
        <f t="shared" si="115"/>
        <v>9.325436447974662E-3</v>
      </c>
      <c r="Q69" s="15">
        <f t="shared" si="116"/>
        <v>3.2984568863061122E-3</v>
      </c>
      <c r="R69" s="936">
        <f>R9/R$56</f>
        <v>0.18701776420598101</v>
      </c>
      <c r="S69" s="15">
        <f t="shared" ref="S69:AC69" si="144">S9/S$50</f>
        <v>2.9456606027872135E-3</v>
      </c>
      <c r="T69" s="15">
        <f t="shared" si="144"/>
        <v>3.2975756790239409E-3</v>
      </c>
      <c r="U69" s="15">
        <f t="shared" si="144"/>
        <v>3.7801543357091241E-3</v>
      </c>
      <c r="V69" s="15">
        <f t="shared" si="144"/>
        <v>7.7955215973008864E-3</v>
      </c>
      <c r="W69" s="15">
        <f t="shared" si="144"/>
        <v>6.0343275354462636E-3</v>
      </c>
      <c r="X69" s="15">
        <f t="shared" si="144"/>
        <v>1.2922652451099652E-2</v>
      </c>
      <c r="Y69" s="15">
        <f t="shared" si="144"/>
        <v>1.0889849792124626E-2</v>
      </c>
      <c r="Z69" s="15">
        <f t="shared" si="144"/>
        <v>1.5814021356086689E-2</v>
      </c>
      <c r="AA69" s="15">
        <f t="shared" si="144"/>
        <v>8.5907237995110249E-3</v>
      </c>
      <c r="AB69" s="15">
        <f t="shared" si="144"/>
        <v>4.7496589040802555E-3</v>
      </c>
      <c r="AC69" s="15">
        <f t="shared" si="144"/>
        <v>2.6954274558921455E-3</v>
      </c>
      <c r="AD69" s="15"/>
      <c r="AE69" s="15"/>
      <c r="AF69" s="15">
        <f t="shared" si="118"/>
        <v>7.0996955921424276E-3</v>
      </c>
      <c r="AG69" s="936">
        <f>AG9/AG$56</f>
        <v>0.25410033062246928</v>
      </c>
      <c r="AH69" s="936">
        <f t="shared" si="119"/>
        <v>1.6520183725690845E-2</v>
      </c>
      <c r="AI69" s="936">
        <f t="shared" ref="AI69:AQ69" si="145">AI9/AI$50</f>
        <v>1.475606665418717E-2</v>
      </c>
      <c r="AJ69" s="936">
        <f t="shared" si="145"/>
        <v>5.3072313598591684E-3</v>
      </c>
      <c r="AK69" s="936">
        <f t="shared" si="145"/>
        <v>7.0828856404812658E-3</v>
      </c>
      <c r="AL69" s="936">
        <f t="shared" si="145"/>
        <v>5.6570508036226765E-3</v>
      </c>
      <c r="AM69" s="936">
        <f t="shared" si="145"/>
        <v>4.0901205842088723E-3</v>
      </c>
      <c r="AN69" s="936">
        <f t="shared" si="145"/>
        <v>5.938907689479027E-3</v>
      </c>
      <c r="AO69" s="936">
        <f t="shared" si="145"/>
        <v>5.1948685594004305E-3</v>
      </c>
      <c r="AP69" s="936">
        <f t="shared" si="145"/>
        <v>4.8294827181976502E-3</v>
      </c>
      <c r="AQ69" s="936">
        <f t="shared" si="145"/>
        <v>5.0344666255138382E-3</v>
      </c>
      <c r="AR69" s="936">
        <f t="shared" ref="AR69:AS69" si="146">AR9/AR$50</f>
        <v>5.5863865500940654E-3</v>
      </c>
      <c r="AS69" s="936">
        <f t="shared" si="146"/>
        <v>6.45083197058421E-3</v>
      </c>
      <c r="AT69" s="936"/>
      <c r="AU69" s="936">
        <f>AU9/AU$56</f>
        <v>0.1966416351101988</v>
      </c>
      <c r="AV69" s="936">
        <f>AV9/AV$56</f>
        <v>0.31270294800150977</v>
      </c>
      <c r="AW69" s="936">
        <f t="shared" ref="AW69:BH69" si="147">AW9/AW$56</f>
        <v>0.26153794047525064</v>
      </c>
      <c r="AX69" s="936">
        <f t="shared" si="147"/>
        <v>0.38737746369323994</v>
      </c>
      <c r="AY69" s="936">
        <f t="shared" si="147"/>
        <v>0.42614302363731638</v>
      </c>
      <c r="AZ69" s="936">
        <f t="shared" si="147"/>
        <v>0.40997237099345324</v>
      </c>
      <c r="BA69" s="936">
        <f t="shared" si="147"/>
        <v>0.22635825917156407</v>
      </c>
      <c r="BB69" s="936" t="e">
        <f t="shared" si="147"/>
        <v>#DIV/0!</v>
      </c>
      <c r="BC69" s="936" t="e">
        <f t="shared" si="147"/>
        <v>#DIV/0!</v>
      </c>
      <c r="BD69" s="936" t="e">
        <f t="shared" si="147"/>
        <v>#DIV/0!</v>
      </c>
      <c r="BE69" s="936" t="e">
        <f t="shared" si="147"/>
        <v>#DIV/0!</v>
      </c>
      <c r="BF69" s="936" t="e">
        <f t="shared" si="147"/>
        <v>#DIV/0!</v>
      </c>
      <c r="BG69" s="936" t="e">
        <f t="shared" si="147"/>
        <v>#DIV/0!</v>
      </c>
      <c r="BH69" s="936">
        <f t="shared" si="147"/>
        <v>0.35017087673804331</v>
      </c>
      <c r="BI69" s="936">
        <f>BI9/BI$56</f>
        <v>0.11800359381948142</v>
      </c>
      <c r="BJ69" s="4"/>
      <c r="BL69" s="936">
        <f>BL9/BL$56</f>
        <v>0.13245204367574726</v>
      </c>
      <c r="BM69" s="936">
        <f t="shared" ref="BM69:BX69" si="148">BM9/BM$56</f>
        <v>0.12760734060267231</v>
      </c>
      <c r="BN69" s="936">
        <f t="shared" si="148"/>
        <v>0.12222677316730407</v>
      </c>
      <c r="BO69" s="936">
        <f t="shared" si="148"/>
        <v>0.12518076621370186</v>
      </c>
      <c r="BP69" s="936">
        <f t="shared" si="148"/>
        <v>0.12499239647907516</v>
      </c>
      <c r="BQ69" s="936">
        <f t="shared" si="148"/>
        <v>0.11800359381948142</v>
      </c>
      <c r="BR69" s="936">
        <f t="shared" si="148"/>
        <v>0.12429813209265612</v>
      </c>
      <c r="BS69" s="936">
        <f t="shared" si="148"/>
        <v>0.12135049283426991</v>
      </c>
      <c r="BT69" s="936">
        <f t="shared" si="148"/>
        <v>0.12207497687409706</v>
      </c>
      <c r="BU69" s="936">
        <f t="shared" si="148"/>
        <v>0.1239155422962754</v>
      </c>
      <c r="BV69" s="936">
        <f t="shared" si="148"/>
        <v>0.12369734681724492</v>
      </c>
      <c r="BW69" s="936">
        <f t="shared" si="148"/>
        <v>0.11648469708789255</v>
      </c>
      <c r="BX69" s="936">
        <f t="shared" si="148"/>
        <v>0.12341028941696681</v>
      </c>
    </row>
    <row r="70" spans="1:76" x14ac:dyDescent="0.3">
      <c r="A70" s="3">
        <f t="shared" si="125"/>
        <v>7</v>
      </c>
      <c r="B70" s="3" t="s">
        <v>96</v>
      </c>
      <c r="C70" s="3" t="s">
        <v>165</v>
      </c>
      <c r="D70" s="25" t="s">
        <v>261</v>
      </c>
      <c r="E70" s="3" t="s">
        <v>114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936">
        <f>R10/R$56</f>
        <v>0</v>
      </c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936">
        <f>AG10/AG$56</f>
        <v>0</v>
      </c>
      <c r="AH70" s="936">
        <f t="shared" ref="AH70:AQ70" si="149">AH10/AH$50</f>
        <v>0</v>
      </c>
      <c r="AI70" s="936">
        <f t="shared" si="149"/>
        <v>0</v>
      </c>
      <c r="AJ70" s="936">
        <f t="shared" si="149"/>
        <v>0</v>
      </c>
      <c r="AK70" s="936">
        <f t="shared" si="149"/>
        <v>0</v>
      </c>
      <c r="AL70" s="936">
        <f t="shared" si="149"/>
        <v>0</v>
      </c>
      <c r="AM70" s="936">
        <f t="shared" si="149"/>
        <v>0</v>
      </c>
      <c r="AN70" s="936">
        <f t="shared" si="149"/>
        <v>0</v>
      </c>
      <c r="AO70" s="936">
        <f t="shared" si="149"/>
        <v>0</v>
      </c>
      <c r="AP70" s="936">
        <f t="shared" si="149"/>
        <v>0</v>
      </c>
      <c r="AQ70" s="936">
        <f t="shared" si="149"/>
        <v>9.3967211052157409E-3</v>
      </c>
      <c r="AR70" s="936">
        <f t="shared" ref="AR70:AS70" si="150">AR10/AR$50</f>
        <v>6.4424292360709097E-3</v>
      </c>
      <c r="AS70" s="936">
        <f t="shared" si="150"/>
        <v>0</v>
      </c>
      <c r="AT70" s="936"/>
      <c r="AU70" s="936">
        <f>AU10/AU$56</f>
        <v>3.2749439678802561E-2</v>
      </c>
      <c r="AV70" s="936">
        <f>AV10/AV$56</f>
        <v>0</v>
      </c>
      <c r="AW70" s="936">
        <f t="shared" ref="AW70:BH70" si="151">AW10/AW$56</f>
        <v>3.6285129233441224E-2</v>
      </c>
      <c r="AX70" s="936">
        <f t="shared" si="151"/>
        <v>6.6609929849802699E-2</v>
      </c>
      <c r="AY70" s="936">
        <f t="shared" si="151"/>
        <v>5.808531371963313E-3</v>
      </c>
      <c r="AZ70" s="936">
        <f t="shared" si="151"/>
        <v>2.9080281924546085E-2</v>
      </c>
      <c r="BA70" s="936">
        <f t="shared" si="151"/>
        <v>9.7967973514424281E-2</v>
      </c>
      <c r="BB70" s="936" t="e">
        <f t="shared" si="151"/>
        <v>#DIV/0!</v>
      </c>
      <c r="BC70" s="936" t="e">
        <f t="shared" si="151"/>
        <v>#DIV/0!</v>
      </c>
      <c r="BD70" s="936" t="e">
        <f t="shared" si="151"/>
        <v>#DIV/0!</v>
      </c>
      <c r="BE70" s="936" t="e">
        <f t="shared" si="151"/>
        <v>#DIV/0!</v>
      </c>
      <c r="BF70" s="936" t="e">
        <f t="shared" si="151"/>
        <v>#DIV/0!</v>
      </c>
      <c r="BG70" s="936" t="e">
        <f t="shared" si="151"/>
        <v>#DIV/0!</v>
      </c>
      <c r="BH70" s="936">
        <f t="shared" si="151"/>
        <v>3.8703759755860261E-2</v>
      </c>
      <c r="BI70" s="936">
        <f>BI10/BI$56</f>
        <v>4.4506614300467043E-4</v>
      </c>
      <c r="BJ70" s="4"/>
      <c r="BL70" s="936">
        <f>BL10/BL$56</f>
        <v>1.6445244288603273E-3</v>
      </c>
      <c r="BM70" s="936">
        <f t="shared" ref="BM70:BX70" si="152">BM10/BM$56</f>
        <v>4.9108412401438516E-4</v>
      </c>
      <c r="BN70" s="936">
        <f t="shared" si="152"/>
        <v>4.4634337689815156E-4</v>
      </c>
      <c r="BO70" s="936">
        <f t="shared" si="152"/>
        <v>1.6160071178425361E-3</v>
      </c>
      <c r="BP70" s="936">
        <f t="shared" si="152"/>
        <v>4.4779404524210672E-4</v>
      </c>
      <c r="BQ70" s="936">
        <f t="shared" si="152"/>
        <v>4.4506614300467043E-4</v>
      </c>
      <c r="BR70" s="936">
        <f t="shared" si="152"/>
        <v>1.5140431005611552E-3</v>
      </c>
      <c r="BS70" s="936">
        <f t="shared" si="152"/>
        <v>4.5768941478245014E-4</v>
      </c>
      <c r="BT70" s="936">
        <f t="shared" si="152"/>
        <v>4.3734218446191543E-4</v>
      </c>
      <c r="BU70" s="936">
        <f t="shared" si="152"/>
        <v>1.5890370481301721E-3</v>
      </c>
      <c r="BV70" s="936">
        <f t="shared" si="152"/>
        <v>4.4239239264566761E-4</v>
      </c>
      <c r="BW70" s="936">
        <f t="shared" si="152"/>
        <v>1.4838803885236619E-3</v>
      </c>
      <c r="BX70" s="936">
        <f t="shared" si="152"/>
        <v>9.1127797619755112E-4</v>
      </c>
    </row>
    <row r="71" spans="1:76" x14ac:dyDescent="0.3">
      <c r="A71" s="3">
        <f t="shared" si="125"/>
        <v>8</v>
      </c>
      <c r="B71" s="3" t="s">
        <v>96</v>
      </c>
      <c r="C71" s="3" t="s">
        <v>28</v>
      </c>
      <c r="D71" s="25" t="s">
        <v>28</v>
      </c>
      <c r="E71" s="3" t="s">
        <v>114</v>
      </c>
      <c r="F71" s="15">
        <f t="shared" ref="F71:F81" si="153">F11/$F$50</f>
        <v>5.2610905014449181E-3</v>
      </c>
      <c r="G71" s="15">
        <f t="shared" ref="G71:G81" si="154">G11/$G$50</f>
        <v>5.4710281212783539E-3</v>
      </c>
      <c r="H71" s="15">
        <f t="shared" ref="H71:H81" si="155">H11/$H$50</f>
        <v>5.2898214394422978E-3</v>
      </c>
      <c r="I71" s="15">
        <f t="shared" ref="I71:I81" si="156">I11/$I$50</f>
        <v>6.0786982898919572E-3</v>
      </c>
      <c r="J71" s="15">
        <f t="shared" ref="J71:J81" si="157">J11/$J$50</f>
        <v>3.1779215060429027E-3</v>
      </c>
      <c r="K71" s="15">
        <f t="shared" ref="K71:K81" si="158">K11/$K$50</f>
        <v>7.157498331701464E-3</v>
      </c>
      <c r="L71" s="15">
        <f t="shared" ref="L71:L81" si="159">L11/$L$50</f>
        <v>5.2828305966948945E-3</v>
      </c>
      <c r="M71" s="15">
        <f t="shared" ref="M71:M81" si="160">M11/$M$50</f>
        <v>5.7679806639365791E-3</v>
      </c>
      <c r="N71" s="15">
        <f t="shared" ref="N71:N81" si="161">N11/$N$50</f>
        <v>6.3161867256229659E-3</v>
      </c>
      <c r="O71" s="15">
        <f t="shared" ref="O71:O81" si="162">O11/$O$50</f>
        <v>6.0886621805760696E-3</v>
      </c>
      <c r="P71" s="15">
        <f t="shared" ref="P71:P81" si="163">P11/$P$50</f>
        <v>8.590775007856731E-3</v>
      </c>
      <c r="Q71" s="15">
        <f t="shared" ref="Q71:Q81" si="164">Q11/$Q$50</f>
        <v>3.9905701392889004E-3</v>
      </c>
      <c r="R71" s="936">
        <f t="shared" ref="R71:R76" si="165">R11/R$55</f>
        <v>0.16522426015083144</v>
      </c>
      <c r="S71" s="15">
        <f t="shared" ref="S71:AC71" si="166">S11/S$50</f>
        <v>3.3356227378178414E-3</v>
      </c>
      <c r="T71" s="15">
        <f t="shared" si="166"/>
        <v>3.2764906308316256E-3</v>
      </c>
      <c r="U71" s="15">
        <f t="shared" si="166"/>
        <v>3.2184129969973869E-3</v>
      </c>
      <c r="V71" s="15">
        <f t="shared" si="166"/>
        <v>3.2137190968263354E-3</v>
      </c>
      <c r="W71" s="15">
        <f t="shared" si="166"/>
        <v>3.2380061965371822E-3</v>
      </c>
      <c r="X71" s="15">
        <f t="shared" si="166"/>
        <v>3.6449805973768064E-3</v>
      </c>
      <c r="Y71" s="15">
        <f t="shared" si="166"/>
        <v>4.8685045062221597E-3</v>
      </c>
      <c r="Z71" s="15">
        <f t="shared" si="166"/>
        <v>3.4473677204140069E-3</v>
      </c>
      <c r="AA71" s="15">
        <f t="shared" si="166"/>
        <v>2.8166264179577708E-3</v>
      </c>
      <c r="AB71" s="15">
        <f t="shared" si="166"/>
        <v>2.6016709437061058E-3</v>
      </c>
      <c r="AC71" s="15">
        <f t="shared" si="166"/>
        <v>2.5226420714255919E-3</v>
      </c>
      <c r="AD71" s="15"/>
      <c r="AE71" s="15"/>
      <c r="AF71" s="15">
        <f t="shared" ref="AF71:AF81" si="167">AF11/AF$50</f>
        <v>3.1739663666253506E-3</v>
      </c>
      <c r="AG71" s="936">
        <f t="shared" ref="AG71:AG76" si="168">AG11/AG$55</f>
        <v>8.9762188913614802E-2</v>
      </c>
      <c r="AH71" s="936">
        <f t="shared" ref="AH71:AQ71" si="169">AH11/AH$50</f>
        <v>2.4824190260224377E-3</v>
      </c>
      <c r="AI71" s="936">
        <f t="shared" si="169"/>
        <v>2.3418421030645302E-3</v>
      </c>
      <c r="AJ71" s="936">
        <f t="shared" si="169"/>
        <v>2.0887352352024044E-3</v>
      </c>
      <c r="AK71" s="936">
        <f t="shared" si="169"/>
        <v>1.9264355432468917E-3</v>
      </c>
      <c r="AL71" s="936">
        <f t="shared" si="169"/>
        <v>1.7525728448768052E-3</v>
      </c>
      <c r="AM71" s="936">
        <f t="shared" si="169"/>
        <v>1.8034742175802529E-3</v>
      </c>
      <c r="AN71" s="936">
        <f t="shared" si="169"/>
        <v>1.861977845638059E-3</v>
      </c>
      <c r="AO71" s="936">
        <f t="shared" si="169"/>
        <v>1.335134636304969E-3</v>
      </c>
      <c r="AP71" s="936">
        <f t="shared" si="169"/>
        <v>1.9757082713690211E-3</v>
      </c>
      <c r="AQ71" s="936">
        <f t="shared" si="169"/>
        <v>2.0514162069370104E-3</v>
      </c>
      <c r="AR71" s="936">
        <f t="shared" ref="AR71:AS71" si="170">AR11/AR$50</f>
        <v>2.3049226217459785E-3</v>
      </c>
      <c r="AS71" s="936">
        <f t="shared" si="170"/>
        <v>1.7041581627702943E-3</v>
      </c>
      <c r="AT71" s="936"/>
      <c r="AU71" s="936">
        <f t="shared" ref="AU71:BG71" si="171">AU11/AU$55</f>
        <v>5.9670505342240596E-2</v>
      </c>
      <c r="AV71" s="936">
        <f t="shared" si="171"/>
        <v>5.6262493227242111E-2</v>
      </c>
      <c r="AW71" s="936">
        <f t="shared" si="171"/>
        <v>5.9392774004748496E-2</v>
      </c>
      <c r="AX71" s="936">
        <f t="shared" si="171"/>
        <v>8.0017806565223101E-2</v>
      </c>
      <c r="AY71" s="936">
        <f t="shared" si="171"/>
        <v>9.0513135824035668E-2</v>
      </c>
      <c r="AZ71" s="936">
        <f t="shared" si="171"/>
        <v>9.9345284664771341E-2</v>
      </c>
      <c r="BA71" s="936">
        <f t="shared" si="171"/>
        <v>8.5881495490382168E-2</v>
      </c>
      <c r="BB71" s="936" t="e">
        <f t="shared" si="171"/>
        <v>#DIV/0!</v>
      </c>
      <c r="BC71" s="936" t="e">
        <f t="shared" si="171"/>
        <v>#DIV/0!</v>
      </c>
      <c r="BD71" s="936" t="e">
        <f t="shared" si="171"/>
        <v>#DIV/0!</v>
      </c>
      <c r="BE71" s="936" t="e">
        <f t="shared" si="171"/>
        <v>#DIV/0!</v>
      </c>
      <c r="BF71" s="936" t="e">
        <f t="shared" si="171"/>
        <v>#DIV/0!</v>
      </c>
      <c r="BG71" s="936" t="e">
        <f t="shared" si="171"/>
        <v>#DIV/0!</v>
      </c>
      <c r="BH71" s="936">
        <f t="shared" ref="BH71:BI76" si="172">BH11/BH$55</f>
        <v>8.1591889582223465E-2</v>
      </c>
      <c r="BI71" s="936">
        <f t="shared" si="172"/>
        <v>5.4827423167848693E-2</v>
      </c>
      <c r="BJ71" s="4"/>
      <c r="BL71" s="936">
        <f t="shared" ref="BL71:BX71" si="173">BL11/BL$55</f>
        <v>5.863969658659924E-2</v>
      </c>
      <c r="BM71" s="936">
        <f t="shared" si="173"/>
        <v>7.1469953775038522E-2</v>
      </c>
      <c r="BN71" s="936">
        <f t="shared" si="173"/>
        <v>5.595174909529553E-2</v>
      </c>
      <c r="BO71" s="936">
        <f t="shared" si="173"/>
        <v>5.5817087845968706E-2</v>
      </c>
      <c r="BP71" s="936">
        <f t="shared" si="173"/>
        <v>5.595174909529553E-2</v>
      </c>
      <c r="BQ71" s="936">
        <f t="shared" si="173"/>
        <v>5.4827423167848693E-2</v>
      </c>
      <c r="BR71" s="936">
        <f t="shared" si="173"/>
        <v>5.3561200923787529E-2</v>
      </c>
      <c r="BS71" s="936">
        <f t="shared" si="173"/>
        <v>5.3070938215102975E-2</v>
      </c>
      <c r="BT71" s="936">
        <f t="shared" si="173"/>
        <v>5.3253731343283581E-2</v>
      </c>
      <c r="BU71" s="936">
        <f t="shared" si="173"/>
        <v>5.2949771689497716E-2</v>
      </c>
      <c r="BV71" s="936">
        <f t="shared" si="173"/>
        <v>5.3685185185185183E-2</v>
      </c>
      <c r="BW71" s="936">
        <f t="shared" si="173"/>
        <v>5.3070938215102975E-2</v>
      </c>
      <c r="BX71" s="936">
        <f t="shared" si="173"/>
        <v>5.566080000000001E-2</v>
      </c>
    </row>
    <row r="72" spans="1:76" x14ac:dyDescent="0.3">
      <c r="A72" s="3">
        <f t="shared" si="125"/>
        <v>9</v>
      </c>
      <c r="B72" s="3" t="s">
        <v>96</v>
      </c>
      <c r="C72" s="3" t="s">
        <v>49</v>
      </c>
      <c r="D72" s="25" t="s">
        <v>32</v>
      </c>
      <c r="E72" s="3" t="s">
        <v>114</v>
      </c>
      <c r="F72" s="15">
        <f t="shared" si="153"/>
        <v>7.4260119337526817E-3</v>
      </c>
      <c r="G72" s="15">
        <f t="shared" si="154"/>
        <v>5.5033575757710753E-3</v>
      </c>
      <c r="H72" s="15">
        <f t="shared" si="155"/>
        <v>4.5188886287576236E-3</v>
      </c>
      <c r="I72" s="15">
        <f t="shared" si="156"/>
        <v>5.2365589480921288E-3</v>
      </c>
      <c r="J72" s="15">
        <f t="shared" si="157"/>
        <v>4.3117218865045947E-3</v>
      </c>
      <c r="K72" s="15">
        <f t="shared" si="158"/>
        <v>4.9088701424873137E-3</v>
      </c>
      <c r="L72" s="15">
        <f t="shared" si="159"/>
        <v>4.2506864343119762E-3</v>
      </c>
      <c r="M72" s="15">
        <f t="shared" si="160"/>
        <v>4.4793097528816059E-3</v>
      </c>
      <c r="N72" s="15">
        <f t="shared" si="161"/>
        <v>2.1162714569528796E-4</v>
      </c>
      <c r="O72" s="15">
        <f t="shared" si="162"/>
        <v>2.4131862867358307E-3</v>
      </c>
      <c r="P72" s="15">
        <f t="shared" si="163"/>
        <v>3.2395038523852732E-4</v>
      </c>
      <c r="Q72" s="15">
        <f t="shared" si="164"/>
        <v>2.5013102617231546E-4</v>
      </c>
      <c r="R72" s="936">
        <f t="shared" si="165"/>
        <v>9.7915120464554473E-2</v>
      </c>
      <c r="S72" s="15">
        <f t="shared" ref="S72:AC72" si="174">S12/S$50</f>
        <v>5.3537248005912199E-3</v>
      </c>
      <c r="T72" s="15">
        <f t="shared" si="174"/>
        <v>2.827061912181802E-3</v>
      </c>
      <c r="U72" s="15">
        <f t="shared" si="174"/>
        <v>4.0578226091172349E-3</v>
      </c>
      <c r="V72" s="15">
        <f t="shared" si="174"/>
        <v>8.8562694905193994E-3</v>
      </c>
      <c r="W72" s="15">
        <f t="shared" si="174"/>
        <v>3.0613564056070986E-3</v>
      </c>
      <c r="X72" s="15">
        <f t="shared" si="174"/>
        <v>6.3592340983907522E-3</v>
      </c>
      <c r="Y72" s="15">
        <f t="shared" si="174"/>
        <v>2.216428557818075E-3</v>
      </c>
      <c r="Z72" s="15">
        <f t="shared" si="174"/>
        <v>1.8509370905527281E-3</v>
      </c>
      <c r="AA72" s="15">
        <f t="shared" si="174"/>
        <v>1.6946644583119216E-3</v>
      </c>
      <c r="AB72" s="15">
        <f t="shared" si="174"/>
        <v>1.6082885817473448E-3</v>
      </c>
      <c r="AC72" s="15">
        <f t="shared" si="174"/>
        <v>0</v>
      </c>
      <c r="AD72" s="15"/>
      <c r="AE72" s="15"/>
      <c r="AF72" s="15">
        <f t="shared" si="167"/>
        <v>3.4496617805956677E-3</v>
      </c>
      <c r="AG72" s="936">
        <f t="shared" si="168"/>
        <v>9.7559065431160455E-2</v>
      </c>
      <c r="AH72" s="936">
        <f t="shared" ref="AH72:AQ72" si="175">AH12/AH$50</f>
        <v>4.4866587248680798E-3</v>
      </c>
      <c r="AI72" s="936">
        <f t="shared" si="175"/>
        <v>2.3875297653676644E-3</v>
      </c>
      <c r="AJ72" s="936">
        <f t="shared" si="175"/>
        <v>1.1594598774823663E-3</v>
      </c>
      <c r="AK72" s="936">
        <f t="shared" si="175"/>
        <v>3.6998914854283211E-3</v>
      </c>
      <c r="AL72" s="936">
        <f t="shared" si="175"/>
        <v>1.6265212962940224E-3</v>
      </c>
      <c r="AM72" s="936">
        <f t="shared" si="175"/>
        <v>1.7825862353638639E-3</v>
      </c>
      <c r="AN72" s="936">
        <f t="shared" si="175"/>
        <v>1.4211354605831803E-3</v>
      </c>
      <c r="AO72" s="936">
        <f t="shared" si="175"/>
        <v>2.1232227281339638E-3</v>
      </c>
      <c r="AP72" s="936">
        <f t="shared" si="175"/>
        <v>2.1585998699776066E-3</v>
      </c>
      <c r="AQ72" s="936">
        <f t="shared" si="175"/>
        <v>7.4866920396483849E-4</v>
      </c>
      <c r="AR72" s="936">
        <f t="shared" ref="AR72:AS72" si="176">AR12/AR$50</f>
        <v>1.7510779703949792E-3</v>
      </c>
      <c r="AS72" s="936">
        <f t="shared" si="176"/>
        <v>1.5506139012040063E-3</v>
      </c>
      <c r="AT72" s="936"/>
      <c r="AU72" s="936">
        <f t="shared" ref="AU72:BG72" si="177">AU12/AU$55</f>
        <v>6.1677890430856246E-2</v>
      </c>
      <c r="AV72" s="936">
        <f t="shared" si="177"/>
        <v>8.4805559426532937E-2</v>
      </c>
      <c r="AW72" s="936">
        <f t="shared" si="177"/>
        <v>0</v>
      </c>
      <c r="AX72" s="936">
        <f t="shared" si="177"/>
        <v>5.6845716860120458E-2</v>
      </c>
      <c r="AY72" s="936">
        <f t="shared" si="177"/>
        <v>5.5533142984208771E-2</v>
      </c>
      <c r="AZ72" s="936">
        <f t="shared" si="177"/>
        <v>5.8285262653360363E-2</v>
      </c>
      <c r="BA72" s="936">
        <f t="shared" si="177"/>
        <v>7.1810510613214945E-2</v>
      </c>
      <c r="BB72" s="936" t="e">
        <f t="shared" si="177"/>
        <v>#DIV/0!</v>
      </c>
      <c r="BC72" s="936" t="e">
        <f t="shared" si="177"/>
        <v>#DIV/0!</v>
      </c>
      <c r="BD72" s="936" t="e">
        <f t="shared" si="177"/>
        <v>#DIV/0!</v>
      </c>
      <c r="BE72" s="936" t="e">
        <f t="shared" si="177"/>
        <v>#DIV/0!</v>
      </c>
      <c r="BF72" s="936" t="e">
        <f t="shared" si="177"/>
        <v>#DIV/0!</v>
      </c>
      <c r="BG72" s="936" t="e">
        <f t="shared" si="177"/>
        <v>#DIV/0!</v>
      </c>
      <c r="BH72" s="936">
        <f t="shared" si="172"/>
        <v>5.8543868427469337E-2</v>
      </c>
      <c r="BI72" s="936">
        <f t="shared" si="172"/>
        <v>6.7380540564714125E-2</v>
      </c>
      <c r="BJ72" s="4"/>
      <c r="BL72" s="936">
        <f t="shared" ref="BL72:BX72" si="178">BL12/BL$55</f>
        <v>6.5469524436161303E-2</v>
      </c>
      <c r="BM72" s="936">
        <f t="shared" si="178"/>
        <v>7.6236381204979581E-2</v>
      </c>
      <c r="BN72" s="936">
        <f t="shared" si="178"/>
        <v>6.72134480926279E-2</v>
      </c>
      <c r="BO72" s="936">
        <f t="shared" si="178"/>
        <v>6.8596795809564556E-2</v>
      </c>
      <c r="BP72" s="936">
        <f t="shared" si="178"/>
        <v>6.72134480926279E-2</v>
      </c>
      <c r="BQ72" s="936">
        <f t="shared" si="178"/>
        <v>6.7380540564714125E-2</v>
      </c>
      <c r="BR72" s="936">
        <f t="shared" si="178"/>
        <v>6.5822926745933596E-2</v>
      </c>
      <c r="BS72" s="936">
        <f t="shared" si="178"/>
        <v>6.5220428560616134E-2</v>
      </c>
      <c r="BT72" s="936">
        <f t="shared" si="178"/>
        <v>6.6968312607016203E-2</v>
      </c>
      <c r="BU72" s="936">
        <f t="shared" si="178"/>
        <v>6.5071523472578191E-2</v>
      </c>
      <c r="BV72" s="936">
        <f t="shared" si="178"/>
        <v>6.7510879954526759E-2</v>
      </c>
      <c r="BW72" s="936">
        <f t="shared" si="178"/>
        <v>6.5220428560616134E-2</v>
      </c>
      <c r="BX72" s="936">
        <f t="shared" si="178"/>
        <v>6.7138099561344491E-2</v>
      </c>
    </row>
    <row r="73" spans="1:76" x14ac:dyDescent="0.3">
      <c r="A73" s="3">
        <f t="shared" si="125"/>
        <v>10</v>
      </c>
      <c r="B73" s="3" t="s">
        <v>96</v>
      </c>
      <c r="C73" s="25" t="s">
        <v>53</v>
      </c>
      <c r="D73" s="25" t="s">
        <v>53</v>
      </c>
      <c r="E73" s="3" t="s">
        <v>114</v>
      </c>
      <c r="F73" s="15">
        <f t="shared" si="153"/>
        <v>5.4349911633906692E-3</v>
      </c>
      <c r="G73" s="15">
        <f t="shared" si="154"/>
        <v>4.191475327718644E-3</v>
      </c>
      <c r="H73" s="15">
        <f t="shared" si="155"/>
        <v>8.0730755952120748E-3</v>
      </c>
      <c r="I73" s="15">
        <f t="shared" si="156"/>
        <v>7.7593578946533893E-3</v>
      </c>
      <c r="J73" s="15">
        <f t="shared" si="157"/>
        <v>4.6756387897215704E-3</v>
      </c>
      <c r="K73" s="15">
        <f t="shared" si="158"/>
        <v>5.129057802829593E-3</v>
      </c>
      <c r="L73" s="15">
        <f t="shared" si="159"/>
        <v>3.3805729601483507E-3</v>
      </c>
      <c r="M73" s="15">
        <f t="shared" si="160"/>
        <v>2.2687884331249572E-3</v>
      </c>
      <c r="N73" s="15">
        <f t="shared" si="161"/>
        <v>3.7506186696504486E-3</v>
      </c>
      <c r="O73" s="15">
        <f t="shared" si="162"/>
        <v>2.8086587523578465E-3</v>
      </c>
      <c r="P73" s="15">
        <f t="shared" si="163"/>
        <v>2.6800879109369368E-3</v>
      </c>
      <c r="Q73" s="15">
        <f t="shared" si="164"/>
        <v>2.3729670611891051E-3</v>
      </c>
      <c r="R73" s="936">
        <f t="shared" si="165"/>
        <v>0.12312496242643287</v>
      </c>
      <c r="S73" s="15">
        <f t="shared" ref="S73:AC73" si="179">S13/S$50</f>
        <v>1.4660460187626778E-3</v>
      </c>
      <c r="T73" s="15">
        <f t="shared" si="179"/>
        <v>1.6894890469239105E-3</v>
      </c>
      <c r="U73" s="15">
        <f t="shared" si="179"/>
        <v>1.0215645023154971E-3</v>
      </c>
      <c r="V73" s="15">
        <f t="shared" si="179"/>
        <v>1.7781519427402302E-3</v>
      </c>
      <c r="W73" s="15">
        <f t="shared" si="179"/>
        <v>2.5124258784918921E-3</v>
      </c>
      <c r="X73" s="15">
        <f t="shared" si="179"/>
        <v>3.0276510796149328E-3</v>
      </c>
      <c r="Y73" s="15">
        <f t="shared" si="179"/>
        <v>2.879467732891217E-3</v>
      </c>
      <c r="Z73" s="15">
        <f t="shared" si="179"/>
        <v>2.9896808685839832E-3</v>
      </c>
      <c r="AA73" s="15">
        <f t="shared" si="179"/>
        <v>1.5471518708735554E-3</v>
      </c>
      <c r="AB73" s="15">
        <f t="shared" si="179"/>
        <v>2.2762267303534757E-3</v>
      </c>
      <c r="AC73" s="15">
        <f t="shared" si="179"/>
        <v>2.1672151527232721E-3</v>
      </c>
      <c r="AD73" s="15"/>
      <c r="AE73" s="15"/>
      <c r="AF73" s="15">
        <f t="shared" si="167"/>
        <v>2.1337743666027501E-3</v>
      </c>
      <c r="AG73" s="936">
        <f t="shared" si="168"/>
        <v>6.0344766034073405E-2</v>
      </c>
      <c r="AH73" s="936">
        <f t="shared" ref="AH73:AQ73" si="180">AH13/AH$50</f>
        <v>3.0102905179322649E-3</v>
      </c>
      <c r="AI73" s="936">
        <f t="shared" si="180"/>
        <v>1.9914681450889644E-3</v>
      </c>
      <c r="AJ73" s="936">
        <f t="shared" si="180"/>
        <v>2.0883460543406618E-3</v>
      </c>
      <c r="AK73" s="936">
        <f t="shared" si="180"/>
        <v>1.5862170804354298E-3</v>
      </c>
      <c r="AL73" s="936">
        <f t="shared" si="180"/>
        <v>2.0779309067402926E-3</v>
      </c>
      <c r="AM73" s="936">
        <f t="shared" si="180"/>
        <v>2.4326964583606891E-3</v>
      </c>
      <c r="AN73" s="936">
        <f t="shared" si="180"/>
        <v>3.4026576451808583E-3</v>
      </c>
      <c r="AO73" s="936">
        <f t="shared" si="180"/>
        <v>3.1364178015359247E-3</v>
      </c>
      <c r="AP73" s="936">
        <f t="shared" si="180"/>
        <v>3.2184175834797939E-3</v>
      </c>
      <c r="AQ73" s="936">
        <f t="shared" si="180"/>
        <v>4.4344202549319632E-3</v>
      </c>
      <c r="AR73" s="936">
        <f t="shared" ref="AR73:AS73" si="181">AR13/AR$50</f>
        <v>2.1150272623924721E-3</v>
      </c>
      <c r="AS73" s="936">
        <f t="shared" si="181"/>
        <v>2.5050143522294148E-3</v>
      </c>
      <c r="AT73" s="936"/>
      <c r="AU73" s="936">
        <f t="shared" ref="AU73:BG73" si="182">AU13/AU$55</f>
        <v>8.2818258735924938E-2</v>
      </c>
      <c r="AV73" s="936">
        <f t="shared" si="182"/>
        <v>8.7970545943766215E-2</v>
      </c>
      <c r="AW73" s="936">
        <f t="shared" si="182"/>
        <v>4.4184172050135272E-2</v>
      </c>
      <c r="AX73" s="936">
        <f t="shared" si="182"/>
        <v>8.1501785143039282E-2</v>
      </c>
      <c r="AY73" s="936">
        <f t="shared" si="182"/>
        <v>0.1048695744218444</v>
      </c>
      <c r="AZ73" s="936">
        <f t="shared" si="182"/>
        <v>0.10735032685887591</v>
      </c>
      <c r="BA73" s="936">
        <f t="shared" si="182"/>
        <v>0.10463956804199133</v>
      </c>
      <c r="BB73" s="936" t="e">
        <f t="shared" si="182"/>
        <v>#DIV/0!</v>
      </c>
      <c r="BC73" s="936" t="e">
        <f t="shared" si="182"/>
        <v>#DIV/0!</v>
      </c>
      <c r="BD73" s="936" t="e">
        <f t="shared" si="182"/>
        <v>#DIV/0!</v>
      </c>
      <c r="BE73" s="936" t="e">
        <f t="shared" si="182"/>
        <v>#DIV/0!</v>
      </c>
      <c r="BF73" s="936" t="e">
        <f t="shared" si="182"/>
        <v>#DIV/0!</v>
      </c>
      <c r="BG73" s="936" t="e">
        <f t="shared" si="182"/>
        <v>#DIV/0!</v>
      </c>
      <c r="BH73" s="936">
        <f t="shared" si="172"/>
        <v>9.2858541761157209E-2</v>
      </c>
      <c r="BI73" s="936">
        <f t="shared" si="172"/>
        <v>0.11155619460618307</v>
      </c>
      <c r="BJ73" s="4"/>
      <c r="BL73" s="936">
        <f t="shared" ref="BL73:BX73" si="183">BL13/BL$55</f>
        <v>0.11440967467187646</v>
      </c>
      <c r="BM73" s="936">
        <f t="shared" si="183"/>
        <v>0.11155383995741668</v>
      </c>
      <c r="BN73" s="936">
        <f t="shared" si="183"/>
        <v>0.11384383671511566</v>
      </c>
      <c r="BO73" s="936">
        <f t="shared" si="183"/>
        <v>0.11356984432831635</v>
      </c>
      <c r="BP73" s="936">
        <f t="shared" si="183"/>
        <v>0.11384383671511566</v>
      </c>
      <c r="BQ73" s="936">
        <f t="shared" si="183"/>
        <v>0.11155619460618307</v>
      </c>
      <c r="BR73" s="936">
        <f t="shared" si="183"/>
        <v>0.11475571741849341</v>
      </c>
      <c r="BS73" s="936">
        <f t="shared" si="183"/>
        <v>0.11370532183571544</v>
      </c>
      <c r="BT73" s="936">
        <f t="shared" si="183"/>
        <v>0.11409695899473626</v>
      </c>
      <c r="BU73" s="936">
        <f t="shared" si="183"/>
        <v>0.11344572064430969</v>
      </c>
      <c r="BV73" s="936">
        <f t="shared" si="183"/>
        <v>0.11502135565325844</v>
      </c>
      <c r="BW73" s="936">
        <f t="shared" si="183"/>
        <v>0.11370532183571544</v>
      </c>
      <c r="BX73" s="936">
        <f t="shared" si="183"/>
        <v>0.11366733650516331</v>
      </c>
    </row>
    <row r="74" spans="1:76" x14ac:dyDescent="0.3">
      <c r="A74" s="3">
        <f t="shared" si="125"/>
        <v>11</v>
      </c>
      <c r="B74" s="3" t="s">
        <v>96</v>
      </c>
      <c r="C74" s="3" t="s">
        <v>49</v>
      </c>
      <c r="D74" s="25" t="s">
        <v>33</v>
      </c>
      <c r="E74" s="3" t="s">
        <v>114</v>
      </c>
      <c r="F74" s="15">
        <f t="shared" si="153"/>
        <v>1.7261001149665881E-3</v>
      </c>
      <c r="G74" s="15">
        <f t="shared" si="154"/>
        <v>3.9979744926147221E-3</v>
      </c>
      <c r="H74" s="15">
        <f t="shared" si="155"/>
        <v>3.1047927998863571E-3</v>
      </c>
      <c r="I74" s="15">
        <f t="shared" si="156"/>
        <v>5.2403476998236047E-4</v>
      </c>
      <c r="J74" s="15">
        <f t="shared" si="157"/>
        <v>4.3220909217153731E-3</v>
      </c>
      <c r="K74" s="15">
        <f t="shared" si="158"/>
        <v>6.7341491634549016E-3</v>
      </c>
      <c r="L74" s="15">
        <f t="shared" si="159"/>
        <v>4.0055527920299814E-3</v>
      </c>
      <c r="M74" s="15">
        <f t="shared" si="160"/>
        <v>2.4682771893483925E-3</v>
      </c>
      <c r="N74" s="15">
        <f t="shared" si="161"/>
        <v>2.547285371165968E-3</v>
      </c>
      <c r="O74" s="15">
        <f t="shared" si="162"/>
        <v>3.8041089394037766E-3</v>
      </c>
      <c r="P74" s="15">
        <f t="shared" si="163"/>
        <v>1.5675422529751611E-3</v>
      </c>
      <c r="Q74" s="15">
        <f t="shared" si="164"/>
        <v>3.1450061481561888E-3</v>
      </c>
      <c r="R74" s="936">
        <f t="shared" si="165"/>
        <v>9.54571708654635E-2</v>
      </c>
      <c r="S74" s="15">
        <f t="shared" ref="S74:AC74" si="184">S14/S$50</f>
        <v>1.4768281267498135E-3</v>
      </c>
      <c r="T74" s="15">
        <f t="shared" si="184"/>
        <v>1.1984875944889932E-3</v>
      </c>
      <c r="U74" s="15">
        <f t="shared" si="184"/>
        <v>1.1876835003263621E-3</v>
      </c>
      <c r="V74" s="15">
        <f t="shared" si="184"/>
        <v>5.818789249136991E-4</v>
      </c>
      <c r="W74" s="15">
        <f t="shared" si="184"/>
        <v>2.731455670340732E-3</v>
      </c>
      <c r="X74" s="15">
        <f t="shared" si="184"/>
        <v>1.4129225524307295E-3</v>
      </c>
      <c r="Y74" s="15">
        <f t="shared" si="184"/>
        <v>2.0115099976930253E-3</v>
      </c>
      <c r="Z74" s="15">
        <f t="shared" si="184"/>
        <v>2.9214398267865139E-3</v>
      </c>
      <c r="AA74" s="15">
        <f t="shared" si="184"/>
        <v>2.2570458794240961E-3</v>
      </c>
      <c r="AB74" s="15">
        <f t="shared" si="184"/>
        <v>1.4141721640444375E-3</v>
      </c>
      <c r="AC74" s="15">
        <f t="shared" si="184"/>
        <v>1.2680838407994372E-3</v>
      </c>
      <c r="AD74" s="15"/>
      <c r="AE74" s="15"/>
      <c r="AF74" s="15">
        <f t="shared" si="167"/>
        <v>1.5775538259889474E-3</v>
      </c>
      <c r="AG74" s="936">
        <f t="shared" si="168"/>
        <v>4.4614425042056684E-2</v>
      </c>
      <c r="AH74" s="936">
        <f t="shared" ref="AH74:AQ74" si="185">AH14/AH$50</f>
        <v>7.7522374168089781E-4</v>
      </c>
      <c r="AI74" s="936">
        <f t="shared" si="185"/>
        <v>9.894402947694214E-4</v>
      </c>
      <c r="AJ74" s="936">
        <f t="shared" si="185"/>
        <v>1.4882105406596388E-3</v>
      </c>
      <c r="AK74" s="936">
        <f t="shared" si="185"/>
        <v>1.7946846245254443E-3</v>
      </c>
      <c r="AL74" s="936">
        <f t="shared" si="185"/>
        <v>1.3054281798432407E-3</v>
      </c>
      <c r="AM74" s="936">
        <f t="shared" si="185"/>
        <v>1.2874148729584034E-3</v>
      </c>
      <c r="AN74" s="936">
        <f t="shared" si="185"/>
        <v>1.4019845296500332E-3</v>
      </c>
      <c r="AO74" s="936">
        <f t="shared" si="185"/>
        <v>1.4444202252460745E-3</v>
      </c>
      <c r="AP74" s="936">
        <f t="shared" si="185"/>
        <v>1.1549457938467122E-3</v>
      </c>
      <c r="AQ74" s="936">
        <f t="shared" si="185"/>
        <v>1.290850276529483E-3</v>
      </c>
      <c r="AR74" s="936">
        <f t="shared" ref="AR74:AS74" si="186">AR14/AR$50</f>
        <v>1.4364995683950378E-3</v>
      </c>
      <c r="AS74" s="936">
        <f t="shared" si="186"/>
        <v>1.2574815236222349E-3</v>
      </c>
      <c r="AT74" s="936"/>
      <c r="AU74" s="936">
        <f t="shared" ref="AU74:BG74" si="187">AU14/AU$55</f>
        <v>4.1214849257190316E-2</v>
      </c>
      <c r="AV74" s="936">
        <f t="shared" si="187"/>
        <v>5.032482900665549E-2</v>
      </c>
      <c r="AW74" s="936">
        <f t="shared" si="187"/>
        <v>4.0177918392137371E-2</v>
      </c>
      <c r="AX74" s="936">
        <f t="shared" si="187"/>
        <v>4.7823731992300958E-2</v>
      </c>
      <c r="AY74" s="936">
        <f t="shared" si="187"/>
        <v>4.1448323718171823E-2</v>
      </c>
      <c r="AZ74" s="936">
        <f t="shared" si="187"/>
        <v>3.6779200330004161E-2</v>
      </c>
      <c r="BA74" s="936">
        <f t="shared" si="187"/>
        <v>3.4658958223658103E-2</v>
      </c>
      <c r="BB74" s="936" t="e">
        <f t="shared" si="187"/>
        <v>#DIV/0!</v>
      </c>
      <c r="BC74" s="936" t="e">
        <f t="shared" si="187"/>
        <v>#DIV/0!</v>
      </c>
      <c r="BD74" s="936" t="e">
        <f t="shared" si="187"/>
        <v>#DIV/0!</v>
      </c>
      <c r="BE74" s="936" t="e">
        <f t="shared" si="187"/>
        <v>#DIV/0!</v>
      </c>
      <c r="BF74" s="936" t="e">
        <f t="shared" si="187"/>
        <v>#DIV/0!</v>
      </c>
      <c r="BG74" s="936" t="e">
        <f t="shared" si="187"/>
        <v>#DIV/0!</v>
      </c>
      <c r="BH74" s="936">
        <f t="shared" si="172"/>
        <v>4.1785757535128844E-2</v>
      </c>
      <c r="BI74" s="936">
        <f t="shared" si="172"/>
        <v>4.9044746162332543E-2</v>
      </c>
      <c r="BJ74" s="4"/>
      <c r="BL74" s="936">
        <f t="shared" ref="BL74:BX74" si="188">BL14/BL$55</f>
        <v>4.9463681792205325E-2</v>
      </c>
      <c r="BM74" s="936">
        <f t="shared" si="188"/>
        <v>5.6212845385574875E-2</v>
      </c>
      <c r="BN74" s="936">
        <f t="shared" si="188"/>
        <v>4.8152388078394753E-2</v>
      </c>
      <c r="BO74" s="936">
        <f t="shared" si="188"/>
        <v>4.9367623650220613E-2</v>
      </c>
      <c r="BP74" s="936">
        <f t="shared" si="188"/>
        <v>4.8152388078394753E-2</v>
      </c>
      <c r="BQ74" s="936">
        <f t="shared" si="188"/>
        <v>4.9044746162332543E-2</v>
      </c>
      <c r="BR74" s="936">
        <f t="shared" si="188"/>
        <v>4.7351428191412755E-2</v>
      </c>
      <c r="BS74" s="936">
        <f t="shared" si="188"/>
        <v>4.6711010601117112E-2</v>
      </c>
      <c r="BT74" s="936">
        <f t="shared" si="188"/>
        <v>4.8713186283964795E-2</v>
      </c>
      <c r="BU74" s="936">
        <f t="shared" si="188"/>
        <v>4.6810886773702563E-2</v>
      </c>
      <c r="BV74" s="936">
        <f t="shared" si="188"/>
        <v>4.8350557006172842E-2</v>
      </c>
      <c r="BW74" s="936">
        <f t="shared" si="188"/>
        <v>4.6711010601117112E-2</v>
      </c>
      <c r="BX74" s="936">
        <f t="shared" si="188"/>
        <v>4.8582850555846387E-2</v>
      </c>
    </row>
    <row r="75" spans="1:76" x14ac:dyDescent="0.3">
      <c r="A75" s="3">
        <f t="shared" si="125"/>
        <v>12</v>
      </c>
      <c r="B75" s="3" t="s">
        <v>96</v>
      </c>
      <c r="C75" s="3" t="s">
        <v>52</v>
      </c>
      <c r="D75" s="25" t="s">
        <v>24</v>
      </c>
      <c r="E75" s="3" t="s">
        <v>114</v>
      </c>
      <c r="F75" s="15">
        <f t="shared" si="153"/>
        <v>4.2707036426157374E-3</v>
      </c>
      <c r="G75" s="15">
        <f t="shared" si="154"/>
        <v>3.0176016711053796E-3</v>
      </c>
      <c r="H75" s="15">
        <f t="shared" si="155"/>
        <v>2.3678259457689393E-3</v>
      </c>
      <c r="I75" s="15">
        <f t="shared" si="156"/>
        <v>2.4369445264354234E-3</v>
      </c>
      <c r="J75" s="15">
        <f t="shared" si="157"/>
        <v>2.6049807036574004E-3</v>
      </c>
      <c r="K75" s="15">
        <f t="shared" si="158"/>
        <v>1.9076616931618367E-3</v>
      </c>
      <c r="L75" s="15">
        <f t="shared" si="159"/>
        <v>1.8148991388947265E-3</v>
      </c>
      <c r="M75" s="15">
        <f t="shared" si="160"/>
        <v>2.0543230985387703E-3</v>
      </c>
      <c r="N75" s="15">
        <f t="shared" si="161"/>
        <v>2.3206635821472958E-3</v>
      </c>
      <c r="O75" s="15">
        <f t="shared" si="162"/>
        <v>1.9172186907230552E-3</v>
      </c>
      <c r="P75" s="15">
        <f t="shared" si="163"/>
        <v>2.1921084189534391E-3</v>
      </c>
      <c r="Q75" s="15">
        <f t="shared" si="164"/>
        <v>1.3535929672587022E-3</v>
      </c>
      <c r="R75" s="936">
        <f t="shared" si="165"/>
        <v>6.5697715190336167E-2</v>
      </c>
      <c r="S75" s="15">
        <f t="shared" ref="S75:AC75" si="189">S15/S$50</f>
        <v>1.1169052541304598E-3</v>
      </c>
      <c r="T75" s="15">
        <f t="shared" si="189"/>
        <v>1.3832039851073776E-3</v>
      </c>
      <c r="U75" s="15">
        <f t="shared" si="189"/>
        <v>1.0901564021492745E-3</v>
      </c>
      <c r="V75" s="15">
        <f t="shared" si="189"/>
        <v>1.2002064773045981E-3</v>
      </c>
      <c r="W75" s="15">
        <f t="shared" si="189"/>
        <v>1.076078029701593E-3</v>
      </c>
      <c r="X75" s="15">
        <f t="shared" si="189"/>
        <v>1.3629221049548416E-3</v>
      </c>
      <c r="Y75" s="15">
        <f t="shared" si="189"/>
        <v>1.5750117143313157E-3</v>
      </c>
      <c r="Z75" s="15">
        <f t="shared" si="189"/>
        <v>1.4004381191580965E-3</v>
      </c>
      <c r="AA75" s="15">
        <f t="shared" si="189"/>
        <v>1.064263070365273E-3</v>
      </c>
      <c r="AB75" s="15">
        <f t="shared" si="189"/>
        <v>1.0606442612998424E-3</v>
      </c>
      <c r="AC75" s="15">
        <f t="shared" si="189"/>
        <v>1.1233504168935366E-3</v>
      </c>
      <c r="AD75" s="15"/>
      <c r="AE75" s="15"/>
      <c r="AF75" s="15">
        <f t="shared" si="167"/>
        <v>1.1951830574859676E-3</v>
      </c>
      <c r="AG75" s="936">
        <f t="shared" si="168"/>
        <v>3.3800688161189509E-2</v>
      </c>
      <c r="AH75" s="936">
        <f t="shared" ref="AH75:AQ75" si="190">AH15/AH$50</f>
        <v>1.3104327227428897E-3</v>
      </c>
      <c r="AI75" s="936">
        <f t="shared" si="190"/>
        <v>1.4829532105925176E-3</v>
      </c>
      <c r="AJ75" s="936">
        <f t="shared" si="190"/>
        <v>8.9337529826101557E-4</v>
      </c>
      <c r="AK75" s="936">
        <f t="shared" si="190"/>
        <v>1.0021976567492564E-3</v>
      </c>
      <c r="AL75" s="936">
        <f t="shared" si="190"/>
        <v>1.1710042579351314E-3</v>
      </c>
      <c r="AM75" s="936">
        <f t="shared" si="190"/>
        <v>1.2455545069490069E-3</v>
      </c>
      <c r="AN75" s="936">
        <f t="shared" si="190"/>
        <v>1.1993939111452836E-3</v>
      </c>
      <c r="AO75" s="936">
        <f t="shared" si="190"/>
        <v>1.5061329766853217E-3</v>
      </c>
      <c r="AP75" s="936">
        <f t="shared" si="190"/>
        <v>1.2928880494660158E-3</v>
      </c>
      <c r="AQ75" s="936">
        <f t="shared" si="190"/>
        <v>1.7985073742117707E-3</v>
      </c>
      <c r="AR75" s="936">
        <f t="shared" ref="AR75:AS75" si="191">AR15/AR$50</f>
        <v>1.6863391110740068E-3</v>
      </c>
      <c r="AS75" s="936">
        <f t="shared" si="191"/>
        <v>1.2222935505473878E-3</v>
      </c>
      <c r="AT75" s="936"/>
      <c r="AU75" s="936">
        <f t="shared" ref="AU75:BG75" si="192">AU15/AU$55</f>
        <v>4.014621582572539E-2</v>
      </c>
      <c r="AV75" s="936">
        <f t="shared" si="192"/>
        <v>3.8964302500279539E-2</v>
      </c>
      <c r="AW75" s="936">
        <f t="shared" si="192"/>
        <v>4.3897741703936836E-2</v>
      </c>
      <c r="AX75" s="936">
        <f t="shared" si="192"/>
        <v>2.4758423260347207E-2</v>
      </c>
      <c r="AY75" s="936">
        <f t="shared" si="192"/>
        <v>2.8485416535954381E-2</v>
      </c>
      <c r="AZ75" s="936">
        <f t="shared" si="192"/>
        <v>3.4816440753732171E-2</v>
      </c>
      <c r="BA75" s="936">
        <f t="shared" si="192"/>
        <v>3.9387297379177642E-2</v>
      </c>
      <c r="BB75" s="936" t="e">
        <f t="shared" si="192"/>
        <v>#DIV/0!</v>
      </c>
      <c r="BC75" s="936" t="e">
        <f t="shared" si="192"/>
        <v>#DIV/0!</v>
      </c>
      <c r="BD75" s="936" t="e">
        <f t="shared" si="192"/>
        <v>#DIV/0!</v>
      </c>
      <c r="BE75" s="936" t="e">
        <f t="shared" si="192"/>
        <v>#DIV/0!</v>
      </c>
      <c r="BF75" s="936" t="e">
        <f t="shared" si="192"/>
        <v>#DIV/0!</v>
      </c>
      <c r="BG75" s="936" t="e">
        <f t="shared" si="192"/>
        <v>#DIV/0!</v>
      </c>
      <c r="BH75" s="936">
        <f t="shared" si="172"/>
        <v>3.3644337311773596E-2</v>
      </c>
      <c r="BI75" s="936">
        <f t="shared" si="172"/>
        <v>5.2308184410685576E-2</v>
      </c>
      <c r="BJ75" s="4"/>
      <c r="BL75" s="936">
        <f t="shared" ref="BL75:BX75" si="193">BL15/BL$55</f>
        <v>5.5651580176283195E-2</v>
      </c>
      <c r="BM75" s="936">
        <f t="shared" si="193"/>
        <v>5.2627001418058567E-2</v>
      </c>
      <c r="BN75" s="936">
        <f t="shared" si="193"/>
        <v>5.3100603039131493E-2</v>
      </c>
      <c r="BO75" s="936">
        <f t="shared" si="193"/>
        <v>5.3051616981275578E-2</v>
      </c>
      <c r="BP75" s="936">
        <f t="shared" si="193"/>
        <v>5.3434828906441509E-2</v>
      </c>
      <c r="BQ75" s="936">
        <f t="shared" si="193"/>
        <v>5.2308184410685576E-2</v>
      </c>
      <c r="BR75" s="936">
        <f t="shared" si="193"/>
        <v>5.2065835426605103E-2</v>
      </c>
      <c r="BS75" s="936">
        <f t="shared" si="193"/>
        <v>5.1589260273958833E-2</v>
      </c>
      <c r="BT75" s="936">
        <f t="shared" si="193"/>
        <v>5.1855753560780718E-2</v>
      </c>
      <c r="BU75" s="936">
        <f t="shared" si="193"/>
        <v>5.1452175273333352E-2</v>
      </c>
      <c r="BV75" s="936">
        <f t="shared" si="193"/>
        <v>5.2551291818796302E-2</v>
      </c>
      <c r="BW75" s="936">
        <f t="shared" si="193"/>
        <v>5.1569914804851277E-2</v>
      </c>
      <c r="BX75" s="936">
        <f t="shared" si="193"/>
        <v>5.2572473016616023E-2</v>
      </c>
    </row>
    <row r="76" spans="1:76" x14ac:dyDescent="0.3">
      <c r="A76" s="3">
        <f t="shared" si="125"/>
        <v>13</v>
      </c>
      <c r="B76" s="3" t="s">
        <v>96</v>
      </c>
      <c r="C76" s="3" t="s">
        <v>49</v>
      </c>
      <c r="D76" s="32" t="s">
        <v>35</v>
      </c>
      <c r="E76" s="3" t="s">
        <v>114</v>
      </c>
      <c r="F76" s="15">
        <f t="shared" si="153"/>
        <v>2.2404445893427893E-3</v>
      </c>
      <c r="G76" s="15">
        <f t="shared" si="154"/>
        <v>1.8504222318367998E-3</v>
      </c>
      <c r="H76" s="15">
        <f t="shared" si="155"/>
        <v>1.6893539869727639E-3</v>
      </c>
      <c r="I76" s="15">
        <f t="shared" si="156"/>
        <v>2.4684451908982066E-3</v>
      </c>
      <c r="J76" s="15">
        <f t="shared" si="157"/>
        <v>1.7585474762020934E-3</v>
      </c>
      <c r="K76" s="15">
        <f t="shared" si="158"/>
        <v>2.849577711000785E-3</v>
      </c>
      <c r="L76" s="15">
        <f t="shared" si="159"/>
        <v>2.1960084467423598E-3</v>
      </c>
      <c r="M76" s="15">
        <f t="shared" si="160"/>
        <v>1.9877935512668163E-3</v>
      </c>
      <c r="N76" s="15">
        <f t="shared" si="161"/>
        <v>2.0817629758077823E-3</v>
      </c>
      <c r="O76" s="15">
        <f t="shared" si="162"/>
        <v>1.8769608146696687E-3</v>
      </c>
      <c r="P76" s="15">
        <f t="shared" si="163"/>
        <v>2.5632814634491004E-3</v>
      </c>
      <c r="Q76" s="15">
        <f t="shared" si="164"/>
        <v>1.4147583038259292E-3</v>
      </c>
      <c r="R76" s="936">
        <f t="shared" si="165"/>
        <v>5.9936534083291283E-2</v>
      </c>
      <c r="S76" s="15">
        <f t="shared" ref="S76:AC76" si="194">S16/S$50</f>
        <v>1.2244776019079979E-3</v>
      </c>
      <c r="T76" s="15">
        <f t="shared" si="194"/>
        <v>1.6393616525679419E-3</v>
      </c>
      <c r="U76" s="15">
        <f t="shared" si="194"/>
        <v>1.0804405710011329E-3</v>
      </c>
      <c r="V76" s="15">
        <f t="shared" si="194"/>
        <v>1.0210827404846226E-3</v>
      </c>
      <c r="W76" s="15">
        <f t="shared" si="194"/>
        <v>9.8703840186992946E-4</v>
      </c>
      <c r="X76" s="15">
        <f t="shared" si="194"/>
        <v>1.1236203665718533E-3</v>
      </c>
      <c r="Y76" s="15">
        <f t="shared" si="194"/>
        <v>1.5263470565391572E-3</v>
      </c>
      <c r="Z76" s="15">
        <f t="shared" si="194"/>
        <v>1.5156811003298393E-3</v>
      </c>
      <c r="AA76" s="15">
        <f t="shared" si="194"/>
        <v>1.4488979411228962E-3</v>
      </c>
      <c r="AB76" s="15">
        <f t="shared" si="194"/>
        <v>1.3490784456942034E-3</v>
      </c>
      <c r="AC76" s="15">
        <f t="shared" si="194"/>
        <v>1.2350736018551039E-3</v>
      </c>
      <c r="AD76" s="15"/>
      <c r="AE76" s="15"/>
      <c r="AF76" s="15">
        <f t="shared" si="167"/>
        <v>1.2794286192574999E-3</v>
      </c>
      <c r="AG76" s="936">
        <f t="shared" si="168"/>
        <v>3.6183216883102241E-2</v>
      </c>
      <c r="AH76" s="936">
        <f t="shared" ref="AH76:AQ76" si="195">AH16/AH$50</f>
        <v>2.6681646554312811E-3</v>
      </c>
      <c r="AI76" s="936">
        <f t="shared" si="195"/>
        <v>2.1692818710419681E-3</v>
      </c>
      <c r="AJ76" s="936">
        <f t="shared" si="195"/>
        <v>1.5681384272635034E-3</v>
      </c>
      <c r="AK76" s="936">
        <f t="shared" si="195"/>
        <v>1.7127079052324022E-3</v>
      </c>
      <c r="AL76" s="936">
        <f t="shared" si="195"/>
        <v>1.5495730661975898E-3</v>
      </c>
      <c r="AM76" s="936">
        <f t="shared" si="195"/>
        <v>1.8331970032734457E-3</v>
      </c>
      <c r="AN76" s="936">
        <f t="shared" si="195"/>
        <v>1.6422133307310209E-3</v>
      </c>
      <c r="AO76" s="936">
        <f t="shared" si="195"/>
        <v>1.7203169127539756E-3</v>
      </c>
      <c r="AP76" s="936">
        <f t="shared" si="195"/>
        <v>1.6564558171664736E-3</v>
      </c>
      <c r="AQ76" s="936">
        <f t="shared" si="195"/>
        <v>1.9391453925841741E-3</v>
      </c>
      <c r="AR76" s="936">
        <f t="shared" ref="AR76:AS76" si="196">AR16/AR$50</f>
        <v>2.3529718530790459E-3</v>
      </c>
      <c r="AS76" s="936">
        <f t="shared" si="196"/>
        <v>1.6603428834512737E-3</v>
      </c>
      <c r="AT76" s="936"/>
      <c r="AU76" s="936">
        <f t="shared" ref="AU76:BG76" si="197">AU16/AU$55</f>
        <v>5.6178083231437116E-2</v>
      </c>
      <c r="AV76" s="936">
        <f t="shared" si="197"/>
        <v>5.7848970527729117E-2</v>
      </c>
      <c r="AW76" s="936">
        <f t="shared" si="197"/>
        <v>8.049990834299596E-2</v>
      </c>
      <c r="AX76" s="936">
        <f t="shared" si="197"/>
        <v>3.7697641470745689E-2</v>
      </c>
      <c r="AY76" s="936">
        <f t="shared" si="197"/>
        <v>3.3932599230247072E-2</v>
      </c>
      <c r="AZ76" s="936">
        <f t="shared" si="197"/>
        <v>4.0114710124636695E-2</v>
      </c>
      <c r="BA76" s="936">
        <f t="shared" si="197"/>
        <v>5.2421451463449717E-2</v>
      </c>
      <c r="BB76" s="936" t="e">
        <f t="shared" si="197"/>
        <v>#DIV/0!</v>
      </c>
      <c r="BC76" s="936" t="e">
        <f t="shared" si="197"/>
        <v>#DIV/0!</v>
      </c>
      <c r="BD76" s="936" t="e">
        <f t="shared" si="197"/>
        <v>#DIV/0!</v>
      </c>
      <c r="BE76" s="936" t="e">
        <f t="shared" si="197"/>
        <v>#DIV/0!</v>
      </c>
      <c r="BF76" s="936" t="e">
        <f t="shared" si="197"/>
        <v>#DIV/0!</v>
      </c>
      <c r="BG76" s="936" t="e">
        <f t="shared" si="197"/>
        <v>#DIV/0!</v>
      </c>
      <c r="BH76" s="936">
        <f t="shared" si="172"/>
        <v>4.658785055960013E-2</v>
      </c>
      <c r="BI76" s="936">
        <f t="shared" si="172"/>
        <v>3.848100234723404E-2</v>
      </c>
      <c r="BJ76" s="4"/>
      <c r="BL76" s="936">
        <f t="shared" ref="BL76:BX76" si="198">BL16/BL$55</f>
        <v>4.0364166647458267E-2</v>
      </c>
      <c r="BM76" s="936">
        <f t="shared" si="198"/>
        <v>5.1584613403851273E-2</v>
      </c>
      <c r="BN76" s="936">
        <f t="shared" si="198"/>
        <v>4.1501905585113977E-2</v>
      </c>
      <c r="BO76" s="936">
        <f t="shared" si="198"/>
        <v>4.3158952119157011E-2</v>
      </c>
      <c r="BP76" s="936">
        <f t="shared" si="198"/>
        <v>4.1828291286604175E-2</v>
      </c>
      <c r="BQ76" s="936">
        <f t="shared" si="198"/>
        <v>3.848100234723404E-2</v>
      </c>
      <c r="BR76" s="936">
        <f t="shared" si="198"/>
        <v>3.8462537124772891E-2</v>
      </c>
      <c r="BS76" s="936">
        <f t="shared" si="198"/>
        <v>3.634848273952708E-2</v>
      </c>
      <c r="BT76" s="936">
        <f t="shared" si="198"/>
        <v>3.6722823109804827E-2</v>
      </c>
      <c r="BU76" s="936">
        <f t="shared" si="198"/>
        <v>3.6656737149467288E-2</v>
      </c>
      <c r="BV76" s="936">
        <f t="shared" si="198"/>
        <v>3.7388779580123467E-2</v>
      </c>
      <c r="BW76" s="936">
        <f t="shared" si="198"/>
        <v>3.5405376855286046E-2</v>
      </c>
      <c r="BX76" s="936">
        <f t="shared" si="198"/>
        <v>3.9532943698539276E-2</v>
      </c>
    </row>
    <row r="77" spans="1:76" x14ac:dyDescent="0.3">
      <c r="A77" s="3">
        <f t="shared" si="125"/>
        <v>14</v>
      </c>
      <c r="B77" s="3" t="s">
        <v>96</v>
      </c>
      <c r="C77" s="3" t="s">
        <v>165</v>
      </c>
      <c r="D77" s="25" t="s">
        <v>41</v>
      </c>
      <c r="E77" s="3" t="s">
        <v>114</v>
      </c>
      <c r="F77" s="15">
        <f t="shared" si="153"/>
        <v>0</v>
      </c>
      <c r="G77" s="15">
        <f t="shared" si="154"/>
        <v>0</v>
      </c>
      <c r="H77" s="15">
        <f t="shared" si="155"/>
        <v>1.3808168365954466E-3</v>
      </c>
      <c r="I77" s="15">
        <f t="shared" si="156"/>
        <v>1.4268037123401688E-3</v>
      </c>
      <c r="J77" s="15">
        <f t="shared" si="157"/>
        <v>9.5275661871449373E-4</v>
      </c>
      <c r="K77" s="15">
        <f t="shared" si="158"/>
        <v>5.1348662132724493E-3</v>
      </c>
      <c r="L77" s="15">
        <f t="shared" si="159"/>
        <v>2.0105071340536817E-3</v>
      </c>
      <c r="M77" s="15">
        <f t="shared" si="160"/>
        <v>1.562803138065644E-3</v>
      </c>
      <c r="N77" s="15">
        <f t="shared" si="161"/>
        <v>0</v>
      </c>
      <c r="O77" s="15">
        <f t="shared" si="162"/>
        <v>3.8615910014167961E-3</v>
      </c>
      <c r="P77" s="15">
        <f t="shared" si="163"/>
        <v>2.719667921924138E-3</v>
      </c>
      <c r="Q77" s="15">
        <f t="shared" si="164"/>
        <v>2.1082816837257479E-3</v>
      </c>
      <c r="R77" s="936">
        <f>R17/R$56</f>
        <v>5.9386451146125237E-2</v>
      </c>
      <c r="S77" s="15">
        <f t="shared" ref="S77:AC77" si="199">S17/S$50</f>
        <v>1.6217270032300504E-3</v>
      </c>
      <c r="T77" s="15">
        <f t="shared" si="199"/>
        <v>1.19556472387988E-3</v>
      </c>
      <c r="U77" s="15">
        <f t="shared" si="199"/>
        <v>8.1143212049738025E-4</v>
      </c>
      <c r="V77" s="15">
        <f t="shared" si="199"/>
        <v>8.7099667007623719E-4</v>
      </c>
      <c r="W77" s="15">
        <f t="shared" si="199"/>
        <v>8.247387353023174E-4</v>
      </c>
      <c r="X77" s="15">
        <f t="shared" si="199"/>
        <v>2.0164256104993634E-3</v>
      </c>
      <c r="Y77" s="15">
        <f t="shared" si="199"/>
        <v>1.4340496517704037E-3</v>
      </c>
      <c r="Z77" s="15">
        <f t="shared" si="199"/>
        <v>8.1375687100812659E-3</v>
      </c>
      <c r="AA77" s="15">
        <f t="shared" si="199"/>
        <v>5.1141506663563083E-3</v>
      </c>
      <c r="AB77" s="15">
        <f t="shared" si="199"/>
        <v>3.3373966738624353E-3</v>
      </c>
      <c r="AC77" s="15">
        <f t="shared" si="199"/>
        <v>3.3081969527681103E-3</v>
      </c>
      <c r="AD77" s="15"/>
      <c r="AE77" s="15"/>
      <c r="AF77" s="15">
        <f t="shared" si="167"/>
        <v>2.6284708532427884E-3</v>
      </c>
      <c r="AG77" s="936">
        <f>AG17/AG$56</f>
        <v>9.4073795724384041E-2</v>
      </c>
      <c r="AH77" s="936">
        <f t="shared" ref="AH77:AQ77" si="200">AH17/AH$50</f>
        <v>3.5668174795276172E-3</v>
      </c>
      <c r="AI77" s="936">
        <f t="shared" si="200"/>
        <v>5.290502605221215E-3</v>
      </c>
      <c r="AJ77" s="936">
        <f t="shared" si="200"/>
        <v>2.158498148808358E-3</v>
      </c>
      <c r="AK77" s="936">
        <f t="shared" si="200"/>
        <v>2.5809218366624441E-3</v>
      </c>
      <c r="AL77" s="936">
        <f t="shared" si="200"/>
        <v>1.902804035256591E-3</v>
      </c>
      <c r="AM77" s="936">
        <f t="shared" si="200"/>
        <v>3.8248779210891116E-3</v>
      </c>
      <c r="AN77" s="936">
        <f t="shared" si="200"/>
        <v>2.5263008440678338E-3</v>
      </c>
      <c r="AO77" s="936">
        <f t="shared" si="200"/>
        <v>7.2372421571839591E-3</v>
      </c>
      <c r="AP77" s="936">
        <f t="shared" si="200"/>
        <v>4.2274218700168445E-3</v>
      </c>
      <c r="AQ77" s="936">
        <f t="shared" si="200"/>
        <v>6.2189796787226843E-3</v>
      </c>
      <c r="AR77" s="936">
        <f t="shared" ref="AR77:AS77" si="201">AR17/AR$50</f>
        <v>6.3241313188530743E-3</v>
      </c>
      <c r="AS77" s="936">
        <f t="shared" si="201"/>
        <v>4.8546425620091529E-3</v>
      </c>
      <c r="AT77" s="936"/>
      <c r="AU77" s="936">
        <f>AU17/AU$56</f>
        <v>0.1245574889826659</v>
      </c>
      <c r="AV77" s="936">
        <f>AV17/AV$56</f>
        <v>8.4025505679535428E-2</v>
      </c>
      <c r="AW77" s="936">
        <f t="shared" ref="AW77:BH77" si="202">AW17/AW$56</f>
        <v>7.5821186074050667E-2</v>
      </c>
      <c r="AX77" s="936">
        <f t="shared" si="202"/>
        <v>9.6984427789767375E-2</v>
      </c>
      <c r="AY77" s="936">
        <f t="shared" si="202"/>
        <v>0.15946206619623823</v>
      </c>
      <c r="AZ77" s="936">
        <f t="shared" si="202"/>
        <v>0.11634465576531687</v>
      </c>
      <c r="BA77" s="936">
        <f t="shared" si="202"/>
        <v>0.14327738758817551</v>
      </c>
      <c r="BB77" s="936" t="e">
        <f t="shared" si="202"/>
        <v>#DIV/0!</v>
      </c>
      <c r="BC77" s="936" t="e">
        <f t="shared" si="202"/>
        <v>#DIV/0!</v>
      </c>
      <c r="BD77" s="936" t="e">
        <f t="shared" si="202"/>
        <v>#DIV/0!</v>
      </c>
      <c r="BE77" s="936" t="e">
        <f t="shared" si="202"/>
        <v>#DIV/0!</v>
      </c>
      <c r="BF77" s="936" t="e">
        <f t="shared" si="202"/>
        <v>#DIV/0!</v>
      </c>
      <c r="BG77" s="936" t="e">
        <f t="shared" si="202"/>
        <v>#DIV/0!</v>
      </c>
      <c r="BH77" s="936">
        <f t="shared" si="202"/>
        <v>0.11445232862762704</v>
      </c>
      <c r="BI77" s="936">
        <f>BI17/BI$56</f>
        <v>4.6182517432745894E-2</v>
      </c>
      <c r="BJ77" s="4"/>
      <c r="BL77" s="936">
        <f>BL17/BL$56</f>
        <v>3.4303362762274116E-2</v>
      </c>
      <c r="BM77" s="936">
        <f t="shared" ref="BM77:BX77" si="203">BM17/BM$56</f>
        <v>3.4828211910122642E-2</v>
      </c>
      <c r="BN77" s="936">
        <f t="shared" si="203"/>
        <v>3.1655150217874274E-2</v>
      </c>
      <c r="BO77" s="936">
        <f t="shared" si="203"/>
        <v>4.6256336197086342E-2</v>
      </c>
      <c r="BP77" s="936">
        <f t="shared" si="203"/>
        <v>3.6062428353573713E-2</v>
      </c>
      <c r="BQ77" s="936">
        <f t="shared" si="203"/>
        <v>4.6182517432745894E-2</v>
      </c>
      <c r="BR77" s="936">
        <f t="shared" si="203"/>
        <v>3.5862121291712824E-2</v>
      </c>
      <c r="BS77" s="936">
        <f t="shared" si="203"/>
        <v>4.7492377726768495E-2</v>
      </c>
      <c r="BT77" s="936">
        <f t="shared" si="203"/>
        <v>3.5220703269124701E-2</v>
      </c>
      <c r="BU77" s="936">
        <f t="shared" si="203"/>
        <v>4.8496249199328406E-2</v>
      </c>
      <c r="BV77" s="936">
        <f t="shared" si="203"/>
        <v>3.5831268698981469E-2</v>
      </c>
      <c r="BW77" s="936">
        <f t="shared" si="203"/>
        <v>3.583899109178304E-2</v>
      </c>
      <c r="BX77" s="936">
        <f t="shared" si="203"/>
        <v>3.8960672322769417E-2</v>
      </c>
    </row>
    <row r="78" spans="1:76" x14ac:dyDescent="0.3">
      <c r="A78" s="3">
        <f t="shared" si="125"/>
        <v>15</v>
      </c>
      <c r="B78" s="3" t="s">
        <v>96</v>
      </c>
      <c r="C78" s="25" t="s">
        <v>42</v>
      </c>
      <c r="D78" s="25" t="s">
        <v>207</v>
      </c>
      <c r="E78" s="3" t="s">
        <v>114</v>
      </c>
      <c r="F78" s="15">
        <f t="shared" si="153"/>
        <v>2.6754033280099419E-3</v>
      </c>
      <c r="G78" s="15">
        <f t="shared" si="154"/>
        <v>2.4177067680408743E-3</v>
      </c>
      <c r="H78" s="15">
        <f t="shared" si="155"/>
        <v>2.7998470322064864E-3</v>
      </c>
      <c r="I78" s="15">
        <f t="shared" si="156"/>
        <v>2.2006641856401918E-3</v>
      </c>
      <c r="J78" s="15">
        <f t="shared" si="157"/>
        <v>2.7230105812094752E-3</v>
      </c>
      <c r="K78" s="15">
        <f t="shared" si="158"/>
        <v>3.6829212156868382E-3</v>
      </c>
      <c r="L78" s="15">
        <f t="shared" si="159"/>
        <v>2.228391432806353E-3</v>
      </c>
      <c r="M78" s="15">
        <f t="shared" si="160"/>
        <v>1.4742799475748164E-3</v>
      </c>
      <c r="N78" s="15">
        <f t="shared" si="161"/>
        <v>1.0570298168288024E-3</v>
      </c>
      <c r="O78" s="15">
        <f t="shared" si="162"/>
        <v>8.7662283489793418E-4</v>
      </c>
      <c r="P78" s="15">
        <f t="shared" si="163"/>
        <v>9.6621878632902666E-4</v>
      </c>
      <c r="Q78" s="15">
        <f t="shared" si="164"/>
        <v>1.201963078210355E-3</v>
      </c>
      <c r="R78" s="936">
        <f>R18/R$55</f>
        <v>5.7261738267998713E-2</v>
      </c>
      <c r="S78" s="15">
        <f t="shared" ref="S78:AC78" si="204">S18/S$50</f>
        <v>6.017981843148858E-4</v>
      </c>
      <c r="T78" s="15">
        <f t="shared" si="204"/>
        <v>7.9817980023279907E-4</v>
      </c>
      <c r="U78" s="15">
        <f t="shared" si="204"/>
        <v>5.6136908915695779E-4</v>
      </c>
      <c r="V78" s="15">
        <f t="shared" si="204"/>
        <v>7.1987557097846473E-4</v>
      </c>
      <c r="W78" s="15">
        <f t="shared" si="204"/>
        <v>1.496974370148147E-3</v>
      </c>
      <c r="X78" s="15">
        <f t="shared" si="204"/>
        <v>8.3949178213314855E-4</v>
      </c>
      <c r="Y78" s="15">
        <f t="shared" si="204"/>
        <v>1.1257791093974108E-3</v>
      </c>
      <c r="Z78" s="15">
        <f t="shared" si="204"/>
        <v>1.0236453352768763E-3</v>
      </c>
      <c r="AA78" s="15">
        <f t="shared" si="204"/>
        <v>6.437248760497844E-4</v>
      </c>
      <c r="AB78" s="15">
        <f t="shared" si="204"/>
        <v>7.3068117402500887E-4</v>
      </c>
      <c r="AC78" s="15">
        <f t="shared" si="204"/>
        <v>5.9529017821097424E-4</v>
      </c>
      <c r="AD78" s="15"/>
      <c r="AE78" s="15"/>
      <c r="AF78" s="15">
        <f t="shared" si="167"/>
        <v>8.0288392022360023E-4</v>
      </c>
      <c r="AG78" s="936">
        <f>AG18/AG$55</f>
        <v>2.2706169441688132E-2</v>
      </c>
      <c r="AH78" s="936">
        <f t="shared" ref="AH78:AQ78" si="205">AH18/AH$50</f>
        <v>6.5311510423180863E-4</v>
      </c>
      <c r="AI78" s="936">
        <f t="shared" si="205"/>
        <v>5.6068017667524857E-4</v>
      </c>
      <c r="AJ78" s="936">
        <f t="shared" si="205"/>
        <v>5.0534686807842354E-4</v>
      </c>
      <c r="AK78" s="936">
        <f t="shared" si="205"/>
        <v>8.0526256323583585E-4</v>
      </c>
      <c r="AL78" s="936">
        <f t="shared" si="205"/>
        <v>5.9952603349309997E-4</v>
      </c>
      <c r="AM78" s="936">
        <f t="shared" si="205"/>
        <v>5.68693966907855E-4</v>
      </c>
      <c r="AN78" s="936">
        <f t="shared" si="205"/>
        <v>9.9712806957571033E-4</v>
      </c>
      <c r="AO78" s="936">
        <f t="shared" si="205"/>
        <v>6.8260968450895943E-4</v>
      </c>
      <c r="AP78" s="936">
        <f t="shared" si="205"/>
        <v>1.0154404421406902E-3</v>
      </c>
      <c r="AQ78" s="936">
        <f t="shared" si="205"/>
        <v>1.2998723387670043E-3</v>
      </c>
      <c r="AR78" s="936">
        <f t="shared" ref="AR78:AS78" si="206">AR18/AR$50</f>
        <v>6.4895913666218271E-4</v>
      </c>
      <c r="AS78" s="936">
        <f t="shared" si="206"/>
        <v>7.1488832413705119E-4</v>
      </c>
      <c r="AT78" s="936"/>
      <c r="AU78" s="936">
        <f t="shared" ref="AU78:BG78" si="207">AU18/AU$55</f>
        <v>2.3539575467960615E-2</v>
      </c>
      <c r="AV78" s="936">
        <f t="shared" si="207"/>
        <v>2.4412645084304661E-2</v>
      </c>
      <c r="AW78" s="936">
        <f t="shared" si="207"/>
        <v>2.2889018828336369E-2</v>
      </c>
      <c r="AX78" s="936">
        <f t="shared" si="207"/>
        <v>2.320619541258314E-2</v>
      </c>
      <c r="AY78" s="936">
        <f t="shared" si="207"/>
        <v>2.5077589211908221E-2</v>
      </c>
      <c r="AZ78" s="936">
        <f t="shared" si="207"/>
        <v>2.3418515192828088E-2</v>
      </c>
      <c r="BA78" s="936">
        <f t="shared" si="207"/>
        <v>2.7871038392987914E-2</v>
      </c>
      <c r="BB78" s="936" t="e">
        <f t="shared" si="207"/>
        <v>#DIV/0!</v>
      </c>
      <c r="BC78" s="936" t="e">
        <f t="shared" si="207"/>
        <v>#DIV/0!</v>
      </c>
      <c r="BD78" s="936" t="e">
        <f t="shared" si="207"/>
        <v>#DIV/0!</v>
      </c>
      <c r="BE78" s="936" t="e">
        <f t="shared" si="207"/>
        <v>#DIV/0!</v>
      </c>
      <c r="BF78" s="936" t="e">
        <f t="shared" si="207"/>
        <v>#DIV/0!</v>
      </c>
      <c r="BG78" s="936" t="e">
        <f t="shared" si="207"/>
        <v>#DIV/0!</v>
      </c>
      <c r="BH78" s="936">
        <f t="shared" ref="BH78:BI81" si="208">BH18/BH$55</f>
        <v>2.4651564310448171E-2</v>
      </c>
      <c r="BI78" s="936">
        <f t="shared" si="208"/>
        <v>3.1516918502758083E-2</v>
      </c>
      <c r="BJ78" s="4"/>
      <c r="BL78" s="936">
        <f t="shared" ref="BL78:BX78" si="209">BL18/BL$55</f>
        <v>2.9799893569321535E-2</v>
      </c>
      <c r="BM78" s="936">
        <f t="shared" si="209"/>
        <v>4.0095093703133022E-2</v>
      </c>
      <c r="BN78" s="936">
        <f t="shared" si="209"/>
        <v>3.0378905975070369E-2</v>
      </c>
      <c r="BO78" s="936">
        <f t="shared" si="209"/>
        <v>2.9186658307260333E-2</v>
      </c>
      <c r="BP78" s="936">
        <f t="shared" si="209"/>
        <v>2.9519560691596305E-2</v>
      </c>
      <c r="BQ78" s="936">
        <f t="shared" si="209"/>
        <v>3.1516918502758083E-2</v>
      </c>
      <c r="BR78" s="936">
        <f t="shared" si="209"/>
        <v>2.9046319923017708E-2</v>
      </c>
      <c r="BS78" s="936">
        <f t="shared" si="209"/>
        <v>3.055390509534707E-2</v>
      </c>
      <c r="BT78" s="936">
        <f t="shared" si="209"/>
        <v>2.8130557765021054E-2</v>
      </c>
      <c r="BU78" s="936">
        <f t="shared" si="209"/>
        <v>3.0484147321156778E-2</v>
      </c>
      <c r="BV78" s="936">
        <f t="shared" si="209"/>
        <v>2.8071890108024695E-2</v>
      </c>
      <c r="BW78" s="936">
        <f t="shared" si="209"/>
        <v>2.6969926559877958E-2</v>
      </c>
      <c r="BX78" s="936">
        <f t="shared" si="209"/>
        <v>3.0105657043999999E-2</v>
      </c>
    </row>
    <row r="79" spans="1:76" x14ac:dyDescent="0.3">
      <c r="A79" s="3">
        <f t="shared" si="125"/>
        <v>16</v>
      </c>
      <c r="B79" s="3" t="s">
        <v>96</v>
      </c>
      <c r="C79" s="3" t="s">
        <v>49</v>
      </c>
      <c r="D79" s="25" t="s">
        <v>18</v>
      </c>
      <c r="E79" s="3" t="s">
        <v>114</v>
      </c>
      <c r="F79" s="15">
        <f t="shared" si="153"/>
        <v>1.1328114166539705E-3</v>
      </c>
      <c r="G79" s="15">
        <f t="shared" si="154"/>
        <v>2.5279652857112074E-3</v>
      </c>
      <c r="H79" s="15">
        <f t="shared" si="155"/>
        <v>5.074842028981231E-4</v>
      </c>
      <c r="I79" s="15">
        <f t="shared" si="156"/>
        <v>3.1583121076912911E-3</v>
      </c>
      <c r="J79" s="15">
        <f t="shared" si="157"/>
        <v>1.6904592384637577E-3</v>
      </c>
      <c r="K79" s="15">
        <f t="shared" si="158"/>
        <v>8.2806774090689382E-4</v>
      </c>
      <c r="L79" s="15">
        <f t="shared" si="159"/>
        <v>1.3675329004743872E-3</v>
      </c>
      <c r="M79" s="15">
        <f t="shared" si="160"/>
        <v>6.1629832601430565E-4</v>
      </c>
      <c r="N79" s="15">
        <f t="shared" si="161"/>
        <v>9.020601863893652E-4</v>
      </c>
      <c r="O79" s="15">
        <f t="shared" si="162"/>
        <v>2.0274812680064232E-4</v>
      </c>
      <c r="P79" s="15">
        <f t="shared" si="163"/>
        <v>3.4034565926484067E-4</v>
      </c>
      <c r="Q79" s="15">
        <f t="shared" si="164"/>
        <v>4.178386842219853E-4</v>
      </c>
      <c r="R79" s="936">
        <f>R19/R$55</f>
        <v>3.1169701903222938E-2</v>
      </c>
      <c r="S79" s="15">
        <f t="shared" ref="S79:AC79" si="210">S19/S$50</f>
        <v>3.4654862578018376E-4</v>
      </c>
      <c r="T79" s="15">
        <f t="shared" si="210"/>
        <v>2.1429253362496931E-4</v>
      </c>
      <c r="U79" s="15">
        <f t="shared" si="210"/>
        <v>2.0848989470884872E-4</v>
      </c>
      <c r="V79" s="15">
        <f t="shared" si="210"/>
        <v>4.2258931519793737E-4</v>
      </c>
      <c r="W79" s="15">
        <f t="shared" si="210"/>
        <v>9.300229143492329E-4</v>
      </c>
      <c r="X79" s="15">
        <f t="shared" si="210"/>
        <v>3.8249991689671335E-4</v>
      </c>
      <c r="Y79" s="15">
        <f t="shared" si="210"/>
        <v>1.9913402444557116E-3</v>
      </c>
      <c r="Z79" s="15">
        <f t="shared" si="210"/>
        <v>6.9464916244797584E-4</v>
      </c>
      <c r="AA79" s="15">
        <f t="shared" si="210"/>
        <v>8.2312892357391603E-4</v>
      </c>
      <c r="AB79" s="15">
        <f t="shared" si="210"/>
        <v>5.8869657380316383E-4</v>
      </c>
      <c r="AC79" s="15">
        <f t="shared" si="210"/>
        <v>3.0250242641594635E-4</v>
      </c>
      <c r="AD79" s="15"/>
      <c r="AE79" s="15"/>
      <c r="AF79" s="15">
        <f t="shared" si="167"/>
        <v>6.5800257996476749E-4</v>
      </c>
      <c r="AG79" s="936">
        <f>AG19/AG$55</f>
        <v>1.8608814670976373E-2</v>
      </c>
      <c r="AH79" s="936">
        <f t="shared" ref="AH79:AQ79" si="211">AH19/AH$50</f>
        <v>1.2037901879538482E-3</v>
      </c>
      <c r="AI79" s="936">
        <f t="shared" si="211"/>
        <v>1.0707311062743915E-3</v>
      </c>
      <c r="AJ79" s="936">
        <f t="shared" si="211"/>
        <v>6.2409340485114007E-4</v>
      </c>
      <c r="AK79" s="936">
        <f t="shared" si="211"/>
        <v>5.9344355157983717E-4</v>
      </c>
      <c r="AL79" s="936">
        <f t="shared" si="211"/>
        <v>5.9154330537861339E-4</v>
      </c>
      <c r="AM79" s="936">
        <f t="shared" si="211"/>
        <v>4.1569657724481858E-4</v>
      </c>
      <c r="AN79" s="936">
        <f t="shared" si="211"/>
        <v>4.7348494455398677E-4</v>
      </c>
      <c r="AO79" s="936">
        <f t="shared" si="211"/>
        <v>4.9830645438031474E-4</v>
      </c>
      <c r="AP79" s="936">
        <f t="shared" si="211"/>
        <v>7.4593497190304238E-4</v>
      </c>
      <c r="AQ79" s="936">
        <f t="shared" si="211"/>
        <v>1.2311514874762063E-3</v>
      </c>
      <c r="AR79" s="936">
        <f t="shared" ref="AR79:AS79" si="212">AR19/AR$50</f>
        <v>2.471488760095853E-3</v>
      </c>
      <c r="AS79" s="936">
        <f t="shared" si="212"/>
        <v>1.3854736237749418E-3</v>
      </c>
      <c r="AT79" s="936"/>
      <c r="AU79" s="936">
        <f t="shared" ref="AU79:BG79" si="213">AU19/AU$55</f>
        <v>2.6601356479370879E-2</v>
      </c>
      <c r="AV79" s="936">
        <f t="shared" si="213"/>
        <v>1.7103433357936189E-2</v>
      </c>
      <c r="AW79" s="936">
        <f t="shared" si="213"/>
        <v>3.0966979736071994E-2</v>
      </c>
      <c r="AX79" s="936">
        <f t="shared" si="213"/>
        <v>7.9836943149053565E-3</v>
      </c>
      <c r="AY79" s="936">
        <f t="shared" si="213"/>
        <v>3.0702026462619585E-2</v>
      </c>
      <c r="AZ79" s="936">
        <f t="shared" si="213"/>
        <v>1.0178977710802126E-2</v>
      </c>
      <c r="BA79" s="936">
        <f t="shared" si="213"/>
        <v>1.1728069843192733E-2</v>
      </c>
      <c r="BB79" s="936" t="e">
        <f t="shared" si="213"/>
        <v>#DIV/0!</v>
      </c>
      <c r="BC79" s="936" t="e">
        <f t="shared" si="213"/>
        <v>#DIV/0!</v>
      </c>
      <c r="BD79" s="936" t="e">
        <f t="shared" si="213"/>
        <v>#DIV/0!</v>
      </c>
      <c r="BE79" s="936" t="e">
        <f t="shared" si="213"/>
        <v>#DIV/0!</v>
      </c>
      <c r="BF79" s="936" t="e">
        <f t="shared" si="213"/>
        <v>#DIV/0!</v>
      </c>
      <c r="BG79" s="936" t="e">
        <f t="shared" si="213"/>
        <v>#DIV/0!</v>
      </c>
      <c r="BH79" s="936">
        <f t="shared" si="208"/>
        <v>1.70815345426352E-2</v>
      </c>
      <c r="BI79" s="936">
        <f t="shared" si="208"/>
        <v>1.1454557394273705E-2</v>
      </c>
      <c r="BJ79" s="4"/>
      <c r="BL79" s="936">
        <f t="shared" ref="BL79:BX79" si="214">BL19/BL$55</f>
        <v>1.2483226134288513E-2</v>
      </c>
      <c r="BM79" s="936">
        <f t="shared" si="214"/>
        <v>2.1040418909433305E-2</v>
      </c>
      <c r="BN79" s="936">
        <f t="shared" si="214"/>
        <v>1.3727662089532223E-2</v>
      </c>
      <c r="BO79" s="936">
        <f t="shared" si="214"/>
        <v>8.5024735927262986E-3</v>
      </c>
      <c r="BP79" s="936">
        <f t="shared" si="214"/>
        <v>1.0706339632757002E-2</v>
      </c>
      <c r="BQ79" s="936">
        <f t="shared" si="214"/>
        <v>1.1454557394273705E-2</v>
      </c>
      <c r="BR79" s="936">
        <f t="shared" si="214"/>
        <v>9.0248909417500623E-3</v>
      </c>
      <c r="BS79" s="936">
        <f t="shared" si="214"/>
        <v>6.997203152809558E-3</v>
      </c>
      <c r="BT79" s="936">
        <f t="shared" si="214"/>
        <v>6.2681464472509234E-3</v>
      </c>
      <c r="BU79" s="936">
        <f t="shared" si="214"/>
        <v>1.626826484018264E-2</v>
      </c>
      <c r="BV79" s="936">
        <f t="shared" si="214"/>
        <v>6.4351851851851783E-3</v>
      </c>
      <c r="BW79" s="936">
        <f t="shared" si="214"/>
        <v>5.6178489702517096E-3</v>
      </c>
      <c r="BX79" s="936">
        <f t="shared" si="214"/>
        <v>1.0465302894999993E-2</v>
      </c>
    </row>
    <row r="80" spans="1:76" x14ac:dyDescent="0.3">
      <c r="A80" s="3">
        <f t="shared" si="125"/>
        <v>17</v>
      </c>
      <c r="B80" s="3" t="s">
        <v>96</v>
      </c>
      <c r="C80" s="3" t="s">
        <v>49</v>
      </c>
      <c r="D80" s="25" t="s">
        <v>31</v>
      </c>
      <c r="E80" s="3" t="s">
        <v>114</v>
      </c>
      <c r="F80" s="15">
        <f t="shared" si="153"/>
        <v>2.0598196826421677E-3</v>
      </c>
      <c r="G80" s="15">
        <f t="shared" si="154"/>
        <v>4.8756207785693025E-4</v>
      </c>
      <c r="H80" s="15">
        <f t="shared" si="155"/>
        <v>0</v>
      </c>
      <c r="I80" s="15">
        <f t="shared" si="156"/>
        <v>0</v>
      </c>
      <c r="J80" s="15">
        <f t="shared" si="157"/>
        <v>1.2867336716248343E-3</v>
      </c>
      <c r="K80" s="15">
        <f t="shared" si="158"/>
        <v>1.3127126072598125E-3</v>
      </c>
      <c r="L80" s="15">
        <f t="shared" si="159"/>
        <v>7.4518907599800753E-4</v>
      </c>
      <c r="M80" s="15">
        <f t="shared" si="160"/>
        <v>5.7615440683691534E-4</v>
      </c>
      <c r="N80" s="15">
        <f t="shared" si="161"/>
        <v>5.1355567570306269E-4</v>
      </c>
      <c r="O80" s="15">
        <f t="shared" si="162"/>
        <v>1.5850766493391273E-3</v>
      </c>
      <c r="P80" s="15">
        <f t="shared" si="163"/>
        <v>1.8185611095754744E-3</v>
      </c>
      <c r="Q80" s="15">
        <f t="shared" si="164"/>
        <v>1.4563483550236629E-3</v>
      </c>
      <c r="R80" s="936">
        <f>R20/R$55</f>
        <v>2.9423157722868114E-2</v>
      </c>
      <c r="S80" s="15">
        <f t="shared" ref="S80:AC80" si="215">S20/S$50</f>
        <v>7.0714515179790037E-4</v>
      </c>
      <c r="T80" s="15">
        <f t="shared" si="215"/>
        <v>3.1233691791641294E-4</v>
      </c>
      <c r="U80" s="15">
        <f t="shared" si="215"/>
        <v>1.2483249876195674E-4</v>
      </c>
      <c r="V80" s="15">
        <f t="shared" si="215"/>
        <v>1.0755517165593322E-4</v>
      </c>
      <c r="W80" s="15">
        <f t="shared" si="215"/>
        <v>2.5342381990459324E-4</v>
      </c>
      <c r="X80" s="15">
        <f t="shared" si="215"/>
        <v>8.4714376967870401E-5</v>
      </c>
      <c r="Y80" s="15">
        <f t="shared" si="215"/>
        <v>2.811359811413174E-4</v>
      </c>
      <c r="Z80" s="15">
        <f t="shared" si="215"/>
        <v>2.8852245543307253E-4</v>
      </c>
      <c r="AA80" s="15">
        <f t="shared" si="215"/>
        <v>1.2335871998652665E-4</v>
      </c>
      <c r="AB80" s="15">
        <f t="shared" si="215"/>
        <v>2.0192257152835166E-4</v>
      </c>
      <c r="AC80" s="15">
        <f t="shared" si="215"/>
        <v>3.1183063000877342E-4</v>
      </c>
      <c r="AD80" s="15"/>
      <c r="AE80" s="15"/>
      <c r="AF80" s="15">
        <f t="shared" si="167"/>
        <v>2.5074220236960201E-4</v>
      </c>
      <c r="AG80" s="936">
        <f>AG20/AG$55</f>
        <v>7.0911806673132132E-3</v>
      </c>
      <c r="AH80" s="936">
        <f t="shared" ref="AH80:AQ80" si="216">AH20/AH$50</f>
        <v>1.7750048252637533E-4</v>
      </c>
      <c r="AI80" s="936">
        <f t="shared" si="216"/>
        <v>2.5414422206866005E-4</v>
      </c>
      <c r="AJ80" s="936">
        <f t="shared" si="216"/>
        <v>2.5881214573332366E-4</v>
      </c>
      <c r="AK80" s="936">
        <f t="shared" si="216"/>
        <v>3.1489751363149922E-4</v>
      </c>
      <c r="AL80" s="936">
        <f t="shared" si="216"/>
        <v>1.5587021246382145E-4</v>
      </c>
      <c r="AM80" s="936">
        <f t="shared" si="216"/>
        <v>3.9128849390699148E-4</v>
      </c>
      <c r="AN80" s="936">
        <f t="shared" si="216"/>
        <v>3.7935734147317757E-4</v>
      </c>
      <c r="AO80" s="936">
        <f t="shared" si="216"/>
        <v>2.2173787860066421E-4</v>
      </c>
      <c r="AP80" s="936">
        <f t="shared" si="216"/>
        <v>2.8010932001509858E-4</v>
      </c>
      <c r="AQ80" s="936">
        <f t="shared" si="216"/>
        <v>3.341787062239133E-4</v>
      </c>
      <c r="AR80" s="936">
        <f t="shared" ref="AR80:AS80" si="217">AR20/AR$50</f>
        <v>3.6581705647316224E-4</v>
      </c>
      <c r="AS80" s="936">
        <f t="shared" si="217"/>
        <v>4.1709300324834647E-4</v>
      </c>
      <c r="AT80" s="936"/>
      <c r="AU80" s="936">
        <f t="shared" ref="AU80:BG80" si="218">AU20/AU$55</f>
        <v>9.1804463106281084E-3</v>
      </c>
      <c r="AV80" s="936">
        <f t="shared" si="218"/>
        <v>4.218342645902657E-2</v>
      </c>
      <c r="AW80" s="936">
        <f t="shared" si="218"/>
        <v>6.1079579813373086E-2</v>
      </c>
      <c r="AX80" s="936">
        <f t="shared" si="218"/>
        <v>3.9823914490725414E-2</v>
      </c>
      <c r="AY80" s="936">
        <f t="shared" si="218"/>
        <v>3.8304311201277606E-2</v>
      </c>
      <c r="AZ80" s="936">
        <f t="shared" si="218"/>
        <v>4.531436542393677E-2</v>
      </c>
      <c r="BA80" s="936">
        <f t="shared" si="218"/>
        <v>3.7029127685495815E-2</v>
      </c>
      <c r="BB80" s="936" t="e">
        <f t="shared" si="218"/>
        <v>#DIV/0!</v>
      </c>
      <c r="BC80" s="936" t="e">
        <f t="shared" si="218"/>
        <v>#DIV/0!</v>
      </c>
      <c r="BD80" s="936" t="e">
        <f t="shared" si="218"/>
        <v>#DIV/0!</v>
      </c>
      <c r="BE80" s="936" t="e">
        <f t="shared" si="218"/>
        <v>#DIV/0!</v>
      </c>
      <c r="BF80" s="936" t="e">
        <f t="shared" si="218"/>
        <v>#DIV/0!</v>
      </c>
      <c r="BG80" s="936" t="e">
        <f t="shared" si="218"/>
        <v>#DIV/0!</v>
      </c>
      <c r="BH80" s="936">
        <f t="shared" si="208"/>
        <v>4.2097026399493018E-2</v>
      </c>
      <c r="BI80" s="936">
        <f t="shared" si="208"/>
        <v>5.1256937266997843E-2</v>
      </c>
      <c r="BJ80" s="4"/>
      <c r="BL80" s="936">
        <f t="shared" ref="BL80:BX80" si="219">BL20/BL$55</f>
        <v>4.7984042974512864E-2</v>
      </c>
      <c r="BM80" s="936">
        <f t="shared" si="219"/>
        <v>5.5086662938645801E-2</v>
      </c>
      <c r="BN80" s="936">
        <f t="shared" si="219"/>
        <v>4.9633097000918371E-2</v>
      </c>
      <c r="BO80" s="936">
        <f t="shared" si="219"/>
        <v>4.8935276450374397E-2</v>
      </c>
      <c r="BP80" s="936">
        <f t="shared" si="219"/>
        <v>4.7412732224078803E-2</v>
      </c>
      <c r="BQ80" s="936">
        <f t="shared" si="219"/>
        <v>5.1256937266997843E-2</v>
      </c>
      <c r="BR80" s="936">
        <f t="shared" si="219"/>
        <v>4.8888221925477281E-2</v>
      </c>
      <c r="BS80" s="936">
        <f t="shared" si="219"/>
        <v>4.753545180630156E-2</v>
      </c>
      <c r="BT80" s="936">
        <f t="shared" si="219"/>
        <v>5.023441817131287E-2</v>
      </c>
      <c r="BU80" s="936">
        <f t="shared" si="219"/>
        <v>4.8203802743826893E-2</v>
      </c>
      <c r="BV80" s="936">
        <f t="shared" si="219"/>
        <v>4.9247459965910699E-2</v>
      </c>
      <c r="BW80" s="936">
        <f t="shared" si="219"/>
        <v>4.9499845801282E-2</v>
      </c>
      <c r="BX80" s="936">
        <f t="shared" si="219"/>
        <v>4.9386276346352891E-2</v>
      </c>
    </row>
    <row r="81" spans="1:76" x14ac:dyDescent="0.3">
      <c r="A81" s="3">
        <f t="shared" si="125"/>
        <v>18</v>
      </c>
      <c r="B81" s="3" t="s">
        <v>96</v>
      </c>
      <c r="C81" s="3" t="s">
        <v>55</v>
      </c>
      <c r="D81" s="25" t="s">
        <v>55</v>
      </c>
      <c r="E81" s="3" t="s">
        <v>114</v>
      </c>
      <c r="F81" s="15">
        <f t="shared" si="153"/>
        <v>0</v>
      </c>
      <c r="G81" s="15">
        <f t="shared" si="154"/>
        <v>0</v>
      </c>
      <c r="H81" s="15">
        <f t="shared" si="155"/>
        <v>0</v>
      </c>
      <c r="I81" s="15">
        <f t="shared" si="156"/>
        <v>1.6543215940100066E-3</v>
      </c>
      <c r="J81" s="15">
        <f t="shared" si="157"/>
        <v>9.0378477827798398E-4</v>
      </c>
      <c r="K81" s="15">
        <f t="shared" si="158"/>
        <v>1.1732342452188346E-3</v>
      </c>
      <c r="L81" s="15">
        <f t="shared" si="159"/>
        <v>5.5466246856624541E-4</v>
      </c>
      <c r="M81" s="15">
        <f t="shared" si="160"/>
        <v>1.074870021203708E-3</v>
      </c>
      <c r="N81" s="15">
        <f t="shared" si="161"/>
        <v>8.0259170568911192E-4</v>
      </c>
      <c r="O81" s="15">
        <f t="shared" si="162"/>
        <v>0</v>
      </c>
      <c r="P81" s="15">
        <f t="shared" si="163"/>
        <v>4.3116125255085176E-4</v>
      </c>
      <c r="Q81" s="15">
        <f t="shared" si="164"/>
        <v>1.3691448692118325E-6</v>
      </c>
      <c r="R81" s="936">
        <f>R21/R$55</f>
        <v>1.5630587217676021E-2</v>
      </c>
      <c r="S81" s="15">
        <f t="shared" ref="S81:AC81" si="220">S21/S$50</f>
        <v>1.9937159555500277E-4</v>
      </c>
      <c r="T81" s="15">
        <f t="shared" si="220"/>
        <v>0</v>
      </c>
      <c r="U81" s="15">
        <f t="shared" si="220"/>
        <v>1.7974063786097073E-4</v>
      </c>
      <c r="V81" s="15">
        <f t="shared" si="220"/>
        <v>0</v>
      </c>
      <c r="W81" s="15">
        <f t="shared" si="220"/>
        <v>0</v>
      </c>
      <c r="X81" s="15">
        <f t="shared" si="220"/>
        <v>1.0781839679755261E-4</v>
      </c>
      <c r="Y81" s="15">
        <f t="shared" si="220"/>
        <v>3.1202378657030832E-4</v>
      </c>
      <c r="Z81" s="15">
        <f t="shared" si="220"/>
        <v>3.8089280163799239E-4</v>
      </c>
      <c r="AA81" s="15">
        <f t="shared" si="220"/>
        <v>1.2044645097034761E-6</v>
      </c>
      <c r="AB81" s="15">
        <f t="shared" si="220"/>
        <v>3.3632979531708515E-4</v>
      </c>
      <c r="AC81" s="15">
        <f t="shared" si="220"/>
        <v>8.9571468191731329E-5</v>
      </c>
      <c r="AD81" s="15"/>
      <c r="AE81" s="15"/>
      <c r="AF81" s="15">
        <f t="shared" si="167"/>
        <v>1.3219722952663809E-4</v>
      </c>
      <c r="AG81" s="936">
        <f>AG21/AG$55</f>
        <v>3.7386384479061699E-3</v>
      </c>
      <c r="AH81" s="936">
        <f t="shared" ref="AH81:AQ81" si="221">AH21/AH$50</f>
        <v>9.9051940117691507E-4</v>
      </c>
      <c r="AI81" s="936">
        <f t="shared" si="221"/>
        <v>2.6152697060644107E-4</v>
      </c>
      <c r="AJ81" s="936">
        <f t="shared" si="221"/>
        <v>1.9976424051997994E-4</v>
      </c>
      <c r="AK81" s="936">
        <f t="shared" si="221"/>
        <v>4.81565473302936E-4</v>
      </c>
      <c r="AL81" s="936">
        <f t="shared" si="221"/>
        <v>4.5736126165985382E-4</v>
      </c>
      <c r="AM81" s="936">
        <f t="shared" si="221"/>
        <v>3.9900631017931261E-4</v>
      </c>
      <c r="AN81" s="936">
        <f t="shared" si="221"/>
        <v>9.5640653121359623E-7</v>
      </c>
      <c r="AO81" s="936">
        <f t="shared" si="221"/>
        <v>1.5979996739009849E-4</v>
      </c>
      <c r="AP81" s="936">
        <f t="shared" si="221"/>
        <v>7.4249007163640357E-4</v>
      </c>
      <c r="AQ81" s="936">
        <f t="shared" si="221"/>
        <v>1.4057495234173374E-3</v>
      </c>
      <c r="AR81" s="936">
        <f t="shared" ref="AR81:AS81" si="222">AR21/AR$50</f>
        <v>1.2726600091206152E-3</v>
      </c>
      <c r="AS81" s="936">
        <f t="shared" si="222"/>
        <v>1.1165385747799431E-3</v>
      </c>
      <c r="AT81" s="936"/>
      <c r="AU81" s="936">
        <f t="shared" ref="AU81:BG81" si="223">AU21/AU$55</f>
        <v>1.7607301929225636E-2</v>
      </c>
      <c r="AV81" s="936">
        <f t="shared" si="223"/>
        <v>4.1860589560457712E-2</v>
      </c>
      <c r="AW81" s="936">
        <f t="shared" si="223"/>
        <v>2.1903815360830435E-2</v>
      </c>
      <c r="AX81" s="936">
        <f t="shared" si="223"/>
        <v>4.6679318722398874E-2</v>
      </c>
      <c r="AY81" s="936">
        <f t="shared" si="223"/>
        <v>9.2575516921617976E-3</v>
      </c>
      <c r="AZ81" s="936">
        <f t="shared" si="223"/>
        <v>7.3900222730539466E-4</v>
      </c>
      <c r="BA81" s="936">
        <f t="shared" si="223"/>
        <v>2.1124598930835674E-2</v>
      </c>
      <c r="BB81" s="936" t="e">
        <f t="shared" si="223"/>
        <v>#DIV/0!</v>
      </c>
      <c r="BC81" s="936" t="e">
        <f t="shared" si="223"/>
        <v>#DIV/0!</v>
      </c>
      <c r="BD81" s="936" t="e">
        <f t="shared" si="223"/>
        <v>#DIV/0!</v>
      </c>
      <c r="BE81" s="936" t="e">
        <f t="shared" si="223"/>
        <v>#DIV/0!</v>
      </c>
      <c r="BF81" s="936" t="e">
        <f t="shared" si="223"/>
        <v>#DIV/0!</v>
      </c>
      <c r="BG81" s="936" t="e">
        <f t="shared" si="223"/>
        <v>#DIV/0!</v>
      </c>
      <c r="BH81" s="936">
        <f t="shared" si="208"/>
        <v>2.3290714483422716E-2</v>
      </c>
      <c r="BI81" s="936">
        <f t="shared" si="208"/>
        <v>1.9059226200487764E-2</v>
      </c>
      <c r="BJ81" s="4"/>
      <c r="BL81" s="936">
        <f t="shared" ref="BL81:BX81" si="224">BL21/BL$55</f>
        <v>1.3924018535331541E-2</v>
      </c>
      <c r="BM81" s="936">
        <f t="shared" si="224"/>
        <v>1.4506817681715353E-2</v>
      </c>
      <c r="BN81" s="936">
        <f t="shared" si="224"/>
        <v>1.2028118872133269E-2</v>
      </c>
      <c r="BO81" s="936">
        <f t="shared" si="224"/>
        <v>1.39233267521209E-2</v>
      </c>
      <c r="BP81" s="936">
        <f t="shared" si="224"/>
        <v>1.2028118872133269E-2</v>
      </c>
      <c r="BQ81" s="936">
        <f t="shared" si="224"/>
        <v>1.9059226200487764E-2</v>
      </c>
      <c r="BR81" s="936">
        <f t="shared" si="224"/>
        <v>1.3681844648724106E-2</v>
      </c>
      <c r="BS81" s="936">
        <f t="shared" si="224"/>
        <v>1.236371779101408E-2</v>
      </c>
      <c r="BT81" s="936">
        <f t="shared" si="224"/>
        <v>1.8192781206463882E-2</v>
      </c>
      <c r="BU81" s="936">
        <f t="shared" si="224"/>
        <v>1.4160802894246909E-2</v>
      </c>
      <c r="BV81" s="936">
        <f t="shared" si="224"/>
        <v>1.186285124974663E-2</v>
      </c>
      <c r="BW81" s="936">
        <f t="shared" si="224"/>
        <v>1.236371779101408E-2</v>
      </c>
      <c r="BX81" s="936">
        <f t="shared" si="224"/>
        <v>1.400263697339617E-2</v>
      </c>
    </row>
    <row r="82" spans="1:76" s="24" customFormat="1" x14ac:dyDescent="0.3">
      <c r="A82" s="81" t="s">
        <v>163</v>
      </c>
      <c r="B82" s="77" t="s">
        <v>164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93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937"/>
      <c r="AH82" s="937"/>
      <c r="AI82" s="937"/>
      <c r="AJ82" s="937"/>
      <c r="AK82" s="937"/>
      <c r="AL82" s="937"/>
      <c r="AM82" s="937"/>
      <c r="AN82" s="937"/>
      <c r="AO82" s="937"/>
      <c r="AP82" s="937"/>
      <c r="AQ82" s="937"/>
      <c r="AR82" s="937"/>
      <c r="AS82" s="937"/>
      <c r="AT82" s="937"/>
      <c r="AU82" s="937"/>
      <c r="AV82" s="937"/>
      <c r="AW82" s="937"/>
      <c r="AX82" s="937"/>
      <c r="AY82" s="937"/>
      <c r="AZ82" s="937"/>
      <c r="BA82" s="937"/>
      <c r="BB82" s="937"/>
      <c r="BC82" s="937"/>
      <c r="BD82" s="937"/>
      <c r="BE82" s="937"/>
      <c r="BF82" s="937"/>
      <c r="BG82" s="937"/>
      <c r="BH82" s="937"/>
      <c r="BI82" s="937"/>
      <c r="BJ82" s="77"/>
      <c r="BK82" s="596"/>
      <c r="BL82" s="937"/>
      <c r="BM82" s="937"/>
      <c r="BN82" s="937"/>
      <c r="BO82" s="937"/>
      <c r="BP82" s="937"/>
      <c r="BQ82" s="937"/>
      <c r="BR82" s="937"/>
      <c r="BS82" s="937"/>
      <c r="BT82" s="937"/>
      <c r="BU82" s="937"/>
      <c r="BV82" s="937"/>
      <c r="BW82" s="937"/>
      <c r="BX82" s="937"/>
    </row>
    <row r="83" spans="1:76" x14ac:dyDescent="0.3">
      <c r="A83" s="3">
        <v>1</v>
      </c>
      <c r="B83" s="3" t="s">
        <v>97</v>
      </c>
      <c r="C83" s="25" t="s">
        <v>168</v>
      </c>
      <c r="D83" s="25" t="s">
        <v>168</v>
      </c>
      <c r="E83" s="3" t="s">
        <v>114</v>
      </c>
      <c r="F83" s="15">
        <f t="shared" ref="F83:Q83" si="225">F23/F$50</f>
        <v>8.7280604541598361E-2</v>
      </c>
      <c r="G83" s="15">
        <f t="shared" si="225"/>
        <v>6.4682952371603611E-2</v>
      </c>
      <c r="H83" s="15">
        <f t="shared" si="225"/>
        <v>5.3112132715737094E-2</v>
      </c>
      <c r="I83" s="15">
        <f t="shared" si="225"/>
        <v>2.4382042653058315E-2</v>
      </c>
      <c r="J83" s="15">
        <f t="shared" si="225"/>
        <v>2.3114650934385979E-2</v>
      </c>
      <c r="K83" s="15">
        <f t="shared" si="225"/>
        <v>2.5100356088038393E-2</v>
      </c>
      <c r="L83" s="15">
        <f t="shared" si="225"/>
        <v>2.1734888074623898E-2</v>
      </c>
      <c r="M83" s="15">
        <f t="shared" si="225"/>
        <v>1.8505636793651498E-2</v>
      </c>
      <c r="N83" s="15">
        <f t="shared" si="225"/>
        <v>0</v>
      </c>
      <c r="O83" s="15">
        <f t="shared" si="225"/>
        <v>1.2453748745615589E-3</v>
      </c>
      <c r="P83" s="15">
        <f t="shared" si="225"/>
        <v>1.5272946747041485E-3</v>
      </c>
      <c r="Q83" s="15">
        <f t="shared" si="225"/>
        <v>8.0462786955039342E-4</v>
      </c>
      <c r="R83" s="936">
        <f t="shared" ref="R83:R109" si="226">R23/R$55</f>
        <v>0.67025418885324251</v>
      </c>
      <c r="S83" s="15">
        <f t="shared" ref="S83:AC83" si="227">S23/S$50</f>
        <v>3.6970450252854094E-2</v>
      </c>
      <c r="T83" s="15">
        <f t="shared" si="227"/>
        <v>5.5499097487889809E-2</v>
      </c>
      <c r="U83" s="15">
        <f t="shared" si="227"/>
        <v>5.9773671650249598E-2</v>
      </c>
      <c r="V83" s="15">
        <f t="shared" si="227"/>
        <v>4.8950872640225615E-2</v>
      </c>
      <c r="W83" s="15">
        <f t="shared" si="227"/>
        <v>5.089702270455955E-2</v>
      </c>
      <c r="X83" s="15">
        <f t="shared" si="227"/>
        <v>6.1809928897248206E-2</v>
      </c>
      <c r="Y83" s="15">
        <f t="shared" si="227"/>
        <v>9.2885903533557024E-2</v>
      </c>
      <c r="Z83" s="15">
        <f t="shared" si="227"/>
        <v>7.7568918081722338E-2</v>
      </c>
      <c r="AA83" s="15">
        <f t="shared" si="227"/>
        <v>6.4270395489561968E-2</v>
      </c>
      <c r="AB83" s="15">
        <f t="shared" si="227"/>
        <v>4.5364449870806789E-2</v>
      </c>
      <c r="AC83" s="15">
        <f t="shared" si="227"/>
        <v>4.200883919747439E-2</v>
      </c>
      <c r="AD83" s="15"/>
      <c r="AE83" s="15"/>
      <c r="AF83" s="15">
        <f t="shared" ref="AF83:AF108" si="228">AF23/AF$50</f>
        <v>5.183368616003213E-2</v>
      </c>
      <c r="AG83" s="936">
        <f t="shared" ref="AG83:AG109" si="229">AG23/AG$55</f>
        <v>1.465896166421168</v>
      </c>
      <c r="AH83" s="936">
        <f t="shared" ref="AH83:AQ83" si="230">AH23/AH$50</f>
        <v>7.7370802268570515E-2</v>
      </c>
      <c r="AI83" s="936">
        <f t="shared" si="230"/>
        <v>5.5991655555566379E-2</v>
      </c>
      <c r="AJ83" s="936">
        <f t="shared" si="230"/>
        <v>3.9944637827309948E-2</v>
      </c>
      <c r="AK83" s="936">
        <f t="shared" si="230"/>
        <v>4.3864940881661089E-2</v>
      </c>
      <c r="AL83" s="936">
        <f t="shared" si="230"/>
        <v>3.8360307511439762E-2</v>
      </c>
      <c r="AM83" s="936">
        <f t="shared" si="230"/>
        <v>4.301236160333044E-2</v>
      </c>
      <c r="AN83" s="936">
        <f t="shared" si="230"/>
        <v>3.9487639612509111E-2</v>
      </c>
      <c r="AO83" s="936">
        <f t="shared" si="230"/>
        <v>3.917907214372688E-2</v>
      </c>
      <c r="AP83" s="936">
        <f t="shared" si="230"/>
        <v>3.9503447793260101E-2</v>
      </c>
      <c r="AQ83" s="936">
        <f t="shared" si="230"/>
        <v>5.2432264753024968E-2</v>
      </c>
      <c r="AR83" s="936">
        <f t="shared" ref="AR83:AS83" si="231">AR23/AR$50</f>
        <v>6.6222233247632517E-2</v>
      </c>
      <c r="AS83" s="936">
        <f t="shared" si="231"/>
        <v>4.8805374803085742E-2</v>
      </c>
      <c r="AT83" s="936"/>
      <c r="AU83" s="936">
        <f t="shared" ref="AU83:BG83" si="232">AU23/AU$55</f>
        <v>1.457101635514078</v>
      </c>
      <c r="AV83" s="936">
        <f t="shared" si="232"/>
        <v>3.2548165500972308</v>
      </c>
      <c r="AW83" s="936">
        <f t="shared" si="232"/>
        <v>5.1552463530451105</v>
      </c>
      <c r="AX83" s="936">
        <f t="shared" si="232"/>
        <v>2.1817246568457125</v>
      </c>
      <c r="AY83" s="936">
        <f t="shared" si="232"/>
        <v>2.1363974696023287</v>
      </c>
      <c r="AZ83" s="936">
        <f t="shared" si="232"/>
        <v>2.5988013030376749</v>
      </c>
      <c r="BA83" s="936">
        <f t="shared" si="232"/>
        <v>2.3383647279560624</v>
      </c>
      <c r="BB83" s="936" t="e">
        <f t="shared" si="232"/>
        <v>#DIV/0!</v>
      </c>
      <c r="BC83" s="936" t="e">
        <f t="shared" si="232"/>
        <v>#DIV/0!</v>
      </c>
      <c r="BD83" s="936" t="e">
        <f t="shared" si="232"/>
        <v>#DIV/0!</v>
      </c>
      <c r="BE83" s="936" t="e">
        <f t="shared" si="232"/>
        <v>#DIV/0!</v>
      </c>
      <c r="BF83" s="936" t="e">
        <f t="shared" si="232"/>
        <v>#DIV/0!</v>
      </c>
      <c r="BG83" s="936" t="e">
        <f t="shared" si="232"/>
        <v>#DIV/0!</v>
      </c>
      <c r="BH83" s="936">
        <f t="shared" ref="BH83:BI109" si="233">BH23/BH$55</f>
        <v>2.6796013578300317</v>
      </c>
      <c r="BI83" s="936">
        <f t="shared" si="233"/>
        <v>1.375886524822695</v>
      </c>
      <c r="BJ83" s="4"/>
      <c r="BL83" s="936">
        <f t="shared" ref="BL83:BX83" si="234">BL23/BL$55</f>
        <v>1.4715549936788874</v>
      </c>
      <c r="BM83" s="936">
        <f t="shared" si="234"/>
        <v>1.7935285053929122</v>
      </c>
      <c r="BN83" s="936">
        <f t="shared" si="234"/>
        <v>1.4041013268998794</v>
      </c>
      <c r="BO83" s="936">
        <f t="shared" si="234"/>
        <v>1.4007220216606497</v>
      </c>
      <c r="BP83" s="936">
        <f t="shared" si="234"/>
        <v>1.4041013268998794</v>
      </c>
      <c r="BQ83" s="936">
        <f t="shared" si="234"/>
        <v>1.375886524822695</v>
      </c>
      <c r="BR83" s="936">
        <f t="shared" si="234"/>
        <v>1.3441108545034641</v>
      </c>
      <c r="BS83" s="936">
        <f t="shared" si="234"/>
        <v>1.3318077803203661</v>
      </c>
      <c r="BT83" s="936">
        <f t="shared" si="234"/>
        <v>1.3363949483352469</v>
      </c>
      <c r="BU83" s="936">
        <f t="shared" si="234"/>
        <v>1.3287671232876712</v>
      </c>
      <c r="BV83" s="936">
        <f t="shared" si="234"/>
        <v>1.3472222222222223</v>
      </c>
      <c r="BW83" s="936">
        <f t="shared" si="234"/>
        <v>1.3318077803203661</v>
      </c>
      <c r="BX83" s="936">
        <f t="shared" si="234"/>
        <v>1.3968</v>
      </c>
    </row>
    <row r="84" spans="1:76" x14ac:dyDescent="0.3">
      <c r="A84" s="3">
        <f>A83+1</f>
        <v>2</v>
      </c>
      <c r="B84" s="3" t="s">
        <v>97</v>
      </c>
      <c r="C84" s="3" t="s">
        <v>48</v>
      </c>
      <c r="D84" s="25" t="s">
        <v>39</v>
      </c>
      <c r="E84" s="3" t="s">
        <v>114</v>
      </c>
      <c r="F84" s="15">
        <f t="shared" ref="F84:Q84" si="235">F24/F$50</f>
        <v>0.17649922444729346</v>
      </c>
      <c r="G84" s="15">
        <f t="shared" si="235"/>
        <v>0.13081393860268678</v>
      </c>
      <c r="H84" s="15">
        <f t="shared" si="235"/>
        <v>0.11234023642942238</v>
      </c>
      <c r="I84" s="15">
        <f t="shared" si="235"/>
        <v>0.14312030447568011</v>
      </c>
      <c r="J84" s="15">
        <f t="shared" si="235"/>
        <v>0.12333498355915214</v>
      </c>
      <c r="K84" s="15">
        <f t="shared" si="235"/>
        <v>0.14421540540358108</v>
      </c>
      <c r="L84" s="15">
        <f t="shared" si="235"/>
        <v>0.12363058841293641</v>
      </c>
      <c r="M84" s="15">
        <f t="shared" si="235"/>
        <v>0.13034228624735977</v>
      </c>
      <c r="N84" s="15">
        <f t="shared" si="235"/>
        <v>0.14368593228624368</v>
      </c>
      <c r="O84" s="15">
        <f t="shared" si="235"/>
        <v>0.12441324270906028</v>
      </c>
      <c r="P84" s="15">
        <f t="shared" si="235"/>
        <v>0.15945938095323794</v>
      </c>
      <c r="Q84" s="15">
        <f t="shared" si="235"/>
        <v>8.6295731071754783E-2</v>
      </c>
      <c r="R84" s="936">
        <f t="shared" si="226"/>
        <v>3.8041398049179982</v>
      </c>
      <c r="S84" s="15">
        <f t="shared" ref="S84:AC84" si="236">S24/S$50</f>
        <v>8.5316048442421674E-2</v>
      </c>
      <c r="T84" s="15">
        <f t="shared" si="236"/>
        <v>0.10659014463584285</v>
      </c>
      <c r="U84" s="15">
        <f t="shared" si="236"/>
        <v>7.4248007528325721E-2</v>
      </c>
      <c r="V84" s="15">
        <f t="shared" si="236"/>
        <v>8.4950163449989402E-2</v>
      </c>
      <c r="W84" s="15">
        <f t="shared" si="236"/>
        <v>8.687741093210348E-2</v>
      </c>
      <c r="X84" s="15">
        <f t="shared" si="236"/>
        <v>0.10687727502978762</v>
      </c>
      <c r="Y84" s="15">
        <f t="shared" si="236"/>
        <v>0.15979616678481312</v>
      </c>
      <c r="Z84" s="15">
        <f t="shared" si="236"/>
        <v>0.13191266399893925</v>
      </c>
      <c r="AA84" s="15">
        <f t="shared" si="236"/>
        <v>0.11721523240373639</v>
      </c>
      <c r="AB84" s="15">
        <f t="shared" si="236"/>
        <v>9.2456771697324053E-2</v>
      </c>
      <c r="AC84" s="15">
        <f t="shared" si="236"/>
        <v>9.0323420500000834E-2</v>
      </c>
      <c r="AD84" s="15"/>
      <c r="AE84" s="15"/>
      <c r="AF84" s="15">
        <f t="shared" si="228"/>
        <v>0.10104556546769107</v>
      </c>
      <c r="AG84" s="936">
        <f t="shared" si="229"/>
        <v>2.8576456359988054</v>
      </c>
      <c r="AH84" s="936">
        <f t="shared" ref="AH84:AQ84" si="237">AH24/AH$50</f>
        <v>0.17831678706060247</v>
      </c>
      <c r="AI84" s="936">
        <f t="shared" si="237"/>
        <v>0.13149762824856948</v>
      </c>
      <c r="AJ84" s="936">
        <f t="shared" si="237"/>
        <v>9.2064772464422573E-2</v>
      </c>
      <c r="AK84" s="936">
        <f t="shared" si="237"/>
        <v>0.11147553176529473</v>
      </c>
      <c r="AL84" s="936">
        <f t="shared" si="237"/>
        <v>9.7622721046228753E-2</v>
      </c>
      <c r="AM84" s="936">
        <f t="shared" si="237"/>
        <v>0.11094602861942766</v>
      </c>
      <c r="AN84" s="936">
        <f t="shared" si="237"/>
        <v>0.10558910149445362</v>
      </c>
      <c r="AO84" s="936">
        <f t="shared" si="237"/>
        <v>0.10669190904615584</v>
      </c>
      <c r="AP84" s="936">
        <f t="shared" si="237"/>
        <v>0.1099914750096396</v>
      </c>
      <c r="AQ84" s="936">
        <f t="shared" si="237"/>
        <v>0.13788528908271119</v>
      </c>
      <c r="AR84" s="936">
        <f t="shared" ref="AR84:AS84" si="238">AR24/AR$50</f>
        <v>0.16915673097928338</v>
      </c>
      <c r="AS84" s="936">
        <f t="shared" si="238"/>
        <v>0.13949181395475491</v>
      </c>
      <c r="AT84" s="936"/>
      <c r="AU84" s="936">
        <f t="shared" ref="AU84:BG84" si="239">AU24/AU$55</f>
        <v>3.8175230472634096</v>
      </c>
      <c r="AV84" s="936">
        <f t="shared" si="239"/>
        <v>5.024001240688194</v>
      </c>
      <c r="AW84" s="936">
        <f t="shared" si="239"/>
        <v>7.1171892960079504</v>
      </c>
      <c r="AX84" s="936">
        <f t="shared" si="239"/>
        <v>3.2451779803616745</v>
      </c>
      <c r="AY84" s="936">
        <f t="shared" si="239"/>
        <v>3.5580893357674079</v>
      </c>
      <c r="AZ84" s="936">
        <f t="shared" si="239"/>
        <v>4.0775622476467444</v>
      </c>
      <c r="BA84" s="936">
        <f t="shared" si="239"/>
        <v>3.9463907659669766</v>
      </c>
      <c r="BB84" s="936" t="e">
        <f t="shared" si="239"/>
        <v>#DIV/0!</v>
      </c>
      <c r="BC84" s="936" t="e">
        <f t="shared" si="239"/>
        <v>#DIV/0!</v>
      </c>
      <c r="BD84" s="936" t="e">
        <f t="shared" si="239"/>
        <v>#DIV/0!</v>
      </c>
      <c r="BE84" s="936" t="e">
        <f t="shared" si="239"/>
        <v>#DIV/0!</v>
      </c>
      <c r="BF84" s="936" t="e">
        <f t="shared" si="239"/>
        <v>#DIV/0!</v>
      </c>
      <c r="BG84" s="936" t="e">
        <f t="shared" si="239"/>
        <v>#DIV/0!</v>
      </c>
      <c r="BH84" s="936">
        <f t="shared" si="233"/>
        <v>4.1674111860503746</v>
      </c>
      <c r="BI84" s="936">
        <f t="shared" si="233"/>
        <v>3.9263319516002912</v>
      </c>
      <c r="BJ84" s="4"/>
      <c r="BL84" s="936">
        <f t="shared" ref="BL84:BX84" si="240">BL24/BL$55</f>
        <v>4.0280833874550224</v>
      </c>
      <c r="BM84" s="936">
        <f t="shared" si="240"/>
        <v>4.8660241230769241</v>
      </c>
      <c r="BN84" s="936">
        <f t="shared" si="240"/>
        <v>3.6662991557390741</v>
      </c>
      <c r="BO84" s="936">
        <f t="shared" si="240"/>
        <v>3.9223824444182172</v>
      </c>
      <c r="BP84" s="936">
        <f t="shared" si="240"/>
        <v>3.8221588510717273</v>
      </c>
      <c r="BQ84" s="936">
        <f t="shared" si="240"/>
        <v>3.9263319516002912</v>
      </c>
      <c r="BR84" s="936">
        <f t="shared" si="240"/>
        <v>3.7479606564531891</v>
      </c>
      <c r="BS84" s="936">
        <f t="shared" si="240"/>
        <v>3.7584824277239925</v>
      </c>
      <c r="BT84" s="936">
        <f t="shared" si="240"/>
        <v>3.8125818548882799</v>
      </c>
      <c r="BU84" s="936">
        <f t="shared" si="240"/>
        <v>3.6212442503029507</v>
      </c>
      <c r="BV84" s="936">
        <f t="shared" si="240"/>
        <v>3.8395703706641742</v>
      </c>
      <c r="BW84" s="936">
        <f t="shared" si="240"/>
        <v>4.2289350593029402</v>
      </c>
      <c r="BX84" s="936">
        <f t="shared" si="240"/>
        <v>3.9170466316642316</v>
      </c>
    </row>
    <row r="85" spans="1:76" x14ac:dyDescent="0.3">
      <c r="A85" s="3">
        <f t="shared" ref="A85:A109" si="241">A84+1</f>
        <v>3</v>
      </c>
      <c r="B85" s="3" t="s">
        <v>97</v>
      </c>
      <c r="C85" s="3" t="s">
        <v>16</v>
      </c>
      <c r="D85" s="25" t="s">
        <v>16</v>
      </c>
      <c r="E85" s="3" t="s">
        <v>114</v>
      </c>
      <c r="F85" s="15">
        <f t="shared" ref="F85:Q85" si="242">F25/F$50</f>
        <v>5.7619981327943465E-2</v>
      </c>
      <c r="G85" s="15">
        <f t="shared" si="242"/>
        <v>4.6104216180025456E-2</v>
      </c>
      <c r="H85" s="15">
        <f t="shared" si="242"/>
        <v>4.1299178418671874E-2</v>
      </c>
      <c r="I85" s="15">
        <f t="shared" si="242"/>
        <v>5.0863813788455239E-2</v>
      </c>
      <c r="J85" s="15">
        <f t="shared" si="242"/>
        <v>4.1048275943614161E-2</v>
      </c>
      <c r="K85" s="15">
        <f t="shared" si="242"/>
        <v>4.7542615026611584E-2</v>
      </c>
      <c r="L85" s="15">
        <f t="shared" si="242"/>
        <v>4.2977874225545845E-2</v>
      </c>
      <c r="M85" s="15">
        <f t="shared" si="242"/>
        <v>4.3107695150381625E-2</v>
      </c>
      <c r="N85" s="15">
        <f t="shared" si="242"/>
        <v>5.0906363910743678E-2</v>
      </c>
      <c r="O85" s="15">
        <f t="shared" si="242"/>
        <v>4.5217675393441313E-2</v>
      </c>
      <c r="P85" s="15">
        <f t="shared" si="242"/>
        <v>5.5540428246328363E-2</v>
      </c>
      <c r="Q85" s="15">
        <f t="shared" si="242"/>
        <v>3.0750935901317264E-2</v>
      </c>
      <c r="R85" s="936">
        <f t="shared" si="226"/>
        <v>1.3205499572308257</v>
      </c>
      <c r="S85" s="15">
        <f t="shared" ref="S85:AC85" si="243">S25/S$50</f>
        <v>2.6022053890036777E-2</v>
      </c>
      <c r="T85" s="15">
        <f t="shared" si="243"/>
        <v>3.648906193889085E-2</v>
      </c>
      <c r="U85" s="15">
        <f t="shared" si="243"/>
        <v>2.3389733130826228E-2</v>
      </c>
      <c r="V85" s="15">
        <f t="shared" si="243"/>
        <v>2.6169406298280955E-2</v>
      </c>
      <c r="W85" s="15">
        <f t="shared" si="243"/>
        <v>2.6689661920769697E-2</v>
      </c>
      <c r="X85" s="15">
        <f t="shared" si="243"/>
        <v>3.3236609209593315E-2</v>
      </c>
      <c r="Y85" s="15">
        <f t="shared" si="243"/>
        <v>5.0471802763190729E-2</v>
      </c>
      <c r="Z85" s="15">
        <f t="shared" si="243"/>
        <v>4.2418399421381529E-2</v>
      </c>
      <c r="AA85" s="15">
        <f t="shared" si="243"/>
        <v>3.6631586751361939E-2</v>
      </c>
      <c r="AB85" s="15">
        <f t="shared" si="243"/>
        <v>2.8715616649742523E-2</v>
      </c>
      <c r="AC85" s="15">
        <f t="shared" si="243"/>
        <v>2.7460514511190307E-2</v>
      </c>
      <c r="AD85" s="15"/>
      <c r="AE85" s="15"/>
      <c r="AF85" s="15">
        <f t="shared" si="228"/>
        <v>3.140926323493759E-2</v>
      </c>
      <c r="AG85" s="936">
        <f t="shared" si="229"/>
        <v>0.88827791301693937</v>
      </c>
      <c r="AH85" s="936">
        <f t="shared" ref="AH85:AQ85" si="244">AH25/AH$50</f>
        <v>5.4319694725645074E-2</v>
      </c>
      <c r="AI85" s="936">
        <f t="shared" si="244"/>
        <v>4.0216901827363975E-2</v>
      </c>
      <c r="AJ85" s="936">
        <f t="shared" si="244"/>
        <v>2.954758231473175E-2</v>
      </c>
      <c r="AK85" s="936">
        <f t="shared" si="244"/>
        <v>3.1657598158581185E-2</v>
      </c>
      <c r="AL85" s="936">
        <f t="shared" si="244"/>
        <v>2.8869424353056665E-2</v>
      </c>
      <c r="AM85" s="936">
        <f t="shared" si="244"/>
        <v>3.197300946289635E-2</v>
      </c>
      <c r="AN85" s="936">
        <f t="shared" si="244"/>
        <v>2.9338486317762941E-2</v>
      </c>
      <c r="AO85" s="936">
        <f t="shared" si="244"/>
        <v>2.9162933268977089E-2</v>
      </c>
      <c r="AP85" s="936">
        <f t="shared" si="244"/>
        <v>3.1624700258618701E-2</v>
      </c>
      <c r="AQ85" s="936">
        <f t="shared" si="244"/>
        <v>4.0503333958891767E-2</v>
      </c>
      <c r="AR85" s="936">
        <f t="shared" ref="AR85:AS85" si="245">AR25/AR$50</f>
        <v>5.3090025461383743E-2</v>
      </c>
      <c r="AS85" s="936">
        <f t="shared" si="245"/>
        <v>3.9703138190055443E-2</v>
      </c>
      <c r="AT85" s="936"/>
      <c r="AU85" s="936">
        <f t="shared" ref="AU85:BG85" si="246">AU25/AU$55</f>
        <v>1.0856965759960384</v>
      </c>
      <c r="AV85" s="936">
        <f t="shared" si="246"/>
        <v>0.74391400695660381</v>
      </c>
      <c r="AW85" s="936">
        <f t="shared" si="246"/>
        <v>1.1611774545856108</v>
      </c>
      <c r="AX85" s="936">
        <f t="shared" si="246"/>
        <v>0.49494497076636962</v>
      </c>
      <c r="AY85" s="936">
        <f t="shared" si="246"/>
        <v>0.5212386296327467</v>
      </c>
      <c r="AZ85" s="936">
        <f t="shared" si="246"/>
        <v>0.64881265778602182</v>
      </c>
      <c r="BA85" s="936">
        <f t="shared" si="246"/>
        <v>0.59382330164882058</v>
      </c>
      <c r="BB85" s="936" t="e">
        <f t="shared" si="246"/>
        <v>#DIV/0!</v>
      </c>
      <c r="BC85" s="936" t="e">
        <f t="shared" si="246"/>
        <v>#DIV/0!</v>
      </c>
      <c r="BD85" s="936" t="e">
        <f t="shared" si="246"/>
        <v>#DIV/0!</v>
      </c>
      <c r="BE85" s="936" t="e">
        <f t="shared" si="246"/>
        <v>#DIV/0!</v>
      </c>
      <c r="BF85" s="936" t="e">
        <f t="shared" si="246"/>
        <v>#DIV/0!</v>
      </c>
      <c r="BG85" s="936" t="e">
        <f t="shared" si="246"/>
        <v>#DIV/0!</v>
      </c>
      <c r="BH85" s="936">
        <f t="shared" si="233"/>
        <v>0.63773098572062825</v>
      </c>
      <c r="BI85" s="936">
        <f t="shared" si="233"/>
        <v>1.4108911831964102</v>
      </c>
      <c r="BJ85" s="4"/>
      <c r="BL85" s="936">
        <f t="shared" ref="BL85:BX85" si="247">BL25/BL$55</f>
        <v>1.3409582960608886</v>
      </c>
      <c r="BM85" s="936">
        <f t="shared" si="247"/>
        <v>1.7528141796366146</v>
      </c>
      <c r="BN85" s="936">
        <f t="shared" si="247"/>
        <v>1.3934622998602688</v>
      </c>
      <c r="BO85" s="936">
        <f t="shared" si="247"/>
        <v>1.3983493407751659</v>
      </c>
      <c r="BP85" s="936">
        <f t="shared" si="247"/>
        <v>1.4055716687384354</v>
      </c>
      <c r="BQ85" s="936">
        <f t="shared" si="247"/>
        <v>1.4108911831964102</v>
      </c>
      <c r="BR85" s="936">
        <f t="shared" si="247"/>
        <v>1.3783070912057309</v>
      </c>
      <c r="BS85" s="936">
        <f t="shared" si="247"/>
        <v>1.3656910079910332</v>
      </c>
      <c r="BT85" s="936">
        <f t="shared" si="247"/>
        <v>1.3703948805788324</v>
      </c>
      <c r="BU85" s="936">
        <f t="shared" si="247"/>
        <v>1.3654998031782681</v>
      </c>
      <c r="BV85" s="936">
        <f t="shared" si="247"/>
        <v>1.3844650782224108</v>
      </c>
      <c r="BW85" s="936">
        <f t="shared" si="247"/>
        <v>1.3714334411718112</v>
      </c>
      <c r="BX85" s="936">
        <f t="shared" si="247"/>
        <v>1.4046146123609957</v>
      </c>
    </row>
    <row r="86" spans="1:76" x14ac:dyDescent="0.3">
      <c r="A86" s="3">
        <f t="shared" si="241"/>
        <v>4</v>
      </c>
      <c r="B86" s="3" t="s">
        <v>97</v>
      </c>
      <c r="C86" s="3" t="s">
        <v>12</v>
      </c>
      <c r="D86" s="25" t="s">
        <v>12</v>
      </c>
      <c r="E86" s="3" t="s">
        <v>114</v>
      </c>
      <c r="F86" s="15">
        <f t="shared" ref="F86:Q86" si="248">F26/F$50</f>
        <v>1.3406400526404291E-2</v>
      </c>
      <c r="G86" s="15">
        <f t="shared" si="248"/>
        <v>1.0653076680650075E-2</v>
      </c>
      <c r="H86" s="15">
        <f t="shared" si="248"/>
        <v>8.5081275984518322E-3</v>
      </c>
      <c r="I86" s="15">
        <f t="shared" si="248"/>
        <v>8.7769088585150229E-3</v>
      </c>
      <c r="J86" s="15">
        <f t="shared" si="248"/>
        <v>9.6807108726609144E-3</v>
      </c>
      <c r="K86" s="15">
        <f t="shared" si="248"/>
        <v>9.1627528551082148E-3</v>
      </c>
      <c r="L86" s="15">
        <f t="shared" si="248"/>
        <v>8.2944021859789243E-3</v>
      </c>
      <c r="M86" s="15">
        <f t="shared" si="248"/>
        <v>8.6967731124782E-3</v>
      </c>
      <c r="N86" s="15">
        <f t="shared" si="248"/>
        <v>8.3881771050163239E-3</v>
      </c>
      <c r="O86" s="15">
        <f t="shared" si="248"/>
        <v>8.5884973214401319E-3</v>
      </c>
      <c r="P86" s="15">
        <f t="shared" si="248"/>
        <v>1.1845313037789218E-2</v>
      </c>
      <c r="Q86" s="15">
        <f t="shared" si="248"/>
        <v>6.9001029035347695E-3</v>
      </c>
      <c r="R86" s="936">
        <f t="shared" si="226"/>
        <v>0.26910403957145146</v>
      </c>
      <c r="S86" s="15">
        <f t="shared" ref="S86:AC86" si="249">S26/S$50</f>
        <v>6.2145134182428202E-3</v>
      </c>
      <c r="T86" s="15">
        <f t="shared" si="249"/>
        <v>8.4024620619190891E-3</v>
      </c>
      <c r="U86" s="15">
        <f t="shared" si="249"/>
        <v>6.499417265946072E-3</v>
      </c>
      <c r="V86" s="15">
        <f t="shared" si="249"/>
        <v>7.2399805751416349E-3</v>
      </c>
      <c r="W86" s="15">
        <f t="shared" si="249"/>
        <v>7.9313935604201791E-3</v>
      </c>
      <c r="X86" s="15">
        <f t="shared" si="249"/>
        <v>8.0002072118127415E-3</v>
      </c>
      <c r="Y86" s="15">
        <f t="shared" si="249"/>
        <v>1.0464928437978862E-2</v>
      </c>
      <c r="Z86" s="15">
        <f t="shared" si="249"/>
        <v>1.062839615438628E-2</v>
      </c>
      <c r="AA86" s="15">
        <f t="shared" si="249"/>
        <v>1.079193501936989E-2</v>
      </c>
      <c r="AB86" s="15">
        <f t="shared" si="249"/>
        <v>6.9454271043552325E-3</v>
      </c>
      <c r="AC86" s="15">
        <f t="shared" si="249"/>
        <v>7.968330932188487E-3</v>
      </c>
      <c r="AD86" s="15"/>
      <c r="AE86" s="15"/>
      <c r="AF86" s="15">
        <f t="shared" si="228"/>
        <v>8.2229191070485805E-3</v>
      </c>
      <c r="AG86" s="936">
        <f t="shared" si="229"/>
        <v>0.23255042210577787</v>
      </c>
      <c r="AH86" s="936">
        <f t="shared" ref="AH86:AQ86" si="250">AH26/AH$50</f>
        <v>1.2094642878012429E-2</v>
      </c>
      <c r="AI86" s="936">
        <f t="shared" si="250"/>
        <v>1.0579092573510434E-2</v>
      </c>
      <c r="AJ86" s="936">
        <f t="shared" si="250"/>
        <v>6.9907642527344506E-3</v>
      </c>
      <c r="AK86" s="936">
        <f t="shared" si="250"/>
        <v>8.8991692213344509E-3</v>
      </c>
      <c r="AL86" s="936">
        <f t="shared" si="250"/>
        <v>7.6506114540586508E-3</v>
      </c>
      <c r="AM86" s="936">
        <f t="shared" si="250"/>
        <v>6.9706508929085328E-3</v>
      </c>
      <c r="AN86" s="936">
        <f t="shared" si="250"/>
        <v>6.9522646024024514E-3</v>
      </c>
      <c r="AO86" s="936">
        <f t="shared" si="250"/>
        <v>6.5649893020245332E-3</v>
      </c>
      <c r="AP86" s="936">
        <f t="shared" si="250"/>
        <v>6.7636105112354088E-3</v>
      </c>
      <c r="AQ86" s="936">
        <f t="shared" si="250"/>
        <v>9.0874459524230879E-3</v>
      </c>
      <c r="AR86" s="936">
        <f t="shared" ref="AR86:AS86" si="251">AR26/AR$50</f>
        <v>1.2034914748114489E-2</v>
      </c>
      <c r="AS86" s="936">
        <f t="shared" si="251"/>
        <v>7.8809467952848621E-3</v>
      </c>
      <c r="AT86" s="936"/>
      <c r="AU86" s="936">
        <f t="shared" ref="AU86:BG86" si="252">AU26/AU$55</f>
        <v>0.25359604392146062</v>
      </c>
      <c r="AV86" s="936">
        <f t="shared" si="252"/>
        <v>0.20940053756763932</v>
      </c>
      <c r="AW86" s="936">
        <f t="shared" si="252"/>
        <v>0.2875632416763293</v>
      </c>
      <c r="AX86" s="936">
        <f t="shared" si="252"/>
        <v>0.14167265203859622</v>
      </c>
      <c r="AY86" s="936">
        <f t="shared" si="252"/>
        <v>0.13201920565645439</v>
      </c>
      <c r="AZ86" s="936">
        <f t="shared" si="252"/>
        <v>0.16986217399703063</v>
      </c>
      <c r="BA86" s="936">
        <f t="shared" si="252"/>
        <v>0.15964176541239578</v>
      </c>
      <c r="BB86" s="936" t="e">
        <f t="shared" si="252"/>
        <v>#DIV/0!</v>
      </c>
      <c r="BC86" s="936" t="e">
        <f t="shared" si="252"/>
        <v>#DIV/0!</v>
      </c>
      <c r="BD86" s="936" t="e">
        <f t="shared" si="252"/>
        <v>#DIV/0!</v>
      </c>
      <c r="BE86" s="936" t="e">
        <f t="shared" si="252"/>
        <v>#DIV/0!</v>
      </c>
      <c r="BF86" s="936" t="e">
        <f t="shared" si="252"/>
        <v>#DIV/0!</v>
      </c>
      <c r="BG86" s="936" t="e">
        <f t="shared" si="252"/>
        <v>#DIV/0!</v>
      </c>
      <c r="BH86" s="936">
        <f t="shared" si="233"/>
        <v>0.16988460688866486</v>
      </c>
      <c r="BI86" s="936">
        <f t="shared" si="233"/>
        <v>0.19910078636907305</v>
      </c>
      <c r="BJ86" s="4"/>
      <c r="BL86" s="936">
        <f t="shared" ref="BL86:BX86" si="253">BL26/BL$55</f>
        <v>0.27748736454987039</v>
      </c>
      <c r="BM86" s="936">
        <f t="shared" si="253"/>
        <v>0.21090549736518913</v>
      </c>
      <c r="BN86" s="936">
        <f t="shared" si="253"/>
        <v>0.2193025637914239</v>
      </c>
      <c r="BO86" s="936">
        <f t="shared" si="253"/>
        <v>0.22880421214988117</v>
      </c>
      <c r="BP86" s="936">
        <f t="shared" si="253"/>
        <v>0.18992578524853149</v>
      </c>
      <c r="BQ86" s="936">
        <f t="shared" si="253"/>
        <v>0.19910078636907305</v>
      </c>
      <c r="BR86" s="936">
        <f t="shared" si="253"/>
        <v>0.19001164782225713</v>
      </c>
      <c r="BS86" s="936">
        <f t="shared" si="253"/>
        <v>0.17807244558038546</v>
      </c>
      <c r="BT86" s="936">
        <f t="shared" si="253"/>
        <v>0.18502952846408868</v>
      </c>
      <c r="BU86" s="936">
        <f t="shared" si="253"/>
        <v>0.18014406007843944</v>
      </c>
      <c r="BV86" s="936">
        <f t="shared" si="253"/>
        <v>0.15753206059426347</v>
      </c>
      <c r="BW86" s="936">
        <f t="shared" si="253"/>
        <v>0.17951148742636125</v>
      </c>
      <c r="BX86" s="936">
        <f t="shared" si="253"/>
        <v>0.19863491008042145</v>
      </c>
    </row>
    <row r="87" spans="1:76" x14ac:dyDescent="0.3">
      <c r="A87" s="3">
        <f t="shared" si="241"/>
        <v>5</v>
      </c>
      <c r="B87" s="3" t="s">
        <v>97</v>
      </c>
      <c r="C87" s="3" t="s">
        <v>51</v>
      </c>
      <c r="D87" s="25" t="s">
        <v>30</v>
      </c>
      <c r="E87" s="3" t="s">
        <v>114</v>
      </c>
      <c r="F87" s="15">
        <f t="shared" ref="F87:Q87" si="254">F27/F$50</f>
        <v>5.810961877701467E-3</v>
      </c>
      <c r="G87" s="15">
        <f t="shared" si="254"/>
        <v>2.7870739094193056E-3</v>
      </c>
      <c r="H87" s="15">
        <f t="shared" si="254"/>
        <v>2.8494951053127686E-3</v>
      </c>
      <c r="I87" s="15">
        <f t="shared" si="254"/>
        <v>1.6839947024657298E-3</v>
      </c>
      <c r="J87" s="15">
        <f t="shared" si="254"/>
        <v>4.0435816987700211E-3</v>
      </c>
      <c r="K87" s="15">
        <f t="shared" si="254"/>
        <v>3.9162032359852722E-3</v>
      </c>
      <c r="L87" s="15">
        <f t="shared" si="254"/>
        <v>5.7997144816962793E-3</v>
      </c>
      <c r="M87" s="15">
        <f t="shared" si="254"/>
        <v>4.0187980397367422E-3</v>
      </c>
      <c r="N87" s="15">
        <f t="shared" si="254"/>
        <v>3.9925180652990522E-3</v>
      </c>
      <c r="O87" s="15">
        <f t="shared" si="254"/>
        <v>4.8018799957131163E-3</v>
      </c>
      <c r="P87" s="15">
        <f t="shared" si="254"/>
        <v>8.6282444885201568E-3</v>
      </c>
      <c r="Q87" s="15">
        <f t="shared" si="254"/>
        <v>6.178943418997546E-3</v>
      </c>
      <c r="R87" s="936">
        <f t="shared" si="226"/>
        <v>0.13730866431217725</v>
      </c>
      <c r="S87" s="15">
        <f t="shared" ref="S87:AC87" si="255">S27/S$50</f>
        <v>2.831953083215395E-3</v>
      </c>
      <c r="T87" s="15">
        <f t="shared" si="255"/>
        <v>3.4034379102633435E-3</v>
      </c>
      <c r="U87" s="15">
        <f t="shared" si="255"/>
        <v>2.8744653507042908E-3</v>
      </c>
      <c r="V87" s="15">
        <f t="shared" si="255"/>
        <v>2.8089701871157132E-3</v>
      </c>
      <c r="W87" s="15">
        <f t="shared" si="255"/>
        <v>4.1006626907531705E-3</v>
      </c>
      <c r="X87" s="15">
        <f t="shared" si="255"/>
        <v>5.0862429171282236E-3</v>
      </c>
      <c r="Y87" s="15">
        <f t="shared" si="255"/>
        <v>4.7330480762826288E-3</v>
      </c>
      <c r="Z87" s="15">
        <f t="shared" si="255"/>
        <v>4.081538386888026E-3</v>
      </c>
      <c r="AA87" s="15">
        <f t="shared" si="255"/>
        <v>4.8856004674189893E-3</v>
      </c>
      <c r="AB87" s="15">
        <f t="shared" si="255"/>
        <v>5.1054597915208061E-3</v>
      </c>
      <c r="AC87" s="15">
        <f t="shared" si="255"/>
        <v>5.1221437636295849E-3</v>
      </c>
      <c r="AD87" s="15"/>
      <c r="AE87" s="15"/>
      <c r="AF87" s="15">
        <f t="shared" si="228"/>
        <v>4.3018621319550528E-3</v>
      </c>
      <c r="AG87" s="936">
        <f t="shared" si="229"/>
        <v>0.12165994114784362</v>
      </c>
      <c r="AH87" s="936">
        <f t="shared" ref="AH87:AQ87" si="256">AH27/AH$50</f>
        <v>7.4210052609873789E-3</v>
      </c>
      <c r="AI87" s="936">
        <f t="shared" si="256"/>
        <v>6.1448203816796103E-3</v>
      </c>
      <c r="AJ87" s="936">
        <f t="shared" si="256"/>
        <v>4.13745885392372E-3</v>
      </c>
      <c r="AK87" s="936">
        <f t="shared" si="256"/>
        <v>4.4057290960860087E-3</v>
      </c>
      <c r="AL87" s="936">
        <f t="shared" si="256"/>
        <v>4.0473227382693986E-3</v>
      </c>
      <c r="AM87" s="936">
        <f t="shared" si="256"/>
        <v>5.2353340695067991E-3</v>
      </c>
      <c r="AN87" s="936">
        <f t="shared" si="256"/>
        <v>5.3458066298749619E-3</v>
      </c>
      <c r="AO87" s="936">
        <f t="shared" si="256"/>
        <v>4.441492635795955E-3</v>
      </c>
      <c r="AP87" s="936">
        <f t="shared" si="256"/>
        <v>4.6090239250987357E-3</v>
      </c>
      <c r="AQ87" s="936">
        <f t="shared" si="256"/>
        <v>5.5806794505585816E-3</v>
      </c>
      <c r="AR87" s="936">
        <f t="shared" ref="AR87:AS87" si="257">AR27/AR$50</f>
        <v>7.737558979258272E-3</v>
      </c>
      <c r="AS87" s="936">
        <f t="shared" si="257"/>
        <v>5.5349167976985903E-3</v>
      </c>
      <c r="AT87" s="936"/>
      <c r="AU87" s="936">
        <f t="shared" ref="AU87:BG87" si="258">AU27/AU$55</f>
        <v>0.16061005732732278</v>
      </c>
      <c r="AV87" s="936">
        <f t="shared" si="258"/>
        <v>0.16805952897947296</v>
      </c>
      <c r="AW87" s="936">
        <f t="shared" si="258"/>
        <v>0.18464703715973715</v>
      </c>
      <c r="AX87" s="936">
        <f t="shared" si="258"/>
        <v>0.11599064210703662</v>
      </c>
      <c r="AY87" s="936">
        <f t="shared" si="258"/>
        <v>0.13654924275654856</v>
      </c>
      <c r="AZ87" s="936">
        <f t="shared" si="258"/>
        <v>0.18191142828672283</v>
      </c>
      <c r="BA87" s="936">
        <f t="shared" si="258"/>
        <v>0.15136913737829269</v>
      </c>
      <c r="BB87" s="936" t="e">
        <f t="shared" si="258"/>
        <v>#DIV/0!</v>
      </c>
      <c r="BC87" s="936" t="e">
        <f t="shared" si="258"/>
        <v>#DIV/0!</v>
      </c>
      <c r="BD87" s="936" t="e">
        <f t="shared" si="258"/>
        <v>#DIV/0!</v>
      </c>
      <c r="BE87" s="936" t="e">
        <f t="shared" si="258"/>
        <v>#DIV/0!</v>
      </c>
      <c r="BF87" s="936" t="e">
        <f t="shared" si="258"/>
        <v>#DIV/0!</v>
      </c>
      <c r="BG87" s="936" t="e">
        <f t="shared" si="258"/>
        <v>#DIV/0!</v>
      </c>
      <c r="BH87" s="936">
        <f t="shared" si="233"/>
        <v>0.1514510179149898</v>
      </c>
      <c r="BI87" s="936">
        <f t="shared" si="233"/>
        <v>0.21845618433749234</v>
      </c>
      <c r="BJ87" s="4"/>
      <c r="BL87" s="936">
        <f t="shared" ref="BL87:BX87" si="259">BL27/BL$55</f>
        <v>8.6752360624113567E-2</v>
      </c>
      <c r="BM87" s="936">
        <f t="shared" si="259"/>
        <v>0.11592658864878813</v>
      </c>
      <c r="BN87" s="936">
        <f t="shared" si="259"/>
        <v>0.16158625374242402</v>
      </c>
      <c r="BO87" s="936">
        <f t="shared" si="259"/>
        <v>0.17030367713540137</v>
      </c>
      <c r="BP87" s="936">
        <f t="shared" si="259"/>
        <v>0.18244515782364643</v>
      </c>
      <c r="BQ87" s="936">
        <f t="shared" si="259"/>
        <v>0.21845618433749234</v>
      </c>
      <c r="BR87" s="936">
        <f t="shared" si="259"/>
        <v>0.19119195008148954</v>
      </c>
      <c r="BS87" s="936">
        <f t="shared" si="259"/>
        <v>0.18795667965740265</v>
      </c>
      <c r="BT87" s="936">
        <f t="shared" si="259"/>
        <v>0.22537763437032785</v>
      </c>
      <c r="BU87" s="936">
        <f t="shared" si="259"/>
        <v>0.20565749680810866</v>
      </c>
      <c r="BV87" s="936">
        <f t="shared" si="259"/>
        <v>0.20516345831777263</v>
      </c>
      <c r="BW87" s="936">
        <f t="shared" si="259"/>
        <v>0.18799541156052998</v>
      </c>
      <c r="BX87" s="936">
        <f t="shared" si="259"/>
        <v>0.18032712723461042</v>
      </c>
    </row>
    <row r="88" spans="1:76" x14ac:dyDescent="0.3">
      <c r="A88" s="3">
        <f t="shared" si="241"/>
        <v>6</v>
      </c>
      <c r="B88" s="3" t="s">
        <v>97</v>
      </c>
      <c r="C88" s="3" t="s">
        <v>40</v>
      </c>
      <c r="D88" s="25" t="s">
        <v>40</v>
      </c>
      <c r="E88" s="3" t="s">
        <v>114</v>
      </c>
      <c r="F88" s="15">
        <f t="shared" ref="F88:Q88" si="260">F28/F$50</f>
        <v>1.2770615794126586E-3</v>
      </c>
      <c r="G88" s="15">
        <f t="shared" si="260"/>
        <v>0</v>
      </c>
      <c r="H88" s="15">
        <f t="shared" si="260"/>
        <v>8.542855250601375E-4</v>
      </c>
      <c r="I88" s="15">
        <f t="shared" si="260"/>
        <v>1.548005647584758E-3</v>
      </c>
      <c r="J88" s="15">
        <f t="shared" si="260"/>
        <v>1.1510425475443262E-3</v>
      </c>
      <c r="K88" s="15">
        <f t="shared" si="260"/>
        <v>5.3806790772743156E-4</v>
      </c>
      <c r="L88" s="15">
        <f t="shared" si="260"/>
        <v>1.507409291522577E-3</v>
      </c>
      <c r="M88" s="15">
        <f t="shared" si="260"/>
        <v>1.4724789472676278E-3</v>
      </c>
      <c r="N88" s="15">
        <f t="shared" si="260"/>
        <v>1.9545518706528511E-3</v>
      </c>
      <c r="O88" s="15">
        <f t="shared" si="260"/>
        <v>2.0385057223931704E-3</v>
      </c>
      <c r="P88" s="15">
        <f t="shared" si="260"/>
        <v>3.0308508544911001E-3</v>
      </c>
      <c r="Q88" s="15">
        <f t="shared" si="260"/>
        <v>3.2105203537437831E-3</v>
      </c>
      <c r="R88" s="936">
        <f t="shared" si="226"/>
        <v>4.9682017059497222E-2</v>
      </c>
      <c r="S88" s="15">
        <f t="shared" ref="S88:AC88" si="261">S28/S$50</f>
        <v>3.9960790418568076E-3</v>
      </c>
      <c r="T88" s="15">
        <f t="shared" si="261"/>
        <v>6.8511725996902272E-3</v>
      </c>
      <c r="U88" s="15">
        <f t="shared" si="261"/>
        <v>4.5806132484378093E-3</v>
      </c>
      <c r="V88" s="15">
        <f t="shared" si="261"/>
        <v>7.4510099209267782E-3</v>
      </c>
      <c r="W88" s="15">
        <f t="shared" si="261"/>
        <v>8.0290889399462859E-3</v>
      </c>
      <c r="X88" s="15">
        <f t="shared" si="261"/>
        <v>1.1436929217850552E-2</v>
      </c>
      <c r="Y88" s="15">
        <f t="shared" si="261"/>
        <v>1.7892469923777014E-2</v>
      </c>
      <c r="Z88" s="15">
        <f t="shared" si="261"/>
        <v>1.2094232378926081E-2</v>
      </c>
      <c r="AA88" s="15">
        <f t="shared" si="261"/>
        <v>9.1660682919056779E-3</v>
      </c>
      <c r="AB88" s="15">
        <f t="shared" si="261"/>
        <v>7.0239676831571141E-3</v>
      </c>
      <c r="AC88" s="15">
        <f t="shared" si="261"/>
        <v>7.079403052549383E-3</v>
      </c>
      <c r="AD88" s="15"/>
      <c r="AE88" s="15"/>
      <c r="AF88" s="15">
        <f t="shared" si="228"/>
        <v>8.2522276447359235E-3</v>
      </c>
      <c r="AG88" s="936">
        <f t="shared" si="229"/>
        <v>0.23337928989856116</v>
      </c>
      <c r="AH88" s="936">
        <f t="shared" ref="AH88:AQ88" si="262">AH28/AH$50</f>
        <v>1.5922813451683952E-2</v>
      </c>
      <c r="AI88" s="936">
        <f t="shared" si="262"/>
        <v>9.813270955326121E-3</v>
      </c>
      <c r="AJ88" s="936">
        <f t="shared" si="262"/>
        <v>4.975246125364971E-3</v>
      </c>
      <c r="AK88" s="936">
        <f t="shared" si="262"/>
        <v>7.2017904936550418E-3</v>
      </c>
      <c r="AL88" s="936">
        <f t="shared" si="262"/>
        <v>8.3897185871620837E-3</v>
      </c>
      <c r="AM88" s="936">
        <f t="shared" si="262"/>
        <v>1.1333589373382648E-2</v>
      </c>
      <c r="AN88" s="936">
        <f t="shared" si="262"/>
        <v>8.9192174686221377E-3</v>
      </c>
      <c r="AO88" s="936">
        <f t="shared" si="262"/>
        <v>9.2879806460306313E-3</v>
      </c>
      <c r="AP88" s="936">
        <f t="shared" si="262"/>
        <v>1.1449930541274271E-2</v>
      </c>
      <c r="AQ88" s="936">
        <f t="shared" si="262"/>
        <v>1.3011717077486546E-2</v>
      </c>
      <c r="AR88" s="936">
        <f t="shared" ref="AR88:AS88" si="263">AR28/AR$50</f>
        <v>1.5081149019012365E-2</v>
      </c>
      <c r="AS88" s="936">
        <f t="shared" si="263"/>
        <v>1.1226400915407322E-2</v>
      </c>
      <c r="AT88" s="936"/>
      <c r="AU88" s="936">
        <f t="shared" ref="AU88:BG88" si="264">AU28/AU$55</f>
        <v>0.31349431329757194</v>
      </c>
      <c r="AV88" s="936">
        <f t="shared" si="264"/>
        <v>0.4323113569595714</v>
      </c>
      <c r="AW88" s="936">
        <f t="shared" si="264"/>
        <v>0.63844040527855994</v>
      </c>
      <c r="AX88" s="936">
        <f t="shared" si="264"/>
        <v>0.2242600843231517</v>
      </c>
      <c r="AY88" s="936">
        <f t="shared" si="264"/>
        <v>0.24302405398970056</v>
      </c>
      <c r="AZ88" s="936">
        <f t="shared" si="264"/>
        <v>0.23348484252154797</v>
      </c>
      <c r="BA88" s="936">
        <f t="shared" si="264"/>
        <v>0.21839676327670773</v>
      </c>
      <c r="BB88" s="936" t="e">
        <f t="shared" si="264"/>
        <v>#DIV/0!</v>
      </c>
      <c r="BC88" s="936" t="e">
        <f t="shared" si="264"/>
        <v>#DIV/0!</v>
      </c>
      <c r="BD88" s="936" t="e">
        <f t="shared" si="264"/>
        <v>#DIV/0!</v>
      </c>
      <c r="BE88" s="936" t="e">
        <f t="shared" si="264"/>
        <v>#DIV/0!</v>
      </c>
      <c r="BF88" s="936" t="e">
        <f t="shared" si="264"/>
        <v>#DIV/0!</v>
      </c>
      <c r="BG88" s="936" t="e">
        <f t="shared" si="264"/>
        <v>#DIV/0!</v>
      </c>
      <c r="BH88" s="936">
        <f t="shared" si="233"/>
        <v>0.29329544546755304</v>
      </c>
      <c r="BI88" s="936">
        <f t="shared" si="233"/>
        <v>0.72902266966062668</v>
      </c>
      <c r="BJ88" s="4"/>
      <c r="BL88" s="936">
        <f t="shared" ref="BL88:BX88" si="265">BL28/BL$55</f>
        <v>0.36428045286708838</v>
      </c>
      <c r="BM88" s="936">
        <f t="shared" si="265"/>
        <v>0.71322079865108989</v>
      </c>
      <c r="BN88" s="936">
        <f t="shared" si="265"/>
        <v>0.66461884411414851</v>
      </c>
      <c r="BO88" s="936">
        <f t="shared" si="265"/>
        <v>0.6399456023935054</v>
      </c>
      <c r="BP88" s="936">
        <f t="shared" si="265"/>
        <v>0.72003953141064891</v>
      </c>
      <c r="BQ88" s="936">
        <f t="shared" si="265"/>
        <v>0.72902266966062668</v>
      </c>
      <c r="BR88" s="936">
        <f t="shared" si="265"/>
        <v>0.72508525604039498</v>
      </c>
      <c r="BS88" s="936">
        <f t="shared" si="265"/>
        <v>0.76008719764942234</v>
      </c>
      <c r="BT88" s="936">
        <f t="shared" si="265"/>
        <v>0.74588791814345934</v>
      </c>
      <c r="BU88" s="936">
        <f t="shared" si="265"/>
        <v>0.74308976819089778</v>
      </c>
      <c r="BV88" s="936">
        <f t="shared" si="265"/>
        <v>0.75509131039830024</v>
      </c>
      <c r="BW88" s="936">
        <f t="shared" si="265"/>
        <v>0.70992106682705736</v>
      </c>
      <c r="BX88" s="936">
        <f t="shared" si="265"/>
        <v>0.69131808646801118</v>
      </c>
    </row>
    <row r="89" spans="1:76" x14ac:dyDescent="0.3">
      <c r="A89" s="3">
        <f t="shared" si="241"/>
        <v>7</v>
      </c>
      <c r="B89" s="3" t="s">
        <v>97</v>
      </c>
      <c r="C89" s="3" t="s">
        <v>36</v>
      </c>
      <c r="D89" s="25" t="s">
        <v>9</v>
      </c>
      <c r="E89" s="3" t="s">
        <v>114</v>
      </c>
      <c r="F89" s="15">
        <f t="shared" ref="F89:Q89" si="266">F29/F$50</f>
        <v>3.4860695681677547E-3</v>
      </c>
      <c r="G89" s="15">
        <f t="shared" si="266"/>
        <v>2.1946063559575035E-3</v>
      </c>
      <c r="H89" s="15">
        <f t="shared" si="266"/>
        <v>4.9606678759211284E-3</v>
      </c>
      <c r="I89" s="15">
        <f t="shared" si="266"/>
        <v>1.9940488665898702E-3</v>
      </c>
      <c r="J89" s="15">
        <f t="shared" si="266"/>
        <v>3.0946827796311058E-3</v>
      </c>
      <c r="K89" s="15">
        <f t="shared" si="266"/>
        <v>4.5682098172500117E-3</v>
      </c>
      <c r="L89" s="15">
        <f t="shared" si="266"/>
        <v>2.0604674941460638E-3</v>
      </c>
      <c r="M89" s="15">
        <f t="shared" si="266"/>
        <v>2.381278470154239E-3</v>
      </c>
      <c r="N89" s="15">
        <f t="shared" si="266"/>
        <v>3.4321507575005824E-3</v>
      </c>
      <c r="O89" s="15">
        <f t="shared" si="266"/>
        <v>1.9318940179986538E-3</v>
      </c>
      <c r="P89" s="15">
        <f t="shared" si="266"/>
        <v>1.2318017560304304E-3</v>
      </c>
      <c r="Q89" s="15">
        <f t="shared" si="266"/>
        <v>4.0472985030316011E-3</v>
      </c>
      <c r="R89" s="936">
        <f t="shared" si="226"/>
        <v>8.8891976170333231E-2</v>
      </c>
      <c r="S89" s="15">
        <f t="shared" ref="S89:AC89" si="267">S29/S$50</f>
        <v>1.7472185452895154E-3</v>
      </c>
      <c r="T89" s="15">
        <f t="shared" si="267"/>
        <v>2.8574961078566326E-3</v>
      </c>
      <c r="U89" s="15">
        <f t="shared" si="267"/>
        <v>1.7998489265588916E-3</v>
      </c>
      <c r="V89" s="15">
        <f t="shared" si="267"/>
        <v>1.7410092431046189E-3</v>
      </c>
      <c r="W89" s="15">
        <f t="shared" si="267"/>
        <v>2.4107673936559302E-3</v>
      </c>
      <c r="X89" s="15">
        <f t="shared" si="267"/>
        <v>2.4412567456124179E-3</v>
      </c>
      <c r="Y89" s="15">
        <f t="shared" si="267"/>
        <v>3.3875681562581228E-3</v>
      </c>
      <c r="Z89" s="15">
        <f t="shared" si="267"/>
        <v>6.9419596519442973E-3</v>
      </c>
      <c r="AA89" s="15">
        <f t="shared" si="267"/>
        <v>4.4256623496663743E-3</v>
      </c>
      <c r="AB89" s="15">
        <f t="shared" si="267"/>
        <v>6.7967272167608495E-3</v>
      </c>
      <c r="AC89" s="15">
        <f t="shared" si="267"/>
        <v>4.9141507729610181E-3</v>
      </c>
      <c r="AD89" s="15"/>
      <c r="AE89" s="15"/>
      <c r="AF89" s="15">
        <f t="shared" si="228"/>
        <v>7.3045892217414501E-3</v>
      </c>
      <c r="AG89" s="936">
        <f t="shared" si="229"/>
        <v>0.20657935274703099</v>
      </c>
      <c r="AH89" s="936">
        <f t="shared" ref="AH89:AQ89" si="268">AH29/AH$50</f>
        <v>1.3369129146718173E-2</v>
      </c>
      <c r="AI89" s="936">
        <f t="shared" si="268"/>
        <v>7.2865049758886738E-3</v>
      </c>
      <c r="AJ89" s="936">
        <f t="shared" si="268"/>
        <v>5.7299590508498831E-3</v>
      </c>
      <c r="AK89" s="936">
        <f t="shared" si="268"/>
        <v>5.9089927092201393E-3</v>
      </c>
      <c r="AL89" s="936">
        <f t="shared" si="268"/>
        <v>7.0249955316045651E-3</v>
      </c>
      <c r="AM89" s="936">
        <f t="shared" si="268"/>
        <v>7.2132185992264657E-3</v>
      </c>
      <c r="AN89" s="936">
        <f t="shared" si="268"/>
        <v>8.786294195662599E-3</v>
      </c>
      <c r="AO89" s="936">
        <f t="shared" si="268"/>
        <v>8.5106436785603486E-3</v>
      </c>
      <c r="AP89" s="936">
        <f t="shared" si="268"/>
        <v>1.0276976297946156E-2</v>
      </c>
      <c r="AQ89" s="936">
        <f t="shared" si="268"/>
        <v>8.8760839396905961E-3</v>
      </c>
      <c r="AR89" s="936">
        <f t="shared" ref="AR89:AS89" si="269">AR29/AR$50</f>
        <v>3.4811179341749217E-2</v>
      </c>
      <c r="AS89" s="936">
        <f t="shared" si="269"/>
        <v>1.182629414123593E-2</v>
      </c>
      <c r="AT89" s="936"/>
      <c r="AU89" s="936">
        <f t="shared" ref="AU89:BG89" si="270">AU29/AU$55</f>
        <v>0.31201315052621575</v>
      </c>
      <c r="AV89" s="936">
        <f t="shared" si="270"/>
        <v>0.29327243921338136</v>
      </c>
      <c r="AW89" s="936">
        <f t="shared" si="270"/>
        <v>0.52155492960079508</v>
      </c>
      <c r="AX89" s="936">
        <f t="shared" si="270"/>
        <v>0.17621264992152103</v>
      </c>
      <c r="AY89" s="936">
        <f t="shared" si="270"/>
        <v>0.18360063418283851</v>
      </c>
      <c r="AZ89" s="936">
        <f t="shared" si="270"/>
        <v>0.30977514903907449</v>
      </c>
      <c r="BA89" s="936">
        <f t="shared" si="270"/>
        <v>0.26563421523647107</v>
      </c>
      <c r="BB89" s="936" t="e">
        <f t="shared" si="270"/>
        <v>#DIV/0!</v>
      </c>
      <c r="BC89" s="936" t="e">
        <f t="shared" si="270"/>
        <v>#DIV/0!</v>
      </c>
      <c r="BD89" s="936" t="e">
        <f t="shared" si="270"/>
        <v>#DIV/0!</v>
      </c>
      <c r="BE89" s="936" t="e">
        <f t="shared" si="270"/>
        <v>#DIV/0!</v>
      </c>
      <c r="BF89" s="936" t="e">
        <f t="shared" si="270"/>
        <v>#DIV/0!</v>
      </c>
      <c r="BG89" s="936" t="e">
        <f t="shared" si="270"/>
        <v>#DIV/0!</v>
      </c>
      <c r="BH89" s="936">
        <f t="shared" si="233"/>
        <v>0.26372376185693019</v>
      </c>
      <c r="BI89" s="936">
        <f t="shared" si="233"/>
        <v>0.18690358989525094</v>
      </c>
      <c r="BJ89" s="4"/>
      <c r="BL89" s="936">
        <f t="shared" ref="BL89:BX89" si="271">BL29/BL$55</f>
        <v>0.26223006777611396</v>
      </c>
      <c r="BM89" s="936">
        <f t="shared" si="271"/>
        <v>0.2474807176189763</v>
      </c>
      <c r="BN89" s="936">
        <f t="shared" si="271"/>
        <v>0.20160545894818938</v>
      </c>
      <c r="BO89" s="936">
        <f t="shared" si="271"/>
        <v>0.22224940890659725</v>
      </c>
      <c r="BP89" s="936">
        <f t="shared" si="271"/>
        <v>0.20809802026704743</v>
      </c>
      <c r="BQ89" s="936">
        <f t="shared" si="271"/>
        <v>0.18690358989525094</v>
      </c>
      <c r="BR89" s="936">
        <f t="shared" si="271"/>
        <v>0.17183152230721591</v>
      </c>
      <c r="BS89" s="936">
        <f t="shared" si="271"/>
        <v>0.19043542912057471</v>
      </c>
      <c r="BT89" s="936">
        <f t="shared" si="271"/>
        <v>0.18562407001689513</v>
      </c>
      <c r="BU89" s="936">
        <f t="shared" si="271"/>
        <v>0.1879616799673314</v>
      </c>
      <c r="BV89" s="936">
        <f t="shared" si="271"/>
        <v>0.18071616317675421</v>
      </c>
      <c r="BW89" s="936">
        <f t="shared" si="271"/>
        <v>0.18185213384978904</v>
      </c>
      <c r="BX89" s="936">
        <f t="shared" si="271"/>
        <v>0.20071500394427785</v>
      </c>
    </row>
    <row r="90" spans="1:76" ht="28" x14ac:dyDescent="0.3">
      <c r="A90" s="3">
        <f t="shared" si="241"/>
        <v>8</v>
      </c>
      <c r="B90" s="3" t="s">
        <v>97</v>
      </c>
      <c r="C90" s="3" t="s">
        <v>51</v>
      </c>
      <c r="D90" s="32" t="s">
        <v>17</v>
      </c>
      <c r="E90" s="3" t="s">
        <v>114</v>
      </c>
      <c r="F90" s="15">
        <f t="shared" ref="F90:Q90" si="272">F30/F$50</f>
        <v>7.7825095466055967E-4</v>
      </c>
      <c r="G90" s="15">
        <f t="shared" si="272"/>
        <v>5.0865362220434477E-4</v>
      </c>
      <c r="H90" s="15">
        <f t="shared" si="272"/>
        <v>1.7095356160464073E-3</v>
      </c>
      <c r="I90" s="15">
        <f t="shared" si="272"/>
        <v>1.5602838753505097E-3</v>
      </c>
      <c r="J90" s="15">
        <f t="shared" si="272"/>
        <v>1.3926498568937891E-3</v>
      </c>
      <c r="K90" s="15">
        <f t="shared" si="272"/>
        <v>1.9547494676885389E-3</v>
      </c>
      <c r="L90" s="15">
        <f t="shared" si="272"/>
        <v>2.6128234706641641E-3</v>
      </c>
      <c r="M90" s="15">
        <f t="shared" si="272"/>
        <v>2.0787693833684909E-3</v>
      </c>
      <c r="N90" s="15">
        <f t="shared" si="272"/>
        <v>1.6993526993456963E-3</v>
      </c>
      <c r="O90" s="15">
        <f t="shared" si="272"/>
        <v>2.0915012116622354E-3</v>
      </c>
      <c r="P90" s="15">
        <f t="shared" si="272"/>
        <v>2.3929460353266435E-3</v>
      </c>
      <c r="Q90" s="15">
        <f t="shared" si="272"/>
        <v>1.825915485707561E-3</v>
      </c>
      <c r="R90" s="936">
        <f t="shared" si="226"/>
        <v>5.2650662192156264E-2</v>
      </c>
      <c r="S90" s="15">
        <f t="shared" ref="S90:AC90" si="273">S30/S$50</f>
        <v>1.4218236550640265E-3</v>
      </c>
      <c r="T90" s="15">
        <f t="shared" si="273"/>
        <v>2.4203512651307093E-3</v>
      </c>
      <c r="U90" s="15">
        <f t="shared" si="273"/>
        <v>1.6438070591289059E-3</v>
      </c>
      <c r="V90" s="15">
        <f t="shared" si="273"/>
        <v>1.7105562183768218E-3</v>
      </c>
      <c r="W90" s="15">
        <f t="shared" si="273"/>
        <v>1.5504568888800487E-3</v>
      </c>
      <c r="X90" s="15">
        <f t="shared" si="273"/>
        <v>2.3708164872355475E-3</v>
      </c>
      <c r="Y90" s="15">
        <f t="shared" si="273"/>
        <v>2.0788271086365048E-3</v>
      </c>
      <c r="Z90" s="15">
        <f t="shared" si="273"/>
        <v>3.9237926927973418E-3</v>
      </c>
      <c r="AA90" s="15">
        <f t="shared" si="273"/>
        <v>2.1681806724046242E-3</v>
      </c>
      <c r="AB90" s="15">
        <f t="shared" si="273"/>
        <v>1.5627927466015962E-3</v>
      </c>
      <c r="AC90" s="15">
        <f t="shared" si="273"/>
        <v>2.6544069559950949E-3</v>
      </c>
      <c r="AD90" s="15"/>
      <c r="AE90" s="15"/>
      <c r="AF90" s="15">
        <f t="shared" si="228"/>
        <v>2.2389394433967357E-3</v>
      </c>
      <c r="AG90" s="936">
        <f t="shared" si="229"/>
        <v>6.3318914591398309E-2</v>
      </c>
      <c r="AH90" s="936">
        <f t="shared" ref="AH90:AQ90" si="274">AH30/AH$50</f>
        <v>3.1459103424823511E-3</v>
      </c>
      <c r="AI90" s="936">
        <f t="shared" si="274"/>
        <v>3.6711615766742978E-3</v>
      </c>
      <c r="AJ90" s="936">
        <f t="shared" si="274"/>
        <v>1.6093436818219737E-3</v>
      </c>
      <c r="AK90" s="936">
        <f t="shared" si="274"/>
        <v>2.3755515230625399E-3</v>
      </c>
      <c r="AL90" s="936">
        <f t="shared" si="274"/>
        <v>2.0197095643636237E-3</v>
      </c>
      <c r="AM90" s="936">
        <f t="shared" si="274"/>
        <v>3.172621567029515E-3</v>
      </c>
      <c r="AN90" s="936">
        <f t="shared" si="274"/>
        <v>2.7068587090404174E-3</v>
      </c>
      <c r="AO90" s="936">
        <f t="shared" si="274"/>
        <v>3.2145882709038722E-3</v>
      </c>
      <c r="AP90" s="936">
        <f t="shared" si="274"/>
        <v>1.7021798379438296E-3</v>
      </c>
      <c r="AQ90" s="936">
        <f t="shared" si="274"/>
        <v>3.1175616572426518E-3</v>
      </c>
      <c r="AR90" s="936">
        <f t="shared" ref="AR90:AS90" si="275">AR30/AR$50</f>
        <v>3.3816948749942552E-3</v>
      </c>
      <c r="AS90" s="936">
        <f t="shared" si="275"/>
        <v>2.6309993442774834E-3</v>
      </c>
      <c r="AT90" s="936"/>
      <c r="AU90" s="936">
        <f t="shared" ref="AU90:BG90" si="276">AU30/AU$55</f>
        <v>8.2182232195600377E-2</v>
      </c>
      <c r="AV90" s="936">
        <f t="shared" si="276"/>
        <v>0.10816045559994761</v>
      </c>
      <c r="AW90" s="936">
        <f t="shared" si="276"/>
        <v>9.7227616917895193E-2</v>
      </c>
      <c r="AX90" s="936">
        <f t="shared" si="276"/>
        <v>4.7616574782643445E-2</v>
      </c>
      <c r="AY90" s="936">
        <f t="shared" si="276"/>
        <v>3.4201228597107183E-2</v>
      </c>
      <c r="AZ90" s="936">
        <f t="shared" si="276"/>
        <v>6.1467096726067046E-2</v>
      </c>
      <c r="BA90" s="936">
        <f t="shared" si="276"/>
        <v>6.2726135311015979E-2</v>
      </c>
      <c r="BB90" s="936" t="e">
        <f t="shared" si="276"/>
        <v>#DIV/0!</v>
      </c>
      <c r="BC90" s="936" t="e">
        <f t="shared" si="276"/>
        <v>#DIV/0!</v>
      </c>
      <c r="BD90" s="936" t="e">
        <f t="shared" si="276"/>
        <v>#DIV/0!</v>
      </c>
      <c r="BE90" s="936" t="e">
        <f t="shared" si="276"/>
        <v>#DIV/0!</v>
      </c>
      <c r="BF90" s="936" t="e">
        <f t="shared" si="276"/>
        <v>#DIV/0!</v>
      </c>
      <c r="BG90" s="936" t="e">
        <f t="shared" si="276"/>
        <v>#DIV/0!</v>
      </c>
      <c r="BH90" s="936">
        <f t="shared" si="233"/>
        <v>6.2676753829670598E-2</v>
      </c>
      <c r="BI90" s="936">
        <f t="shared" si="233"/>
        <v>7.7911724206870384E-2</v>
      </c>
      <c r="BJ90" s="4"/>
      <c r="BL90" s="936">
        <f t="shared" ref="BL90:BX90" si="277">BL30/BL$55</f>
        <v>8.6496539733264668E-2</v>
      </c>
      <c r="BM90" s="936">
        <f t="shared" si="277"/>
        <v>6.8971341339002082E-2</v>
      </c>
      <c r="BN90" s="936">
        <f t="shared" si="277"/>
        <v>5.8258068430654217E-2</v>
      </c>
      <c r="BO90" s="936">
        <f t="shared" si="277"/>
        <v>5.3253887479758136E-2</v>
      </c>
      <c r="BP90" s="936">
        <f t="shared" si="277"/>
        <v>4.9809908117023335E-2</v>
      </c>
      <c r="BQ90" s="936">
        <f t="shared" si="277"/>
        <v>7.7911724206870384E-2</v>
      </c>
      <c r="BR90" s="936">
        <f t="shared" si="277"/>
        <v>4.5382349263678623E-2</v>
      </c>
      <c r="BS90" s="936">
        <f t="shared" si="277"/>
        <v>4.9531787256688421E-2</v>
      </c>
      <c r="BT90" s="936">
        <f t="shared" si="277"/>
        <v>5.750473256296864E-2</v>
      </c>
      <c r="BU90" s="936">
        <f t="shared" si="277"/>
        <v>4.3491760345143474E-2</v>
      </c>
      <c r="BV90" s="936">
        <f t="shared" si="277"/>
        <v>5.7456923683270468E-2</v>
      </c>
      <c r="BW90" s="936">
        <f t="shared" si="277"/>
        <v>7.5273941184987425E-2</v>
      </c>
      <c r="BX90" s="936">
        <f t="shared" si="277"/>
        <v>5.991463224981481E-2</v>
      </c>
    </row>
    <row r="91" spans="1:76" x14ac:dyDescent="0.3">
      <c r="A91" s="3">
        <f t="shared" si="241"/>
        <v>9</v>
      </c>
      <c r="B91" s="3" t="s">
        <v>97</v>
      </c>
      <c r="C91" s="3" t="s">
        <v>36</v>
      </c>
      <c r="D91" s="25" t="s">
        <v>11</v>
      </c>
      <c r="E91" s="3" t="s">
        <v>114</v>
      </c>
      <c r="F91" s="15">
        <f t="shared" ref="F91:Q91" si="278">F31/F$50</f>
        <v>0</v>
      </c>
      <c r="G91" s="15">
        <f t="shared" si="278"/>
        <v>0</v>
      </c>
      <c r="H91" s="15">
        <f t="shared" si="278"/>
        <v>0</v>
      </c>
      <c r="I91" s="15">
        <f t="shared" si="278"/>
        <v>0</v>
      </c>
      <c r="J91" s="15">
        <f t="shared" si="278"/>
        <v>0</v>
      </c>
      <c r="K91" s="15">
        <f t="shared" si="278"/>
        <v>0</v>
      </c>
      <c r="L91" s="15">
        <f t="shared" si="278"/>
        <v>0</v>
      </c>
      <c r="M91" s="15">
        <f t="shared" si="278"/>
        <v>0</v>
      </c>
      <c r="N91" s="15">
        <f t="shared" si="278"/>
        <v>0</v>
      </c>
      <c r="O91" s="15">
        <f t="shared" si="278"/>
        <v>0</v>
      </c>
      <c r="P91" s="15">
        <f t="shared" si="278"/>
        <v>3.5289426456127102E-3</v>
      </c>
      <c r="Q91" s="15">
        <f t="shared" si="278"/>
        <v>2.218521872625953E-3</v>
      </c>
      <c r="R91" s="936">
        <f t="shared" si="226"/>
        <v>1.7157734421011102E-2</v>
      </c>
      <c r="S91" s="15">
        <f t="shared" ref="S91:AC91" si="279">S31/S$50</f>
        <v>6.4117496113250336E-3</v>
      </c>
      <c r="T91" s="15">
        <f t="shared" si="279"/>
        <v>3.5302277818314181E-3</v>
      </c>
      <c r="U91" s="15">
        <f t="shared" si="279"/>
        <v>2.24177231406348E-3</v>
      </c>
      <c r="V91" s="15">
        <f t="shared" si="279"/>
        <v>2.1431984326621828E-3</v>
      </c>
      <c r="W91" s="15">
        <f t="shared" si="279"/>
        <v>6.120550929368869E-3</v>
      </c>
      <c r="X91" s="15">
        <f t="shared" si="279"/>
        <v>5.808717042889309E-3</v>
      </c>
      <c r="Y91" s="15">
        <f t="shared" si="279"/>
        <v>6.6679265201592718E-3</v>
      </c>
      <c r="Z91" s="15">
        <f t="shared" si="279"/>
        <v>1.3416753826281106E-2</v>
      </c>
      <c r="AA91" s="15">
        <f t="shared" si="279"/>
        <v>1.5710728538566268E-2</v>
      </c>
      <c r="AB91" s="15">
        <f t="shared" si="279"/>
        <v>9.6901678047065284E-3</v>
      </c>
      <c r="AC91" s="15">
        <f t="shared" si="279"/>
        <v>1.2363224279655945E-2</v>
      </c>
      <c r="AD91" s="15"/>
      <c r="AE91" s="15"/>
      <c r="AF91" s="15">
        <f t="shared" si="228"/>
        <v>8.887077456660241E-3</v>
      </c>
      <c r="AG91" s="936">
        <f t="shared" si="229"/>
        <v>0.25133332663598001</v>
      </c>
      <c r="AH91" s="936">
        <f t="shared" ref="AH91:AQ91" si="280">AH31/AH$50</f>
        <v>6.5171892614063979E-3</v>
      </c>
      <c r="AI91" s="936">
        <f t="shared" si="280"/>
        <v>5.9607025031773141E-3</v>
      </c>
      <c r="AJ91" s="936">
        <f t="shared" si="280"/>
        <v>6.6180671271972025E-3</v>
      </c>
      <c r="AK91" s="936">
        <f t="shared" si="280"/>
        <v>3.9433274496720391E-3</v>
      </c>
      <c r="AL91" s="936">
        <f t="shared" si="280"/>
        <v>4.1960393519556065E-3</v>
      </c>
      <c r="AM91" s="936">
        <f t="shared" si="280"/>
        <v>4.4398116398353714E-3</v>
      </c>
      <c r="AN91" s="936">
        <f t="shared" si="280"/>
        <v>1.3360421226294456E-3</v>
      </c>
      <c r="AO91" s="936">
        <f t="shared" si="280"/>
        <v>6.3877023413585901E-4</v>
      </c>
      <c r="AP91" s="936">
        <f t="shared" si="280"/>
        <v>1.9307814513367517E-3</v>
      </c>
      <c r="AQ91" s="936">
        <f t="shared" si="280"/>
        <v>2.3467123154664693E-3</v>
      </c>
      <c r="AR91" s="936">
        <f t="shared" ref="AR91:AS91" si="281">AR31/AR$50</f>
        <v>2.1412756270212108E-3</v>
      </c>
      <c r="AS91" s="936">
        <f t="shared" si="281"/>
        <v>1.4073373705688558E-2</v>
      </c>
      <c r="AT91" s="936"/>
      <c r="AU91" s="936">
        <f t="shared" ref="AU91:BG91" si="282">AU31/AU$55</f>
        <v>0.13426987156294726</v>
      </c>
      <c r="AV91" s="936">
        <f t="shared" si="282"/>
        <v>6.1340102910187724E-2</v>
      </c>
      <c r="AW91" s="936">
        <f t="shared" si="282"/>
        <v>0.13707394898128208</v>
      </c>
      <c r="AX91" s="936">
        <f t="shared" si="282"/>
        <v>6.0657552805954175E-3</v>
      </c>
      <c r="AY91" s="936">
        <f t="shared" si="282"/>
        <v>2.330930904421025E-2</v>
      </c>
      <c r="AZ91" s="936">
        <f t="shared" si="282"/>
        <v>7.3564057715099745E-2</v>
      </c>
      <c r="BA91" s="936">
        <f t="shared" si="282"/>
        <v>7.0007297635082968E-2</v>
      </c>
      <c r="BB91" s="936" t="e">
        <f t="shared" si="282"/>
        <v>#DIV/0!</v>
      </c>
      <c r="BC91" s="936" t="e">
        <f t="shared" si="282"/>
        <v>#DIV/0!</v>
      </c>
      <c r="BD91" s="936" t="e">
        <f t="shared" si="282"/>
        <v>#DIV/0!</v>
      </c>
      <c r="BE91" s="936" t="e">
        <f t="shared" si="282"/>
        <v>#DIV/0!</v>
      </c>
      <c r="BF91" s="936" t="e">
        <f t="shared" si="282"/>
        <v>#DIV/0!</v>
      </c>
      <c r="BG91" s="936" t="e">
        <f t="shared" si="282"/>
        <v>#DIV/0!</v>
      </c>
      <c r="BH91" s="936">
        <f t="shared" si="233"/>
        <v>5.233723690834241E-2</v>
      </c>
      <c r="BI91" s="936">
        <f t="shared" si="233"/>
        <v>0.17141411478547158</v>
      </c>
      <c r="BJ91" s="4"/>
      <c r="BL91" s="936">
        <f t="shared" ref="BL91:BX91" si="283">BL31/BL$55</f>
        <v>0.12570835797945465</v>
      </c>
      <c r="BM91" s="936">
        <f t="shared" si="283"/>
        <v>0.14775295326142782</v>
      </c>
      <c r="BN91" s="936">
        <f t="shared" si="283"/>
        <v>0.11567149175713709</v>
      </c>
      <c r="BO91" s="936">
        <f t="shared" si="283"/>
        <v>0.14700264530850315</v>
      </c>
      <c r="BP91" s="936">
        <f t="shared" si="283"/>
        <v>0.13723995915811399</v>
      </c>
      <c r="BQ91" s="936">
        <f t="shared" si="283"/>
        <v>0.17141411478547158</v>
      </c>
      <c r="BR91" s="936">
        <f t="shared" si="283"/>
        <v>0.12557599252172</v>
      </c>
      <c r="BS91" s="936">
        <f t="shared" si="283"/>
        <v>0.14245918589774506</v>
      </c>
      <c r="BT91" s="936">
        <f t="shared" si="283"/>
        <v>0.12485512000437372</v>
      </c>
      <c r="BU91" s="936">
        <f t="shared" si="283"/>
        <v>0.16819138033571088</v>
      </c>
      <c r="BV91" s="936">
        <f t="shared" si="283"/>
        <v>0.17370618386243383</v>
      </c>
      <c r="BW91" s="936">
        <f t="shared" si="283"/>
        <v>0.16615092522825234</v>
      </c>
      <c r="BX91" s="936">
        <f t="shared" si="283"/>
        <v>0.14568067581999997</v>
      </c>
    </row>
    <row r="92" spans="1:76" x14ac:dyDescent="0.3">
      <c r="A92" s="3">
        <f t="shared" si="241"/>
        <v>10</v>
      </c>
      <c r="B92" s="3" t="s">
        <v>97</v>
      </c>
      <c r="C92" s="3" t="s">
        <v>36</v>
      </c>
      <c r="D92" s="25" t="s">
        <v>22</v>
      </c>
      <c r="E92" s="3" t="s">
        <v>114</v>
      </c>
      <c r="F92" s="15">
        <f t="shared" ref="F92:Q92" si="284">F32/F$50</f>
        <v>3.5046796798092919E-3</v>
      </c>
      <c r="G92" s="15">
        <f t="shared" si="284"/>
        <v>8.534715844637122E-4</v>
      </c>
      <c r="H92" s="15">
        <f t="shared" si="284"/>
        <v>3.2798174882664294E-3</v>
      </c>
      <c r="I92" s="15">
        <f t="shared" si="284"/>
        <v>2.9768457684456791E-3</v>
      </c>
      <c r="J92" s="15">
        <f t="shared" si="284"/>
        <v>1.2084657191083418E-3</v>
      </c>
      <c r="K92" s="15">
        <f t="shared" si="284"/>
        <v>3.3712990707003843E-3</v>
      </c>
      <c r="L92" s="15">
        <f t="shared" si="284"/>
        <v>2.3611865505404187E-3</v>
      </c>
      <c r="M92" s="15">
        <f t="shared" si="284"/>
        <v>1.8065474408546498E-3</v>
      </c>
      <c r="N92" s="15">
        <f t="shared" si="284"/>
        <v>1.8943453080453327E-3</v>
      </c>
      <c r="O92" s="15">
        <f t="shared" si="284"/>
        <v>1.5005621362290137E-3</v>
      </c>
      <c r="P92" s="15">
        <f t="shared" si="284"/>
        <v>1.2296100322323877E-3</v>
      </c>
      <c r="Q92" s="15">
        <f t="shared" si="284"/>
        <v>9.9045266258981825E-4</v>
      </c>
      <c r="R92" s="936">
        <f t="shared" si="226"/>
        <v>5.8238597640011235E-2</v>
      </c>
      <c r="S92" s="15">
        <f t="shared" ref="S92:AC92" si="285">S32/S$50</f>
        <v>6.3556943482973006E-4</v>
      </c>
      <c r="T92" s="15">
        <f t="shared" si="285"/>
        <v>1.7526522325536568E-3</v>
      </c>
      <c r="U92" s="15">
        <f t="shared" si="285"/>
        <v>7.7479708334636359E-4</v>
      </c>
      <c r="V92" s="15">
        <f t="shared" si="285"/>
        <v>8.6028509019235794E-4</v>
      </c>
      <c r="W92" s="15">
        <f t="shared" si="285"/>
        <v>9.0928170757015618E-4</v>
      </c>
      <c r="X92" s="15">
        <f t="shared" si="285"/>
        <v>1.5072497234315798E-3</v>
      </c>
      <c r="Y92" s="15">
        <f t="shared" si="285"/>
        <v>1.7336467415423995E-3</v>
      </c>
      <c r="Z92" s="15">
        <f t="shared" si="285"/>
        <v>1.502826410327331E-3</v>
      </c>
      <c r="AA92" s="15">
        <f t="shared" si="285"/>
        <v>1.2271719425672825E-3</v>
      </c>
      <c r="AB92" s="15">
        <f t="shared" si="285"/>
        <v>1.1042882912215279E-3</v>
      </c>
      <c r="AC92" s="15">
        <f t="shared" si="285"/>
        <v>1.2079260663040302E-3</v>
      </c>
      <c r="AD92" s="15"/>
      <c r="AE92" s="15"/>
      <c r="AF92" s="15">
        <f t="shared" si="228"/>
        <v>1.1655333409381003E-3</v>
      </c>
      <c r="AG92" s="936">
        <f t="shared" si="229"/>
        <v>3.2962171570090758E-2</v>
      </c>
      <c r="AH92" s="936">
        <f t="shared" ref="AH92:AQ92" si="286">AH32/AH$50</f>
        <v>2.3329689365936546E-3</v>
      </c>
      <c r="AI92" s="936">
        <f t="shared" si="286"/>
        <v>1.0833393902323282E-3</v>
      </c>
      <c r="AJ92" s="936">
        <f t="shared" si="286"/>
        <v>8.6692439067316855E-4</v>
      </c>
      <c r="AK92" s="936">
        <f t="shared" si="286"/>
        <v>8.4722085734995132E-4</v>
      </c>
      <c r="AL92" s="936">
        <f t="shared" si="286"/>
        <v>4.8811820802852318E-4</v>
      </c>
      <c r="AM92" s="936">
        <f t="shared" si="286"/>
        <v>1.9399024670002055E-3</v>
      </c>
      <c r="AN92" s="936">
        <f t="shared" si="286"/>
        <v>1.0898020542242368E-3</v>
      </c>
      <c r="AO92" s="936">
        <f t="shared" si="286"/>
        <v>2.1031038001748086E-3</v>
      </c>
      <c r="AP92" s="936">
        <f t="shared" si="286"/>
        <v>1.5613935621190593E-3</v>
      </c>
      <c r="AQ92" s="936">
        <f t="shared" si="286"/>
        <v>6.7334167644444065E-4</v>
      </c>
      <c r="AR92" s="936">
        <f t="shared" ref="AR92:AS92" si="287">AR32/AR$50</f>
        <v>3.3663628877118172E-3</v>
      </c>
      <c r="AS92" s="936">
        <f t="shared" si="287"/>
        <v>2.1007912240878913E-3</v>
      </c>
      <c r="AT92" s="936"/>
      <c r="AU92" s="936">
        <f t="shared" ref="AU92:BG92" si="288">AU32/AU$55</f>
        <v>4.5175578576388598E-2</v>
      </c>
      <c r="AV92" s="936">
        <f t="shared" si="288"/>
        <v>5.7319973711633415E-2</v>
      </c>
      <c r="AW92" s="936">
        <f t="shared" si="288"/>
        <v>8.8506160344541993E-2</v>
      </c>
      <c r="AX92" s="936">
        <f t="shared" si="288"/>
        <v>3.9661150431745479E-2</v>
      </c>
      <c r="AY92" s="936">
        <f t="shared" si="288"/>
        <v>3.8619413047944195E-2</v>
      </c>
      <c r="AZ92" s="936">
        <f t="shared" si="288"/>
        <v>1.7383165000409168E-2</v>
      </c>
      <c r="BA92" s="936">
        <f t="shared" si="288"/>
        <v>5.3988690411589074E-2</v>
      </c>
      <c r="BB92" s="936" t="e">
        <f t="shared" si="288"/>
        <v>#DIV/0!</v>
      </c>
      <c r="BC92" s="936" t="e">
        <f t="shared" si="288"/>
        <v>#DIV/0!</v>
      </c>
      <c r="BD92" s="936" t="e">
        <f t="shared" si="288"/>
        <v>#DIV/0!</v>
      </c>
      <c r="BE92" s="936" t="e">
        <f t="shared" si="288"/>
        <v>#DIV/0!</v>
      </c>
      <c r="BF92" s="936" t="e">
        <f t="shared" si="288"/>
        <v>#DIV/0!</v>
      </c>
      <c r="BG92" s="936" t="e">
        <f t="shared" si="288"/>
        <v>#DIV/0!</v>
      </c>
      <c r="BH92" s="936">
        <f t="shared" si="233"/>
        <v>4.4973578204755067E-2</v>
      </c>
      <c r="BI92" s="936">
        <f t="shared" si="233"/>
        <v>6.585593962292019E-2</v>
      </c>
      <c r="BJ92" s="4"/>
      <c r="BL92" s="936">
        <f t="shared" ref="BL92:BX92" si="289">BL32/BL$55</f>
        <v>5.656193724888809E-2</v>
      </c>
      <c r="BM92" s="936">
        <f t="shared" si="289"/>
        <v>5.1959137096626321E-2</v>
      </c>
      <c r="BN92" s="936">
        <f t="shared" si="289"/>
        <v>6.0777433490796721E-2</v>
      </c>
      <c r="BO92" s="936">
        <f t="shared" si="289"/>
        <v>5.2374945271950031E-2</v>
      </c>
      <c r="BP92" s="936">
        <f t="shared" si="289"/>
        <v>5.2115014918830506E-2</v>
      </c>
      <c r="BQ92" s="936">
        <f t="shared" si="289"/>
        <v>6.585593962292019E-2</v>
      </c>
      <c r="BR92" s="936">
        <f t="shared" si="289"/>
        <v>5.1878240634492478E-2</v>
      </c>
      <c r="BS92" s="936">
        <f t="shared" si="289"/>
        <v>5.5859384198478815E-2</v>
      </c>
      <c r="BT92" s="936">
        <f t="shared" si="289"/>
        <v>5.4633420316177364E-2</v>
      </c>
      <c r="BU92" s="936">
        <f t="shared" si="289"/>
        <v>5.0255916799547738E-2</v>
      </c>
      <c r="BV92" s="936">
        <f t="shared" si="289"/>
        <v>5.0953356159171084E-2</v>
      </c>
      <c r="BW92" s="936">
        <f t="shared" si="289"/>
        <v>5.4901811345999793E-2</v>
      </c>
      <c r="BX92" s="936">
        <f t="shared" si="289"/>
        <v>5.4865294974180585E-2</v>
      </c>
    </row>
    <row r="93" spans="1:76" x14ac:dyDescent="0.3">
      <c r="A93" s="3">
        <f t="shared" si="241"/>
        <v>11</v>
      </c>
      <c r="B93" s="3" t="s">
        <v>97</v>
      </c>
      <c r="C93" s="3" t="s">
        <v>36</v>
      </c>
      <c r="D93" s="25" t="s">
        <v>21</v>
      </c>
      <c r="E93" s="3" t="s">
        <v>114</v>
      </c>
      <c r="F93" s="15">
        <f t="shared" ref="F93:Q93" si="290">F33/F$50</f>
        <v>2.5044588039166388E-3</v>
      </c>
      <c r="G93" s="15">
        <f t="shared" si="290"/>
        <v>3.605300587116448E-3</v>
      </c>
      <c r="H93" s="15">
        <f t="shared" si="290"/>
        <v>2.9603658497678186E-3</v>
      </c>
      <c r="I93" s="15">
        <f t="shared" si="290"/>
        <v>3.4305183317806225E-3</v>
      </c>
      <c r="J93" s="15">
        <f t="shared" si="290"/>
        <v>1.4123244978062174E-3</v>
      </c>
      <c r="K93" s="15">
        <f t="shared" si="290"/>
        <v>1.6079231780889917E-3</v>
      </c>
      <c r="L93" s="15">
        <f t="shared" si="290"/>
        <v>1.3923320524130856E-3</v>
      </c>
      <c r="M93" s="15">
        <f t="shared" si="290"/>
        <v>1.3245767375795014E-3</v>
      </c>
      <c r="N93" s="15">
        <f t="shared" si="290"/>
        <v>0</v>
      </c>
      <c r="O93" s="15">
        <f t="shared" si="290"/>
        <v>0</v>
      </c>
      <c r="P93" s="15">
        <f t="shared" si="290"/>
        <v>1.0153578769673058E-3</v>
      </c>
      <c r="Q93" s="15">
        <f t="shared" si="290"/>
        <v>5.3492312839607825E-4</v>
      </c>
      <c r="R93" s="936">
        <f t="shared" si="226"/>
        <v>4.4195433663230428E-2</v>
      </c>
      <c r="S93" s="15">
        <f t="shared" ref="S93:AC93" si="291">S33/S$50</f>
        <v>4.5820173853992218E-4</v>
      </c>
      <c r="T93" s="15">
        <f t="shared" si="291"/>
        <v>6.4146317774450758E-4</v>
      </c>
      <c r="U93" s="15">
        <f t="shared" si="291"/>
        <v>4.1178270083270596E-4</v>
      </c>
      <c r="V93" s="15">
        <f t="shared" si="291"/>
        <v>4.3435329038326545E-4</v>
      </c>
      <c r="W93" s="15">
        <f t="shared" si="291"/>
        <v>4.3509625160291965E-4</v>
      </c>
      <c r="X93" s="15">
        <f t="shared" si="291"/>
        <v>5.4153804061731143E-4</v>
      </c>
      <c r="Y93" s="15">
        <f t="shared" si="291"/>
        <v>8.1380533998269165E-4</v>
      </c>
      <c r="Z93" s="15">
        <f t="shared" si="291"/>
        <v>6.7960796364305136E-4</v>
      </c>
      <c r="AA93" s="15">
        <f t="shared" si="291"/>
        <v>5.6309503447214931E-4</v>
      </c>
      <c r="AB93" s="15">
        <f t="shared" si="291"/>
        <v>1.1135553515122815E-3</v>
      </c>
      <c r="AC93" s="15">
        <f t="shared" si="291"/>
        <v>6.4012994977836145E-4</v>
      </c>
      <c r="AD93" s="15"/>
      <c r="AE93" s="15"/>
      <c r="AF93" s="15">
        <f t="shared" si="228"/>
        <v>6.1455315086281432E-4</v>
      </c>
      <c r="AG93" s="936">
        <f t="shared" si="229"/>
        <v>1.7380031686932043E-2</v>
      </c>
      <c r="AH93" s="936">
        <f t="shared" ref="AH93:AQ93" si="292">AH33/AH$50</f>
        <v>1.1483238009373585E-3</v>
      </c>
      <c r="AI93" s="936">
        <f t="shared" si="292"/>
        <v>8.49844224546835E-4</v>
      </c>
      <c r="AJ93" s="936">
        <f t="shared" si="292"/>
        <v>5.9350864649687066E-4</v>
      </c>
      <c r="AK93" s="936">
        <f t="shared" si="292"/>
        <v>0</v>
      </c>
      <c r="AL93" s="936">
        <f t="shared" si="292"/>
        <v>5.6724264335053661E-4</v>
      </c>
      <c r="AM93" s="936">
        <f t="shared" si="292"/>
        <v>6.7893382292199167E-4</v>
      </c>
      <c r="AN93" s="936">
        <f t="shared" si="292"/>
        <v>6.2329742243706122E-4</v>
      </c>
      <c r="AO93" s="936">
        <f t="shared" si="292"/>
        <v>6.1842680191308936E-4</v>
      </c>
      <c r="AP93" s="936">
        <f t="shared" si="292"/>
        <v>6.2277679531174399E-4</v>
      </c>
      <c r="AQ93" s="936">
        <f t="shared" si="292"/>
        <v>8.2507262024943909E-4</v>
      </c>
      <c r="AR93" s="936">
        <f t="shared" ref="AR93:AS93" si="293">AR33/AR$50</f>
        <v>1.0470322259399491E-3</v>
      </c>
      <c r="AS93" s="936">
        <f t="shared" si="293"/>
        <v>7.7942827359006714E-4</v>
      </c>
      <c r="AT93" s="936"/>
      <c r="AU93" s="936">
        <f t="shared" ref="AU93:BG93" si="294">AU33/AU$55</f>
        <v>2.0436550429011265E-2</v>
      </c>
      <c r="AV93" s="936">
        <f t="shared" si="294"/>
        <v>3.0401545299978378E-2</v>
      </c>
      <c r="AW93" s="936">
        <f t="shared" si="294"/>
        <v>4.8152469769753188E-2</v>
      </c>
      <c r="AX93" s="936">
        <f t="shared" si="294"/>
        <v>2.0378353116458532E-2</v>
      </c>
      <c r="AY93" s="936">
        <f t="shared" si="294"/>
        <v>1.9954975480548708E-2</v>
      </c>
      <c r="AZ93" s="936">
        <f t="shared" si="294"/>
        <v>1.8509124937859795E-2</v>
      </c>
      <c r="BA93" s="936">
        <f t="shared" si="294"/>
        <v>1.6949242400414465E-2</v>
      </c>
      <c r="BB93" s="936" t="e">
        <f t="shared" si="294"/>
        <v>#DIV/0!</v>
      </c>
      <c r="BC93" s="936" t="e">
        <f t="shared" si="294"/>
        <v>#DIV/0!</v>
      </c>
      <c r="BD93" s="936" t="e">
        <f t="shared" si="294"/>
        <v>#DIV/0!</v>
      </c>
      <c r="BE93" s="936" t="e">
        <f t="shared" si="294"/>
        <v>#DIV/0!</v>
      </c>
      <c r="BF93" s="936" t="e">
        <f t="shared" si="294"/>
        <v>#DIV/0!</v>
      </c>
      <c r="BG93" s="936" t="e">
        <f t="shared" si="294"/>
        <v>#DIV/0!</v>
      </c>
      <c r="BH93" s="936">
        <f t="shared" si="233"/>
        <v>2.3114421539668788E-2</v>
      </c>
      <c r="BI93" s="936">
        <f t="shared" si="233"/>
        <v>4.0872310795902284E-2</v>
      </c>
      <c r="BJ93" s="4"/>
      <c r="BL93" s="936">
        <f t="shared" ref="BL93:BX93" si="295">BL33/BL$55</f>
        <v>2.2050300421407501E-2</v>
      </c>
      <c r="BM93" s="936">
        <f t="shared" si="295"/>
        <v>2.6874865382639959E-2</v>
      </c>
      <c r="BN93" s="936">
        <f t="shared" si="295"/>
        <v>2.1039550824286289E-2</v>
      </c>
      <c r="BO93" s="936">
        <f t="shared" si="295"/>
        <v>2.0988914119534699E-2</v>
      </c>
      <c r="BP93" s="936">
        <f t="shared" si="295"/>
        <v>4.1710464334539607E-2</v>
      </c>
      <c r="BQ93" s="936">
        <f t="shared" si="295"/>
        <v>4.0872310795902284E-2</v>
      </c>
      <c r="BR93" s="936">
        <f t="shared" si="295"/>
        <v>3.9928377521170129E-2</v>
      </c>
      <c r="BS93" s="936">
        <f t="shared" si="295"/>
        <v>3.9562900381388252E-2</v>
      </c>
      <c r="BT93" s="936">
        <f t="shared" si="295"/>
        <v>3.9699167546880978E-2</v>
      </c>
      <c r="BU93" s="936">
        <f t="shared" si="295"/>
        <v>3.9472574124809742E-2</v>
      </c>
      <c r="BV93" s="936">
        <f t="shared" si="295"/>
        <v>4.0020804320987653E-2</v>
      </c>
      <c r="BW93" s="936">
        <f t="shared" si="295"/>
        <v>3.9562900381388252E-2</v>
      </c>
      <c r="BX93" s="936">
        <f t="shared" si="295"/>
        <v>3.4639094999999995E-2</v>
      </c>
    </row>
    <row r="94" spans="1:76" x14ac:dyDescent="0.3">
      <c r="A94" s="3">
        <f t="shared" si="241"/>
        <v>12</v>
      </c>
      <c r="B94" s="3" t="s">
        <v>97</v>
      </c>
      <c r="C94" s="3" t="s">
        <v>36</v>
      </c>
      <c r="D94" s="25" t="s">
        <v>26</v>
      </c>
      <c r="E94" s="3" t="s">
        <v>114</v>
      </c>
      <c r="F94" s="15">
        <f t="shared" ref="F94:Q94" si="296">F34/F$50</f>
        <v>1.0116339393676458E-3</v>
      </c>
      <c r="G94" s="15">
        <f t="shared" si="296"/>
        <v>1.6403422683011154E-3</v>
      </c>
      <c r="H94" s="15">
        <f t="shared" si="296"/>
        <v>4.9465557426948633E-4</v>
      </c>
      <c r="I94" s="15">
        <f t="shared" si="296"/>
        <v>4.6958997351361436E-4</v>
      </c>
      <c r="J94" s="15">
        <f t="shared" si="296"/>
        <v>3.2826755314385026E-4</v>
      </c>
      <c r="K94" s="15">
        <f t="shared" si="296"/>
        <v>4.1371743471780101E-4</v>
      </c>
      <c r="L94" s="15">
        <f t="shared" si="296"/>
        <v>5.7746989899538296E-4</v>
      </c>
      <c r="M94" s="15">
        <f t="shared" si="296"/>
        <v>5.5816928886549995E-4</v>
      </c>
      <c r="N94" s="15">
        <f t="shared" si="296"/>
        <v>7.9614845718320557E-4</v>
      </c>
      <c r="O94" s="15">
        <f t="shared" si="296"/>
        <v>6.7467876322780513E-4</v>
      </c>
      <c r="P94" s="15">
        <f t="shared" si="296"/>
        <v>6.8549034901987471E-4</v>
      </c>
      <c r="Q94" s="15">
        <f t="shared" si="296"/>
        <v>4.9218345223767893E-4</v>
      </c>
      <c r="R94" s="936">
        <f t="shared" si="226"/>
        <v>1.9055506864276671E-2</v>
      </c>
      <c r="S94" s="15">
        <f t="shared" ref="S94:AC94" si="297">S34/S$50</f>
        <v>2.6388843524956986E-3</v>
      </c>
      <c r="T94" s="15">
        <f t="shared" si="297"/>
        <v>3.4769080792164432E-3</v>
      </c>
      <c r="U94" s="15">
        <f t="shared" si="297"/>
        <v>3.467908096046551E-4</v>
      </c>
      <c r="V94" s="15">
        <f t="shared" si="297"/>
        <v>3.6836361154637856E-4</v>
      </c>
      <c r="W94" s="15">
        <f t="shared" si="297"/>
        <v>3.6600146487124189E-4</v>
      </c>
      <c r="X94" s="15">
        <f t="shared" si="297"/>
        <v>7.1725879959819172E-4</v>
      </c>
      <c r="Y94" s="15">
        <f t="shared" si="297"/>
        <v>7.6315442310336814E-4</v>
      </c>
      <c r="Z94" s="15">
        <f t="shared" si="297"/>
        <v>1.0410117245930669E-3</v>
      </c>
      <c r="AA94" s="15">
        <f t="shared" si="297"/>
        <v>6.3118804239788093E-3</v>
      </c>
      <c r="AB94" s="15">
        <f t="shared" si="297"/>
        <v>4.5242035618014851E-4</v>
      </c>
      <c r="AC94" s="15">
        <f t="shared" si="297"/>
        <v>5.2921594947948427E-4</v>
      </c>
      <c r="AD94" s="15"/>
      <c r="AE94" s="15"/>
      <c r="AF94" s="15">
        <f t="shared" si="228"/>
        <v>1.3855642660970658E-3</v>
      </c>
      <c r="AG94" s="936">
        <f t="shared" si="229"/>
        <v>3.9184813901350153E-2</v>
      </c>
      <c r="AH94" s="936">
        <f t="shared" ref="AH94:AQ94" si="298">AH34/AH$50</f>
        <v>7.8235744811109009E-3</v>
      </c>
      <c r="AI94" s="936">
        <f t="shared" si="298"/>
        <v>8.1388929492068687E-4</v>
      </c>
      <c r="AJ94" s="936">
        <f t="shared" si="298"/>
        <v>4.7191336782528501E-4</v>
      </c>
      <c r="AK94" s="936">
        <f t="shared" si="298"/>
        <v>3.4931328713723572E-4</v>
      </c>
      <c r="AL94" s="936">
        <f t="shared" si="298"/>
        <v>3.2694719232502175E-4</v>
      </c>
      <c r="AM94" s="936">
        <f t="shared" si="298"/>
        <v>2.1485516436693647E-4</v>
      </c>
      <c r="AN94" s="936">
        <f t="shared" si="298"/>
        <v>6.5314885070747591E-4</v>
      </c>
      <c r="AO94" s="936">
        <f t="shared" si="298"/>
        <v>1.1092526593734296E-3</v>
      </c>
      <c r="AP94" s="936">
        <f t="shared" si="298"/>
        <v>1.1385548521563638E-2</v>
      </c>
      <c r="AQ94" s="936">
        <f t="shared" si="298"/>
        <v>1.3161247506946058E-3</v>
      </c>
      <c r="AR94" s="936">
        <f t="shared" ref="AR94:AS94" si="299">AR34/AR$50</f>
        <v>1.2325534681613328E-3</v>
      </c>
      <c r="AS94" s="936">
        <f t="shared" si="299"/>
        <v>1.4150938139741577E-3</v>
      </c>
      <c r="AT94" s="936"/>
      <c r="AU94" s="936">
        <f t="shared" ref="AU94:BG94" si="300">AU34/AU$55</f>
        <v>6.6770000495513321E-2</v>
      </c>
      <c r="AV94" s="936">
        <f t="shared" si="300"/>
        <v>0.10420332958669204</v>
      </c>
      <c r="AW94" s="936">
        <f t="shared" si="300"/>
        <v>0.35536872287560045</v>
      </c>
      <c r="AX94" s="936">
        <f t="shared" si="300"/>
        <v>3.0134365574955333E-2</v>
      </c>
      <c r="AY94" s="936">
        <f t="shared" si="300"/>
        <v>1.4321804475286672E-2</v>
      </c>
      <c r="AZ94" s="936">
        <f t="shared" si="300"/>
        <v>3.477662732187263E-2</v>
      </c>
      <c r="BA94" s="936">
        <f t="shared" si="300"/>
        <v>9.2436457864396582E-3</v>
      </c>
      <c r="BB94" s="936" t="e">
        <f t="shared" si="300"/>
        <v>#DIV/0!</v>
      </c>
      <c r="BC94" s="936" t="e">
        <f t="shared" si="300"/>
        <v>#DIV/0!</v>
      </c>
      <c r="BD94" s="936" t="e">
        <f t="shared" si="300"/>
        <v>#DIV/0!</v>
      </c>
      <c r="BE94" s="936" t="e">
        <f t="shared" si="300"/>
        <v>#DIV/0!</v>
      </c>
      <c r="BF94" s="936" t="e">
        <f t="shared" si="300"/>
        <v>#DIV/0!</v>
      </c>
      <c r="BG94" s="936" t="e">
        <f t="shared" si="300"/>
        <v>#DIV/0!</v>
      </c>
      <c r="BH94" s="936">
        <f t="shared" si="233"/>
        <v>6.2137297439053531E-2</v>
      </c>
      <c r="BI94" s="936">
        <f t="shared" si="233"/>
        <v>2.4612856312619613E-2</v>
      </c>
      <c r="BJ94" s="4"/>
      <c r="BL94" s="936">
        <f t="shared" ref="BL94:BX94" si="301">BL34/BL$55</f>
        <v>0.23253106900547832</v>
      </c>
      <c r="BM94" s="936">
        <f t="shared" si="301"/>
        <v>3.0652285952747816E-2</v>
      </c>
      <c r="BN94" s="936">
        <f t="shared" si="301"/>
        <v>1.0824286590269402E-2</v>
      </c>
      <c r="BO94" s="936">
        <f t="shared" si="301"/>
        <v>1.0798235359005216E-2</v>
      </c>
      <c r="BP94" s="936">
        <f t="shared" si="301"/>
        <v>1.0824286590269402E-2</v>
      </c>
      <c r="BQ94" s="936">
        <f t="shared" si="301"/>
        <v>2.4612856312619613E-2</v>
      </c>
      <c r="BR94" s="936">
        <f t="shared" si="301"/>
        <v>0.19657098896128888</v>
      </c>
      <c r="BS94" s="936">
        <f t="shared" si="301"/>
        <v>0.2014994009616432</v>
      </c>
      <c r="BT94" s="936">
        <f t="shared" si="301"/>
        <v>1.8210801213711662E-2</v>
      </c>
      <c r="BU94" s="936">
        <f t="shared" si="301"/>
        <v>2.3670360148945423E-2</v>
      </c>
      <c r="BV94" s="936">
        <f t="shared" si="301"/>
        <v>2.3999115151014109E-2</v>
      </c>
      <c r="BW94" s="936">
        <f t="shared" si="301"/>
        <v>2.3724525732810288E-2</v>
      </c>
      <c r="BX94" s="936">
        <f t="shared" si="301"/>
        <v>6.7597615356666668E-2</v>
      </c>
    </row>
    <row r="95" spans="1:76" x14ac:dyDescent="0.3">
      <c r="A95" s="3">
        <f t="shared" si="241"/>
        <v>13</v>
      </c>
      <c r="B95" s="3" t="s">
        <v>97</v>
      </c>
      <c r="C95" s="3" t="s">
        <v>36</v>
      </c>
      <c r="D95" s="25" t="s">
        <v>27</v>
      </c>
      <c r="E95" s="3" t="s">
        <v>114</v>
      </c>
      <c r="F95" s="15">
        <f t="shared" ref="F95:Q95" si="302">F35/F$50</f>
        <v>1.2505130152176051E-3</v>
      </c>
      <c r="G95" s="15">
        <f t="shared" si="302"/>
        <v>1.6384383836384037E-3</v>
      </c>
      <c r="H95" s="15">
        <f t="shared" si="302"/>
        <v>1.13816745370175E-3</v>
      </c>
      <c r="I95" s="15">
        <f t="shared" si="302"/>
        <v>1.1987837637753671E-3</v>
      </c>
      <c r="J95" s="15">
        <f t="shared" si="302"/>
        <v>1.0231008679802238E-3</v>
      </c>
      <c r="K95" s="15">
        <f t="shared" si="302"/>
        <v>1.1396524396805516E-3</v>
      </c>
      <c r="L95" s="15">
        <f t="shared" si="302"/>
        <v>1.0198679417349685E-3</v>
      </c>
      <c r="M95" s="15">
        <f t="shared" si="302"/>
        <v>9.3486200555609861E-4</v>
      </c>
      <c r="N95" s="15">
        <f t="shared" si="302"/>
        <v>1.0566190751683956E-3</v>
      </c>
      <c r="O95" s="15">
        <f t="shared" si="302"/>
        <v>9.7355355870875791E-4</v>
      </c>
      <c r="P95" s="15">
        <f t="shared" si="302"/>
        <v>1.1889016973412948E-3</v>
      </c>
      <c r="Q95" s="15">
        <f t="shared" si="302"/>
        <v>6.0304906062164099E-4</v>
      </c>
      <c r="R95" s="936">
        <f t="shared" si="226"/>
        <v>3.1078432122346487E-2</v>
      </c>
      <c r="S95" s="15">
        <f t="shared" ref="S95:AC95" si="303">S35/S$50</f>
        <v>6.2972925108893479E-4</v>
      </c>
      <c r="T95" s="15">
        <f t="shared" si="303"/>
        <v>7.1681568037543697E-4</v>
      </c>
      <c r="U95" s="15">
        <f t="shared" si="303"/>
        <v>4.9742723196080749E-4</v>
      </c>
      <c r="V95" s="15">
        <f t="shared" si="303"/>
        <v>1.1517494340242665E-3</v>
      </c>
      <c r="W95" s="15">
        <f t="shared" si="303"/>
        <v>8.6150092053596686E-4</v>
      </c>
      <c r="X95" s="15">
        <f t="shared" si="303"/>
        <v>1.9084659362666465E-3</v>
      </c>
      <c r="Y95" s="15">
        <f t="shared" si="303"/>
        <v>1.9334212414453935E-3</v>
      </c>
      <c r="Z95" s="15">
        <f t="shared" si="303"/>
        <v>1.5381904777780565E-3</v>
      </c>
      <c r="AA95" s="15">
        <f t="shared" si="303"/>
        <v>1.4798590514271503E-3</v>
      </c>
      <c r="AB95" s="15">
        <f t="shared" si="303"/>
        <v>1.1276514164084454E-3</v>
      </c>
      <c r="AC95" s="15">
        <f t="shared" si="303"/>
        <v>1.087708138270683E-3</v>
      </c>
      <c r="AD95" s="15"/>
      <c r="AE95" s="15"/>
      <c r="AF95" s="15">
        <f t="shared" si="228"/>
        <v>1.1298129664928992E-3</v>
      </c>
      <c r="AG95" s="936">
        <f t="shared" si="229"/>
        <v>3.1951972144939229E-2</v>
      </c>
      <c r="AH95" s="936">
        <f t="shared" ref="AH95:AQ95" si="304">AH35/AH$50</f>
        <v>2.0696064522871117E-3</v>
      </c>
      <c r="AI95" s="936">
        <f t="shared" si="304"/>
        <v>1.5876628525168298E-3</v>
      </c>
      <c r="AJ95" s="936">
        <f t="shared" si="304"/>
        <v>1.3199101406968839E-3</v>
      </c>
      <c r="AK95" s="936">
        <f t="shared" si="304"/>
        <v>1.5803036810475065E-3</v>
      </c>
      <c r="AL95" s="936">
        <f t="shared" si="304"/>
        <v>1.2701374161452326E-3</v>
      </c>
      <c r="AM95" s="936">
        <f t="shared" si="304"/>
        <v>1.3357664163858674E-3</v>
      </c>
      <c r="AN95" s="936">
        <f t="shared" si="304"/>
        <v>1.3321304872764349E-3</v>
      </c>
      <c r="AO95" s="936">
        <f t="shared" si="304"/>
        <v>1.2940668150070171E-3</v>
      </c>
      <c r="AP95" s="936">
        <f t="shared" si="304"/>
        <v>1.3324285176029712E-3</v>
      </c>
      <c r="AQ95" s="936">
        <f t="shared" si="304"/>
        <v>1.6940023301111556E-3</v>
      </c>
      <c r="AR95" s="936">
        <f t="shared" ref="AR95:AS95" si="305">AR35/AR$50</f>
        <v>2.2321471729713003E-3</v>
      </c>
      <c r="AS95" s="936">
        <f t="shared" si="305"/>
        <v>1.7207601335440684E-3</v>
      </c>
      <c r="AT95" s="936"/>
      <c r="AU95" s="936">
        <f t="shared" ref="AU95:BG95" si="306">AU35/AU$55</f>
        <v>4.6787217500693971E-2</v>
      </c>
      <c r="AV95" s="936">
        <f t="shared" si="306"/>
        <v>6.4482823275052531E-2</v>
      </c>
      <c r="AW95" s="936">
        <f t="shared" si="306"/>
        <v>8.9394842913146699E-2</v>
      </c>
      <c r="AX95" s="936">
        <f t="shared" si="306"/>
        <v>4.2020671159570692E-2</v>
      </c>
      <c r="AY95" s="936">
        <f t="shared" si="306"/>
        <v>4.7113577067529736E-2</v>
      </c>
      <c r="AZ95" s="936">
        <f t="shared" si="306"/>
        <v>5.5061650321403338E-2</v>
      </c>
      <c r="BA95" s="936">
        <f t="shared" si="306"/>
        <v>4.8646227646962178E-2</v>
      </c>
      <c r="BB95" s="936" t="e">
        <f t="shared" si="306"/>
        <v>#DIV/0!</v>
      </c>
      <c r="BC95" s="936" t="e">
        <f t="shared" si="306"/>
        <v>#DIV/0!</v>
      </c>
      <c r="BD95" s="936" t="e">
        <f t="shared" si="306"/>
        <v>#DIV/0!</v>
      </c>
      <c r="BE95" s="936" t="e">
        <f t="shared" si="306"/>
        <v>#DIV/0!</v>
      </c>
      <c r="BF95" s="936" t="e">
        <f t="shared" si="306"/>
        <v>#DIV/0!</v>
      </c>
      <c r="BG95" s="936" t="e">
        <f t="shared" si="306"/>
        <v>#DIV/0!</v>
      </c>
      <c r="BH95" s="936">
        <f t="shared" si="233"/>
        <v>5.3790018637375203E-2</v>
      </c>
      <c r="BI95" s="936">
        <f t="shared" si="233"/>
        <v>4.4917257683215132E-2</v>
      </c>
      <c r="BJ95" s="4"/>
      <c r="BL95" s="936">
        <f t="shared" ref="BL95:BX95" si="307">BL35/BL$55</f>
        <v>4.804045512010114E-2</v>
      </c>
      <c r="BM95" s="936">
        <f t="shared" si="307"/>
        <v>5.8551617873651769E-2</v>
      </c>
      <c r="BN95" s="936">
        <f t="shared" si="307"/>
        <v>4.5838359469240045E-2</v>
      </c>
      <c r="BO95" s="936">
        <f t="shared" si="307"/>
        <v>4.5728038507821901E-2</v>
      </c>
      <c r="BP95" s="936">
        <f t="shared" si="307"/>
        <v>4.5838359469240045E-2</v>
      </c>
      <c r="BQ95" s="936">
        <f t="shared" si="307"/>
        <v>4.4917257683215132E-2</v>
      </c>
      <c r="BR95" s="936">
        <f t="shared" si="307"/>
        <v>4.3879907621247112E-2</v>
      </c>
      <c r="BS95" s="936">
        <f t="shared" si="307"/>
        <v>4.3478260869565216E-2</v>
      </c>
      <c r="BT95" s="936">
        <f t="shared" si="307"/>
        <v>4.3628013777267508E-2</v>
      </c>
      <c r="BU95" s="936">
        <f t="shared" si="307"/>
        <v>4.3378995433789952E-2</v>
      </c>
      <c r="BV95" s="936">
        <f t="shared" si="307"/>
        <v>4.3981481481481483E-2</v>
      </c>
      <c r="BW95" s="936">
        <f t="shared" si="307"/>
        <v>4.3478260869565216E-2</v>
      </c>
      <c r="BX95" s="936">
        <f t="shared" si="307"/>
        <v>4.5600000000000002E-2</v>
      </c>
    </row>
    <row r="96" spans="1:76" x14ac:dyDescent="0.3">
      <c r="A96" s="3">
        <f t="shared" si="241"/>
        <v>14</v>
      </c>
      <c r="B96" s="3" t="s">
        <v>97</v>
      </c>
      <c r="C96" s="3" t="s">
        <v>51</v>
      </c>
      <c r="D96" s="25" t="s">
        <v>34</v>
      </c>
      <c r="E96" s="3" t="s">
        <v>114</v>
      </c>
      <c r="F96" s="15">
        <f t="shared" ref="F96:Q96" si="308">F36/F$50</f>
        <v>4.9412128738602473E-4</v>
      </c>
      <c r="G96" s="15">
        <f t="shared" si="308"/>
        <v>3.6618930248761991E-4</v>
      </c>
      <c r="H96" s="15">
        <f t="shared" si="308"/>
        <v>3.5647263328020598E-4</v>
      </c>
      <c r="I96" s="15">
        <f t="shared" si="308"/>
        <v>4.3514190614308532E-4</v>
      </c>
      <c r="J96" s="15">
        <f t="shared" si="308"/>
        <v>7.4825327007447975E-4</v>
      </c>
      <c r="K96" s="15">
        <f t="shared" si="308"/>
        <v>5.9148879680181955E-4</v>
      </c>
      <c r="L96" s="15">
        <f t="shared" si="308"/>
        <v>6.0307381455261305E-4</v>
      </c>
      <c r="M96" s="15">
        <f t="shared" si="308"/>
        <v>9.9216038872075541E-4</v>
      </c>
      <c r="N96" s="15">
        <f t="shared" si="308"/>
        <v>5.8193617601368661E-4</v>
      </c>
      <c r="O96" s="15">
        <f t="shared" si="308"/>
        <v>1.0338779536479888E-3</v>
      </c>
      <c r="P96" s="15">
        <f t="shared" si="308"/>
        <v>9.1741745054355745E-4</v>
      </c>
      <c r="Q96" s="15">
        <f t="shared" si="308"/>
        <v>5.6769734841355596E-4</v>
      </c>
      <c r="R96" s="936">
        <f t="shared" si="226"/>
        <v>1.9348490865216245E-2</v>
      </c>
      <c r="S96" s="15">
        <f t="shared" ref="S96:AC96" si="309">S36/S$50</f>
        <v>3.9699232059161216E-4</v>
      </c>
      <c r="T96" s="15">
        <f t="shared" si="309"/>
        <v>1.9257480082925989E-3</v>
      </c>
      <c r="U96" s="15">
        <f t="shared" si="309"/>
        <v>9.3935199213026743E-4</v>
      </c>
      <c r="V96" s="15">
        <f t="shared" si="309"/>
        <v>7.1535950321068411E-4</v>
      </c>
      <c r="W96" s="15">
        <f t="shared" si="309"/>
        <v>6.3089441082356701E-4</v>
      </c>
      <c r="X96" s="15">
        <f t="shared" si="309"/>
        <v>1.0556105539448793E-3</v>
      </c>
      <c r="Y96" s="15">
        <f t="shared" si="309"/>
        <v>1.9326734194615035E-3</v>
      </c>
      <c r="Z96" s="15">
        <f t="shared" si="309"/>
        <v>2.3420007964550563E-3</v>
      </c>
      <c r="AA96" s="15">
        <f t="shared" si="309"/>
        <v>2.8405208885370287E-3</v>
      </c>
      <c r="AB96" s="15">
        <f t="shared" si="309"/>
        <v>1.7540426040611107E-3</v>
      </c>
      <c r="AC96" s="15">
        <f t="shared" si="309"/>
        <v>2.0416048551047091E-3</v>
      </c>
      <c r="AD96" s="15"/>
      <c r="AE96" s="15"/>
      <c r="AF96" s="15">
        <f t="shared" si="228"/>
        <v>1.5447340439252429E-3</v>
      </c>
      <c r="AG96" s="936">
        <f t="shared" si="229"/>
        <v>4.36862565810789E-2</v>
      </c>
      <c r="AH96" s="936">
        <f t="shared" ref="AH96:AQ96" si="310">AH36/AH$50</f>
        <v>3.0548700111655185E-3</v>
      </c>
      <c r="AI96" s="936">
        <f t="shared" si="310"/>
        <v>2.3941756248213077E-3</v>
      </c>
      <c r="AJ96" s="936">
        <f t="shared" si="310"/>
        <v>1.8218398649797673E-3</v>
      </c>
      <c r="AK96" s="936">
        <f t="shared" si="310"/>
        <v>2.2865356745169173E-3</v>
      </c>
      <c r="AL96" s="936">
        <f t="shared" si="310"/>
        <v>1.4575145998529391E-3</v>
      </c>
      <c r="AM96" s="936">
        <f t="shared" si="310"/>
        <v>1.6720135915206586E-3</v>
      </c>
      <c r="AN96" s="936">
        <f t="shared" si="310"/>
        <v>1.5159765445735883E-3</v>
      </c>
      <c r="AO96" s="936">
        <f t="shared" si="310"/>
        <v>1.5967333113923385E-3</v>
      </c>
      <c r="AP96" s="936">
        <f t="shared" si="310"/>
        <v>1.7781091890067551E-3</v>
      </c>
      <c r="AQ96" s="936">
        <f t="shared" si="310"/>
        <v>3.3877630579319004E-3</v>
      </c>
      <c r="AR96" s="936">
        <f t="shared" ref="AR96:AS96" si="311">AR36/AR$50</f>
        <v>2.665486480326015E-3</v>
      </c>
      <c r="AS96" s="936">
        <f t="shared" si="311"/>
        <v>1.6102684087471242E-3</v>
      </c>
      <c r="AT96" s="936"/>
      <c r="AU96" s="936">
        <f t="shared" ref="AU96:BG96" si="312">AU36/AU$55</f>
        <v>6.2214593132474807E-2</v>
      </c>
      <c r="AV96" s="936">
        <f t="shared" si="312"/>
        <v>5.4575102553302487E-2</v>
      </c>
      <c r="AW96" s="936">
        <f t="shared" si="312"/>
        <v>0.10244035282425044</v>
      </c>
      <c r="AX96" s="936">
        <f t="shared" si="312"/>
        <v>3.7051901290083941E-2</v>
      </c>
      <c r="AY96" s="936">
        <f t="shared" si="312"/>
        <v>6.1468686690347496E-2</v>
      </c>
      <c r="AZ96" s="936">
        <f t="shared" si="312"/>
        <v>0.10690096702129495</v>
      </c>
      <c r="BA96" s="936">
        <f t="shared" si="312"/>
        <v>5.918976343998758E-2</v>
      </c>
      <c r="BB96" s="936" t="e">
        <f t="shared" si="312"/>
        <v>#DIV/0!</v>
      </c>
      <c r="BC96" s="936" t="e">
        <f t="shared" si="312"/>
        <v>#DIV/0!</v>
      </c>
      <c r="BD96" s="936" t="e">
        <f t="shared" si="312"/>
        <v>#DIV/0!</v>
      </c>
      <c r="BE96" s="936" t="e">
        <f t="shared" si="312"/>
        <v>#DIV/0!</v>
      </c>
      <c r="BF96" s="936" t="e">
        <f t="shared" si="312"/>
        <v>#DIV/0!</v>
      </c>
      <c r="BG96" s="936" t="e">
        <f t="shared" si="312"/>
        <v>#DIV/0!</v>
      </c>
      <c r="BH96" s="936">
        <f t="shared" si="233"/>
        <v>6.646836127888224E-2</v>
      </c>
      <c r="BI96" s="936">
        <f t="shared" si="233"/>
        <v>5.5955575134620426E-2</v>
      </c>
      <c r="BJ96" s="4"/>
      <c r="BL96" s="936">
        <f t="shared" ref="BL96:BX96" si="313">BL36/BL$55</f>
        <v>7.9188765192033883E-2</v>
      </c>
      <c r="BM96" s="936">
        <f t="shared" si="313"/>
        <v>5.6390672522186214E-2</v>
      </c>
      <c r="BN96" s="936">
        <f t="shared" si="313"/>
        <v>8.349810152459454E-2</v>
      </c>
      <c r="BO96" s="936">
        <f t="shared" si="313"/>
        <v>5.4109085395774727E-2</v>
      </c>
      <c r="BP96" s="936">
        <f t="shared" si="313"/>
        <v>4.8412255123307851E-2</v>
      </c>
      <c r="BQ96" s="936">
        <f t="shared" si="313"/>
        <v>5.5955575134620426E-2</v>
      </c>
      <c r="BR96" s="936">
        <f t="shared" si="313"/>
        <v>6.619995255645357E-2</v>
      </c>
      <c r="BS96" s="936">
        <f t="shared" si="313"/>
        <v>3.5784401045639444E-2</v>
      </c>
      <c r="BT96" s="936">
        <f t="shared" si="313"/>
        <v>2.9143589300293402E-2</v>
      </c>
      <c r="BU96" s="936">
        <f t="shared" si="313"/>
        <v>2.8087885099568718E-2</v>
      </c>
      <c r="BV96" s="936">
        <f t="shared" si="313"/>
        <v>1.834792817001029E-2</v>
      </c>
      <c r="BW96" s="936">
        <f t="shared" si="313"/>
        <v>2.1095450273328261E-2</v>
      </c>
      <c r="BX96" s="936">
        <f t="shared" si="313"/>
        <v>4.737764244560197E-2</v>
      </c>
    </row>
    <row r="97" spans="1:76" x14ac:dyDescent="0.3">
      <c r="A97" s="3">
        <f t="shared" si="241"/>
        <v>15</v>
      </c>
      <c r="B97" s="3" t="s">
        <v>97</v>
      </c>
      <c r="C97" s="3" t="s">
        <v>36</v>
      </c>
      <c r="D97" s="25" t="s">
        <v>15</v>
      </c>
      <c r="E97" s="3" t="s">
        <v>114</v>
      </c>
      <c r="F97" s="15">
        <f t="shared" ref="F97:Q97" si="314">F37/F$50</f>
        <v>3.0943515526103498E-3</v>
      </c>
      <c r="G97" s="15">
        <f t="shared" si="314"/>
        <v>1.2093088237246615E-3</v>
      </c>
      <c r="H97" s="15">
        <f t="shared" si="314"/>
        <v>1.2365500220946526E-3</v>
      </c>
      <c r="I97" s="15">
        <f t="shared" si="314"/>
        <v>1.3673613895439321E-3</v>
      </c>
      <c r="J97" s="15">
        <f t="shared" si="314"/>
        <v>1.2702171858641744E-3</v>
      </c>
      <c r="K97" s="15">
        <f t="shared" si="314"/>
        <v>1.204178378383479E-3</v>
      </c>
      <c r="L97" s="15">
        <f t="shared" si="314"/>
        <v>1.0761458298268179E-3</v>
      </c>
      <c r="M97" s="15">
        <f t="shared" si="314"/>
        <v>4.8923346534958877E-4</v>
      </c>
      <c r="N97" s="15">
        <f t="shared" si="314"/>
        <v>6.4204413561016614E-4</v>
      </c>
      <c r="O97" s="15">
        <f t="shared" si="314"/>
        <v>5.1489060815601063E-4</v>
      </c>
      <c r="P97" s="15">
        <f t="shared" si="314"/>
        <v>3.1519345172794619E-4</v>
      </c>
      <c r="Q97" s="15">
        <f t="shared" si="314"/>
        <v>1.1827764485482388E-4</v>
      </c>
      <c r="R97" s="936">
        <f t="shared" si="226"/>
        <v>2.7038722931418204E-2</v>
      </c>
      <c r="S97" s="15">
        <f t="shared" ref="S97:AC97" si="315">S37/S$50</f>
        <v>1.3049050085870166E-4</v>
      </c>
      <c r="T97" s="15">
        <f t="shared" si="315"/>
        <v>9.7088565254045356E-5</v>
      </c>
      <c r="U97" s="15">
        <f t="shared" si="315"/>
        <v>2.4854480159893346E-4</v>
      </c>
      <c r="V97" s="15">
        <f t="shared" si="315"/>
        <v>3.8204937388348675E-4</v>
      </c>
      <c r="W97" s="15">
        <f t="shared" si="315"/>
        <v>1.3300939342250314E-4</v>
      </c>
      <c r="X97" s="15">
        <f t="shared" si="315"/>
        <v>9.8140685301044417E-4</v>
      </c>
      <c r="Y97" s="15">
        <f t="shared" si="315"/>
        <v>2.9545229370921567E-4</v>
      </c>
      <c r="Z97" s="15">
        <f t="shared" si="315"/>
        <v>1.2949126016241976E-3</v>
      </c>
      <c r="AA97" s="15">
        <f t="shared" si="315"/>
        <v>1.1108604624656393E-3</v>
      </c>
      <c r="AB97" s="15">
        <f t="shared" si="315"/>
        <v>6.8100151745303819E-4</v>
      </c>
      <c r="AC97" s="15">
        <f t="shared" si="315"/>
        <v>4.540899466488688E-4</v>
      </c>
      <c r="AD97" s="15"/>
      <c r="AE97" s="15"/>
      <c r="AF97" s="15">
        <f t="shared" si="228"/>
        <v>1.1626174249901055E-3</v>
      </c>
      <c r="AG97" s="936">
        <f t="shared" si="229"/>
        <v>3.2879707243772628E-2</v>
      </c>
      <c r="AH97" s="936">
        <f t="shared" ref="AH97:AQ97" si="316">AH37/AH$50</f>
        <v>7.709211906623682E-4</v>
      </c>
      <c r="AI97" s="936">
        <f t="shared" si="316"/>
        <v>2.4012722029436015E-4</v>
      </c>
      <c r="AJ97" s="936">
        <f t="shared" si="316"/>
        <v>9.2847340301411413E-5</v>
      </c>
      <c r="AK97" s="936">
        <f t="shared" si="316"/>
        <v>1.9821979248265943E-4</v>
      </c>
      <c r="AL97" s="936">
        <f t="shared" si="316"/>
        <v>4.2123760812924803E-5</v>
      </c>
      <c r="AM97" s="936">
        <f t="shared" si="316"/>
        <v>1.4942611568578412E-4</v>
      </c>
      <c r="AN97" s="936">
        <f t="shared" si="316"/>
        <v>1.9714623508056017E-4</v>
      </c>
      <c r="AO97" s="936">
        <f t="shared" si="316"/>
        <v>2.3719356037736391E-4</v>
      </c>
      <c r="AP97" s="936">
        <f t="shared" si="316"/>
        <v>1.0666951368131506E-4</v>
      </c>
      <c r="AQ97" s="936">
        <f t="shared" si="316"/>
        <v>1.0716145158764985E-3</v>
      </c>
      <c r="AR97" s="936">
        <f t="shared" ref="AR97:AS97" si="317">AR37/AR$50</f>
        <v>3.2702859638449885E-4</v>
      </c>
      <c r="AS97" s="936">
        <f t="shared" si="317"/>
        <v>1.0242205671543311E-2</v>
      </c>
      <c r="AT97" s="936"/>
      <c r="AU97" s="936">
        <f t="shared" ref="AU97:BG97" si="318">AU37/AU$55</f>
        <v>3.297030634164537E-2</v>
      </c>
      <c r="AV97" s="936">
        <f t="shared" si="318"/>
        <v>7.5098396177815819E-3</v>
      </c>
      <c r="AW97" s="936">
        <f t="shared" si="318"/>
        <v>6.5929081773507814E-3</v>
      </c>
      <c r="AX97" s="936">
        <f t="shared" si="318"/>
        <v>1.000473794885324E-2</v>
      </c>
      <c r="AY97" s="936">
        <f t="shared" si="318"/>
        <v>1.0466036154069023E-2</v>
      </c>
      <c r="AZ97" s="936">
        <f t="shared" si="318"/>
        <v>6.805118571585239E-3</v>
      </c>
      <c r="BA97" s="936">
        <f t="shared" si="318"/>
        <v>2.3061521426540721E-2</v>
      </c>
      <c r="BB97" s="936" t="e">
        <f t="shared" si="318"/>
        <v>#DIV/0!</v>
      </c>
      <c r="BC97" s="936" t="e">
        <f t="shared" si="318"/>
        <v>#DIV/0!</v>
      </c>
      <c r="BD97" s="936" t="e">
        <f t="shared" si="318"/>
        <v>#DIV/0!</v>
      </c>
      <c r="BE97" s="936" t="e">
        <f t="shared" si="318"/>
        <v>#DIV/0!</v>
      </c>
      <c r="BF97" s="936" t="e">
        <f t="shared" si="318"/>
        <v>#DIV/0!</v>
      </c>
      <c r="BG97" s="936" t="e">
        <f t="shared" si="318"/>
        <v>#DIV/0!</v>
      </c>
      <c r="BH97" s="936">
        <f t="shared" si="233"/>
        <v>1.136766606222865E-2</v>
      </c>
      <c r="BI97" s="936">
        <f t="shared" si="233"/>
        <v>4.4978455762411359E-3</v>
      </c>
      <c r="BJ97" s="4"/>
      <c r="BL97" s="936">
        <f t="shared" ref="BL97:BX97" si="319">BL37/BL$55</f>
        <v>5.5817665707964606E-3</v>
      </c>
      <c r="BM97" s="936">
        <f t="shared" si="319"/>
        <v>4.7845567912172572E-3</v>
      </c>
      <c r="BN97" s="936">
        <f t="shared" si="319"/>
        <v>4.8554612273823882E-3</v>
      </c>
      <c r="BO97" s="936">
        <f t="shared" si="319"/>
        <v>3.7366755204572806E-3</v>
      </c>
      <c r="BP97" s="936">
        <f t="shared" si="319"/>
        <v>5.0967157509047047E-3</v>
      </c>
      <c r="BQ97" s="936">
        <f t="shared" si="319"/>
        <v>4.4978455762411359E-3</v>
      </c>
      <c r="BR97" s="936">
        <f t="shared" si="319"/>
        <v>4.648010805427252E-3</v>
      </c>
      <c r="BS97" s="936">
        <f t="shared" si="319"/>
        <v>3.5528345051487418E-3</v>
      </c>
      <c r="BT97" s="936">
        <f t="shared" si="319"/>
        <v>4.8509498938002294E-3</v>
      </c>
      <c r="BU97" s="936">
        <f t="shared" si="319"/>
        <v>3.5447230108447492E-3</v>
      </c>
      <c r="BV97" s="936">
        <f t="shared" si="319"/>
        <v>4.6587700896990741E-3</v>
      </c>
      <c r="BW97" s="936">
        <f t="shared" si="319"/>
        <v>3.5528345051487418E-3</v>
      </c>
      <c r="BX97" s="936">
        <f t="shared" si="319"/>
        <v>4.4272128290000013E-3</v>
      </c>
    </row>
    <row r="98" spans="1:76" x14ac:dyDescent="0.3">
      <c r="A98" s="3">
        <f t="shared" si="241"/>
        <v>16</v>
      </c>
      <c r="B98" s="3" t="s">
        <v>97</v>
      </c>
      <c r="C98" s="3" t="s">
        <v>36</v>
      </c>
      <c r="D98" s="25" t="s">
        <v>10</v>
      </c>
      <c r="E98" s="3" t="s">
        <v>114</v>
      </c>
      <c r="F98" s="15">
        <f t="shared" ref="F98:Q98" si="320">F38/F$50</f>
        <v>1.4042973024254255E-5</v>
      </c>
      <c r="G98" s="15">
        <f t="shared" si="320"/>
        <v>3.3964691670557382E-3</v>
      </c>
      <c r="H98" s="15">
        <f t="shared" si="320"/>
        <v>2.0017148595932122E-4</v>
      </c>
      <c r="I98" s="15">
        <f t="shared" si="320"/>
        <v>2.2832303767334828E-4</v>
      </c>
      <c r="J98" s="15">
        <f t="shared" si="320"/>
        <v>1.6941918986978827E-4</v>
      </c>
      <c r="K98" s="15">
        <f t="shared" si="320"/>
        <v>3.8187108781577E-4</v>
      </c>
      <c r="L98" s="15">
        <f t="shared" si="320"/>
        <v>3.2033901660828045E-4</v>
      </c>
      <c r="M98" s="15">
        <f t="shared" si="320"/>
        <v>3.0475029918548049E-4</v>
      </c>
      <c r="N98" s="15">
        <f t="shared" si="320"/>
        <v>7.9462065542818027E-4</v>
      </c>
      <c r="O98" s="15">
        <f t="shared" si="320"/>
        <v>3.0457067341369253E-4</v>
      </c>
      <c r="P98" s="15">
        <f t="shared" si="320"/>
        <v>3.7351738587110516E-4</v>
      </c>
      <c r="Q98" s="15">
        <f t="shared" si="320"/>
        <v>3.2777667777891188E-4</v>
      </c>
      <c r="R98" s="936">
        <f t="shared" si="226"/>
        <v>1.5640936483992306E-2</v>
      </c>
      <c r="S98" s="15">
        <f t="shared" ref="S98:AC98" si="321">S38/S$50</f>
        <v>2.1567715979624571E-4</v>
      </c>
      <c r="T98" s="15">
        <f t="shared" si="321"/>
        <v>1.6358226242091636E-3</v>
      </c>
      <c r="U98" s="15">
        <f t="shared" si="321"/>
        <v>3.198046549923765E-4</v>
      </c>
      <c r="V98" s="15">
        <f t="shared" si="321"/>
        <v>7.9616505753745206E-4</v>
      </c>
      <c r="W98" s="15">
        <f t="shared" si="321"/>
        <v>9.1019636161661832E-4</v>
      </c>
      <c r="X98" s="15">
        <f t="shared" si="321"/>
        <v>2.3336921743330888E-3</v>
      </c>
      <c r="Y98" s="15">
        <f t="shared" si="321"/>
        <v>2.9426627520154243E-3</v>
      </c>
      <c r="Z98" s="15">
        <f t="shared" si="321"/>
        <v>6.8460969054010452E-3</v>
      </c>
      <c r="AA98" s="15">
        <f t="shared" si="321"/>
        <v>2.9831788126324413E-3</v>
      </c>
      <c r="AB98" s="15">
        <f t="shared" si="321"/>
        <v>7.9424919672092011E-3</v>
      </c>
      <c r="AC98" s="15">
        <f t="shared" si="321"/>
        <v>3.9064045413743096E-3</v>
      </c>
      <c r="AD98" s="15"/>
      <c r="AE98" s="15"/>
      <c r="AF98" s="15">
        <f t="shared" si="228"/>
        <v>3.571865014248438E-3</v>
      </c>
      <c r="AG98" s="936">
        <f t="shared" si="229"/>
        <v>0.10101506605559597</v>
      </c>
      <c r="AH98" s="936">
        <f t="shared" ref="AH98:AQ98" si="322">AH38/AH$50</f>
        <v>1.3141098941716509E-2</v>
      </c>
      <c r="AI98" s="936">
        <f t="shared" si="322"/>
        <v>3.5800582476773553E-3</v>
      </c>
      <c r="AJ98" s="936">
        <f t="shared" si="322"/>
        <v>8.2569588049123937E-3</v>
      </c>
      <c r="AK98" s="936">
        <f t="shared" si="322"/>
        <v>3.3059142516382979E-3</v>
      </c>
      <c r="AL98" s="936">
        <f t="shared" si="322"/>
        <v>5.0887554331294485E-3</v>
      </c>
      <c r="AM98" s="936">
        <f t="shared" si="322"/>
        <v>6.2394668855398369E-4</v>
      </c>
      <c r="AN98" s="936">
        <f t="shared" si="322"/>
        <v>7.0546407683758994E-4</v>
      </c>
      <c r="AO98" s="936">
        <f t="shared" si="322"/>
        <v>2.3786624309595056E-3</v>
      </c>
      <c r="AP98" s="936">
        <f t="shared" si="322"/>
        <v>5.3313679686715833E-4</v>
      </c>
      <c r="AQ98" s="936">
        <f t="shared" si="322"/>
        <v>1.5424470974084892E-2</v>
      </c>
      <c r="AR98" s="936">
        <f t="shared" ref="AR98:AS98" si="323">AR38/AR$50</f>
        <v>3.3838166508283044E-3</v>
      </c>
      <c r="AS98" s="936">
        <f t="shared" si="323"/>
        <v>5.9590831294006026E-3</v>
      </c>
      <c r="AT98" s="936"/>
      <c r="AU98" s="936">
        <f t="shared" ref="AU98:BG98" si="324">AU38/AU$55</f>
        <v>0.14643474461934555</v>
      </c>
      <c r="AV98" s="936">
        <f t="shared" si="324"/>
        <v>0.28866246474614476</v>
      </c>
      <c r="AW98" s="936">
        <f t="shared" si="324"/>
        <v>0.14913643697200596</v>
      </c>
      <c r="AX98" s="936">
        <f t="shared" si="324"/>
        <v>4.9246280805956041E-2</v>
      </c>
      <c r="AY98" s="936">
        <f t="shared" si="324"/>
        <v>0.11654773827814541</v>
      </c>
      <c r="AZ98" s="936">
        <f t="shared" si="324"/>
        <v>0.13979704326739747</v>
      </c>
      <c r="BA98" s="936">
        <f t="shared" si="324"/>
        <v>8.4977363083127089E-2</v>
      </c>
      <c r="BB98" s="936" t="e">
        <f t="shared" si="324"/>
        <v>#DIV/0!</v>
      </c>
      <c r="BC98" s="936" t="e">
        <f t="shared" si="324"/>
        <v>#DIV/0!</v>
      </c>
      <c r="BD98" s="936" t="e">
        <f t="shared" si="324"/>
        <v>#DIV/0!</v>
      </c>
      <c r="BE98" s="936" t="e">
        <f t="shared" si="324"/>
        <v>#DIV/0!</v>
      </c>
      <c r="BF98" s="936" t="e">
        <f t="shared" si="324"/>
        <v>#DIV/0!</v>
      </c>
      <c r="BG98" s="936" t="e">
        <f t="shared" si="324"/>
        <v>#DIV/0!</v>
      </c>
      <c r="BH98" s="936">
        <f t="shared" si="233"/>
        <v>0.12731243913645246</v>
      </c>
      <c r="BI98" s="936">
        <f t="shared" si="233"/>
        <v>1.6702714420803785E-2</v>
      </c>
      <c r="BJ98" s="4"/>
      <c r="BL98" s="936">
        <f t="shared" ref="BL98:BX98" si="325">BL38/BL$55</f>
        <v>0.42929519140328698</v>
      </c>
      <c r="BM98" s="936">
        <f t="shared" si="325"/>
        <v>6.1209497688751923E-3</v>
      </c>
      <c r="BN98" s="936">
        <f t="shared" si="325"/>
        <v>4.5443300844390834E-2</v>
      </c>
      <c r="BO98" s="936">
        <f t="shared" si="325"/>
        <v>1.8619129241877256E-2</v>
      </c>
      <c r="BP98" s="936">
        <f t="shared" si="325"/>
        <v>0.34604643715319661</v>
      </c>
      <c r="BQ98" s="936">
        <f t="shared" si="325"/>
        <v>1.6702714420803785E-2</v>
      </c>
      <c r="BR98" s="936">
        <f t="shared" si="325"/>
        <v>4.5255213548883753E-2</v>
      </c>
      <c r="BS98" s="936">
        <f t="shared" si="325"/>
        <v>1.9228638138825322E-2</v>
      </c>
      <c r="BT98" s="936">
        <f t="shared" si="325"/>
        <v>0.29943264033677769</v>
      </c>
      <c r="BU98" s="936">
        <f t="shared" si="325"/>
        <v>2.283770517503805E-2</v>
      </c>
      <c r="BV98" s="936">
        <f t="shared" si="325"/>
        <v>2.2923414043209873E-2</v>
      </c>
      <c r="BW98" s="936">
        <f t="shared" si="325"/>
        <v>1.9228638138825322E-2</v>
      </c>
      <c r="BX98" s="936">
        <f t="shared" si="325"/>
        <v>0.1071113142</v>
      </c>
    </row>
    <row r="99" spans="1:76" x14ac:dyDescent="0.3">
      <c r="A99" s="3">
        <f t="shared" si="241"/>
        <v>17</v>
      </c>
      <c r="B99" s="3" t="s">
        <v>97</v>
      </c>
      <c r="C99" s="3" t="s">
        <v>36</v>
      </c>
      <c r="D99" s="25" t="s">
        <v>13</v>
      </c>
      <c r="E99" s="3" t="s">
        <v>114</v>
      </c>
      <c r="F99" s="15">
        <f t="shared" ref="F99:Q99" si="326">F39/F$50</f>
        <v>8.8424420732109233E-4</v>
      </c>
      <c r="G99" s="15">
        <f t="shared" si="326"/>
        <v>5.0973479636587924E-4</v>
      </c>
      <c r="H99" s="15">
        <f t="shared" si="326"/>
        <v>1.9966453302864667E-4</v>
      </c>
      <c r="I99" s="15">
        <f t="shared" si="326"/>
        <v>7.7781402151621637E-4</v>
      </c>
      <c r="J99" s="15">
        <f t="shared" si="326"/>
        <v>4.3518035583450191E-4</v>
      </c>
      <c r="K99" s="15">
        <f t="shared" si="326"/>
        <v>4.5242619057615302E-4</v>
      </c>
      <c r="L99" s="15">
        <f t="shared" si="326"/>
        <v>4.9398631985946983E-4</v>
      </c>
      <c r="M99" s="15">
        <f t="shared" si="326"/>
        <v>7.4291872246653697E-4</v>
      </c>
      <c r="N99" s="15">
        <f t="shared" si="326"/>
        <v>5.3848228106117614E-4</v>
      </c>
      <c r="O99" s="15">
        <f t="shared" si="326"/>
        <v>6.4444323248041596E-4</v>
      </c>
      <c r="P99" s="15">
        <f t="shared" si="326"/>
        <v>6.7808839651591361E-4</v>
      </c>
      <c r="Q99" s="15">
        <f t="shared" si="326"/>
        <v>7.4296569277477575E-4</v>
      </c>
      <c r="R99" s="936">
        <f t="shared" si="226"/>
        <v>1.7526372690139517E-2</v>
      </c>
      <c r="S99" s="15">
        <f t="shared" ref="S99:AC99" si="327">S39/S$50</f>
        <v>4.9124270031066332E-4</v>
      </c>
      <c r="T99" s="15">
        <f t="shared" si="327"/>
        <v>5.5521943841304526E-4</v>
      </c>
      <c r="U99" s="15">
        <f t="shared" si="327"/>
        <v>2.4731876229345303E-4</v>
      </c>
      <c r="V99" s="15">
        <f t="shared" si="327"/>
        <v>7.3651754860596785E-4</v>
      </c>
      <c r="W99" s="15">
        <f t="shared" si="327"/>
        <v>7.1066725675488884E-4</v>
      </c>
      <c r="X99" s="15">
        <f t="shared" si="327"/>
        <v>5.9141219587168219E-4</v>
      </c>
      <c r="Y99" s="15">
        <f t="shared" si="327"/>
        <v>2.0248550063852347E-3</v>
      </c>
      <c r="Z99" s="15">
        <f t="shared" si="327"/>
        <v>1.34442623227821E-3</v>
      </c>
      <c r="AA99" s="15">
        <f t="shared" si="327"/>
        <v>1.0928300441615203E-3</v>
      </c>
      <c r="AB99" s="15">
        <f t="shared" si="327"/>
        <v>8.1373693153230476E-4</v>
      </c>
      <c r="AC99" s="15">
        <f t="shared" si="327"/>
        <v>5.9143333429544597E-4</v>
      </c>
      <c r="AD99" s="15"/>
      <c r="AE99" s="15"/>
      <c r="AF99" s="15">
        <f t="shared" si="228"/>
        <v>9.8887404855855197E-4</v>
      </c>
      <c r="AG99" s="936">
        <f t="shared" si="229"/>
        <v>2.7966112083556722E-2</v>
      </c>
      <c r="AH99" s="936">
        <f t="shared" ref="AH99:AQ99" si="328">AH39/AH$50</f>
        <v>1.3187942744547333E-3</v>
      </c>
      <c r="AI99" s="936">
        <f t="shared" si="328"/>
        <v>9.7933691363755117E-4</v>
      </c>
      <c r="AJ99" s="936">
        <f t="shared" si="328"/>
        <v>3.1943616035458471E-3</v>
      </c>
      <c r="AK99" s="936">
        <f t="shared" si="328"/>
        <v>9.8256605860880209E-4</v>
      </c>
      <c r="AL99" s="936">
        <f t="shared" si="328"/>
        <v>3.9180262769753497E-4</v>
      </c>
      <c r="AM99" s="936">
        <f t="shared" si="328"/>
        <v>1.8558126599499403E-3</v>
      </c>
      <c r="AN99" s="936">
        <f t="shared" si="328"/>
        <v>3.4632349994897422E-3</v>
      </c>
      <c r="AO99" s="936">
        <f t="shared" si="328"/>
        <v>1.0941767516852411E-3</v>
      </c>
      <c r="AP99" s="936">
        <f t="shared" si="328"/>
        <v>1.5032293996864433E-3</v>
      </c>
      <c r="AQ99" s="936">
        <f t="shared" si="328"/>
        <v>7.4730730223425031E-3</v>
      </c>
      <c r="AR99" s="936">
        <f t="shared" ref="AR99:AS99" si="329">AR39/AR$50</f>
        <v>5.2940955107219244E-3</v>
      </c>
      <c r="AS99" s="936">
        <f t="shared" si="329"/>
        <v>2.3538832643041009E-3</v>
      </c>
      <c r="AT99" s="936"/>
      <c r="AU99" s="936">
        <f t="shared" ref="AU99:BG99" si="330">AU39/AU$55</f>
        <v>7.4000751539132034E-2</v>
      </c>
      <c r="AV99" s="936">
        <f t="shared" si="330"/>
        <v>0.16681323067239881</v>
      </c>
      <c r="AW99" s="936">
        <f t="shared" si="330"/>
        <v>8.3850325216719118E-2</v>
      </c>
      <c r="AX99" s="936">
        <f t="shared" si="330"/>
        <v>8.5792010915321903E-2</v>
      </c>
      <c r="AY99" s="936">
        <f t="shared" si="330"/>
        <v>6.3969201416456692E-2</v>
      </c>
      <c r="AZ99" s="936">
        <f t="shared" si="330"/>
        <v>0.14105793972302588</v>
      </c>
      <c r="BA99" s="936">
        <f t="shared" si="330"/>
        <v>3.0823037943981103E-2</v>
      </c>
      <c r="BB99" s="936" t="e">
        <f t="shared" si="330"/>
        <v>#DIV/0!</v>
      </c>
      <c r="BC99" s="936" t="e">
        <f t="shared" si="330"/>
        <v>#DIV/0!</v>
      </c>
      <c r="BD99" s="936" t="e">
        <f t="shared" si="330"/>
        <v>#DIV/0!</v>
      </c>
      <c r="BE99" s="936" t="e">
        <f t="shared" si="330"/>
        <v>#DIV/0!</v>
      </c>
      <c r="BF99" s="936" t="e">
        <f t="shared" si="330"/>
        <v>#DIV/0!</v>
      </c>
      <c r="BG99" s="936" t="e">
        <f t="shared" si="330"/>
        <v>#DIV/0!</v>
      </c>
      <c r="BH99" s="936">
        <f t="shared" si="233"/>
        <v>9.1376836216228843E-2</v>
      </c>
      <c r="BI99" s="936">
        <f t="shared" si="233"/>
        <v>6.2816814066193855E-2</v>
      </c>
      <c r="BJ99" s="4"/>
      <c r="BL99" s="936">
        <f t="shared" ref="BL99:BX99" si="331">BL39/BL$55</f>
        <v>6.6845796080910236E-2</v>
      </c>
      <c r="BM99" s="936">
        <f t="shared" si="331"/>
        <v>3.5728851617873654E-2</v>
      </c>
      <c r="BN99" s="936">
        <f t="shared" si="331"/>
        <v>8.3176145597104956E-2</v>
      </c>
      <c r="BO99" s="936">
        <f t="shared" si="331"/>
        <v>8.7110739711191335E-2</v>
      </c>
      <c r="BP99" s="936">
        <f t="shared" si="331"/>
        <v>7.9822707720144742E-2</v>
      </c>
      <c r="BQ99" s="936">
        <f t="shared" si="331"/>
        <v>6.2816814066193855E-2</v>
      </c>
      <c r="BR99" s="936">
        <f t="shared" si="331"/>
        <v>4.0056610508083138E-2</v>
      </c>
      <c r="BS99" s="936">
        <f t="shared" si="331"/>
        <v>3.8647625514874141E-2</v>
      </c>
      <c r="BT99" s="936">
        <f t="shared" si="331"/>
        <v>6.7989695407577502E-2</v>
      </c>
      <c r="BU99" s="936">
        <f t="shared" si="331"/>
        <v>7.4301398059360743E-2</v>
      </c>
      <c r="BV99" s="936">
        <f t="shared" si="331"/>
        <v>3.6201417476851849E-2</v>
      </c>
      <c r="BW99" s="936">
        <f t="shared" si="331"/>
        <v>4.3144193020594961E-2</v>
      </c>
      <c r="BX99" s="936">
        <f t="shared" si="331"/>
        <v>5.984812963999999E-2</v>
      </c>
    </row>
    <row r="100" spans="1:76" x14ac:dyDescent="0.3">
      <c r="A100" s="3">
        <f t="shared" si="241"/>
        <v>18</v>
      </c>
      <c r="B100" s="3" t="s">
        <v>97</v>
      </c>
      <c r="C100" s="3" t="s">
        <v>36</v>
      </c>
      <c r="D100" s="25" t="s">
        <v>20</v>
      </c>
      <c r="E100" s="3" t="s">
        <v>114</v>
      </c>
      <c r="F100" s="15">
        <f t="shared" ref="F100:Q100" si="332">F40/F$50</f>
        <v>9.182057492802951E-4</v>
      </c>
      <c r="G100" s="15">
        <f t="shared" si="332"/>
        <v>1.1950476471101043E-3</v>
      </c>
      <c r="H100" s="15">
        <f t="shared" si="332"/>
        <v>1.0383337055866713E-3</v>
      </c>
      <c r="I100" s="15">
        <f t="shared" si="332"/>
        <v>9.9148849051055817E-4</v>
      </c>
      <c r="J100" s="15">
        <f t="shared" si="332"/>
        <v>7.222309502787419E-4</v>
      </c>
      <c r="K100" s="15">
        <f t="shared" si="332"/>
        <v>3.2494714934223239E-4</v>
      </c>
      <c r="L100" s="15">
        <f t="shared" si="332"/>
        <v>1.5966507882637126E-3</v>
      </c>
      <c r="M100" s="15">
        <f t="shared" si="332"/>
        <v>5.1431413195553004E-4</v>
      </c>
      <c r="N100" s="15">
        <f t="shared" si="332"/>
        <v>3.2100286174658211E-4</v>
      </c>
      <c r="O100" s="15">
        <f t="shared" si="332"/>
        <v>3.4593630300251964E-4</v>
      </c>
      <c r="P100" s="15">
        <f t="shared" si="332"/>
        <v>2.3897589510735688E-4</v>
      </c>
      <c r="Q100" s="15">
        <f t="shared" si="332"/>
        <v>1.8094774698151978E-4</v>
      </c>
      <c r="R100" s="936">
        <f t="shared" si="226"/>
        <v>1.9438676506667536E-2</v>
      </c>
      <c r="S100" s="15">
        <f t="shared" ref="S100:AC100" si="333">S40/S$50</f>
        <v>7.8107223363217031E-5</v>
      </c>
      <c r="T100" s="15">
        <f t="shared" si="333"/>
        <v>3.0472609705648097E-4</v>
      </c>
      <c r="U100" s="15">
        <f t="shared" si="333"/>
        <v>2.916819026697526E-4</v>
      </c>
      <c r="V100" s="15">
        <f t="shared" si="333"/>
        <v>8.4809793238057565E-4</v>
      </c>
      <c r="W100" s="15">
        <f t="shared" si="333"/>
        <v>5.2931612540179339E-4</v>
      </c>
      <c r="X100" s="15">
        <f t="shared" si="333"/>
        <v>2.3480913850976954E-4</v>
      </c>
      <c r="Y100" s="15">
        <f t="shared" si="333"/>
        <v>1.6016555525483554E-3</v>
      </c>
      <c r="Z100" s="15">
        <f t="shared" si="333"/>
        <v>2.539299932391705E-4</v>
      </c>
      <c r="AA100" s="15">
        <f t="shared" si="333"/>
        <v>3.1942489450794657E-4</v>
      </c>
      <c r="AB100" s="15">
        <f t="shared" si="333"/>
        <v>5.8791592163565597E-4</v>
      </c>
      <c r="AC100" s="15">
        <f t="shared" si="333"/>
        <v>3.2649753196307627E-4</v>
      </c>
      <c r="AD100" s="15"/>
      <c r="AE100" s="15"/>
      <c r="AF100" s="15">
        <f t="shared" si="228"/>
        <v>4.6037206840932737E-4</v>
      </c>
      <c r="AG100" s="936">
        <f t="shared" si="229"/>
        <v>1.301967311614788E-2</v>
      </c>
      <c r="AH100" s="936">
        <f t="shared" ref="AH100:AQ100" si="334">AH40/AH$50</f>
        <v>1.8300604532019602E-3</v>
      </c>
      <c r="AI100" s="936">
        <f t="shared" si="334"/>
        <v>4.5059799781753184E-4</v>
      </c>
      <c r="AJ100" s="936">
        <f t="shared" si="334"/>
        <v>2.195581991328631E-4</v>
      </c>
      <c r="AK100" s="936">
        <f t="shared" si="334"/>
        <v>5.2289363853034933E-4</v>
      </c>
      <c r="AL100" s="936">
        <f t="shared" si="334"/>
        <v>3.0254589294044499E-4</v>
      </c>
      <c r="AM100" s="936">
        <f t="shared" si="334"/>
        <v>2.3693832453478464E-4</v>
      </c>
      <c r="AN100" s="936">
        <f t="shared" si="334"/>
        <v>5.1526283738398328E-4</v>
      </c>
      <c r="AO100" s="936">
        <f t="shared" si="334"/>
        <v>2.4644968541524337E-4</v>
      </c>
      <c r="AP100" s="936">
        <f t="shared" si="334"/>
        <v>5.7446270623001325E-4</v>
      </c>
      <c r="AQ100" s="936">
        <f t="shared" si="334"/>
        <v>3.1985080445144344E-4</v>
      </c>
      <c r="AR100" s="936">
        <f t="shared" ref="AR100:AS100" si="335">AR40/AR$50</f>
        <v>2.2984857143544968E-4</v>
      </c>
      <c r="AS100" s="936">
        <f t="shared" si="335"/>
        <v>2.3264405663576219E-4</v>
      </c>
      <c r="AT100" s="936"/>
      <c r="AU100" s="936">
        <f t="shared" ref="AU100:BG100" si="336">AU40/AU$55</f>
        <v>1.3259717864890422E-2</v>
      </c>
      <c r="AV100" s="936">
        <f t="shared" si="336"/>
        <v>7.1269170162093871E-3</v>
      </c>
      <c r="AW100" s="936">
        <f t="shared" si="336"/>
        <v>7.0402125779912752E-3</v>
      </c>
      <c r="AX100" s="936">
        <f t="shared" si="336"/>
        <v>1.2934772586166246E-2</v>
      </c>
      <c r="AY100" s="936">
        <f t="shared" si="336"/>
        <v>1.1566036625434119E-2</v>
      </c>
      <c r="AZ100" s="936">
        <f t="shared" si="336"/>
        <v>5.475727882400948E-3</v>
      </c>
      <c r="BA100" s="936">
        <f t="shared" si="336"/>
        <v>1.9522909874066539E-2</v>
      </c>
      <c r="BB100" s="936" t="e">
        <f t="shared" si="336"/>
        <v>#DIV/0!</v>
      </c>
      <c r="BC100" s="936" t="e">
        <f t="shared" si="336"/>
        <v>#DIV/0!</v>
      </c>
      <c r="BD100" s="936" t="e">
        <f t="shared" si="336"/>
        <v>#DIV/0!</v>
      </c>
      <c r="BE100" s="936" t="e">
        <f t="shared" si="336"/>
        <v>#DIV/0!</v>
      </c>
      <c r="BF100" s="936" t="e">
        <f t="shared" si="336"/>
        <v>#DIV/0!</v>
      </c>
      <c r="BG100" s="936" t="e">
        <f t="shared" si="336"/>
        <v>#DIV/0!</v>
      </c>
      <c r="BH100" s="936">
        <f t="shared" si="233"/>
        <v>1.1290854868964712E-2</v>
      </c>
      <c r="BI100" s="936">
        <f t="shared" si="233"/>
        <v>1.9922456337367753E-2</v>
      </c>
      <c r="BJ100" s="4"/>
      <c r="BL100" s="936">
        <f t="shared" ref="BL100:BX100" si="337">BL40/BL$55</f>
        <v>7.1394876772392837E-3</v>
      </c>
      <c r="BM100" s="936">
        <f t="shared" si="337"/>
        <v>5.774666591385519E-3</v>
      </c>
      <c r="BN100" s="936">
        <f t="shared" si="337"/>
        <v>2.2454658867808345E-2</v>
      </c>
      <c r="BO100" s="936">
        <f t="shared" si="337"/>
        <v>5.9645313531947707E-3</v>
      </c>
      <c r="BP100" s="936">
        <f t="shared" si="337"/>
        <v>5.3453674521220778E-3</v>
      </c>
      <c r="BQ100" s="936">
        <f t="shared" si="337"/>
        <v>1.9922456337367753E-2</v>
      </c>
      <c r="BR100" s="936">
        <f t="shared" si="337"/>
        <v>2.1896702256934013E-2</v>
      </c>
      <c r="BS100" s="936">
        <f t="shared" si="337"/>
        <v>4.7997272514979433E-3</v>
      </c>
      <c r="BT100" s="936">
        <f t="shared" si="337"/>
        <v>1.7637281283706969E-2</v>
      </c>
      <c r="BU100" s="936">
        <f t="shared" si="337"/>
        <v>3.6653755188411578E-3</v>
      </c>
      <c r="BV100" s="936">
        <f t="shared" si="337"/>
        <v>3.8910840483902796E-3</v>
      </c>
      <c r="BW100" s="936">
        <f t="shared" si="337"/>
        <v>1.679536802752573E-2</v>
      </c>
      <c r="BX100" s="936">
        <f t="shared" si="337"/>
        <v>1.1402373380444012E-2</v>
      </c>
    </row>
    <row r="101" spans="1:76" x14ac:dyDescent="0.3">
      <c r="A101" s="3">
        <f t="shared" si="241"/>
        <v>19</v>
      </c>
      <c r="B101" s="3" t="s">
        <v>97</v>
      </c>
      <c r="C101" s="3" t="s">
        <v>36</v>
      </c>
      <c r="D101" s="25" t="s">
        <v>19</v>
      </c>
      <c r="E101" s="3" t="s">
        <v>114</v>
      </c>
      <c r="F101" s="15">
        <f t="shared" ref="F101:Q101" si="338">F41/F$50</f>
        <v>4.2940395409082395E-4</v>
      </c>
      <c r="G101" s="15">
        <f t="shared" si="338"/>
        <v>7.0033150269122242E-4</v>
      </c>
      <c r="H101" s="15">
        <f t="shared" si="338"/>
        <v>5.2067329008688196E-4</v>
      </c>
      <c r="I101" s="15">
        <f t="shared" si="338"/>
        <v>8.6912113426389063E-4</v>
      </c>
      <c r="J101" s="15">
        <f t="shared" si="338"/>
        <v>4.0561962678050534E-4</v>
      </c>
      <c r="K101" s="15">
        <f t="shared" si="338"/>
        <v>4.5071406439700927E-4</v>
      </c>
      <c r="L101" s="15">
        <f t="shared" si="338"/>
        <v>3.4942581003681795E-4</v>
      </c>
      <c r="M101" s="15">
        <f t="shared" si="338"/>
        <v>4.7728172900368985E-4</v>
      </c>
      <c r="N101" s="15">
        <f t="shared" si="338"/>
        <v>2.2463556097985466E-4</v>
      </c>
      <c r="O101" s="15">
        <f t="shared" si="338"/>
        <v>5.548810251298058E-4</v>
      </c>
      <c r="P101" s="15">
        <f t="shared" si="338"/>
        <v>5.1637468842285019E-4</v>
      </c>
      <c r="Q101" s="15">
        <f t="shared" si="338"/>
        <v>1.210179811627554E-4</v>
      </c>
      <c r="R101" s="936">
        <f t="shared" si="226"/>
        <v>1.306363443556946E-2</v>
      </c>
      <c r="S101" s="15">
        <f t="shared" ref="S101:AC101" si="339">S41/S$50</f>
        <v>3.8522077766681839E-4</v>
      </c>
      <c r="T101" s="15">
        <f t="shared" si="339"/>
        <v>4.1540727357493638E-4</v>
      </c>
      <c r="U101" s="15">
        <f t="shared" si="339"/>
        <v>2.6511338914379193E-4</v>
      </c>
      <c r="V101" s="15">
        <f t="shared" si="339"/>
        <v>3.2091080433158445E-4</v>
      </c>
      <c r="W101" s="15">
        <f t="shared" si="339"/>
        <v>3.6021149074369718E-4</v>
      </c>
      <c r="X101" s="15">
        <f t="shared" si="339"/>
        <v>3.4053884679132042E-4</v>
      </c>
      <c r="Y101" s="15">
        <f t="shared" si="339"/>
        <v>5.1838892915119907E-4</v>
      </c>
      <c r="Z101" s="15">
        <f t="shared" si="339"/>
        <v>4.3806275930528658E-4</v>
      </c>
      <c r="AA101" s="15">
        <f t="shared" si="339"/>
        <v>3.582169705083523E-4</v>
      </c>
      <c r="AB101" s="15">
        <f t="shared" si="339"/>
        <v>3.0095265924893984E-4</v>
      </c>
      <c r="AC101" s="15">
        <f t="shared" si="339"/>
        <v>3.8199958855149243E-4</v>
      </c>
      <c r="AD101" s="15"/>
      <c r="AE101" s="15"/>
      <c r="AF101" s="15">
        <f t="shared" si="228"/>
        <v>3.6559410460322838E-4</v>
      </c>
      <c r="AG101" s="936">
        <f t="shared" si="229"/>
        <v>1.0339280034019479E-2</v>
      </c>
      <c r="AH101" s="936">
        <f t="shared" ref="AH101:AQ101" si="340">AH41/AH$50</f>
        <v>3.880319565878828E-4</v>
      </c>
      <c r="AI101" s="936">
        <f t="shared" si="340"/>
        <v>5.2750690213085663E-4</v>
      </c>
      <c r="AJ101" s="936">
        <f t="shared" si="340"/>
        <v>2.708260526340351E-4</v>
      </c>
      <c r="AK101" s="936">
        <f t="shared" si="340"/>
        <v>3.1795683797510157E-4</v>
      </c>
      <c r="AL101" s="936">
        <f t="shared" si="340"/>
        <v>2.2999065560550655E-4</v>
      </c>
      <c r="AM101" s="936">
        <f t="shared" si="340"/>
        <v>2.7607623516610977E-4</v>
      </c>
      <c r="AN101" s="936">
        <f t="shared" si="340"/>
        <v>2.4679664010254912E-4</v>
      </c>
      <c r="AO101" s="936">
        <f t="shared" si="340"/>
        <v>2.9751698461275223E-4</v>
      </c>
      <c r="AP101" s="936">
        <f t="shared" si="340"/>
        <v>2.4937987714751368E-4</v>
      </c>
      <c r="AQ101" s="936">
        <f t="shared" si="340"/>
        <v>4.0121707741608558E-4</v>
      </c>
      <c r="AR101" s="936">
        <f t="shared" ref="AR101:AS101" si="341">AR41/AR$50</f>
        <v>3.86038819432999E-4</v>
      </c>
      <c r="AS101" s="936">
        <f t="shared" si="341"/>
        <v>2.5293060248713349E-4</v>
      </c>
      <c r="AT101" s="936"/>
      <c r="AU101" s="936">
        <f t="shared" ref="AU101:BG101" si="342">AU41/AU$55</f>
        <v>9.5462241713745333E-3</v>
      </c>
      <c r="AV101" s="936">
        <f t="shared" si="342"/>
        <v>1.1000034599129863E-2</v>
      </c>
      <c r="AW101" s="936">
        <f t="shared" si="342"/>
        <v>1.9779739937054827E-2</v>
      </c>
      <c r="AX101" s="936">
        <f t="shared" si="342"/>
        <v>7.89588593404493E-3</v>
      </c>
      <c r="AY101" s="936">
        <f t="shared" si="342"/>
        <v>7.0129021779675995E-3</v>
      </c>
      <c r="AZ101" s="936">
        <f t="shared" si="342"/>
        <v>9.3427021929577969E-3</v>
      </c>
      <c r="BA101" s="936">
        <f t="shared" si="342"/>
        <v>1.0466516443778389E-2</v>
      </c>
      <c r="BB101" s="936" t="e">
        <f t="shared" si="342"/>
        <v>#DIV/0!</v>
      </c>
      <c r="BC101" s="936" t="e">
        <f t="shared" si="342"/>
        <v>#DIV/0!</v>
      </c>
      <c r="BD101" s="936" t="e">
        <f t="shared" si="342"/>
        <v>#DIV/0!</v>
      </c>
      <c r="BE101" s="936" t="e">
        <f t="shared" si="342"/>
        <v>#DIV/0!</v>
      </c>
      <c r="BF101" s="936" t="e">
        <f t="shared" si="342"/>
        <v>#DIV/0!</v>
      </c>
      <c r="BG101" s="936" t="e">
        <f t="shared" si="342"/>
        <v>#DIV/0!</v>
      </c>
      <c r="BH101" s="936">
        <f t="shared" si="233"/>
        <v>9.9036042224933448E-3</v>
      </c>
      <c r="BI101" s="936">
        <f t="shared" si="233"/>
        <v>9.294085719181118E-3</v>
      </c>
      <c r="BJ101" s="4"/>
      <c r="BL101" s="936">
        <f t="shared" ref="BL101:BX101" si="343">BL41/BL$55</f>
        <v>1.3874419116832444E-2</v>
      </c>
      <c r="BM101" s="936">
        <f t="shared" si="343"/>
        <v>9.8962507849498504E-3</v>
      </c>
      <c r="BN101" s="936">
        <f t="shared" si="343"/>
        <v>9.1890553779837882E-3</v>
      </c>
      <c r="BO101" s="936">
        <f t="shared" si="343"/>
        <v>9.7068993660531702E-3</v>
      </c>
      <c r="BP101" s="936">
        <f t="shared" si="343"/>
        <v>9.1927671267804743E-3</v>
      </c>
      <c r="BQ101" s="936">
        <f t="shared" si="343"/>
        <v>9.294085719181118E-3</v>
      </c>
      <c r="BR101" s="936">
        <f t="shared" si="343"/>
        <v>9.1128580068301542E-3</v>
      </c>
      <c r="BS101" s="936">
        <f t="shared" si="343"/>
        <v>8.2049862678741283E-3</v>
      </c>
      <c r="BT101" s="936">
        <f t="shared" si="343"/>
        <v>8.4376368510905558E-3</v>
      </c>
      <c r="BU101" s="936">
        <f t="shared" si="343"/>
        <v>9.3393472194402624E-3</v>
      </c>
      <c r="BV101" s="936">
        <f t="shared" si="343"/>
        <v>8.3200667522802859E-3</v>
      </c>
      <c r="BW101" s="936">
        <f t="shared" si="343"/>
        <v>8.1371529942724022E-3</v>
      </c>
      <c r="BX101" s="936">
        <f t="shared" si="343"/>
        <v>9.345884531344462E-3</v>
      </c>
    </row>
    <row r="102" spans="1:76" x14ac:dyDescent="0.3">
      <c r="A102" s="3">
        <f t="shared" si="241"/>
        <v>20</v>
      </c>
      <c r="B102" s="3" t="s">
        <v>97</v>
      </c>
      <c r="C102" s="3" t="s">
        <v>36</v>
      </c>
      <c r="D102" s="25" t="s">
        <v>6</v>
      </c>
      <c r="E102" s="3" t="s">
        <v>114</v>
      </c>
      <c r="F102" s="15">
        <f t="shared" ref="F102:Q102" si="344">F42/F$50</f>
        <v>1.1237487413743081E-4</v>
      </c>
      <c r="G102" s="15">
        <f t="shared" si="344"/>
        <v>5.5177075893547212E-4</v>
      </c>
      <c r="H102" s="15">
        <f t="shared" si="344"/>
        <v>3.3550754424732844E-4</v>
      </c>
      <c r="I102" s="15">
        <f t="shared" si="344"/>
        <v>4.1819039258039086E-4</v>
      </c>
      <c r="J102" s="15">
        <f t="shared" si="344"/>
        <v>2.1888978235974052E-4</v>
      </c>
      <c r="K102" s="15">
        <f t="shared" si="344"/>
        <v>3.8460058531244383E-4</v>
      </c>
      <c r="L102" s="15">
        <f t="shared" si="344"/>
        <v>2.9673879654075334E-4</v>
      </c>
      <c r="M102" s="15">
        <f t="shared" si="344"/>
        <v>1.9842250968975871E-4</v>
      </c>
      <c r="N102" s="15">
        <f t="shared" si="344"/>
        <v>3.0984155117288196E-4</v>
      </c>
      <c r="O102" s="15">
        <f t="shared" si="344"/>
        <v>4.5890632326119323E-4</v>
      </c>
      <c r="P102" s="15">
        <f t="shared" si="344"/>
        <v>6.6296052531483382E-4</v>
      </c>
      <c r="Q102" s="15">
        <f t="shared" si="344"/>
        <v>2.2826089809800537E-4</v>
      </c>
      <c r="R102" s="936">
        <f t="shared" si="226"/>
        <v>1.0102637578085983E-2</v>
      </c>
      <c r="S102" s="15">
        <f t="shared" ref="S102:AC102" si="345">S42/S$50</f>
        <v>3.0527728816735913E-4</v>
      </c>
      <c r="T102" s="15">
        <f t="shared" si="345"/>
        <v>3.0027069882156165E-4</v>
      </c>
      <c r="U102" s="15">
        <f t="shared" si="345"/>
        <v>3.5507122325905327E-4</v>
      </c>
      <c r="V102" s="15">
        <f t="shared" si="345"/>
        <v>4.7156616396529298E-4</v>
      </c>
      <c r="W102" s="15">
        <f t="shared" si="345"/>
        <v>2.7851207061940309E-4</v>
      </c>
      <c r="X102" s="15">
        <f t="shared" si="345"/>
        <v>4.0529857068895476E-4</v>
      </c>
      <c r="Y102" s="15">
        <f t="shared" si="345"/>
        <v>5.6336899495282018E-4</v>
      </c>
      <c r="Z102" s="15">
        <f t="shared" si="345"/>
        <v>6.6282961360541147E-4</v>
      </c>
      <c r="AA102" s="15">
        <f t="shared" si="345"/>
        <v>6.7552005149754037E-4</v>
      </c>
      <c r="AB102" s="15">
        <f t="shared" si="345"/>
        <v>3.8612574253503977E-4</v>
      </c>
      <c r="AC102" s="15">
        <f t="shared" si="345"/>
        <v>3.1378049338554563E-4</v>
      </c>
      <c r="AD102" s="15"/>
      <c r="AE102" s="15"/>
      <c r="AF102" s="15">
        <f t="shared" si="228"/>
        <v>4.0407070759780384E-4</v>
      </c>
      <c r="AG102" s="936">
        <f t="shared" si="229"/>
        <v>1.1427427704098717E-2</v>
      </c>
      <c r="AH102" s="936">
        <f t="shared" ref="AH102:AQ102" si="346">AH42/AH$50</f>
        <v>1.8550410724139116E-4</v>
      </c>
      <c r="AI102" s="936">
        <f t="shared" si="346"/>
        <v>3.6920215956087992E-4</v>
      </c>
      <c r="AJ102" s="936">
        <f t="shared" si="346"/>
        <v>4.9261092437788098E-4</v>
      </c>
      <c r="AK102" s="936">
        <f t="shared" si="346"/>
        <v>5.5958917167075962E-4</v>
      </c>
      <c r="AL102" s="936">
        <f t="shared" si="346"/>
        <v>4.488609750371814E-4</v>
      </c>
      <c r="AM102" s="936">
        <f t="shared" si="346"/>
        <v>6.0273155831730635E-4</v>
      </c>
      <c r="AN102" s="936">
        <f t="shared" si="346"/>
        <v>4.8079178646868781E-4</v>
      </c>
      <c r="AO102" s="936">
        <f t="shared" si="346"/>
        <v>3.7402045513834669E-4</v>
      </c>
      <c r="AP102" s="936">
        <f t="shared" si="346"/>
        <v>4.0391967218196187E-4</v>
      </c>
      <c r="AQ102" s="936">
        <f t="shared" si="346"/>
        <v>5.292308723011264E-4</v>
      </c>
      <c r="AR102" s="936">
        <f t="shared" ref="AR102:AS102" si="347">AR42/AR$50</f>
        <v>3.9279368224367806E-4</v>
      </c>
      <c r="AS102" s="936">
        <f t="shared" si="347"/>
        <v>3.2042525652517778E-4</v>
      </c>
      <c r="AT102" s="936"/>
      <c r="AU102" s="936">
        <f t="shared" ref="AU102:BG102" si="348">AU42/AU$55</f>
        <v>1.3719656482287177E-2</v>
      </c>
      <c r="AV102" s="936">
        <f t="shared" si="348"/>
        <v>1.4087434005645846E-2</v>
      </c>
      <c r="AW102" s="936">
        <f t="shared" si="348"/>
        <v>9.7438164651316873E-3</v>
      </c>
      <c r="AX102" s="936">
        <f t="shared" si="348"/>
        <v>1.1845884169815602E-2</v>
      </c>
      <c r="AY102" s="936">
        <f t="shared" si="348"/>
        <v>1.7030175878216099E-2</v>
      </c>
      <c r="AZ102" s="936">
        <f t="shared" si="348"/>
        <v>5.7819102831812002E-3</v>
      </c>
      <c r="BA102" s="936">
        <f t="shared" si="348"/>
        <v>5.7403364257946673E-3</v>
      </c>
      <c r="BB102" s="936" t="e">
        <f t="shared" si="348"/>
        <v>#DIV/0!</v>
      </c>
      <c r="BC102" s="936" t="e">
        <f t="shared" si="348"/>
        <v>#DIV/0!</v>
      </c>
      <c r="BD102" s="936" t="e">
        <f t="shared" si="348"/>
        <v>#DIV/0!</v>
      </c>
      <c r="BE102" s="936" t="e">
        <f t="shared" si="348"/>
        <v>#DIV/0!</v>
      </c>
      <c r="BF102" s="936" t="e">
        <f t="shared" si="348"/>
        <v>#DIV/0!</v>
      </c>
      <c r="BG102" s="936" t="e">
        <f t="shared" si="348"/>
        <v>#DIV/0!</v>
      </c>
      <c r="BH102" s="936">
        <f t="shared" si="233"/>
        <v>1.0864367295820788E-2</v>
      </c>
      <c r="BI102" s="936">
        <f t="shared" si="233"/>
        <v>1.3955902724586289E-2</v>
      </c>
      <c r="BJ102" s="4"/>
      <c r="BL102" s="936">
        <f t="shared" ref="BL102:BX102" si="349">BL42/BL$55</f>
        <v>1.4154998236409609E-2</v>
      </c>
      <c r="BM102" s="936">
        <f t="shared" si="349"/>
        <v>1.7252085677966104E-2</v>
      </c>
      <c r="BN102" s="936">
        <f t="shared" si="349"/>
        <v>1.4242091320868518E-2</v>
      </c>
      <c r="BO102" s="936">
        <f t="shared" si="349"/>
        <v>1.3473650547533094E-2</v>
      </c>
      <c r="BP102" s="936">
        <f t="shared" si="349"/>
        <v>1.3506156338962608E-2</v>
      </c>
      <c r="BQ102" s="936">
        <f t="shared" si="349"/>
        <v>1.3955902724586289E-2</v>
      </c>
      <c r="BR102" s="936">
        <f t="shared" si="349"/>
        <v>1.2929103469976907E-2</v>
      </c>
      <c r="BS102" s="936">
        <f t="shared" si="349"/>
        <v>1.281075927345538E-2</v>
      </c>
      <c r="BT102" s="936">
        <f t="shared" si="349"/>
        <v>1.3555331463834674E-2</v>
      </c>
      <c r="BU102" s="936">
        <f t="shared" si="349"/>
        <v>1.2781510964611874E-2</v>
      </c>
      <c r="BV102" s="936">
        <f t="shared" si="349"/>
        <v>1.2959031950231483E-2</v>
      </c>
      <c r="BW102" s="936">
        <f t="shared" si="349"/>
        <v>1.281075927345538E-2</v>
      </c>
      <c r="BX102" s="936">
        <f t="shared" si="349"/>
        <v>1.3618951355999998E-2</v>
      </c>
    </row>
    <row r="103" spans="1:76" x14ac:dyDescent="0.3">
      <c r="A103" s="3">
        <f t="shared" si="241"/>
        <v>21</v>
      </c>
      <c r="B103" s="3" t="s">
        <v>97</v>
      </c>
      <c r="C103" s="3" t="s">
        <v>36</v>
      </c>
      <c r="D103" s="25" t="s">
        <v>14</v>
      </c>
      <c r="E103" s="3" t="s">
        <v>114</v>
      </c>
      <c r="F103" s="15">
        <f t="shared" ref="F103:Q103" si="350">F43/F$50</f>
        <v>4.2794304370147914E-4</v>
      </c>
      <c r="G103" s="15">
        <f t="shared" si="350"/>
        <v>3.0861302015687488E-4</v>
      </c>
      <c r="H103" s="15">
        <f t="shared" si="350"/>
        <v>3.1118125541306792E-4</v>
      </c>
      <c r="I103" s="15">
        <f t="shared" si="350"/>
        <v>3.2670006910054774E-4</v>
      </c>
      <c r="J103" s="15">
        <f t="shared" si="350"/>
        <v>2.9608887770655659E-4</v>
      </c>
      <c r="K103" s="15">
        <f t="shared" si="350"/>
        <v>3.1614132765438884E-4</v>
      </c>
      <c r="L103" s="15">
        <f t="shared" si="350"/>
        <v>3.0179005140056427E-4</v>
      </c>
      <c r="M103" s="15">
        <f t="shared" si="350"/>
        <v>2.9237206422611092E-4</v>
      </c>
      <c r="N103" s="15">
        <f t="shared" si="350"/>
        <v>2.756560534004176E-4</v>
      </c>
      <c r="O103" s="15">
        <f t="shared" si="350"/>
        <v>2.5600287386537326E-4</v>
      </c>
      <c r="P103" s="15">
        <f t="shared" si="350"/>
        <v>3.1090846708502299E-4</v>
      </c>
      <c r="Q103" s="15">
        <f t="shared" si="350"/>
        <v>1.7220694992886313E-4</v>
      </c>
      <c r="R103" s="936">
        <f t="shared" si="226"/>
        <v>8.4953335878381678E-3</v>
      </c>
      <c r="S103" s="15">
        <f t="shared" ref="S103:AC103" si="351">S43/S$50</f>
        <v>1.4803601988520862E-4</v>
      </c>
      <c r="T103" s="15">
        <f t="shared" si="351"/>
        <v>2.0417435226217565E-4</v>
      </c>
      <c r="U103" s="15">
        <f t="shared" si="351"/>
        <v>1.5550059291446613E-4</v>
      </c>
      <c r="V103" s="15">
        <f t="shared" si="351"/>
        <v>1.5093218063288349E-4</v>
      </c>
      <c r="W103" s="15">
        <f t="shared" si="351"/>
        <v>1.6277080104239188E-4</v>
      </c>
      <c r="X103" s="15">
        <f t="shared" si="351"/>
        <v>2.0057208959499968E-4</v>
      </c>
      <c r="Y103" s="15">
        <f t="shared" si="351"/>
        <v>3.1142751117309129E-4</v>
      </c>
      <c r="Z103" s="15">
        <f t="shared" si="351"/>
        <v>2.5110157631176431E-4</v>
      </c>
      <c r="AA103" s="15">
        <f t="shared" si="351"/>
        <v>2.3058781139082658E-4</v>
      </c>
      <c r="AB103" s="15">
        <f t="shared" si="351"/>
        <v>1.7068186280504215E-4</v>
      </c>
      <c r="AC103" s="15">
        <f t="shared" si="351"/>
        <v>1.6223535439041688E-4</v>
      </c>
      <c r="AD103" s="15"/>
      <c r="AE103" s="15"/>
      <c r="AF103" s="15">
        <f t="shared" si="228"/>
        <v>1.8752927947923357E-4</v>
      </c>
      <c r="AG103" s="936">
        <f t="shared" si="229"/>
        <v>5.3034710097909412E-3</v>
      </c>
      <c r="AH103" s="936">
        <f t="shared" ref="AH103:AQ103" si="352">AH43/AH$50</f>
        <v>2.7792504268301835E-4</v>
      </c>
      <c r="AI103" s="936">
        <f t="shared" si="352"/>
        <v>2.2241791934771038E-4</v>
      </c>
      <c r="AJ103" s="936">
        <f t="shared" si="352"/>
        <v>1.6473971250529167E-4</v>
      </c>
      <c r="AK103" s="936">
        <f t="shared" si="352"/>
        <v>2.6189853552881806E-4</v>
      </c>
      <c r="AL103" s="936">
        <f t="shared" si="352"/>
        <v>1.5331953806174123E-4</v>
      </c>
      <c r="AM103" s="936">
        <f t="shared" si="352"/>
        <v>2.1915892513174135E-4</v>
      </c>
      <c r="AN103" s="936">
        <f t="shared" si="352"/>
        <v>1.4482729627022923E-4</v>
      </c>
      <c r="AO103" s="936">
        <f t="shared" si="352"/>
        <v>2.3065595404042329E-4</v>
      </c>
      <c r="AP103" s="936">
        <f t="shared" si="352"/>
        <v>1.6618559167475588E-4</v>
      </c>
      <c r="AQ103" s="936">
        <f t="shared" si="352"/>
        <v>2.2379370345348805E-4</v>
      </c>
      <c r="AR103" s="936">
        <f t="shared" ref="AR103:AS103" si="353">AR43/AR$50</f>
        <v>2.8604649242797945E-4</v>
      </c>
      <c r="AS103" s="936">
        <f t="shared" si="353"/>
        <v>2.1799212814698637E-4</v>
      </c>
      <c r="AT103" s="936"/>
      <c r="AU103" s="936">
        <f t="shared" ref="AU103:BG103" si="354">AU43/AU$55</f>
        <v>6.4239842520602466E-3</v>
      </c>
      <c r="AV103" s="936">
        <f t="shared" si="354"/>
        <v>9.2208424112473486E-3</v>
      </c>
      <c r="AW103" s="936">
        <f t="shared" si="354"/>
        <v>1.2844366407155871E-2</v>
      </c>
      <c r="AX103" s="936">
        <f t="shared" si="354"/>
        <v>6.0356657068168654E-3</v>
      </c>
      <c r="AY103" s="936">
        <f t="shared" si="354"/>
        <v>1.0548005400288047E-2</v>
      </c>
      <c r="AZ103" s="936">
        <f t="shared" si="354"/>
        <v>1.3563236601513855E-2</v>
      </c>
      <c r="BA103" s="936">
        <f t="shared" si="354"/>
        <v>7.0868175158942965E-3</v>
      </c>
      <c r="BB103" s="936" t="e">
        <f t="shared" si="354"/>
        <v>#DIV/0!</v>
      </c>
      <c r="BC103" s="936" t="e">
        <f t="shared" si="354"/>
        <v>#DIV/0!</v>
      </c>
      <c r="BD103" s="936" t="e">
        <f t="shared" si="354"/>
        <v>#DIV/0!</v>
      </c>
      <c r="BE103" s="936" t="e">
        <f t="shared" si="354"/>
        <v>#DIV/0!</v>
      </c>
      <c r="BF103" s="936" t="e">
        <f t="shared" si="354"/>
        <v>#DIV/0!</v>
      </c>
      <c r="BG103" s="936" t="e">
        <f t="shared" si="354"/>
        <v>#DIV/0!</v>
      </c>
      <c r="BH103" s="936">
        <f t="shared" si="233"/>
        <v>9.5067600946584438E-3</v>
      </c>
      <c r="BI103" s="936">
        <f t="shared" si="233"/>
        <v>5.855116514690983E-3</v>
      </c>
      <c r="BJ103" s="4"/>
      <c r="BL103" s="936">
        <f t="shared" ref="BL103:BX103" si="355">BL43/BL$55</f>
        <v>7.1073887333694538E-3</v>
      </c>
      <c r="BM103" s="936">
        <f t="shared" si="355"/>
        <v>8.483407249247928E-3</v>
      </c>
      <c r="BN103" s="936">
        <f t="shared" si="355"/>
        <v>6.466379458900569E-3</v>
      </c>
      <c r="BO103" s="936">
        <f t="shared" si="355"/>
        <v>6.4026817947395575E-3</v>
      </c>
      <c r="BP103" s="936">
        <f t="shared" si="355"/>
        <v>5.9751852490091337E-3</v>
      </c>
      <c r="BQ103" s="936">
        <f t="shared" si="355"/>
        <v>5.855116514690983E-3</v>
      </c>
      <c r="BR103" s="936">
        <f t="shared" si="355"/>
        <v>5.7198944242824153E-3</v>
      </c>
      <c r="BS103" s="936">
        <f t="shared" si="355"/>
        <v>6.377574370709382E-3</v>
      </c>
      <c r="BT103" s="936">
        <f t="shared" si="355"/>
        <v>6.3995407577497132E-3</v>
      </c>
      <c r="BU103" s="936">
        <f t="shared" si="355"/>
        <v>6.3630136986301371E-3</v>
      </c>
      <c r="BV103" s="936">
        <f t="shared" si="355"/>
        <v>6.4513888888888893E-3</v>
      </c>
      <c r="BW103" s="936">
        <f t="shared" si="355"/>
        <v>6.377574370709382E-3</v>
      </c>
      <c r="BX103" s="936">
        <f t="shared" si="355"/>
        <v>6.4539218650000009E-3</v>
      </c>
    </row>
    <row r="104" spans="1:76" x14ac:dyDescent="0.3">
      <c r="A104" s="3">
        <f t="shared" si="241"/>
        <v>22</v>
      </c>
      <c r="B104" s="3" t="s">
        <v>97</v>
      </c>
      <c r="C104" s="3" t="s">
        <v>36</v>
      </c>
      <c r="D104" s="25" t="s">
        <v>4</v>
      </c>
      <c r="E104" s="3" t="s">
        <v>114</v>
      </c>
      <c r="F104" s="15">
        <f t="shared" ref="F104:Q104" si="356">F44/F$50</f>
        <v>3.8307766215018571E-4</v>
      </c>
      <c r="G104" s="15">
        <f t="shared" si="356"/>
        <v>9.0306207852307752E-5</v>
      </c>
      <c r="H104" s="15">
        <f t="shared" si="356"/>
        <v>3.7785202697876718E-5</v>
      </c>
      <c r="I104" s="15">
        <f t="shared" si="356"/>
        <v>1.4174833717605043E-4</v>
      </c>
      <c r="J104" s="15">
        <f t="shared" si="356"/>
        <v>3.3786051654610683E-4</v>
      </c>
      <c r="K104" s="15">
        <f t="shared" si="356"/>
        <v>1.7616462242338846E-5</v>
      </c>
      <c r="L104" s="15">
        <f t="shared" si="356"/>
        <v>1.3833163215825876E-5</v>
      </c>
      <c r="M104" s="15">
        <f t="shared" si="356"/>
        <v>1.4127586915224017E-4</v>
      </c>
      <c r="N104" s="15">
        <f t="shared" si="356"/>
        <v>9.2607487022375163E-5</v>
      </c>
      <c r="O104" s="15">
        <f t="shared" si="356"/>
        <v>9.7662759750739131E-4</v>
      </c>
      <c r="P104" s="15">
        <f t="shared" si="356"/>
        <v>7.1090963731722137E-5</v>
      </c>
      <c r="Q104" s="15">
        <f t="shared" si="356"/>
        <v>1.1741812618766053E-4</v>
      </c>
      <c r="R104" s="936">
        <f t="shared" si="226"/>
        <v>5.9839545148283168E-3</v>
      </c>
      <c r="S104" s="15">
        <f t="shared" ref="S104:AC104" si="357">S44/S$50</f>
        <v>3.6599338153267994E-5</v>
      </c>
      <c r="T104" s="15">
        <f t="shared" si="357"/>
        <v>1.5090862951275873E-4</v>
      </c>
      <c r="U104" s="15">
        <f t="shared" si="357"/>
        <v>4.0214808308970413E-4</v>
      </c>
      <c r="V104" s="15">
        <f t="shared" si="357"/>
        <v>2.8369911539765578E-4</v>
      </c>
      <c r="W104" s="15">
        <f t="shared" si="357"/>
        <v>1.2633927852085153E-3</v>
      </c>
      <c r="X104" s="15">
        <f t="shared" si="357"/>
        <v>1.761838851628152E-4</v>
      </c>
      <c r="Y104" s="15">
        <f t="shared" si="357"/>
        <v>1.6159798493648191E-4</v>
      </c>
      <c r="Z104" s="15">
        <f t="shared" si="357"/>
        <v>7.728723524924485E-4</v>
      </c>
      <c r="AA104" s="15">
        <f t="shared" si="357"/>
        <v>1.0522617149609367E-3</v>
      </c>
      <c r="AB104" s="15">
        <f t="shared" si="357"/>
        <v>9.2705733383701056E-4</v>
      </c>
      <c r="AC104" s="15">
        <f t="shared" si="357"/>
        <v>1.0670510866572231E-3</v>
      </c>
      <c r="AD104" s="15"/>
      <c r="AE104" s="15"/>
      <c r="AF104" s="15">
        <f t="shared" si="228"/>
        <v>6.0239632214426552E-4</v>
      </c>
      <c r="AG104" s="936">
        <f t="shared" si="229"/>
        <v>1.7036227301510956E-2</v>
      </c>
      <c r="AH104" s="936">
        <f t="shared" ref="AH104:AQ104" si="358">AH44/AH$50</f>
        <v>1.8005098660855417E-3</v>
      </c>
      <c r="AI104" s="936">
        <f t="shared" si="358"/>
        <v>4.8602238167874304E-4</v>
      </c>
      <c r="AJ104" s="936">
        <f t="shared" si="358"/>
        <v>5.7741376634325473E-4</v>
      </c>
      <c r="AK104" s="936">
        <f t="shared" si="358"/>
        <v>1.0963713272038822E-4</v>
      </c>
      <c r="AL104" s="936">
        <f t="shared" si="358"/>
        <v>1.2064848525861675E-4</v>
      </c>
      <c r="AM104" s="936">
        <f t="shared" si="358"/>
        <v>7.2439287190998174E-4</v>
      </c>
      <c r="AN104" s="936">
        <f t="shared" si="358"/>
        <v>5.4862478073879897E-4</v>
      </c>
      <c r="AO104" s="936">
        <f t="shared" si="358"/>
        <v>6.1807790793751421E-4</v>
      </c>
      <c r="AP104" s="936">
        <f t="shared" si="358"/>
        <v>2.1227746349930456E-4</v>
      </c>
      <c r="AQ104" s="936">
        <f t="shared" si="358"/>
        <v>9.0313612070111796E-4</v>
      </c>
      <c r="AR104" s="936">
        <f t="shared" ref="AR104:AS104" si="359">AR44/AR$50</f>
        <v>2.9682731460847537E-3</v>
      </c>
      <c r="AS104" s="936">
        <f t="shared" si="359"/>
        <v>1.3829471407429902E-3</v>
      </c>
      <c r="AT104" s="936"/>
      <c r="AU104" s="936">
        <f t="shared" ref="AU104:BG104" si="360">AU44/AU$55</f>
        <v>2.3363702877635777E-2</v>
      </c>
      <c r="AV104" s="936">
        <f t="shared" si="360"/>
        <v>3.2170440368486833E-2</v>
      </c>
      <c r="AW104" s="936">
        <f t="shared" si="360"/>
        <v>0.12158030423499529</v>
      </c>
      <c r="AX104" s="936">
        <f t="shared" si="360"/>
        <v>2.6761405158419616E-2</v>
      </c>
      <c r="AY104" s="936">
        <f t="shared" si="360"/>
        <v>1.0875726331282622E-2</v>
      </c>
      <c r="AZ104" s="936">
        <f t="shared" si="360"/>
        <v>2.2017820669906214E-2</v>
      </c>
      <c r="BA104" s="936">
        <f t="shared" si="360"/>
        <v>1.3909685502029938E-2</v>
      </c>
      <c r="BB104" s="936" t="e">
        <f t="shared" si="360"/>
        <v>#DIV/0!</v>
      </c>
      <c r="BC104" s="936" t="e">
        <f t="shared" si="360"/>
        <v>#DIV/0!</v>
      </c>
      <c r="BD104" s="936" t="e">
        <f t="shared" si="360"/>
        <v>#DIV/0!</v>
      </c>
      <c r="BE104" s="936" t="e">
        <f t="shared" si="360"/>
        <v>#DIV/0!</v>
      </c>
      <c r="BF104" s="936" t="e">
        <f t="shared" si="360"/>
        <v>#DIV/0!</v>
      </c>
      <c r="BG104" s="936" t="e">
        <f t="shared" si="360"/>
        <v>#DIV/0!</v>
      </c>
      <c r="BH104" s="936">
        <f t="shared" si="233"/>
        <v>2.9176995732563035E-2</v>
      </c>
      <c r="BI104" s="936">
        <f t="shared" si="233"/>
        <v>1.3244164263199368E-2</v>
      </c>
      <c r="BJ104" s="4"/>
      <c r="BL104" s="936">
        <f t="shared" ref="BL104:BX104" si="361">BL44/BL$55</f>
        <v>3.1328145343447113E-2</v>
      </c>
      <c r="BM104" s="936">
        <f t="shared" si="361"/>
        <v>1.2142623985618901E-2</v>
      </c>
      <c r="BN104" s="936">
        <f t="shared" si="361"/>
        <v>1.782938837957378E-2</v>
      </c>
      <c r="BO104" s="936">
        <f t="shared" si="361"/>
        <v>1.5500075772162052E-2</v>
      </c>
      <c r="BP104" s="936">
        <f t="shared" si="361"/>
        <v>1.9909002372336147E-2</v>
      </c>
      <c r="BQ104" s="936">
        <f t="shared" si="361"/>
        <v>1.3244164263199368E-2</v>
      </c>
      <c r="BR104" s="936">
        <f t="shared" si="361"/>
        <v>1.1668086566589683E-2</v>
      </c>
      <c r="BS104" s="936">
        <f t="shared" si="361"/>
        <v>1.2819866094584286E-2</v>
      </c>
      <c r="BT104" s="936">
        <f t="shared" si="361"/>
        <v>2.951155334864141E-2</v>
      </c>
      <c r="BU104" s="936">
        <f t="shared" si="361"/>
        <v>1.2676441742770167E-2</v>
      </c>
      <c r="BV104" s="936">
        <f t="shared" si="361"/>
        <v>1.1347873804012344E-2</v>
      </c>
      <c r="BW104" s="936">
        <f t="shared" si="361"/>
        <v>8.2432070556826831E-3</v>
      </c>
      <c r="BX104" s="936">
        <f t="shared" si="361"/>
        <v>1.6315875559999998E-2</v>
      </c>
    </row>
    <row r="105" spans="1:76" x14ac:dyDescent="0.3">
      <c r="A105" s="3">
        <f t="shared" si="241"/>
        <v>23</v>
      </c>
      <c r="B105" s="3" t="s">
        <v>97</v>
      </c>
      <c r="C105" s="3" t="s">
        <v>51</v>
      </c>
      <c r="D105" s="25" t="s">
        <v>2</v>
      </c>
      <c r="E105" s="3" t="s">
        <v>114</v>
      </c>
      <c r="F105" s="15">
        <f t="shared" ref="F105:Q105" si="362">F45/F$50</f>
        <v>1.8944984043907266E-5</v>
      </c>
      <c r="G105" s="15">
        <f t="shared" si="362"/>
        <v>5.3010653308548604E-4</v>
      </c>
      <c r="H105" s="15">
        <f t="shared" si="362"/>
        <v>5.8401948982727062E-5</v>
      </c>
      <c r="I105" s="15">
        <f t="shared" si="362"/>
        <v>3.70494769020069E-4</v>
      </c>
      <c r="J105" s="15">
        <f t="shared" si="362"/>
        <v>5.1110274161958577E-4</v>
      </c>
      <c r="K105" s="15">
        <f t="shared" si="362"/>
        <v>8.1954573713200406E-4</v>
      </c>
      <c r="L105" s="15">
        <f t="shared" si="362"/>
        <v>4.9479256785570502E-7</v>
      </c>
      <c r="M105" s="15">
        <f t="shared" si="362"/>
        <v>1.1414941506860218E-4</v>
      </c>
      <c r="N105" s="15">
        <f t="shared" si="362"/>
        <v>0</v>
      </c>
      <c r="O105" s="15">
        <f t="shared" si="362"/>
        <v>3.2899285812531551E-5</v>
      </c>
      <c r="P105" s="15">
        <f t="shared" si="362"/>
        <v>6.8995587471832234E-5</v>
      </c>
      <c r="Q105" s="15">
        <f t="shared" si="362"/>
        <v>2.8100503679636172E-5</v>
      </c>
      <c r="R105" s="936">
        <f t="shared" si="226"/>
        <v>5.8144067639454896E-3</v>
      </c>
      <c r="S105" s="15">
        <f t="shared" ref="S105:AC105" si="363">S45/S$50</f>
        <v>2.4481517733780681E-5</v>
      </c>
      <c r="T105" s="15">
        <f t="shared" si="363"/>
        <v>9.3034073524567217E-5</v>
      </c>
      <c r="U105" s="15">
        <f t="shared" si="363"/>
        <v>-7.6166833937429687E-6</v>
      </c>
      <c r="V105" s="15">
        <f t="shared" si="363"/>
        <v>3.0938039403637418E-5</v>
      </c>
      <c r="W105" s="15">
        <f t="shared" si="363"/>
        <v>1.196216455487013E-5</v>
      </c>
      <c r="X105" s="15">
        <f t="shared" si="363"/>
        <v>1.0079888578473746E-4</v>
      </c>
      <c r="Y105" s="15">
        <f t="shared" si="363"/>
        <v>2.8407447747197901E-5</v>
      </c>
      <c r="Z105" s="15">
        <f t="shared" si="363"/>
        <v>6.6057364810158883E-5</v>
      </c>
      <c r="AA105" s="15">
        <f t="shared" si="363"/>
        <v>4.239913445253597E-5</v>
      </c>
      <c r="AB105" s="15">
        <f t="shared" si="363"/>
        <v>1.5089626760384394E-5</v>
      </c>
      <c r="AC105" s="15">
        <f t="shared" si="363"/>
        <v>3.5956877504867935E-5</v>
      </c>
      <c r="AD105" s="15"/>
      <c r="AE105" s="15"/>
      <c r="AF105" s="15">
        <f t="shared" si="228"/>
        <v>3.8599908208303113E-5</v>
      </c>
      <c r="AG105" s="936">
        <f t="shared" si="229"/>
        <v>1.091634835540422E-3</v>
      </c>
      <c r="AH105" s="936">
        <f t="shared" ref="AH105:AQ105" si="364">AH45/AH$50</f>
        <v>1.6012605480463044E-5</v>
      </c>
      <c r="AI105" s="936">
        <f t="shared" si="364"/>
        <v>1.6009592646485268E-5</v>
      </c>
      <c r="AJ105" s="936">
        <f t="shared" si="364"/>
        <v>5.1084033458716348E-5</v>
      </c>
      <c r="AK105" s="936">
        <f t="shared" si="364"/>
        <v>3.7079880064756146E-5</v>
      </c>
      <c r="AL105" s="936">
        <f t="shared" si="364"/>
        <v>3.0006434675057636E-5</v>
      </c>
      <c r="AM105" s="936">
        <f t="shared" si="364"/>
        <v>2.9144404138351793E-5</v>
      </c>
      <c r="AN105" s="936">
        <f t="shared" si="364"/>
        <v>3.23985423351472E-5</v>
      </c>
      <c r="AO105" s="936">
        <f t="shared" si="364"/>
        <v>1.359043460432037E-5</v>
      </c>
      <c r="AP105" s="936">
        <f t="shared" si="364"/>
        <v>5.6354777559838663E-5</v>
      </c>
      <c r="AQ105" s="936">
        <f t="shared" si="364"/>
        <v>4.8209875793657605E-5</v>
      </c>
      <c r="AR105" s="936">
        <f t="shared" ref="AR105:AS105" si="365">AR45/AR$50</f>
        <v>5.5580331340166926E-5</v>
      </c>
      <c r="AS105" s="936">
        <f t="shared" si="365"/>
        <v>3.9655373223143877E-5</v>
      </c>
      <c r="AT105" s="936"/>
      <c r="AU105" s="936">
        <f t="shared" ref="AU105:BG105" si="366">AU45/AU$55</f>
        <v>1.110167814109919E-3</v>
      </c>
      <c r="AV105" s="936">
        <f t="shared" si="366"/>
        <v>1.4465873536084234E-3</v>
      </c>
      <c r="AW105" s="936">
        <f t="shared" si="366"/>
        <v>2.0445800894484016E-3</v>
      </c>
      <c r="AX105" s="936">
        <f t="shared" si="366"/>
        <v>1.2247270643761441E-3</v>
      </c>
      <c r="AY105" s="936">
        <f t="shared" si="366"/>
        <v>8.3792490989261252E-4</v>
      </c>
      <c r="AZ105" s="936">
        <f t="shared" si="366"/>
        <v>9.0785769517034911E-4</v>
      </c>
      <c r="BA105" s="936">
        <f t="shared" si="366"/>
        <v>7.4709778117330969E-4</v>
      </c>
      <c r="BB105" s="936" t="e">
        <f t="shared" si="366"/>
        <v>#DIV/0!</v>
      </c>
      <c r="BC105" s="936" t="e">
        <f t="shared" si="366"/>
        <v>#DIV/0!</v>
      </c>
      <c r="BD105" s="936" t="e">
        <f t="shared" si="366"/>
        <v>#DIV/0!</v>
      </c>
      <c r="BE105" s="936" t="e">
        <f t="shared" si="366"/>
        <v>#DIV/0!</v>
      </c>
      <c r="BF105" s="936" t="e">
        <f t="shared" si="366"/>
        <v>#DIV/0!</v>
      </c>
      <c r="BG105" s="936" t="e">
        <f t="shared" si="366"/>
        <v>#DIV/0!</v>
      </c>
      <c r="BH105" s="936">
        <f t="shared" si="233"/>
        <v>1.1008878390110376E-3</v>
      </c>
      <c r="BI105" s="936">
        <f t="shared" si="233"/>
        <v>1.8912529550827422E-3</v>
      </c>
      <c r="BJ105" s="4"/>
      <c r="BL105" s="936">
        <f t="shared" ref="BL105:BX105" si="367">BL45/BL$55</f>
        <v>2.0227560050568899E-3</v>
      </c>
      <c r="BM105" s="936">
        <f t="shared" si="367"/>
        <v>2.465331278890601E-3</v>
      </c>
      <c r="BN105" s="936">
        <f t="shared" si="367"/>
        <v>1.9300361881785283E-3</v>
      </c>
      <c r="BO105" s="936">
        <f t="shared" si="367"/>
        <v>1.9253910950661852E-3</v>
      </c>
      <c r="BP105" s="936">
        <f t="shared" si="367"/>
        <v>1.9300361881785283E-3</v>
      </c>
      <c r="BQ105" s="936">
        <f t="shared" si="367"/>
        <v>1.8912529550827422E-3</v>
      </c>
      <c r="BR105" s="936">
        <f t="shared" si="367"/>
        <v>1.8475750577367205E-3</v>
      </c>
      <c r="BS105" s="936">
        <f t="shared" si="367"/>
        <v>1.8306636155606408E-3</v>
      </c>
      <c r="BT105" s="936">
        <f t="shared" si="367"/>
        <v>1.8369690011481056E-3</v>
      </c>
      <c r="BU105" s="936">
        <f t="shared" si="367"/>
        <v>1.8264840182648401E-3</v>
      </c>
      <c r="BV105" s="936">
        <f t="shared" si="367"/>
        <v>1.8518518518518519E-3</v>
      </c>
      <c r="BW105" s="936">
        <f t="shared" si="367"/>
        <v>1.8306636155606408E-3</v>
      </c>
      <c r="BX105" s="936">
        <f t="shared" si="367"/>
        <v>1.92E-3</v>
      </c>
    </row>
    <row r="106" spans="1:76" x14ac:dyDescent="0.3">
      <c r="A106" s="3">
        <f t="shared" si="241"/>
        <v>24</v>
      </c>
      <c r="B106" s="3" t="s">
        <v>97</v>
      </c>
      <c r="C106" s="3" t="s">
        <v>36</v>
      </c>
      <c r="D106" s="25" t="s">
        <v>5</v>
      </c>
      <c r="E106" s="3" t="s">
        <v>114</v>
      </c>
      <c r="F106" s="15">
        <f t="shared" ref="F106:Q106" si="368">F46/F$50</f>
        <v>1.4358808238855748E-4</v>
      </c>
      <c r="G106" s="15">
        <f t="shared" si="368"/>
        <v>0</v>
      </c>
      <c r="H106" s="15">
        <f t="shared" si="368"/>
        <v>0</v>
      </c>
      <c r="I106" s="15">
        <f t="shared" si="368"/>
        <v>0</v>
      </c>
      <c r="J106" s="15">
        <f t="shared" si="368"/>
        <v>0</v>
      </c>
      <c r="K106" s="15">
        <f t="shared" si="368"/>
        <v>0</v>
      </c>
      <c r="L106" s="15">
        <f t="shared" si="368"/>
        <v>1.1792556200560971E-3</v>
      </c>
      <c r="M106" s="15">
        <f t="shared" si="368"/>
        <v>0</v>
      </c>
      <c r="N106" s="15">
        <f t="shared" si="368"/>
        <v>0</v>
      </c>
      <c r="O106" s="15">
        <f t="shared" si="368"/>
        <v>5.4100247689343702E-4</v>
      </c>
      <c r="P106" s="15">
        <f t="shared" si="368"/>
        <v>0</v>
      </c>
      <c r="Q106" s="15">
        <f t="shared" si="368"/>
        <v>0</v>
      </c>
      <c r="R106" s="936">
        <f t="shared" si="226"/>
        <v>4.7312888538180954E-3</v>
      </c>
      <c r="S106" s="15">
        <f t="shared" ref="S106:AC106" si="369">S46/S$50</f>
        <v>8.0376603229131906E-5</v>
      </c>
      <c r="T106" s="15">
        <f t="shared" si="369"/>
        <v>1.1252386664433444E-4</v>
      </c>
      <c r="U106" s="15">
        <f t="shared" si="369"/>
        <v>7.2233891706561032E-5</v>
      </c>
      <c r="V106" s="15">
        <f t="shared" si="369"/>
        <v>7.619316808716526E-5</v>
      </c>
      <c r="W106" s="15">
        <f t="shared" si="369"/>
        <v>7.6323496486522868E-5</v>
      </c>
      <c r="X106" s="15">
        <f t="shared" si="369"/>
        <v>4.8761151844998617E-4</v>
      </c>
      <c r="Y106" s="15">
        <f t="shared" si="369"/>
        <v>1.9062778790439669E-4</v>
      </c>
      <c r="Z106" s="15">
        <f t="shared" si="369"/>
        <v>1.847437559189084E-4</v>
      </c>
      <c r="AA106" s="15">
        <f t="shared" si="369"/>
        <v>1.6488166210015362E-4</v>
      </c>
      <c r="AB106" s="15">
        <f t="shared" si="369"/>
        <v>1.1999004288162491E-4</v>
      </c>
      <c r="AC106" s="15">
        <f t="shared" si="369"/>
        <v>4.608301001064435E-4</v>
      </c>
      <c r="AD106" s="15"/>
      <c r="AE106" s="15"/>
      <c r="AF106" s="15">
        <f t="shared" si="228"/>
        <v>1.7786236852392279E-4</v>
      </c>
      <c r="AG106" s="936">
        <f t="shared" si="229"/>
        <v>5.0300833972106961E-3</v>
      </c>
      <c r="AH106" s="936">
        <f t="shared" ref="AH106:AQ106" si="370">AH46/AH$50</f>
        <v>5.5072096007933439E-5</v>
      </c>
      <c r="AI106" s="936">
        <f t="shared" si="370"/>
        <v>2.0047005856122504E-3</v>
      </c>
      <c r="AJ106" s="936">
        <f t="shared" si="370"/>
        <v>3.400041836086395E-5</v>
      </c>
      <c r="AK106" s="936">
        <f t="shared" si="370"/>
        <v>2.5177536511469155E-5</v>
      </c>
      <c r="AL106" s="936">
        <f t="shared" si="370"/>
        <v>2.1912704910976785E-5</v>
      </c>
      <c r="AM106" s="936">
        <f t="shared" si="370"/>
        <v>0</v>
      </c>
      <c r="AN106" s="936">
        <f t="shared" si="370"/>
        <v>1.4362399291399682E-4</v>
      </c>
      <c r="AO106" s="936">
        <f t="shared" si="370"/>
        <v>1.0649913969177426E-4</v>
      </c>
      <c r="AP106" s="936">
        <f t="shared" si="370"/>
        <v>4.2279981534878162E-4</v>
      </c>
      <c r="AQ106" s="936">
        <f t="shared" si="370"/>
        <v>3.906930333601681E-4</v>
      </c>
      <c r="AR106" s="936">
        <f t="shared" ref="AR106:AS106" si="371">AR46/AR$50</f>
        <v>0</v>
      </c>
      <c r="AS106" s="936">
        <f t="shared" si="371"/>
        <v>0</v>
      </c>
      <c r="AT106" s="936"/>
      <c r="AU106" s="936">
        <f t="shared" ref="AU106:BG106" si="372">AU46/AU$55</f>
        <v>7.4560850208270834E-3</v>
      </c>
      <c r="AV106" s="936">
        <f t="shared" si="372"/>
        <v>0</v>
      </c>
      <c r="AW106" s="936">
        <f t="shared" si="372"/>
        <v>0</v>
      </c>
      <c r="AX106" s="936">
        <f t="shared" si="372"/>
        <v>1.6357093101536189E-3</v>
      </c>
      <c r="AY106" s="936">
        <f t="shared" si="372"/>
        <v>2.059270545580387E-2</v>
      </c>
      <c r="AZ106" s="936">
        <f t="shared" si="372"/>
        <v>7.9676258572286673E-3</v>
      </c>
      <c r="BA106" s="936">
        <f t="shared" si="372"/>
        <v>6.9462622757457465E-3</v>
      </c>
      <c r="BB106" s="936" t="e">
        <f t="shared" si="372"/>
        <v>#DIV/0!</v>
      </c>
      <c r="BC106" s="936" t="e">
        <f t="shared" si="372"/>
        <v>#DIV/0!</v>
      </c>
      <c r="BD106" s="936" t="e">
        <f t="shared" si="372"/>
        <v>#DIV/0!</v>
      </c>
      <c r="BE106" s="936" t="e">
        <f t="shared" si="372"/>
        <v>#DIV/0!</v>
      </c>
      <c r="BF106" s="936" t="e">
        <f t="shared" si="372"/>
        <v>#DIV/0!</v>
      </c>
      <c r="BG106" s="936" t="e">
        <f t="shared" si="372"/>
        <v>#DIV/0!</v>
      </c>
      <c r="BH106" s="936">
        <f t="shared" si="233"/>
        <v>7.3336668369444209E-3</v>
      </c>
      <c r="BI106" s="936">
        <f t="shared" si="233"/>
        <v>4.9251379038613083E-3</v>
      </c>
      <c r="BJ106" s="4"/>
      <c r="BL106" s="936">
        <f t="shared" ref="BL106:BX106" si="373">BL46/BL$55</f>
        <v>6.9563168984407928E-3</v>
      </c>
      <c r="BM106" s="936">
        <f t="shared" si="373"/>
        <v>2.0450950179763738E-2</v>
      </c>
      <c r="BN106" s="936">
        <f t="shared" si="373"/>
        <v>1.9501407318053884E-2</v>
      </c>
      <c r="BO106" s="936">
        <f t="shared" si="373"/>
        <v>1.9454472523064582E-2</v>
      </c>
      <c r="BP106" s="936">
        <f t="shared" si="373"/>
        <v>5.0261359067149186E-3</v>
      </c>
      <c r="BQ106" s="936">
        <f t="shared" si="373"/>
        <v>4.9251379038613083E-3</v>
      </c>
      <c r="BR106" s="936">
        <f t="shared" si="373"/>
        <v>4.8113933795227107E-3</v>
      </c>
      <c r="BS106" s="936">
        <f t="shared" si="373"/>
        <v>4.7673531655225022E-3</v>
      </c>
      <c r="BT106" s="936">
        <f t="shared" si="373"/>
        <v>4.7837734404898588E-3</v>
      </c>
      <c r="BU106" s="936">
        <f t="shared" si="373"/>
        <v>4.7564687975646886E-3</v>
      </c>
      <c r="BV106" s="936">
        <f t="shared" si="373"/>
        <v>4.8225308641975315E-3</v>
      </c>
      <c r="BW106" s="936">
        <f t="shared" si="373"/>
        <v>4.7673531655225022E-3</v>
      </c>
      <c r="BX106" s="936">
        <f t="shared" si="373"/>
        <v>8.4441779999999966E-3</v>
      </c>
    </row>
    <row r="107" spans="1:76" x14ac:dyDescent="0.3">
      <c r="A107" s="3">
        <f t="shared" si="241"/>
        <v>25</v>
      </c>
      <c r="B107" s="3" t="s">
        <v>97</v>
      </c>
      <c r="C107" s="3" t="s">
        <v>36</v>
      </c>
      <c r="D107" s="25" t="s">
        <v>1</v>
      </c>
      <c r="E107" s="3" t="s">
        <v>114</v>
      </c>
      <c r="F107" s="15">
        <f t="shared" ref="F107:Q107" si="374">F47/F$50</f>
        <v>0</v>
      </c>
      <c r="G107" s="15">
        <f t="shared" si="374"/>
        <v>6.8331436974845136E-5</v>
      </c>
      <c r="H107" s="15">
        <f t="shared" si="374"/>
        <v>1.2273615725528402E-4</v>
      </c>
      <c r="I107" s="15">
        <f t="shared" si="374"/>
        <v>0</v>
      </c>
      <c r="J107" s="15">
        <f t="shared" si="374"/>
        <v>0</v>
      </c>
      <c r="K107" s="15">
        <f t="shared" si="374"/>
        <v>0</v>
      </c>
      <c r="L107" s="15">
        <f t="shared" si="374"/>
        <v>0</v>
      </c>
      <c r="M107" s="15">
        <f t="shared" si="374"/>
        <v>0</v>
      </c>
      <c r="N107" s="15">
        <f t="shared" si="374"/>
        <v>0</v>
      </c>
      <c r="O107" s="15">
        <f t="shared" si="374"/>
        <v>3.4498708671465553E-5</v>
      </c>
      <c r="P107" s="15">
        <f t="shared" si="374"/>
        <v>5.7693136618418751E-5</v>
      </c>
      <c r="Q107" s="15">
        <f t="shared" si="374"/>
        <v>6.1599715879499632E-5</v>
      </c>
      <c r="R107" s="936">
        <f t="shared" si="226"/>
        <v>9.1570582566674824E-4</v>
      </c>
      <c r="S107" s="15">
        <f t="shared" ref="S107:AC107" si="375">S47/S$50</f>
        <v>0</v>
      </c>
      <c r="T107" s="15">
        <f t="shared" si="375"/>
        <v>0</v>
      </c>
      <c r="U107" s="15">
        <f t="shared" si="375"/>
        <v>5.435284936318956E-4</v>
      </c>
      <c r="V107" s="15">
        <f t="shared" si="375"/>
        <v>2.3720384114244328E-4</v>
      </c>
      <c r="W107" s="15">
        <f t="shared" si="375"/>
        <v>1.4284043901872427E-4</v>
      </c>
      <c r="X107" s="15">
        <f t="shared" si="375"/>
        <v>4.3257870596181172E-4</v>
      </c>
      <c r="Y107" s="15">
        <f t="shared" si="375"/>
        <v>2.8013830458359043E-4</v>
      </c>
      <c r="Z107" s="15">
        <f t="shared" si="375"/>
        <v>2.6612291379528953E-4</v>
      </c>
      <c r="AA107" s="15">
        <f t="shared" si="375"/>
        <v>7.0861120878760488E-4</v>
      </c>
      <c r="AB107" s="15">
        <f t="shared" si="375"/>
        <v>4.8767941251544862E-5</v>
      </c>
      <c r="AC107" s="15">
        <f t="shared" si="375"/>
        <v>4.6444462334335697E-5</v>
      </c>
      <c r="AD107" s="15"/>
      <c r="AE107" s="15"/>
      <c r="AF107" s="15">
        <f t="shared" si="228"/>
        <v>2.2437081422445928E-4</v>
      </c>
      <c r="AG107" s="936">
        <f t="shared" si="229"/>
        <v>6.3453777030822514E-3</v>
      </c>
      <c r="AH107" s="936">
        <f t="shared" ref="AH107:AQ107" si="376">AH47/AH$50</f>
        <v>6.2177793865069808E-4</v>
      </c>
      <c r="AI107" s="936">
        <f t="shared" si="376"/>
        <v>3.5234413975822116E-5</v>
      </c>
      <c r="AJ107" s="936">
        <f t="shared" si="376"/>
        <v>5.6718629704080012E-5</v>
      </c>
      <c r="AK107" s="936">
        <f t="shared" si="376"/>
        <v>3.8972155546962108E-4</v>
      </c>
      <c r="AL107" s="936">
        <f t="shared" si="376"/>
        <v>7.3763569980827136E-5</v>
      </c>
      <c r="AM107" s="936">
        <f t="shared" si="376"/>
        <v>5.2640661027168682E-5</v>
      </c>
      <c r="AN107" s="936">
        <f t="shared" si="376"/>
        <v>5.0072717010753211E-5</v>
      </c>
      <c r="AO107" s="936">
        <f t="shared" si="376"/>
        <v>3.2430608821694466E-4</v>
      </c>
      <c r="AP107" s="936">
        <f t="shared" si="376"/>
        <v>2.8265643038903962E-4</v>
      </c>
      <c r="AQ107" s="936">
        <f t="shared" si="376"/>
        <v>1.1711725021248444E-3</v>
      </c>
      <c r="AR107" s="936">
        <f t="shared" ref="AR107:AS107" si="377">AR47/AR$50</f>
        <v>2.095650735224159E-4</v>
      </c>
      <c r="AS107" s="936">
        <f t="shared" si="377"/>
        <v>1.2013216517990039E-3</v>
      </c>
      <c r="AT107" s="936"/>
      <c r="AU107" s="936">
        <f t="shared" ref="AU107:BG107" si="378">AU47/AU$55</f>
        <v>1.0696651798652533E-2</v>
      </c>
      <c r="AV107" s="936">
        <f t="shared" si="378"/>
        <v>1.4307364899766669E-2</v>
      </c>
      <c r="AW107" s="936">
        <f t="shared" si="378"/>
        <v>2.7837595936171388E-3</v>
      </c>
      <c r="AX107" s="936">
        <f t="shared" si="378"/>
        <v>4.8867205874346216E-3</v>
      </c>
      <c r="AY107" s="936">
        <f t="shared" si="378"/>
        <v>2.6695441904091662E-4</v>
      </c>
      <c r="AZ107" s="936">
        <f t="shared" si="378"/>
        <v>6.7266368133889953E-3</v>
      </c>
      <c r="BA107" s="936">
        <f t="shared" si="378"/>
        <v>8.8120815762993757E-3</v>
      </c>
      <c r="BB107" s="936" t="e">
        <f t="shared" si="378"/>
        <v>#DIV/0!</v>
      </c>
      <c r="BC107" s="936" t="e">
        <f t="shared" si="378"/>
        <v>#DIV/0!</v>
      </c>
      <c r="BD107" s="936" t="e">
        <f t="shared" si="378"/>
        <v>#DIV/0!</v>
      </c>
      <c r="BE107" s="936" t="e">
        <f t="shared" si="378"/>
        <v>#DIV/0!</v>
      </c>
      <c r="BF107" s="936" t="e">
        <f t="shared" si="378"/>
        <v>#DIV/0!</v>
      </c>
      <c r="BG107" s="936" t="e">
        <f t="shared" si="378"/>
        <v>#DIV/0!</v>
      </c>
      <c r="BH107" s="936">
        <f t="shared" si="233"/>
        <v>6.0877550339644964E-3</v>
      </c>
      <c r="BI107" s="936">
        <f t="shared" si="233"/>
        <v>1.2371946414499605E-2</v>
      </c>
      <c r="BJ107" s="4"/>
      <c r="BL107" s="936">
        <f t="shared" ref="BL107:BX107" si="379">BL47/BL$55</f>
        <v>8.6493889591234708E-3</v>
      </c>
      <c r="BM107" s="936">
        <f t="shared" si="379"/>
        <v>1.306574216743708E-2</v>
      </c>
      <c r="BN107" s="936">
        <f t="shared" si="379"/>
        <v>2.3934459187776435E-2</v>
      </c>
      <c r="BO107" s="936">
        <f t="shared" si="379"/>
        <v>7.3004412354592861E-3</v>
      </c>
      <c r="BP107" s="936">
        <f t="shared" si="379"/>
        <v>1.3445918777643746E-2</v>
      </c>
      <c r="BQ107" s="936">
        <f t="shared" si="379"/>
        <v>1.2371946414499605E-2</v>
      </c>
      <c r="BR107" s="936">
        <f t="shared" si="379"/>
        <v>1.127790608160123E-2</v>
      </c>
      <c r="BS107" s="936">
        <f t="shared" si="379"/>
        <v>9.6872616323417232E-3</v>
      </c>
      <c r="BT107" s="936">
        <f t="shared" si="379"/>
        <v>1.2935323383084577E-2</v>
      </c>
      <c r="BU107" s="936">
        <f t="shared" si="379"/>
        <v>9.2085235920852347E-3</v>
      </c>
      <c r="BV107" s="936">
        <f t="shared" si="379"/>
        <v>7.0216049382716044E-3</v>
      </c>
      <c r="BW107" s="936">
        <f t="shared" si="379"/>
        <v>6.9412662090007626E-3</v>
      </c>
      <c r="BX107" s="936">
        <f t="shared" si="379"/>
        <v>1.1254299999999998E-2</v>
      </c>
    </row>
    <row r="108" spans="1:76" s="16" customFormat="1" x14ac:dyDescent="0.3">
      <c r="A108" s="3">
        <f t="shared" si="241"/>
        <v>26</v>
      </c>
      <c r="B108" s="3" t="s">
        <v>97</v>
      </c>
      <c r="C108" s="35" t="s">
        <v>36</v>
      </c>
      <c r="D108" s="36" t="s">
        <v>23</v>
      </c>
      <c r="E108" s="3" t="s">
        <v>114</v>
      </c>
      <c r="F108" s="15">
        <f t="shared" ref="F108:Q108" si="380">F48/F$50</f>
        <v>5.7627327890212226E-6</v>
      </c>
      <c r="G108" s="15">
        <f t="shared" si="380"/>
        <v>2.7724626409581226E-4</v>
      </c>
      <c r="H108" s="15">
        <f t="shared" si="380"/>
        <v>1.0824163076422123E-4</v>
      </c>
      <c r="I108" s="15">
        <f t="shared" si="380"/>
        <v>1.3914019007345277E-4</v>
      </c>
      <c r="J108" s="15">
        <f t="shared" si="380"/>
        <v>9.8877109427620714E-5</v>
      </c>
      <c r="K108" s="15">
        <f t="shared" si="380"/>
        <v>0</v>
      </c>
      <c r="L108" s="15">
        <f t="shared" si="380"/>
        <v>2.0140256040037036E-4</v>
      </c>
      <c r="M108" s="15">
        <f t="shared" si="380"/>
        <v>1.2968808916856862E-4</v>
      </c>
      <c r="N108" s="15">
        <f t="shared" si="380"/>
        <v>1.8687941573969697E-4</v>
      </c>
      <c r="O108" s="15">
        <f t="shared" si="380"/>
        <v>1.3921326635121353E-4</v>
      </c>
      <c r="P108" s="15">
        <f t="shared" si="380"/>
        <v>1.8897002278452272E-4</v>
      </c>
      <c r="Q108" s="15">
        <f t="shared" si="380"/>
        <v>9.1104764001913912E-5</v>
      </c>
      <c r="R108" s="936">
        <f t="shared" si="226"/>
        <v>3.8686468591993583E-3</v>
      </c>
      <c r="S108" s="15">
        <f t="shared" ref="S108:AC108" si="381">S48/S$50</f>
        <v>0</v>
      </c>
      <c r="T108" s="15">
        <f t="shared" si="381"/>
        <v>0</v>
      </c>
      <c r="U108" s="15">
        <f t="shared" si="381"/>
        <v>6.161393456294986E-6</v>
      </c>
      <c r="V108" s="15">
        <f t="shared" si="381"/>
        <v>0</v>
      </c>
      <c r="W108" s="15">
        <f t="shared" si="381"/>
        <v>9.394505977664286E-6</v>
      </c>
      <c r="X108" s="15">
        <f t="shared" si="381"/>
        <v>0</v>
      </c>
      <c r="Y108" s="15">
        <f t="shared" si="381"/>
        <v>1.294743010630226E-5</v>
      </c>
      <c r="Z108" s="15">
        <f t="shared" si="381"/>
        <v>0</v>
      </c>
      <c r="AA108" s="15">
        <f t="shared" si="381"/>
        <v>0</v>
      </c>
      <c r="AB108" s="15">
        <f t="shared" si="381"/>
        <v>0</v>
      </c>
      <c r="AC108" s="15">
        <f t="shared" si="381"/>
        <v>0</v>
      </c>
      <c r="AD108" s="15"/>
      <c r="AE108" s="15"/>
      <c r="AF108" s="15">
        <f t="shared" si="228"/>
        <v>2.213164356833096E-6</v>
      </c>
      <c r="AG108" s="936">
        <f t="shared" si="229"/>
        <v>6.2589975490556448E-5</v>
      </c>
      <c r="AH108" s="936">
        <f t="shared" ref="AH108:AQ108" si="382">AH48/AH$50</f>
        <v>0</v>
      </c>
      <c r="AI108" s="936">
        <f t="shared" si="382"/>
        <v>0</v>
      </c>
      <c r="AJ108" s="936">
        <f t="shared" si="382"/>
        <v>0</v>
      </c>
      <c r="AK108" s="936">
        <f t="shared" si="382"/>
        <v>0</v>
      </c>
      <c r="AL108" s="936">
        <f t="shared" si="382"/>
        <v>0</v>
      </c>
      <c r="AM108" s="936">
        <f t="shared" si="382"/>
        <v>0</v>
      </c>
      <c r="AN108" s="936">
        <f t="shared" si="382"/>
        <v>0</v>
      </c>
      <c r="AO108" s="936">
        <f t="shared" si="382"/>
        <v>0</v>
      </c>
      <c r="AP108" s="936">
        <f t="shared" si="382"/>
        <v>0</v>
      </c>
      <c r="AQ108" s="936">
        <f t="shared" si="382"/>
        <v>0</v>
      </c>
      <c r="AR108" s="936">
        <f t="shared" ref="AR108:AS108" si="383">AR48/AR$50</f>
        <v>0</v>
      </c>
      <c r="AS108" s="936">
        <f t="shared" si="383"/>
        <v>0</v>
      </c>
      <c r="AT108" s="936"/>
      <c r="AU108" s="936">
        <f t="shared" ref="AU108:BG108" si="384">AU48/AU$55</f>
        <v>0</v>
      </c>
      <c r="AV108" s="936">
        <f t="shared" si="384"/>
        <v>0</v>
      </c>
      <c r="AW108" s="936">
        <f t="shared" si="384"/>
        <v>0</v>
      </c>
      <c r="AX108" s="936">
        <f t="shared" si="384"/>
        <v>0</v>
      </c>
      <c r="AY108" s="936">
        <f t="shared" si="384"/>
        <v>0</v>
      </c>
      <c r="AZ108" s="936">
        <f t="shared" si="384"/>
        <v>0</v>
      </c>
      <c r="BA108" s="936">
        <f t="shared" si="384"/>
        <v>0</v>
      </c>
      <c r="BB108" s="936" t="e">
        <f t="shared" si="384"/>
        <v>#DIV/0!</v>
      </c>
      <c r="BC108" s="936" t="e">
        <f t="shared" si="384"/>
        <v>#DIV/0!</v>
      </c>
      <c r="BD108" s="936" t="e">
        <f t="shared" si="384"/>
        <v>#DIV/0!</v>
      </c>
      <c r="BE108" s="936" t="e">
        <f t="shared" si="384"/>
        <v>#DIV/0!</v>
      </c>
      <c r="BF108" s="936" t="e">
        <f t="shared" si="384"/>
        <v>#DIV/0!</v>
      </c>
      <c r="BG108" s="936" t="e">
        <f t="shared" si="384"/>
        <v>#DIV/0!</v>
      </c>
      <c r="BH108" s="936">
        <f t="shared" si="233"/>
        <v>0</v>
      </c>
      <c r="BI108" s="936">
        <f t="shared" si="233"/>
        <v>0</v>
      </c>
      <c r="BJ108" s="19"/>
      <c r="BK108" s="598"/>
      <c r="BL108" s="936">
        <f t="shared" ref="BL108:BX108" si="385">BL48/BL$55</f>
        <v>0</v>
      </c>
      <c r="BM108" s="936">
        <f t="shared" si="385"/>
        <v>0</v>
      </c>
      <c r="BN108" s="936">
        <f t="shared" si="385"/>
        <v>0</v>
      </c>
      <c r="BO108" s="936">
        <f t="shared" si="385"/>
        <v>0</v>
      </c>
      <c r="BP108" s="936">
        <f t="shared" si="385"/>
        <v>0</v>
      </c>
      <c r="BQ108" s="936">
        <f t="shared" si="385"/>
        <v>0</v>
      </c>
      <c r="BR108" s="936">
        <f t="shared" si="385"/>
        <v>0</v>
      </c>
      <c r="BS108" s="936">
        <f t="shared" si="385"/>
        <v>0</v>
      </c>
      <c r="BT108" s="936">
        <f t="shared" si="385"/>
        <v>0</v>
      </c>
      <c r="BU108" s="936">
        <f t="shared" si="385"/>
        <v>0</v>
      </c>
      <c r="BV108" s="936">
        <f t="shared" si="385"/>
        <v>0</v>
      </c>
      <c r="BW108" s="936">
        <f t="shared" si="385"/>
        <v>0</v>
      </c>
      <c r="BX108" s="936">
        <f t="shared" si="385"/>
        <v>0</v>
      </c>
    </row>
    <row r="109" spans="1:76" s="16" customFormat="1" x14ac:dyDescent="0.3">
      <c r="A109" s="3">
        <f t="shared" si="241"/>
        <v>27</v>
      </c>
      <c r="B109" s="3" t="s">
        <v>97</v>
      </c>
      <c r="C109" s="35" t="s">
        <v>36</v>
      </c>
      <c r="D109" s="36" t="s">
        <v>213</v>
      </c>
      <c r="E109" s="3" t="s">
        <v>114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936">
        <f t="shared" si="226"/>
        <v>0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936">
        <f t="shared" si="229"/>
        <v>3.2763705581699224E-3</v>
      </c>
      <c r="AH109" s="936">
        <f t="shared" ref="AH109:AQ109" si="386">AH49/AH$50</f>
        <v>0</v>
      </c>
      <c r="AI109" s="936">
        <f t="shared" si="386"/>
        <v>1.5326971612179782E-3</v>
      </c>
      <c r="AJ109" s="936">
        <f t="shared" si="386"/>
        <v>9.7959598545727697E-4</v>
      </c>
      <c r="AK109" s="936">
        <f t="shared" si="386"/>
        <v>7.8714431692356122E-4</v>
      </c>
      <c r="AL109" s="936">
        <f t="shared" si="386"/>
        <v>1.0724115386978217E-3</v>
      </c>
      <c r="AM109" s="936">
        <f t="shared" si="386"/>
        <v>1.2673273524786692E-3</v>
      </c>
      <c r="AN109" s="936">
        <f t="shared" si="386"/>
        <v>1.2596055844058091E-3</v>
      </c>
      <c r="AO109" s="936">
        <f t="shared" si="386"/>
        <v>1.368016078387838E-3</v>
      </c>
      <c r="AP109" s="936">
        <f t="shared" si="386"/>
        <v>1.5279160745391559E-3</v>
      </c>
      <c r="AQ109" s="936">
        <f t="shared" si="386"/>
        <v>1.9744542231915764E-3</v>
      </c>
      <c r="AR109" s="936">
        <f t="shared" ref="AR109:AS109" si="387">AR49/AR$50</f>
        <v>2.3651858770504693E-3</v>
      </c>
      <c r="AS109" s="936">
        <f t="shared" si="387"/>
        <v>1.7249339374237414E-3</v>
      </c>
      <c r="AT109" s="936"/>
      <c r="AU109" s="936">
        <f t="shared" ref="AU109:BG109" si="388">AU49/AU$55</f>
        <v>4.1024429443152197E-2</v>
      </c>
      <c r="AV109" s="936">
        <f t="shared" si="388"/>
        <v>6.2794032948655501E-2</v>
      </c>
      <c r="AW109" s="936">
        <f t="shared" si="388"/>
        <v>0.12368174037877532</v>
      </c>
      <c r="AX109" s="936">
        <f t="shared" si="388"/>
        <v>5.0021045970675478E-2</v>
      </c>
      <c r="AY109" s="936">
        <f t="shared" si="388"/>
        <v>5.4557840318620841E-2</v>
      </c>
      <c r="AZ109" s="936">
        <f t="shared" si="388"/>
        <v>6.636638951067754E-2</v>
      </c>
      <c r="BA109" s="936">
        <f t="shared" si="388"/>
        <v>8.0041143409502233E-2</v>
      </c>
      <c r="BB109" s="936" t="e">
        <f t="shared" si="388"/>
        <v>#DIV/0!</v>
      </c>
      <c r="BC109" s="936" t="e">
        <f t="shared" si="388"/>
        <v>#DIV/0!</v>
      </c>
      <c r="BD109" s="936" t="e">
        <f t="shared" si="388"/>
        <v>#DIV/0!</v>
      </c>
      <c r="BE109" s="936" t="e">
        <f t="shared" si="388"/>
        <v>#DIV/0!</v>
      </c>
      <c r="BF109" s="936" t="e">
        <f t="shared" si="388"/>
        <v>#DIV/0!</v>
      </c>
      <c r="BG109" s="936" t="e">
        <f t="shared" si="388"/>
        <v>#DIV/0!</v>
      </c>
      <c r="BH109" s="936">
        <f t="shared" si="233"/>
        <v>6.7596890399799908E-2</v>
      </c>
      <c r="BI109" s="936">
        <f t="shared" si="233"/>
        <v>6.9621749408983455E-2</v>
      </c>
      <c r="BJ109" s="19"/>
      <c r="BK109" s="598"/>
      <c r="BL109" s="936">
        <f t="shared" ref="BL109:BX109" si="389">BL49/BL$55</f>
        <v>7.4462705436156768E-2</v>
      </c>
      <c r="BM109" s="936">
        <f t="shared" si="389"/>
        <v>9.0755007704160243E-2</v>
      </c>
      <c r="BN109" s="936">
        <f t="shared" si="389"/>
        <v>8.3112183353437882E-2</v>
      </c>
      <c r="BO109" s="936">
        <f t="shared" si="389"/>
        <v>7.0878459687123946E-2</v>
      </c>
      <c r="BP109" s="936">
        <f t="shared" si="389"/>
        <v>7.104945717732207E-2</v>
      </c>
      <c r="BQ109" s="936">
        <f t="shared" si="389"/>
        <v>6.9621749408983455E-2</v>
      </c>
      <c r="BR109" s="936">
        <f t="shared" si="389"/>
        <v>6.8013856812933024E-2</v>
      </c>
      <c r="BS109" s="936">
        <f t="shared" si="389"/>
        <v>6.7391304347826086E-2</v>
      </c>
      <c r="BT109" s="936">
        <f t="shared" si="389"/>
        <v>6.7623421354764637E-2</v>
      </c>
      <c r="BU109" s="936">
        <f t="shared" si="389"/>
        <v>6.7237442922374435E-2</v>
      </c>
      <c r="BV109" s="936">
        <f t="shared" si="389"/>
        <v>6.8171296296296299E-2</v>
      </c>
      <c r="BW109" s="936">
        <f t="shared" si="389"/>
        <v>6.7391304347826086E-2</v>
      </c>
      <c r="BX109" s="936">
        <f t="shared" si="389"/>
        <v>7.1679999999999994E-2</v>
      </c>
    </row>
    <row r="110" spans="1:76" s="16" customFormat="1" x14ac:dyDescent="0.3">
      <c r="A110" s="11"/>
      <c r="B110" s="3"/>
      <c r="C110" s="11"/>
      <c r="D110" s="39" t="s">
        <v>106</v>
      </c>
      <c r="E110" s="11"/>
      <c r="F110" s="48">
        <f>F50/$F$50</f>
        <v>1</v>
      </c>
      <c r="G110" s="48">
        <f>G50/$G$50</f>
        <v>1</v>
      </c>
      <c r="H110" s="48">
        <f>H50/$H$50</f>
        <v>1</v>
      </c>
      <c r="I110" s="48">
        <f>I50/$I$50</f>
        <v>1</v>
      </c>
      <c r="J110" s="48">
        <f>J50/$J$50</f>
        <v>1</v>
      </c>
      <c r="K110" s="48">
        <f>K50/$K$50</f>
        <v>1</v>
      </c>
      <c r="L110" s="51">
        <f>L50/$L$50</f>
        <v>1</v>
      </c>
      <c r="M110" s="48">
        <f>M50/$M$50</f>
        <v>1</v>
      </c>
      <c r="N110" s="48">
        <f>N50/$N$50</f>
        <v>1</v>
      </c>
      <c r="O110" s="51">
        <f>O50/$O$50</f>
        <v>1</v>
      </c>
      <c r="P110" s="51">
        <f>P50/$P$50</f>
        <v>1</v>
      </c>
      <c r="Q110" s="51">
        <f>Q50/$Q$50</f>
        <v>1</v>
      </c>
      <c r="R110" s="938">
        <f>SUM(R64:R109)</f>
        <v>29.676522164427301</v>
      </c>
      <c r="S110" s="51">
        <f t="shared" ref="S110:AF110" si="390">S50/S$50</f>
        <v>1</v>
      </c>
      <c r="T110" s="51">
        <f t="shared" si="390"/>
        <v>1</v>
      </c>
      <c r="U110" s="51">
        <f t="shared" si="390"/>
        <v>1</v>
      </c>
      <c r="V110" s="51">
        <f t="shared" si="390"/>
        <v>1</v>
      </c>
      <c r="W110" s="51">
        <f t="shared" si="390"/>
        <v>1</v>
      </c>
      <c r="X110" s="51">
        <f t="shared" si="390"/>
        <v>1</v>
      </c>
      <c r="Y110" s="51">
        <f t="shared" si="390"/>
        <v>1</v>
      </c>
      <c r="Z110" s="51">
        <f t="shared" si="390"/>
        <v>1</v>
      </c>
      <c r="AA110" s="51">
        <f t="shared" si="390"/>
        <v>1</v>
      </c>
      <c r="AB110" s="51">
        <f t="shared" si="390"/>
        <v>1</v>
      </c>
      <c r="AC110" s="51">
        <f t="shared" si="390"/>
        <v>1</v>
      </c>
      <c r="AD110" s="51">
        <f t="shared" si="390"/>
        <v>1</v>
      </c>
      <c r="AE110" s="51">
        <f t="shared" si="390"/>
        <v>1</v>
      </c>
      <c r="AF110" s="51">
        <f t="shared" si="390"/>
        <v>1</v>
      </c>
      <c r="AG110" s="938">
        <f>SUM(AG64:AG109)</f>
        <v>28.498166240211187</v>
      </c>
      <c r="AH110" s="938">
        <f t="shared" ref="AH110:AO110" si="391">AH50/AH$50</f>
        <v>1</v>
      </c>
      <c r="AI110" s="938">
        <f t="shared" si="391"/>
        <v>1</v>
      </c>
      <c r="AJ110" s="938">
        <f t="shared" si="391"/>
        <v>1</v>
      </c>
      <c r="AK110" s="938">
        <f t="shared" si="391"/>
        <v>1</v>
      </c>
      <c r="AL110" s="938">
        <f t="shared" si="391"/>
        <v>1</v>
      </c>
      <c r="AM110" s="938">
        <f t="shared" si="391"/>
        <v>1</v>
      </c>
      <c r="AN110" s="938">
        <f t="shared" si="391"/>
        <v>1</v>
      </c>
      <c r="AO110" s="938">
        <f t="shared" si="391"/>
        <v>1</v>
      </c>
      <c r="AP110" s="938">
        <f t="shared" ref="AP110:AQ110" si="392">AP50/AP$50</f>
        <v>1</v>
      </c>
      <c r="AQ110" s="938">
        <f t="shared" si="392"/>
        <v>1</v>
      </c>
      <c r="AR110" s="938">
        <f t="shared" ref="AR110:AS110" si="393">AR50/AR$50</f>
        <v>1</v>
      </c>
      <c r="AS110" s="938">
        <f t="shared" si="393"/>
        <v>1</v>
      </c>
      <c r="AT110" s="938"/>
      <c r="AU110" s="938">
        <f>SUM(AU64:AU109)</f>
        <v>31.148036829129008</v>
      </c>
      <c r="AV110" s="938">
        <f>SUM(AV64:AV109)</f>
        <v>33.261130804895203</v>
      </c>
      <c r="AW110" s="938">
        <f t="shared" ref="AW110:BI110" si="394">SUM(AW64:AW109)</f>
        <v>37.518091932254421</v>
      </c>
      <c r="AX110" s="938">
        <f t="shared" si="394"/>
        <v>28.783974624407534</v>
      </c>
      <c r="AY110" s="938">
        <f t="shared" si="394"/>
        <v>28.415498507773233</v>
      </c>
      <c r="AZ110" s="938">
        <f t="shared" si="394"/>
        <v>31.475990577714413</v>
      </c>
      <c r="BA110" s="938">
        <f t="shared" si="394"/>
        <v>30.967048871693148</v>
      </c>
      <c r="BB110" s="938" t="e">
        <f t="shared" si="394"/>
        <v>#DIV/0!</v>
      </c>
      <c r="BC110" s="938" t="e">
        <f t="shared" si="394"/>
        <v>#DIV/0!</v>
      </c>
      <c r="BD110" s="938" t="e">
        <f t="shared" si="394"/>
        <v>#DIV/0!</v>
      </c>
      <c r="BE110" s="938" t="e">
        <f t="shared" si="394"/>
        <v>#DIV/0!</v>
      </c>
      <c r="BF110" s="938" t="e">
        <f t="shared" si="394"/>
        <v>#DIV/0!</v>
      </c>
      <c r="BG110" s="938" t="e">
        <f t="shared" si="394"/>
        <v>#DIV/0!</v>
      </c>
      <c r="BH110" s="938">
        <f t="shared" si="394"/>
        <v>30.95601201712903</v>
      </c>
      <c r="BI110" s="938">
        <f t="shared" si="394"/>
        <v>29.544031859311065</v>
      </c>
      <c r="BJ110" s="19"/>
      <c r="BK110" s="598"/>
      <c r="BL110" s="938">
        <f t="shared" ref="BL110" si="395">SUM(BL64:BL109)</f>
        <v>29.802451269241118</v>
      </c>
      <c r="BM110" s="938">
        <f t="shared" ref="BM110" si="396">SUM(BM64:BM109)</f>
        <v>31.177733177774225</v>
      </c>
      <c r="BN110" s="938">
        <f t="shared" ref="BN110" si="397">SUM(BN64:BN109)</f>
        <v>29.189581898176957</v>
      </c>
      <c r="BO110" s="938">
        <f t="shared" ref="BO110" si="398">SUM(BO64:BO109)</f>
        <v>29.238911768650162</v>
      </c>
      <c r="BP110" s="938">
        <f t="shared" ref="BP110" si="399">SUM(BP64:BP109)</f>
        <v>29.555833455272072</v>
      </c>
      <c r="BQ110" s="938">
        <f t="shared" ref="BQ110" si="400">SUM(BQ64:BQ109)</f>
        <v>29.544031859311065</v>
      </c>
      <c r="BR110" s="938">
        <f t="shared" ref="BR110" si="401">SUM(BR64:BR109)</f>
        <v>29.287506073684771</v>
      </c>
      <c r="BS110" s="938">
        <f t="shared" ref="BS110" si="402">SUM(BS64:BS109)</f>
        <v>29.247362809470825</v>
      </c>
      <c r="BT110" s="938">
        <f t="shared" ref="BT110" si="403">SUM(BT64:BT109)</f>
        <v>29.629233644150702</v>
      </c>
      <c r="BU110" s="938">
        <f t="shared" ref="BU110" si="404">SUM(BU64:BU109)</f>
        <v>29.046956195259114</v>
      </c>
      <c r="BV110" s="938">
        <f t="shared" ref="BV110" si="405">SUM(BV64:BV109)</f>
        <v>29.272639896155351</v>
      </c>
      <c r="BW110" s="938">
        <f t="shared" ref="BW110" si="406">SUM(BW64:BW109)</f>
        <v>29.629014404608601</v>
      </c>
      <c r="BX110" s="938">
        <f t="shared" ref="BX110" si="407">SUM(BX64:BX109)</f>
        <v>29.517195313074939</v>
      </c>
    </row>
    <row r="111" spans="1:76" s="16" customFormat="1" x14ac:dyDescent="0.3">
      <c r="D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4"/>
      <c r="BK111" s="598"/>
    </row>
    <row r="112" spans="1:76" s="16" customFormat="1" x14ac:dyDescent="0.3">
      <c r="D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978"/>
      <c r="BB112" s="53"/>
      <c r="BC112" s="53"/>
      <c r="BD112" s="53"/>
      <c r="BE112" s="53"/>
      <c r="BF112" s="53"/>
      <c r="BG112" s="53"/>
      <c r="BH112" s="53"/>
      <c r="BI112" s="53"/>
      <c r="BJ112" s="54"/>
      <c r="BK112" s="598"/>
      <c r="BX112" s="939"/>
    </row>
    <row r="113" spans="4:63" s="16" customFormat="1" x14ac:dyDescent="0.3">
      <c r="D113" s="5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4"/>
      <c r="BK113" s="598"/>
    </row>
    <row r="114" spans="4:63" s="16" customFormat="1" x14ac:dyDescent="0.3"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65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65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4"/>
      <c r="BK114" s="598"/>
    </row>
    <row r="116" spans="4:63" x14ac:dyDescent="0.3">
      <c r="D116" s="574"/>
    </row>
  </sheetData>
  <autoFilter ref="A2:FR53" xr:uid="{2273DB92-4D86-45B1-B3B4-32D1A743297F}"/>
  <conditionalFormatting sqref="Q23 S23 X23 Z23 Q52:S52 W52:AT52 AU52:BI53 AF53:AT53">
    <cfRule type="cellIs" dxfId="2" priority="3" operator="greaterThan">
      <formula>#REF!</formula>
    </cfRule>
  </conditionalFormatting>
  <conditionalFormatting sqref="S25:S26 X25:X26 Z25:Z26">
    <cfRule type="cellIs" dxfId="1" priority="2" operator="greaterThan">
      <formula>#REF!</formula>
    </cfRule>
  </conditionalFormatting>
  <conditionalFormatting sqref="S29 X29 Z29">
    <cfRule type="cellIs" dxfId="0" priority="1" operator="greaterThan">
      <formula>#REF!</formula>
    </cfRule>
  </conditionalFormatting>
  <hyperlinks>
    <hyperlink ref="BJ51" location="'Thuế TNDN'!A1" display="'Thuế TNDN'!A1" xr:uid="{AC33F8C2-2629-4173-97D3-987748C2FE83}"/>
    <hyperlink ref="BJ52" location="'DT-CP khác'!A1" display="'DT-CP khác'!A1" xr:uid="{71C408EE-C9EF-4DEF-8230-99AA4C9616CD}"/>
  </hyperlinks>
  <pageMargins left="0.17" right="0.17" top="0.84499999999999997" bottom="0.17" header="0.3" footer="0.17"/>
  <pageSetup paperSize="9" scale="9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5483-82C3-4BAD-889C-E83A4FEA200A}">
  <sheetPr codeName="Sheet28"/>
  <dimension ref="A1:O6"/>
  <sheetViews>
    <sheetView workbookViewId="0">
      <pane xSplit="5" ySplit="2" topLeftCell="G3" activePane="bottomRight" state="frozen"/>
      <selection activeCell="Y173" sqref="Y173"/>
      <selection pane="topRight" activeCell="Y173" sqref="Y173"/>
      <selection pane="bottomLeft" activeCell="Y173" sqref="Y173"/>
      <selection pane="bottomRight" activeCell="Y173" sqref="Y173"/>
    </sheetView>
  </sheetViews>
  <sheetFormatPr defaultColWidth="8.54296875" defaultRowHeight="13" x14ac:dyDescent="0.3"/>
  <cols>
    <col min="1" max="1" width="2.54296875" style="55" customWidth="1"/>
    <col min="2" max="2" width="11.453125" style="55" bestFit="1" customWidth="1"/>
    <col min="3" max="3" width="13.54296875" style="55" hidden="1" customWidth="1"/>
    <col min="4" max="4" width="11.54296875" style="55" bestFit="1" customWidth="1"/>
    <col min="5" max="5" width="18.453125" style="55" bestFit="1" customWidth="1"/>
    <col min="6" max="6" width="10.54296875" style="55" hidden="1" customWidth="1"/>
    <col min="7" max="7" width="18.453125" style="55" bestFit="1" customWidth="1"/>
    <col min="8" max="8" width="28.54296875" style="55" customWidth="1"/>
    <col min="9" max="9" width="26" style="55" bestFit="1" customWidth="1"/>
    <col min="10" max="11" width="8.54296875" style="55"/>
    <col min="12" max="12" width="16.453125" style="55" bestFit="1" customWidth="1"/>
    <col min="13" max="13" width="20.453125" style="55" hidden="1" customWidth="1"/>
    <col min="14" max="14" width="0" style="55" hidden="1" customWidth="1"/>
    <col min="15" max="16384" width="8.54296875" style="55"/>
  </cols>
  <sheetData>
    <row r="1" spans="1:15" x14ac:dyDescent="0.3">
      <c r="B1" s="57" t="s">
        <v>125</v>
      </c>
      <c r="L1" s="58">
        <f>SUBTOTAL(9,L3:L958)</f>
        <v>13743249251</v>
      </c>
    </row>
    <row r="2" spans="1:15" ht="26" x14ac:dyDescent="0.3">
      <c r="A2" s="56" t="s">
        <v>126</v>
      </c>
      <c r="B2" s="59" t="s">
        <v>127</v>
      </c>
      <c r="C2" s="59" t="s">
        <v>128</v>
      </c>
      <c r="D2" s="59" t="s">
        <v>129</v>
      </c>
      <c r="E2" s="59" t="s">
        <v>7</v>
      </c>
      <c r="F2" s="59" t="s">
        <v>8</v>
      </c>
      <c r="G2" s="59" t="s">
        <v>130</v>
      </c>
      <c r="H2" s="59" t="s">
        <v>131</v>
      </c>
      <c r="I2" s="59" t="s">
        <v>132</v>
      </c>
      <c r="J2" s="59" t="s">
        <v>133</v>
      </c>
      <c r="K2" s="59" t="s">
        <v>134</v>
      </c>
      <c r="L2" s="61" t="s">
        <v>135</v>
      </c>
      <c r="M2" s="59" t="s">
        <v>136</v>
      </c>
      <c r="N2" s="60" t="s">
        <v>137</v>
      </c>
      <c r="O2" s="59" t="s">
        <v>138</v>
      </c>
    </row>
    <row r="3" spans="1:15" x14ac:dyDescent="0.3">
      <c r="A3" s="62" t="s">
        <v>148</v>
      </c>
      <c r="B3" s="63">
        <v>45107</v>
      </c>
      <c r="C3" s="62" t="s">
        <v>149</v>
      </c>
      <c r="D3" s="62" t="s">
        <v>38</v>
      </c>
      <c r="E3" s="62" t="s">
        <v>37</v>
      </c>
      <c r="F3" s="62" t="s">
        <v>0</v>
      </c>
      <c r="G3" s="62" t="s">
        <v>147</v>
      </c>
      <c r="H3" s="62" t="s">
        <v>141</v>
      </c>
      <c r="I3" s="62" t="s">
        <v>150</v>
      </c>
      <c r="J3" s="62" t="s">
        <v>143</v>
      </c>
      <c r="K3" s="62" t="s">
        <v>140</v>
      </c>
      <c r="L3" s="64">
        <v>5795561979</v>
      </c>
      <c r="M3" s="62" t="s">
        <v>151</v>
      </c>
      <c r="N3" s="62" t="s">
        <v>141</v>
      </c>
      <c r="O3" s="62" t="s">
        <v>142</v>
      </c>
    </row>
    <row r="4" spans="1:15" x14ac:dyDescent="0.3">
      <c r="A4" s="62" t="s">
        <v>148</v>
      </c>
      <c r="B4" s="63">
        <v>45169</v>
      </c>
      <c r="C4" s="62" t="s">
        <v>152</v>
      </c>
      <c r="D4" s="62" t="s">
        <v>38</v>
      </c>
      <c r="E4" s="62" t="s">
        <v>37</v>
      </c>
      <c r="F4" s="62" t="s">
        <v>0</v>
      </c>
      <c r="G4" s="62" t="s">
        <v>147</v>
      </c>
      <c r="H4" s="62" t="s">
        <v>141</v>
      </c>
      <c r="I4" s="62" t="s">
        <v>153</v>
      </c>
      <c r="J4" s="62" t="s">
        <v>139</v>
      </c>
      <c r="K4" s="62" t="s">
        <v>140</v>
      </c>
      <c r="L4" s="64">
        <v>2481605805</v>
      </c>
      <c r="M4" s="62" t="s">
        <v>154</v>
      </c>
      <c r="N4" s="62" t="s">
        <v>141</v>
      </c>
      <c r="O4" s="62" t="s">
        <v>142</v>
      </c>
    </row>
    <row r="5" spans="1:15" x14ac:dyDescent="0.3">
      <c r="A5" s="62" t="s">
        <v>148</v>
      </c>
      <c r="B5" s="63">
        <v>45138</v>
      </c>
      <c r="C5" s="62" t="s">
        <v>155</v>
      </c>
      <c r="D5" s="62" t="s">
        <v>38</v>
      </c>
      <c r="E5" s="62" t="s">
        <v>37</v>
      </c>
      <c r="F5" s="62" t="s">
        <v>0</v>
      </c>
      <c r="G5" s="62" t="s">
        <v>147</v>
      </c>
      <c r="H5" s="62" t="s">
        <v>141</v>
      </c>
      <c r="I5" s="62" t="s">
        <v>156</v>
      </c>
      <c r="J5" s="62" t="s">
        <v>145</v>
      </c>
      <c r="K5" s="62" t="s">
        <v>140</v>
      </c>
      <c r="L5" s="64">
        <v>885794272</v>
      </c>
      <c r="M5" s="62" t="s">
        <v>157</v>
      </c>
      <c r="N5" s="62" t="s">
        <v>141</v>
      </c>
      <c r="O5" s="62" t="s">
        <v>142</v>
      </c>
    </row>
    <row r="6" spans="1:15" x14ac:dyDescent="0.3">
      <c r="A6" s="62" t="s">
        <v>148</v>
      </c>
      <c r="B6" s="63">
        <v>45199</v>
      </c>
      <c r="C6" s="62" t="s">
        <v>158</v>
      </c>
      <c r="D6" s="62" t="s">
        <v>38</v>
      </c>
      <c r="E6" s="62" t="s">
        <v>37</v>
      </c>
      <c r="F6" s="62" t="s">
        <v>0</v>
      </c>
      <c r="G6" s="62" t="s">
        <v>147</v>
      </c>
      <c r="H6" s="62" t="s">
        <v>159</v>
      </c>
      <c r="I6" s="62" t="s">
        <v>159</v>
      </c>
      <c r="J6" s="62" t="s">
        <v>144</v>
      </c>
      <c r="K6" s="62" t="s">
        <v>140</v>
      </c>
      <c r="L6" s="64">
        <v>4580287195</v>
      </c>
      <c r="M6" s="62" t="s">
        <v>160</v>
      </c>
      <c r="N6" s="62" t="s">
        <v>141</v>
      </c>
      <c r="O6" s="62" t="s">
        <v>142</v>
      </c>
    </row>
  </sheetData>
  <autoFilter ref="A2:O6" xr:uid="{A9066941-7283-49AA-A3E2-FD863C96B768}"/>
  <hyperlinks>
    <hyperlink ref="B1" location="'48 KMP -Tháng'!A1" display="'48 KMP -Tháng'!A1" xr:uid="{2A089910-E47A-40DD-90FA-E5F9D0FB00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������
</file>

<file path=customXml/item3.xml>��
</file>

<file path=customXml/item4.xml>��
</file>

<file path=customXml/item5.xml>��
</file>

<file path=customXml/item6.xml>����������������������������
</file>

<file path=customXml/item7.xml>������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������
</file>

<file path=customXml/item14.xml>������
</file>

<file path=customXml/item15.xml>��
</file>

<file path=customXml/item16.xml>��
</file>

<file path=customXml/item17.xml>������
</file>

<file path=customXml/item18.xml>������
</file>

<file path=customXml/item19.xml>��
</file>

<file path=customXml/item20.xml>������
</file>

<file path=customXml/item21.xml>��
</file>

<file path=customXml/item22.xml>��
</file>

<file path=customXml/item23.xml>��
</file>

<file path=customXml/item24.xml>��
</file>

<file path=customXml/item25.xml>������
</file>

<file path=customXml/item26.xml>��
</file>

<file path=customXml/item27.xml>��
</file>

<file path=customXml/item28.xml>��
</file>

<file path=customXml/item29.xml>������
</file>

<file path=customXml/item30.xml>��
</file>

<file path=customXml/item31.xml>��
</file>

<file path=customXml/item32.xml>������
</file>

<file path=customXml/item33.xml>��
</file>

<file path=customXml/item34.xml>��������
</file>

<file path=customXml/item35.xml>������
</file>

<file path=customXml/item36.xml>��
</file>

<file path=customXml/item37.xml>��
</file>

<file path=customXml/item38.xml>������
</file>

<file path=customXml/item39.xml>������
</file>

<file path=customXml/item40.xml>��
</file>

<file path=customXml/itemProps1.xml><?xml version="1.0" encoding="utf-8"?>
<ds:datastoreItem xmlns:ds="http://schemas.openxmlformats.org/officeDocument/2006/customXml" ds:itemID="{528CC92F-9128-4092-B642-FFBBC3270AB9}">
  <ds:schemaRefs/>
</ds:datastoreItem>
</file>

<file path=customXml/itemProps2.xml><?xml version="1.0" encoding="utf-8"?>
<ds:datastoreItem xmlns:ds="http://schemas.openxmlformats.org/officeDocument/2006/customXml" ds:itemID="{920C0BF1-ED90-4779-8DE2-4308E6E4D401}">
  <ds:schemaRefs/>
</ds:datastoreItem>
</file>

<file path=customXml/itemProps3.xml><?xml version="1.0" encoding="utf-8"?>
<ds:datastoreItem xmlns:ds="http://schemas.openxmlformats.org/officeDocument/2006/customXml" ds:itemID="{E25D6C07-7B8D-4A64-88BB-686A49C14AA8}">
  <ds:schemaRefs/>
</ds:datastoreItem>
</file>

<file path=customXml/itemProps4.xml><?xml version="1.0" encoding="utf-8"?>
<ds:datastoreItem xmlns:ds="http://schemas.openxmlformats.org/officeDocument/2006/customXml" ds:itemID="{46301C50-18D2-47AD-812D-BF6A0B0BB66E}">
  <ds:schemaRefs/>
</ds:datastoreItem>
</file>

<file path=customXml/itemProps5.xml><?xml version="1.0" encoding="utf-8"?>
<ds:datastoreItem xmlns:ds="http://schemas.openxmlformats.org/officeDocument/2006/customXml" ds:itemID="{F3889890-A8A6-4269-82EC-4D6BD3B71A88}">
  <ds:schemaRefs/>
</ds:datastoreItem>
</file>

<file path=customXml/itemProps6.xml><?xml version="1.0" encoding="utf-8"?>
<ds:datastoreItem xmlns:ds="http://schemas.openxmlformats.org/officeDocument/2006/customXml" ds:itemID="{1D8684E1-C179-47C1-9246-080D465A98B3}">
  <ds:schemaRefs/>
</ds:datastoreItem>
</file>

<file path=customXml/itemProps7.xml><?xml version="1.0" encoding="utf-8"?>
<ds:datastoreItem xmlns:ds="http://schemas.openxmlformats.org/officeDocument/2006/customXml" ds:itemID="{EF43CC96-0D56-4CAE-B3FB-63AA7327D64F}">
  <ds:schemaRefs/>
</ds:datastoreItem>
</file>

<file path=customXml/itemProps8.xml><?xml version="1.0" encoding="utf-8"?>
<ds:datastoreItem xmlns:ds="http://schemas.openxmlformats.org/officeDocument/2006/customXml" ds:itemID="{757B46FF-4DC9-4CB8-AA4A-B29F20ED3820}">
  <ds:schemaRefs/>
</ds:datastoreItem>
</file>

<file path=customXml/itemProps9.xml><?xml version="1.0" encoding="utf-8"?>
<ds:datastoreItem xmlns:ds="http://schemas.openxmlformats.org/officeDocument/2006/customXml" ds:itemID="{86DDD575-A695-478E-8228-A821DD2A032E}">
  <ds:schemaRefs/>
</ds:datastoreItem>
</file>

<file path=customXml/itemProps10.xml><?xml version="1.0" encoding="utf-8"?>
<ds:datastoreItem xmlns:ds="http://schemas.openxmlformats.org/officeDocument/2006/customXml" ds:itemID="{297DB4C4-6C96-4791-AAB7-7BEEA6FF3139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FFD76BC-5084-48F4-A786-001A6042C0B0}">
  <ds:schemaRefs/>
</ds:datastoreItem>
</file>

<file path=customXml/itemProps12.xml><?xml version="1.0" encoding="utf-8"?>
<ds:datastoreItem xmlns:ds="http://schemas.openxmlformats.org/officeDocument/2006/customXml" ds:itemID="{46A36F23-A6D7-4A10-B537-939517B8A4E5}">
  <ds:schemaRefs/>
</ds:datastoreItem>
</file>

<file path=customXml/itemProps13.xml><?xml version="1.0" encoding="utf-8"?>
<ds:datastoreItem xmlns:ds="http://schemas.openxmlformats.org/officeDocument/2006/customXml" ds:itemID="{A0C76F20-3730-44DF-BD44-3566C1AF62E9}">
  <ds:schemaRefs/>
</ds:datastoreItem>
</file>

<file path=customXml/itemProps14.xml><?xml version="1.0" encoding="utf-8"?>
<ds:datastoreItem xmlns:ds="http://schemas.openxmlformats.org/officeDocument/2006/customXml" ds:itemID="{D46EDAB1-2ACA-4037-A4DA-8A61F68A9033}">
  <ds:schemaRefs/>
</ds:datastoreItem>
</file>

<file path=customXml/itemProps15.xml><?xml version="1.0" encoding="utf-8"?>
<ds:datastoreItem xmlns:ds="http://schemas.openxmlformats.org/officeDocument/2006/customXml" ds:itemID="{DA8DB7D7-6DFD-4970-AD59-07C6B5A78635}">
  <ds:schemaRefs/>
</ds:datastoreItem>
</file>

<file path=customXml/itemProps16.xml><?xml version="1.0" encoding="utf-8"?>
<ds:datastoreItem xmlns:ds="http://schemas.openxmlformats.org/officeDocument/2006/customXml" ds:itemID="{B5A6C083-52FA-45BA-BB14-F81BD38A7605}">
  <ds:schemaRefs/>
</ds:datastoreItem>
</file>

<file path=customXml/itemProps17.xml><?xml version="1.0" encoding="utf-8"?>
<ds:datastoreItem xmlns:ds="http://schemas.openxmlformats.org/officeDocument/2006/customXml" ds:itemID="{EC965678-F6E1-43D5-A43D-77A58C7E158F}">
  <ds:schemaRefs/>
</ds:datastoreItem>
</file>

<file path=customXml/itemProps18.xml><?xml version="1.0" encoding="utf-8"?>
<ds:datastoreItem xmlns:ds="http://schemas.openxmlformats.org/officeDocument/2006/customXml" ds:itemID="{75FE727E-00BF-4334-BEF0-2A1D02AA7B4B}">
  <ds:schemaRefs/>
</ds:datastoreItem>
</file>

<file path=customXml/itemProps19.xml><?xml version="1.0" encoding="utf-8"?>
<ds:datastoreItem xmlns:ds="http://schemas.openxmlformats.org/officeDocument/2006/customXml" ds:itemID="{407F44B5-85DD-45CC-8F35-DC77335327DB}">
  <ds:schemaRefs/>
</ds:datastoreItem>
</file>

<file path=customXml/itemProps20.xml><?xml version="1.0" encoding="utf-8"?>
<ds:datastoreItem xmlns:ds="http://schemas.openxmlformats.org/officeDocument/2006/customXml" ds:itemID="{11836300-42E2-4105-A876-1529E6178DEB}">
  <ds:schemaRefs/>
</ds:datastoreItem>
</file>

<file path=customXml/itemProps21.xml><?xml version="1.0" encoding="utf-8"?>
<ds:datastoreItem xmlns:ds="http://schemas.openxmlformats.org/officeDocument/2006/customXml" ds:itemID="{17349FA4-4EF9-4C97-BC33-E635231D65F4}">
  <ds:schemaRefs/>
</ds:datastoreItem>
</file>

<file path=customXml/itemProps22.xml><?xml version="1.0" encoding="utf-8"?>
<ds:datastoreItem xmlns:ds="http://schemas.openxmlformats.org/officeDocument/2006/customXml" ds:itemID="{9DD498C0-5D94-4D54-8DBF-253BF39C68A8}">
  <ds:schemaRefs/>
</ds:datastoreItem>
</file>

<file path=customXml/itemProps23.xml><?xml version="1.0" encoding="utf-8"?>
<ds:datastoreItem xmlns:ds="http://schemas.openxmlformats.org/officeDocument/2006/customXml" ds:itemID="{7643B710-6085-40D5-B6A3-CB7695EA5C1F}">
  <ds:schemaRefs/>
</ds:datastoreItem>
</file>

<file path=customXml/itemProps24.xml><?xml version="1.0" encoding="utf-8"?>
<ds:datastoreItem xmlns:ds="http://schemas.openxmlformats.org/officeDocument/2006/customXml" ds:itemID="{4A34AA75-8269-45DB-893F-FF049F89BA2D}">
  <ds:schemaRefs/>
</ds:datastoreItem>
</file>

<file path=customXml/itemProps25.xml><?xml version="1.0" encoding="utf-8"?>
<ds:datastoreItem xmlns:ds="http://schemas.openxmlformats.org/officeDocument/2006/customXml" ds:itemID="{D1D4E2F4-07A5-49C8-9E79-3097BD6654BA}">
  <ds:schemaRefs/>
</ds:datastoreItem>
</file>

<file path=customXml/itemProps26.xml><?xml version="1.0" encoding="utf-8"?>
<ds:datastoreItem xmlns:ds="http://schemas.openxmlformats.org/officeDocument/2006/customXml" ds:itemID="{4A75E357-1F19-4D6C-8808-F726138813C2}">
  <ds:schemaRefs/>
</ds:datastoreItem>
</file>

<file path=customXml/itemProps27.xml><?xml version="1.0" encoding="utf-8"?>
<ds:datastoreItem xmlns:ds="http://schemas.openxmlformats.org/officeDocument/2006/customXml" ds:itemID="{7DC06B28-DDAD-495E-9D7E-85C55D1DC8C0}">
  <ds:schemaRefs/>
</ds:datastoreItem>
</file>

<file path=customXml/itemProps28.xml><?xml version="1.0" encoding="utf-8"?>
<ds:datastoreItem xmlns:ds="http://schemas.openxmlformats.org/officeDocument/2006/customXml" ds:itemID="{EBC5C457-9339-4D37-9A3F-3544BDC19380}">
  <ds:schemaRefs/>
</ds:datastoreItem>
</file>

<file path=customXml/itemProps29.xml><?xml version="1.0" encoding="utf-8"?>
<ds:datastoreItem xmlns:ds="http://schemas.openxmlformats.org/officeDocument/2006/customXml" ds:itemID="{5B04FDA0-1A0F-4332-9D4D-676083848A41}">
  <ds:schemaRefs/>
</ds:datastoreItem>
</file>

<file path=customXml/itemProps30.xml><?xml version="1.0" encoding="utf-8"?>
<ds:datastoreItem xmlns:ds="http://schemas.openxmlformats.org/officeDocument/2006/customXml" ds:itemID="{F82E136A-7FAF-426A-B0DB-F42CAE1221D4}">
  <ds:schemaRefs/>
</ds:datastoreItem>
</file>

<file path=customXml/itemProps31.xml><?xml version="1.0" encoding="utf-8"?>
<ds:datastoreItem xmlns:ds="http://schemas.openxmlformats.org/officeDocument/2006/customXml" ds:itemID="{23E02783-120C-44D7-8CCF-048E9FB3CB73}">
  <ds:schemaRefs/>
</ds:datastoreItem>
</file>

<file path=customXml/itemProps32.xml><?xml version="1.0" encoding="utf-8"?>
<ds:datastoreItem xmlns:ds="http://schemas.openxmlformats.org/officeDocument/2006/customXml" ds:itemID="{66D4DA9B-C5C5-49D5-8A3E-588986681407}">
  <ds:schemaRefs/>
</ds:datastoreItem>
</file>

<file path=customXml/itemProps33.xml><?xml version="1.0" encoding="utf-8"?>
<ds:datastoreItem xmlns:ds="http://schemas.openxmlformats.org/officeDocument/2006/customXml" ds:itemID="{9F0F1267-28D7-47EB-8753-99CD4073ED76}">
  <ds:schemaRefs/>
</ds:datastoreItem>
</file>

<file path=customXml/itemProps34.xml><?xml version="1.0" encoding="utf-8"?>
<ds:datastoreItem xmlns:ds="http://schemas.openxmlformats.org/officeDocument/2006/customXml" ds:itemID="{9DE21B68-7AA0-4B35-A6E6-B7F9423B9D5F}">
  <ds:schemaRefs/>
</ds:datastoreItem>
</file>

<file path=customXml/itemProps35.xml><?xml version="1.0" encoding="utf-8"?>
<ds:datastoreItem xmlns:ds="http://schemas.openxmlformats.org/officeDocument/2006/customXml" ds:itemID="{D8B5CA34-0903-4093-AF52-680F7D205A6C}">
  <ds:schemaRefs/>
</ds:datastoreItem>
</file>

<file path=customXml/itemProps36.xml><?xml version="1.0" encoding="utf-8"?>
<ds:datastoreItem xmlns:ds="http://schemas.openxmlformats.org/officeDocument/2006/customXml" ds:itemID="{A162406A-40E8-42B1-8325-67ABF8C8D5A5}">
  <ds:schemaRefs/>
</ds:datastoreItem>
</file>

<file path=customXml/itemProps37.xml><?xml version="1.0" encoding="utf-8"?>
<ds:datastoreItem xmlns:ds="http://schemas.openxmlformats.org/officeDocument/2006/customXml" ds:itemID="{777D17D5-5262-422E-B7B2-FF0F2B91361F}">
  <ds:schemaRefs/>
</ds:datastoreItem>
</file>

<file path=customXml/itemProps38.xml><?xml version="1.0" encoding="utf-8"?>
<ds:datastoreItem xmlns:ds="http://schemas.openxmlformats.org/officeDocument/2006/customXml" ds:itemID="{33E1ED1B-39CC-42F1-82C8-8D7CBBCA8B60}">
  <ds:schemaRefs/>
</ds:datastoreItem>
</file>

<file path=customXml/itemProps39.xml><?xml version="1.0" encoding="utf-8"?>
<ds:datastoreItem xmlns:ds="http://schemas.openxmlformats.org/officeDocument/2006/customXml" ds:itemID="{81AE9E05-86A0-433A-AFC9-991C51C33204}">
  <ds:schemaRefs/>
</ds:datastoreItem>
</file>

<file path=customXml/itemProps40.xml><?xml version="1.0" encoding="utf-8"?>
<ds:datastoreItem xmlns:ds="http://schemas.openxmlformats.org/officeDocument/2006/customXml" ds:itemID="{E950482B-250E-4B56-B377-E04A262E35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Chụp hình</vt:lpstr>
      <vt:lpstr>Chụp hình-2</vt:lpstr>
      <vt:lpstr>Phương Phương</vt:lpstr>
      <vt:lpstr>18 KMP- Tháng (Tâm)</vt:lpstr>
      <vt:lpstr>18 KMP- Tháng (Tâm) (3)</vt:lpstr>
      <vt:lpstr>Chart - Tâm</vt:lpstr>
      <vt:lpstr>KMP- PET</vt:lpstr>
      <vt:lpstr>KMP- HDPE</vt:lpstr>
      <vt:lpstr>18 KMP- Tháng</vt:lpstr>
      <vt:lpstr>48 KMP -Tháng</vt:lpstr>
      <vt:lpstr>Thuế TNDN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Diễm, Nguyễn Thị Thanh</cp:lastModifiedBy>
  <dcterms:created xsi:type="dcterms:W3CDTF">2024-04-26T04:49:11Z</dcterms:created>
  <dcterms:modified xsi:type="dcterms:W3CDTF">2026-07-07T02:14:35Z</dcterms:modified>
</cp:coreProperties>
</file>